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版本-Version" sheetId="1" r:id="rId4"/>
    <sheet state="visible" name="运行信息04-Operation information 04" sheetId="2" r:id="rId5"/>
    <sheet state="visible" name="参数读写03-06-10-Parameter reading " sheetId="3" r:id="rId6"/>
    <sheet state="visible" name="国家-nation" sheetId="4" r:id="rId7"/>
  </sheets>
  <definedNames/>
  <calcPr/>
</workbook>
</file>

<file path=xl/sharedStrings.xml><?xml version="1.0" encoding="utf-8"?>
<sst xmlns="http://schemas.openxmlformats.org/spreadsheetml/2006/main" count="5533" uniqueCount="3547">
  <si>
    <t>版本号</t>
  </si>
  <si>
    <r>
      <rPr>
        <rFont val="宋体"/>
        <b/>
        <color theme="1"/>
        <sz val="11.0"/>
      </rPr>
      <t>修改内容</t>
    </r>
  </si>
  <si>
    <t>Translation</t>
  </si>
  <si>
    <r>
      <rPr>
        <rFont val="宋体"/>
        <b/>
        <color theme="1"/>
        <sz val="11.0"/>
      </rPr>
      <t>修改人</t>
    </r>
  </si>
  <si>
    <r>
      <rPr>
        <rFont val="宋体"/>
        <b/>
        <color theme="1"/>
        <sz val="11.0"/>
      </rPr>
      <t>修改时间</t>
    </r>
  </si>
  <si>
    <t>V1.1</t>
  </si>
  <si>
    <r>
      <rPr>
        <rFont val="宋体"/>
        <color theme="1"/>
        <sz val="11.0"/>
      </rPr>
      <t>整理提交初版。</t>
    </r>
  </si>
  <si>
    <t>2020.09.28</t>
  </si>
  <si>
    <t>V1.2</t>
  </si>
  <si>
    <r>
      <rPr>
        <rFont val="宋体"/>
        <color theme="1"/>
        <sz val="11.0"/>
      </rPr>
      <t>修订部分</t>
    </r>
    <r>
      <rPr>
        <rFont val="Calibri"/>
        <color theme="1"/>
        <sz val="11.0"/>
      </rPr>
      <t>flash</t>
    </r>
    <r>
      <rPr>
        <rFont val="宋体"/>
        <color theme="1"/>
        <sz val="11.0"/>
      </rPr>
      <t>存储参数、参数范围数据类型。</t>
    </r>
  </si>
  <si>
    <t>2020.11.02</t>
  </si>
  <si>
    <t>V1.3</t>
  </si>
  <si>
    <r>
      <rPr>
        <rFont val="宋体"/>
        <color theme="1"/>
        <sz val="11.0"/>
      </rPr>
      <t>修订部分</t>
    </r>
    <r>
      <rPr>
        <rFont val="Calibri"/>
        <color theme="1"/>
        <sz val="11.0"/>
      </rPr>
      <t>flash</t>
    </r>
    <r>
      <rPr>
        <rFont val="宋体"/>
        <color theme="1"/>
        <sz val="11.0"/>
      </rPr>
      <t>存储参数、参数命名。</t>
    </r>
  </si>
  <si>
    <t>2020.11.12</t>
  </si>
  <si>
    <t>V1.4</t>
  </si>
  <si>
    <r>
      <rPr>
        <rFont val="宋体"/>
        <color theme="1"/>
        <sz val="11.0"/>
      </rPr>
      <t>搜集所有需要用到的通信信息、参数，并进行分类整理。</t>
    </r>
  </si>
  <si>
    <t>2020.11.30</t>
  </si>
  <si>
    <t>V1.5</t>
  </si>
  <si>
    <r>
      <rPr>
        <rFont val="宋体"/>
        <color theme="1"/>
        <sz val="11.0"/>
      </rPr>
      <t>新增地址对应的字节数</t>
    </r>
    <r>
      <rPr>
        <rFont val="Calibri"/>
        <color theme="1"/>
        <sz val="11.0"/>
      </rPr>
      <t xml:space="preserve"> </t>
    </r>
    <r>
      <rPr>
        <rFont val="宋体"/>
        <color theme="1"/>
        <sz val="11.0"/>
      </rPr>
      <t>和</t>
    </r>
    <r>
      <rPr>
        <rFont val="Calibri"/>
        <color theme="1"/>
        <sz val="11.0"/>
      </rPr>
      <t xml:space="preserve"> </t>
    </r>
    <r>
      <rPr>
        <rFont val="宋体"/>
        <color theme="1"/>
        <sz val="11.0"/>
      </rPr>
      <t>功能码匹配</t>
    </r>
  </si>
  <si>
    <t>2021.04.17</t>
  </si>
  <si>
    <t>v1.6</t>
  </si>
  <si>
    <r>
      <rPr>
        <rFont val="宋体"/>
        <color theme="1"/>
        <sz val="11.0"/>
      </rPr>
      <t>实时运行信息</t>
    </r>
    <r>
      <rPr>
        <rFont val="Calibri"/>
        <color theme="1"/>
        <sz val="11.0"/>
      </rPr>
      <t>2</t>
    </r>
    <r>
      <rPr>
        <rFont val="宋体"/>
        <color theme="1"/>
        <sz val="11.0"/>
      </rPr>
      <t>（</t>
    </r>
    <r>
      <rPr>
        <rFont val="Calibri"/>
        <color theme="1"/>
        <sz val="11.0"/>
      </rPr>
      <t>PV+</t>
    </r>
    <r>
      <rPr>
        <rFont val="宋体"/>
        <color theme="1"/>
        <sz val="11.0"/>
      </rPr>
      <t>并网发电量）中单位</t>
    </r>
    <r>
      <rPr>
        <rFont val="Calibri"/>
        <color theme="1"/>
        <sz val="11.0"/>
      </rPr>
      <t>0.1wh</t>
    </r>
    <r>
      <rPr>
        <rFont val="宋体"/>
        <color theme="1"/>
        <sz val="11.0"/>
      </rPr>
      <t>修改为</t>
    </r>
    <r>
      <rPr>
        <rFont val="Calibri"/>
        <color theme="1"/>
        <sz val="11.0"/>
      </rPr>
      <t>0.1kwh</t>
    </r>
  </si>
  <si>
    <t>2021.05.07</t>
  </si>
  <si>
    <t>电池当日充电量、电池当日放电量单位0.1wh修改为0.1kwh</t>
  </si>
  <si>
    <r>
      <rPr>
        <rFont val="Calibri"/>
        <color theme="1"/>
        <sz val="11.0"/>
      </rPr>
      <t>PV</t>
    </r>
    <r>
      <rPr>
        <rFont val="宋体"/>
        <color theme="1"/>
        <sz val="11.0"/>
      </rPr>
      <t>输入模式范围新增：</t>
    </r>
    <r>
      <rPr>
        <rFont val="Calibri"/>
        <color theme="1"/>
        <sz val="11.0"/>
      </rPr>
      <t>2:</t>
    </r>
    <r>
      <rPr>
        <rFont val="宋体"/>
        <color theme="1"/>
        <sz val="11.0"/>
      </rPr>
      <t>无</t>
    </r>
    <r>
      <rPr>
        <rFont val="Calibri"/>
        <color theme="1"/>
        <sz val="11.0"/>
      </rPr>
      <t>PV</t>
    </r>
  </si>
  <si>
    <t>运行功能使能备注中B5与B6调换位置，修改B16为Forbid discharge enable，移除B17</t>
  </si>
  <si>
    <r>
      <rPr>
        <rFont val="宋体"/>
        <color theme="1"/>
        <sz val="11.0"/>
      </rPr>
      <t>修改并新增有功无功控制使能范围内容</t>
    </r>
    <r>
      <rPr>
        <rFont val="Calibri"/>
        <color theme="1"/>
        <sz val="11.0"/>
      </rPr>
      <t>B3</t>
    </r>
    <r>
      <rPr>
        <rFont val="宋体"/>
        <color theme="1"/>
        <sz val="11.0"/>
      </rPr>
      <t>、</t>
    </r>
    <r>
      <rPr>
        <rFont val="Calibri"/>
        <color theme="1"/>
        <sz val="11.0"/>
      </rPr>
      <t>B4</t>
    </r>
    <r>
      <rPr>
        <rFont val="宋体"/>
        <color theme="1"/>
        <sz val="11.0"/>
      </rPr>
      <t>、</t>
    </r>
    <r>
      <rPr>
        <rFont val="Calibri"/>
        <color theme="1"/>
        <sz val="11.0"/>
      </rPr>
      <t>B5</t>
    </r>
    <r>
      <rPr>
        <rFont val="宋体"/>
        <color theme="1"/>
        <sz val="11.0"/>
      </rPr>
      <t>、</t>
    </r>
    <r>
      <rPr>
        <rFont val="Calibri"/>
        <color theme="1"/>
        <sz val="11.0"/>
      </rPr>
      <t xml:space="preserve"> B6 </t>
    </r>
    <r>
      <rPr>
        <rFont val="宋体"/>
        <color theme="1"/>
        <sz val="11.0"/>
      </rPr>
      <t>、</t>
    </r>
    <r>
      <rPr>
        <rFont val="Calibri"/>
        <color theme="1"/>
        <sz val="11.0"/>
      </rPr>
      <t xml:space="preserve">B7 </t>
    </r>
    <r>
      <rPr>
        <rFont val="宋体"/>
        <color theme="1"/>
        <sz val="11.0"/>
      </rPr>
      <t>、</t>
    </r>
    <r>
      <rPr>
        <rFont val="Calibri"/>
        <color theme="1"/>
        <sz val="11.0"/>
      </rPr>
      <t>B8</t>
    </r>
  </si>
  <si>
    <t>V1.7</t>
  </si>
  <si>
    <t>新增  机器特性，用于平台识别类型</t>
  </si>
  <si>
    <t>2021.05.12</t>
  </si>
  <si>
    <t>V1.8</t>
  </si>
  <si>
    <r>
      <rPr>
        <rFont val="宋体"/>
        <color theme="1"/>
        <sz val="11.0"/>
      </rPr>
      <t>电池总功率单位</t>
    </r>
    <r>
      <rPr>
        <rFont val="Calibri"/>
        <color theme="1"/>
        <sz val="11.0"/>
      </rPr>
      <t>0.1V</t>
    </r>
    <r>
      <rPr>
        <rFont val="宋体"/>
        <color theme="1"/>
        <sz val="11.0"/>
      </rPr>
      <t>修改为</t>
    </r>
    <r>
      <rPr>
        <rFont val="Calibri"/>
        <color theme="1"/>
        <sz val="11.0"/>
      </rPr>
      <t>1W</t>
    </r>
  </si>
  <si>
    <t>2021.05.19</t>
  </si>
  <si>
    <t>V1.9</t>
  </si>
  <si>
    <r>
      <rPr>
        <rFont val="宋体"/>
        <color theme="1"/>
        <sz val="11.0"/>
      </rPr>
      <t>额定视在功率单位</t>
    </r>
    <r>
      <rPr>
        <rFont val="Calibri"/>
        <color theme="1"/>
        <sz val="11.0"/>
      </rPr>
      <t>1w</t>
    </r>
    <r>
      <rPr>
        <rFont val="宋体"/>
        <color theme="1"/>
        <sz val="11.0"/>
      </rPr>
      <t>修改为</t>
    </r>
    <r>
      <rPr>
        <rFont val="Calibri"/>
        <color theme="1"/>
        <sz val="11.0"/>
      </rPr>
      <t>1VA</t>
    </r>
  </si>
  <si>
    <t>总EPS无功功率单位VA修改为Var</t>
  </si>
  <si>
    <r>
      <rPr>
        <rFont val="宋体"/>
        <color theme="1"/>
        <sz val="11.0"/>
      </rPr>
      <t>新增最大交流输出电流单位</t>
    </r>
    <r>
      <rPr>
        <rFont val="Calibri"/>
        <color theme="1"/>
        <sz val="11.0"/>
      </rPr>
      <t xml:space="preserve"> 0.01A</t>
    </r>
  </si>
  <si>
    <t>新增总并网有功功率单位W</t>
  </si>
  <si>
    <t>新增总并网无功功率单位Var</t>
  </si>
  <si>
    <t>新增总并网视在功率单位VA</t>
  </si>
  <si>
    <t>新增总负载有功功率单位W</t>
  </si>
  <si>
    <t>新增总负载无功功率单位Var</t>
  </si>
  <si>
    <t>新增总负载视在功率单位VA</t>
  </si>
  <si>
    <r>
      <rPr>
        <rFont val="宋体"/>
        <color theme="1"/>
        <sz val="11.0"/>
      </rPr>
      <t>新增</t>
    </r>
    <r>
      <rPr>
        <rFont val="Calibri"/>
        <color theme="1"/>
        <sz val="11.0"/>
      </rPr>
      <t>PV</t>
    </r>
    <r>
      <rPr>
        <rFont val="宋体"/>
        <color theme="1"/>
        <sz val="11.0"/>
      </rPr>
      <t>总功率单位W</t>
    </r>
  </si>
  <si>
    <r>
      <rPr>
        <rFont val="宋体"/>
        <color theme="1"/>
        <sz val="11.0"/>
      </rPr>
      <t>新增</t>
    </r>
    <r>
      <rPr>
        <rFont val="Calibri"/>
        <color theme="1"/>
        <sz val="11.0"/>
      </rPr>
      <t>R</t>
    </r>
    <r>
      <rPr>
        <rFont val="宋体"/>
        <color theme="1"/>
        <sz val="11.0"/>
      </rPr>
      <t>、</t>
    </r>
    <r>
      <rPr>
        <rFont val="Calibri"/>
        <color theme="1"/>
        <sz val="11.0"/>
      </rPr>
      <t>S</t>
    </r>
    <r>
      <rPr>
        <rFont val="宋体"/>
        <color theme="1"/>
        <sz val="11.0"/>
      </rPr>
      <t>、</t>
    </r>
    <r>
      <rPr>
        <rFont val="Calibri"/>
        <color theme="1"/>
        <sz val="11.0"/>
      </rPr>
      <t>T</t>
    </r>
    <r>
      <rPr>
        <rFont val="宋体"/>
        <color theme="1"/>
        <sz val="11.0"/>
      </rPr>
      <t>相电压直流分量单位</t>
    </r>
    <r>
      <rPr>
        <rFont val="Calibri"/>
        <color theme="1"/>
        <sz val="11.0"/>
      </rPr>
      <t>mV</t>
    </r>
  </si>
  <si>
    <t>新增R、S、T相GEN电压单位0.1V</t>
  </si>
  <si>
    <t>新增R、S、T相GEN电流单位0.01A</t>
  </si>
  <si>
    <t>新增R、S、T相GEN有功功率单位W</t>
  </si>
  <si>
    <t>新增总GEN有功功率单位W</t>
  </si>
  <si>
    <t>新增总GEN无功功率单位Var</t>
  </si>
  <si>
    <t>新增总GEN视在功率单位VA</t>
  </si>
  <si>
    <t>新增当日GEN发电量单位0.1kwh</t>
  </si>
  <si>
    <t>新增总EPS放电量单位0.1kwh</t>
  </si>
  <si>
    <t>新增总EPS充电量单位0.1kwh</t>
  </si>
  <si>
    <t>新增总GEN发电量单位0.1kwh</t>
  </si>
  <si>
    <t>新增总电池充电量、总电池放电量单位0.1kwh</t>
  </si>
  <si>
    <t>V2.0</t>
  </si>
  <si>
    <t>修改机器特性表述问题</t>
  </si>
  <si>
    <t>2021.05.21</t>
  </si>
  <si>
    <t>V2.1</t>
  </si>
  <si>
    <t>额定视在功率修改为额定功率，单位：1VA修改为1W</t>
  </si>
  <si>
    <t>2021.06.23</t>
  </si>
  <si>
    <r>
      <rPr>
        <rFont val="宋体"/>
        <color theme="1"/>
        <sz val="11.0"/>
      </rPr>
      <t>新增参数读写</t>
    </r>
    <r>
      <rPr>
        <rFont val="Calibri"/>
        <color theme="1"/>
        <sz val="11.0"/>
      </rPr>
      <t>03-06-10</t>
    </r>
    <r>
      <rPr>
        <rFont val="宋体"/>
        <color theme="1"/>
        <sz val="11.0"/>
      </rPr>
      <t>中的数据范围与单位</t>
    </r>
  </si>
  <si>
    <t>添加数据范围-国家</t>
  </si>
  <si>
    <t>V2.2</t>
  </si>
  <si>
    <r>
      <rPr>
        <rFont val="宋体"/>
        <color theme="1"/>
        <sz val="11.0"/>
      </rPr>
      <t>数据范围</t>
    </r>
    <r>
      <rPr>
        <rFont val="Calibri"/>
        <color theme="1"/>
        <sz val="11.0"/>
      </rPr>
      <t>-</t>
    </r>
    <r>
      <rPr>
        <rFont val="宋体"/>
        <color theme="1"/>
        <sz val="11.0"/>
      </rPr>
      <t>国家修改</t>
    </r>
  </si>
  <si>
    <t>2021.7.5</t>
  </si>
  <si>
    <t>V2.3</t>
  </si>
  <si>
    <t>运动功能使能参数设置中
   “AC charge enable”修改为“Timing AC charge enable”
   “Forced charge enable”修改为“Timing  charge enable”
   “Forced discharge enable”修改为“Timing discharge enable”
   “Forbid discharge enable”修改为“Timing Forbid discharge enable”</t>
  </si>
  <si>
    <t>2021.7.15</t>
  </si>
  <si>
    <t>V2.4</t>
  </si>
  <si>
    <r>
      <rPr>
        <rFont val="Calibri"/>
        <color theme="1"/>
        <sz val="11.0"/>
      </rPr>
      <t>“</t>
    </r>
    <r>
      <rPr>
        <rFont val="宋体"/>
        <color theme="1"/>
        <sz val="11.0"/>
      </rPr>
      <t>充放电功率</t>
    </r>
    <r>
      <rPr>
        <rFont val="Calibri"/>
        <color theme="1"/>
        <sz val="11.0"/>
      </rPr>
      <t>”</t>
    </r>
    <r>
      <rPr>
        <rFont val="宋体"/>
        <color theme="1"/>
        <sz val="11.0"/>
      </rPr>
      <t>修改为</t>
    </r>
    <r>
      <rPr>
        <rFont val="Calibri"/>
        <color theme="1"/>
        <sz val="11.0"/>
      </rPr>
      <t>“</t>
    </r>
    <r>
      <rPr>
        <rFont val="宋体"/>
        <color theme="1"/>
        <sz val="11.0"/>
      </rPr>
      <t>充放电功率指令</t>
    </r>
    <r>
      <rPr>
        <rFont val="Calibri"/>
        <color theme="1"/>
        <sz val="11.0"/>
      </rPr>
      <t>”</t>
    </r>
  </si>
  <si>
    <t>2021.7.17</t>
  </si>
  <si>
    <r>
      <rPr>
        <rFont val="Calibri"/>
        <color theme="1"/>
        <sz val="11.0"/>
      </rPr>
      <t>“</t>
    </r>
    <r>
      <rPr>
        <rFont val="宋体"/>
        <color theme="1"/>
        <sz val="11.0"/>
      </rPr>
      <t>最大充电</t>
    </r>
    <r>
      <rPr>
        <rFont val="Calibri"/>
        <color theme="1"/>
        <sz val="11.0"/>
      </rPr>
      <t>SOC”</t>
    </r>
    <r>
      <rPr>
        <rFont val="宋体"/>
        <color theme="1"/>
        <sz val="11.0"/>
      </rPr>
      <t>修改为</t>
    </r>
    <r>
      <rPr>
        <rFont val="Calibri"/>
        <color theme="1"/>
        <sz val="11.0"/>
      </rPr>
      <t>“AC</t>
    </r>
    <r>
      <rPr>
        <rFont val="宋体"/>
        <color theme="1"/>
        <sz val="11.0"/>
      </rPr>
      <t>充电最大</t>
    </r>
    <r>
      <rPr>
        <rFont val="Calibri"/>
        <color theme="1"/>
        <sz val="11.0"/>
      </rPr>
      <t>SOC”</t>
    </r>
    <r>
      <rPr>
        <rFont val="宋体"/>
        <color theme="1"/>
        <sz val="11.0"/>
      </rPr>
      <t>；</t>
    </r>
    <r>
      <rPr>
        <rFont val="Calibri"/>
        <color theme="1"/>
        <sz val="11.0"/>
      </rPr>
      <t>“SocMaxChg”</t>
    </r>
    <r>
      <rPr>
        <rFont val="宋体"/>
        <color theme="1"/>
        <sz val="11.0"/>
      </rPr>
      <t>修改为</t>
    </r>
    <r>
      <rPr>
        <rFont val="Calibri"/>
        <color theme="1"/>
        <sz val="11.0"/>
      </rPr>
      <t>“AcSocMaxChg”</t>
    </r>
  </si>
  <si>
    <r>
      <rPr>
        <rFont val="Calibri"/>
        <color theme="1"/>
        <sz val="11.0"/>
      </rPr>
      <t>“</t>
    </r>
    <r>
      <rPr>
        <rFont val="宋体"/>
        <color theme="1"/>
        <sz val="11.0"/>
      </rPr>
      <t>最小放电</t>
    </r>
    <r>
      <rPr>
        <rFont val="Calibri"/>
        <color theme="1"/>
        <sz val="11.0"/>
      </rPr>
      <t>SOC”</t>
    </r>
    <r>
      <rPr>
        <rFont val="宋体"/>
        <color theme="1"/>
        <sz val="11.0"/>
      </rPr>
      <t>修改为</t>
    </r>
    <r>
      <rPr>
        <rFont val="Calibri"/>
        <color theme="1"/>
        <sz val="11.0"/>
      </rPr>
      <t>“</t>
    </r>
    <r>
      <rPr>
        <rFont val="宋体"/>
        <color theme="1"/>
        <sz val="11.0"/>
      </rPr>
      <t>强制放电最小</t>
    </r>
    <r>
      <rPr>
        <rFont val="Calibri"/>
        <color theme="1"/>
        <sz val="11.0"/>
      </rPr>
      <t>SOC”</t>
    </r>
    <r>
      <rPr>
        <rFont val="宋体"/>
        <color theme="1"/>
        <sz val="11.0"/>
      </rPr>
      <t>；</t>
    </r>
  </si>
  <si>
    <r>
      <rPr>
        <rFont val="宋体"/>
        <color theme="1"/>
        <sz val="11.0"/>
      </rPr>
      <t>新增协议字段“强制充电最大</t>
    </r>
    <r>
      <rPr>
        <rFont val="Calibri"/>
        <color theme="1"/>
        <sz val="11.0"/>
      </rPr>
      <t>SOC</t>
    </r>
    <r>
      <rPr>
        <rFont val="宋体"/>
        <color theme="1"/>
        <sz val="11.0"/>
      </rPr>
      <t>”</t>
    </r>
  </si>
  <si>
    <t>新增协议字段“铅酸电池厂家”</t>
  </si>
  <si>
    <r>
      <rPr>
        <rFont val="宋体"/>
        <b/>
        <color theme="1"/>
        <sz val="16.0"/>
      </rPr>
      <t>名称</t>
    </r>
  </si>
  <si>
    <r>
      <rPr>
        <rFont val="宋体"/>
        <b/>
        <color theme="1"/>
        <sz val="16.0"/>
      </rPr>
      <t>英文</t>
    </r>
  </si>
  <si>
    <r>
      <rPr>
        <rFont val="宋体"/>
        <b/>
        <color theme="1"/>
        <sz val="16.0"/>
      </rPr>
      <t>地址</t>
    </r>
  </si>
  <si>
    <r>
      <rPr>
        <rFont val="宋体"/>
        <b/>
        <color theme="1"/>
        <sz val="16.0"/>
      </rPr>
      <t>数据类型</t>
    </r>
  </si>
  <si>
    <r>
      <rPr>
        <rFont val="宋体"/>
        <b/>
        <color theme="1"/>
        <sz val="16.0"/>
      </rPr>
      <t>字节数</t>
    </r>
  </si>
  <si>
    <r>
      <rPr>
        <rFont val="宋体"/>
        <b/>
        <color theme="1"/>
        <sz val="16.0"/>
      </rPr>
      <t>数据范围</t>
    </r>
  </si>
  <si>
    <r>
      <rPr>
        <rFont val="宋体"/>
        <b/>
        <color theme="1"/>
        <sz val="16.0"/>
      </rPr>
      <t>单位</t>
    </r>
  </si>
  <si>
    <r>
      <rPr>
        <rFont val="宋体"/>
        <b/>
        <color theme="1"/>
        <sz val="16.0"/>
      </rPr>
      <t>备注</t>
    </r>
  </si>
  <si>
    <r>
      <rPr>
        <rFont val="宋体"/>
        <b/>
        <color theme="1"/>
        <sz val="16.0"/>
      </rPr>
      <t>是否存储</t>
    </r>
  </si>
  <si>
    <r>
      <rPr>
        <rFont val="宋体"/>
        <b/>
        <color theme="1"/>
        <sz val="16.0"/>
      </rPr>
      <t>修改</t>
    </r>
  </si>
  <si>
    <t>0x03</t>
  </si>
  <si>
    <t>0x04</t>
  </si>
  <si>
    <t>0x06</t>
  </si>
  <si>
    <t>0x10</t>
  </si>
  <si>
    <r>
      <rPr>
        <rFont val="Arial"/>
        <b/>
        <color theme="1"/>
        <sz val="12.0"/>
      </rPr>
      <t>协议头</t>
    </r>
    <r>
      <rPr>
        <rFont val="Calibri"/>
        <b/>
        <color theme="1"/>
        <sz val="12.0"/>
      </rPr>
      <t>(</t>
    </r>
    <r>
      <rPr>
        <rFont val="Arial"/>
        <b/>
        <color theme="1"/>
        <sz val="12.0"/>
      </rPr>
      <t>机型属性信息</t>
    </r>
    <r>
      <rPr>
        <rFont val="Calibri"/>
        <b/>
        <color theme="1"/>
        <sz val="12.0"/>
      </rPr>
      <t>)  Protocol header (machine attribute information)</t>
    </r>
  </si>
  <si>
    <t>本页的存到ARM
This page is stored in ARM</t>
  </si>
  <si>
    <r>
      <rPr>
        <rFont val="宋体"/>
        <b/>
        <color theme="1"/>
        <sz val="12.0"/>
      </rPr>
      <t>功能码</t>
    </r>
  </si>
  <si>
    <r>
      <rPr>
        <rFont val="宋体"/>
        <color theme="1"/>
        <sz val="12.0"/>
      </rPr>
      <t>机型名称</t>
    </r>
  </si>
  <si>
    <t>InverName</t>
  </si>
  <si>
    <t>0-5</t>
  </si>
  <si>
    <t>U16*6</t>
  </si>
  <si>
    <r>
      <rPr>
        <rFont val="Calibri"/>
        <color theme="1"/>
        <sz val="11.0"/>
      </rPr>
      <t>u16</t>
    </r>
    <r>
      <rPr>
        <rFont val="宋体"/>
        <color theme="1"/>
        <sz val="11.0"/>
      </rPr>
      <t>与</t>
    </r>
    <r>
      <rPr>
        <rFont val="Calibri"/>
        <color theme="1"/>
        <sz val="11.0"/>
      </rPr>
      <t>U16</t>
    </r>
    <r>
      <rPr>
        <rFont val="宋体"/>
        <color theme="1"/>
        <sz val="11.0"/>
      </rPr>
      <t>书写统一一下。</t>
    </r>
  </si>
  <si>
    <t>X</t>
  </si>
  <si>
    <r>
      <rPr>
        <rFont val="宋体"/>
        <b/>
        <color theme="1"/>
        <sz val="12.0"/>
      </rPr>
      <t>√</t>
    </r>
  </si>
  <si>
    <r>
      <rPr>
        <rFont val="宋体"/>
        <color theme="1"/>
        <sz val="12.0"/>
      </rPr>
      <t>机器类型</t>
    </r>
  </si>
  <si>
    <t>InverType</t>
  </si>
  <si>
    <t>6</t>
  </si>
  <si>
    <t>U16</t>
  </si>
  <si>
    <r>
      <rPr>
        <rFont val="Calibri"/>
        <color theme="1"/>
        <sz val="12.0"/>
      </rPr>
      <t xml:space="preserve">0-99 </t>
    </r>
    <r>
      <rPr>
        <rFont val="宋体"/>
        <color theme="1"/>
        <sz val="12.0"/>
      </rPr>
      <t xml:space="preserve">单相机
</t>
    </r>
    <r>
      <rPr>
        <rFont val="Calibri"/>
        <color theme="1"/>
        <sz val="12.0"/>
      </rPr>
      <t xml:space="preserve">100-199 </t>
    </r>
    <r>
      <rPr>
        <rFont val="宋体"/>
        <color theme="1"/>
        <sz val="12.0"/>
      </rPr>
      <t xml:space="preserve">三相机
</t>
    </r>
    <r>
      <rPr>
        <rFont val="Calibri"/>
        <color theme="1"/>
        <sz val="12.0"/>
      </rPr>
      <t xml:space="preserve">200-299 </t>
    </r>
    <r>
      <rPr>
        <rFont val="宋体"/>
        <color theme="1"/>
        <sz val="12.0"/>
      </rPr>
      <t xml:space="preserve">单相储能（包括裂相储能）
</t>
    </r>
    <r>
      <rPr>
        <rFont val="Calibri"/>
        <color theme="1"/>
        <sz val="12.0"/>
      </rPr>
      <t xml:space="preserve">300-399 </t>
    </r>
    <r>
      <rPr>
        <rFont val="宋体"/>
        <color theme="1"/>
        <sz val="12.0"/>
      </rPr>
      <t>三相储能</t>
    </r>
  </si>
  <si>
    <r>
      <rPr>
        <rFont val="宋体"/>
        <b/>
        <color theme="1"/>
        <sz val="12.0"/>
      </rPr>
      <t>√</t>
    </r>
  </si>
  <si>
    <t>额定功率</t>
  </si>
  <si>
    <t>NormAppPower</t>
  </si>
  <si>
    <t>7-8</t>
  </si>
  <si>
    <t>U32</t>
  </si>
  <si>
    <t>1W</t>
  </si>
  <si>
    <r>
      <rPr>
        <rFont val="Calibri"/>
        <color theme="1"/>
        <sz val="11.0"/>
      </rPr>
      <t>1. 1w</t>
    </r>
    <r>
      <rPr>
        <rFont val="宋体"/>
        <color theme="1"/>
        <sz val="11.0"/>
      </rPr>
      <t>修改为</t>
    </r>
    <r>
      <rPr>
        <rFont val="Calibri"/>
        <color theme="1"/>
        <sz val="11.0"/>
      </rPr>
      <t xml:space="preserve">1VA;
2. </t>
    </r>
    <r>
      <rPr>
        <rFont val="宋体"/>
        <color theme="1"/>
        <sz val="11.0"/>
      </rPr>
      <t>额定视在功率修改为额定功率，单位：</t>
    </r>
    <r>
      <rPr>
        <rFont val="Calibri"/>
        <color theme="1"/>
        <sz val="11.0"/>
      </rPr>
      <t>1VA</t>
    </r>
    <r>
      <rPr>
        <rFont val="宋体"/>
        <color theme="1"/>
        <sz val="11.0"/>
      </rPr>
      <t>修改为</t>
    </r>
    <r>
      <rPr>
        <rFont val="Calibri"/>
        <color theme="1"/>
        <sz val="11.0"/>
      </rPr>
      <t>1W</t>
    </r>
  </si>
  <si>
    <r>
      <rPr>
        <rFont val="宋体"/>
        <b/>
        <color theme="1"/>
        <sz val="12.0"/>
      </rPr>
      <t>√</t>
    </r>
  </si>
  <si>
    <r>
      <rPr>
        <rFont val="宋体"/>
        <color theme="1"/>
        <sz val="12.0"/>
      </rPr>
      <t>额定输出无功功率</t>
    </r>
  </si>
  <si>
    <t>NormReactPower</t>
  </si>
  <si>
    <t>9-10</t>
  </si>
  <si>
    <t>1var</t>
  </si>
  <si>
    <r>
      <rPr>
        <rFont val="宋体"/>
        <b/>
        <color theme="1"/>
        <sz val="12.0"/>
      </rPr>
      <t>√</t>
    </r>
  </si>
  <si>
    <r>
      <rPr>
        <rFont val="宋体"/>
        <color theme="1"/>
        <sz val="12.0"/>
      </rPr>
      <t>硬件版名称</t>
    </r>
  </si>
  <si>
    <t>HardName</t>
  </si>
  <si>
    <t>11-14</t>
  </si>
  <si>
    <t>U16*4</t>
  </si>
  <si>
    <t>ASCII</t>
  </si>
  <si>
    <r>
      <rPr>
        <rFont val="宋体"/>
        <b/>
        <color theme="1"/>
        <sz val="12.0"/>
      </rPr>
      <t>√</t>
    </r>
  </si>
  <si>
    <r>
      <rPr>
        <rFont val="宋体"/>
        <color theme="1"/>
        <sz val="12.0"/>
      </rPr>
      <t>硬件版本号</t>
    </r>
  </si>
  <si>
    <t>HardVer</t>
  </si>
  <si>
    <t>15</t>
  </si>
  <si>
    <r>
      <rPr>
        <rFont val="宋体"/>
        <b/>
        <color theme="1"/>
        <sz val="12.0"/>
      </rPr>
      <t>√</t>
    </r>
  </si>
  <si>
    <r>
      <rPr>
        <rFont val="宋体"/>
        <color theme="1"/>
        <sz val="12.0"/>
      </rPr>
      <t>协议名称</t>
    </r>
  </si>
  <si>
    <t>ProtocolName</t>
  </si>
  <si>
    <t>16-19</t>
  </si>
  <si>
    <t>“”</t>
  </si>
  <si>
    <r>
      <rPr>
        <rFont val="宋体"/>
        <b/>
        <color theme="1"/>
        <sz val="12.0"/>
      </rPr>
      <t>√</t>
    </r>
  </si>
  <si>
    <r>
      <rPr>
        <rFont val="宋体"/>
        <color theme="1"/>
        <sz val="12.0"/>
      </rPr>
      <t>协议版本号</t>
    </r>
  </si>
  <si>
    <t>ProtocolVer </t>
  </si>
  <si>
    <t>20</t>
  </si>
  <si>
    <t>XXX.XX</t>
  </si>
  <si>
    <r>
      <rPr>
        <rFont val="宋体"/>
        <color theme="1"/>
        <sz val="11.0"/>
      </rPr>
      <t>从</t>
    </r>
    <r>
      <rPr>
        <rFont val="Calibri"/>
        <color theme="1"/>
        <sz val="11.0"/>
      </rPr>
      <t>1</t>
    </r>
    <r>
      <rPr>
        <rFont val="宋体"/>
        <color theme="1"/>
        <sz val="11.0"/>
      </rPr>
      <t>开始</t>
    </r>
  </si>
  <si>
    <r>
      <rPr>
        <rFont val="宋体"/>
        <b/>
        <color theme="1"/>
        <sz val="12.0"/>
      </rPr>
      <t>√</t>
    </r>
  </si>
  <si>
    <r>
      <rPr>
        <rFont val="宋体"/>
        <color theme="1"/>
        <sz val="12.0"/>
      </rPr>
      <t>主</t>
    </r>
    <r>
      <rPr>
        <rFont val="Calibri"/>
        <color theme="1"/>
        <sz val="12.0"/>
      </rPr>
      <t>DSP</t>
    </r>
    <r>
      <rPr>
        <rFont val="宋体"/>
        <color theme="1"/>
        <sz val="12.0"/>
      </rPr>
      <t>软件名称</t>
    </r>
  </si>
  <si>
    <t>MasterName</t>
  </si>
  <si>
    <t>21-24</t>
  </si>
  <si>
    <r>
      <rPr>
        <rFont val="宋体"/>
        <b/>
        <color theme="1"/>
        <sz val="12.0"/>
      </rPr>
      <t>√</t>
    </r>
  </si>
  <si>
    <r>
      <rPr>
        <rFont val="宋体"/>
        <color theme="1"/>
        <sz val="12.0"/>
      </rPr>
      <t>主</t>
    </r>
    <r>
      <rPr>
        <rFont val="Calibri"/>
        <color theme="1"/>
        <sz val="12.0"/>
      </rPr>
      <t>DSP</t>
    </r>
    <r>
      <rPr>
        <rFont val="宋体"/>
        <color theme="1"/>
        <sz val="12.0"/>
      </rPr>
      <t>软件版本号</t>
    </r>
  </si>
  <si>
    <t>MasterVer</t>
  </si>
  <si>
    <t>25</t>
  </si>
  <si>
    <r>
      <rPr>
        <rFont val="宋体"/>
        <b/>
        <color theme="1"/>
        <sz val="12.0"/>
      </rPr>
      <t>√</t>
    </r>
  </si>
  <si>
    <r>
      <rPr>
        <rFont val="宋体"/>
        <color theme="1"/>
        <sz val="12.0"/>
      </rPr>
      <t>副</t>
    </r>
    <r>
      <rPr>
        <rFont val="Calibri"/>
        <color theme="1"/>
        <sz val="12.0"/>
      </rPr>
      <t>DSP</t>
    </r>
    <r>
      <rPr>
        <rFont val="宋体"/>
        <color theme="1"/>
        <sz val="12.0"/>
      </rPr>
      <t>软件名称</t>
    </r>
  </si>
  <si>
    <t>SlaveName</t>
  </si>
  <si>
    <t>26-29</t>
  </si>
  <si>
    <r>
      <rPr>
        <rFont val="宋体"/>
        <b/>
        <color theme="1"/>
        <sz val="12.0"/>
      </rPr>
      <t>√</t>
    </r>
  </si>
  <si>
    <r>
      <rPr>
        <rFont val="宋体"/>
        <color theme="1"/>
        <sz val="12.0"/>
      </rPr>
      <t>副</t>
    </r>
    <r>
      <rPr>
        <rFont val="Calibri"/>
        <color theme="1"/>
        <sz val="12.0"/>
      </rPr>
      <t>DSP</t>
    </r>
    <r>
      <rPr>
        <rFont val="宋体"/>
        <color theme="1"/>
        <sz val="12.0"/>
      </rPr>
      <t>软件版本号</t>
    </r>
  </si>
  <si>
    <t>SlaveVer</t>
  </si>
  <si>
    <t>30</t>
  </si>
  <si>
    <r>
      <rPr>
        <rFont val="宋体"/>
        <b/>
        <color theme="1"/>
        <sz val="12.0"/>
      </rPr>
      <t>√</t>
    </r>
  </si>
  <si>
    <r>
      <rPr>
        <rFont val="Calibri"/>
        <color theme="1"/>
        <sz val="12.0"/>
      </rPr>
      <t>HMI</t>
    </r>
    <r>
      <rPr>
        <rFont val="宋体"/>
        <color theme="1"/>
        <sz val="12.0"/>
      </rPr>
      <t>软件版名称</t>
    </r>
  </si>
  <si>
    <t>HMIName</t>
  </si>
  <si>
    <t>31-34</t>
  </si>
  <si>
    <r>
      <rPr>
        <rFont val="宋体"/>
        <b/>
        <color theme="1"/>
        <sz val="12.0"/>
      </rPr>
      <t>√</t>
    </r>
  </si>
  <si>
    <r>
      <rPr>
        <rFont val="Calibri"/>
        <color theme="1"/>
        <sz val="12.0"/>
      </rPr>
      <t>HMI</t>
    </r>
    <r>
      <rPr>
        <rFont val="宋体"/>
        <color theme="1"/>
        <sz val="12.0"/>
      </rPr>
      <t>软件版本号</t>
    </r>
  </si>
  <si>
    <t>HMIVer</t>
  </si>
  <si>
    <t>35</t>
  </si>
  <si>
    <r>
      <rPr>
        <rFont val="宋体"/>
        <b/>
        <color theme="1"/>
        <sz val="12.0"/>
      </rPr>
      <t>√</t>
    </r>
  </si>
  <si>
    <r>
      <rPr>
        <rFont val="Calibri"/>
        <color theme="1"/>
        <sz val="12.0"/>
      </rPr>
      <t>CPLD</t>
    </r>
    <r>
      <rPr>
        <rFont val="宋体"/>
        <color theme="1"/>
        <sz val="12.0"/>
      </rPr>
      <t>软件版名称</t>
    </r>
  </si>
  <si>
    <t>CPLDName</t>
  </si>
  <si>
    <t>36-39</t>
  </si>
  <si>
    <r>
      <rPr>
        <rFont val="宋体"/>
        <b/>
        <color theme="1"/>
        <sz val="12.0"/>
      </rPr>
      <t>√</t>
    </r>
  </si>
  <si>
    <r>
      <rPr>
        <rFont val="Calibri"/>
        <color theme="1"/>
        <sz val="12.0"/>
      </rPr>
      <t>CPLD</t>
    </r>
    <r>
      <rPr>
        <rFont val="宋体"/>
        <color theme="1"/>
        <sz val="12.0"/>
      </rPr>
      <t>软件版本号</t>
    </r>
  </si>
  <si>
    <t>CPLDVer</t>
  </si>
  <si>
    <t>40</t>
  </si>
  <si>
    <r>
      <rPr>
        <rFont val="宋体"/>
        <b/>
        <color theme="1"/>
        <sz val="12.0"/>
      </rPr>
      <t>√</t>
    </r>
  </si>
  <si>
    <r>
      <rPr>
        <rFont val="宋体"/>
        <color theme="1"/>
        <sz val="12.0"/>
      </rPr>
      <t>逆变器</t>
    </r>
    <r>
      <rPr>
        <rFont val="Calibri"/>
        <color theme="1"/>
        <sz val="12.0"/>
      </rPr>
      <t>SN</t>
    </r>
  </si>
  <si>
    <t>SerialNumber15-14</t>
  </si>
  <si>
    <r>
      <rPr>
        <rFont val="宋体"/>
        <b/>
        <color theme="1"/>
        <sz val="12.0"/>
      </rPr>
      <t>√</t>
    </r>
  </si>
  <si>
    <t>SerialNumber13-12</t>
  </si>
  <si>
    <r>
      <rPr>
        <rFont val="宋体"/>
        <b/>
        <color theme="1"/>
        <sz val="12.0"/>
      </rPr>
      <t>√</t>
    </r>
  </si>
  <si>
    <t>SerialNumber11-10</t>
  </si>
  <si>
    <r>
      <rPr>
        <rFont val="宋体"/>
        <b/>
        <color theme="1"/>
        <sz val="12.0"/>
      </rPr>
      <t>√</t>
    </r>
  </si>
  <si>
    <t>SerialNumber9-8</t>
  </si>
  <si>
    <r>
      <rPr>
        <rFont val="宋体"/>
        <b/>
        <color theme="1"/>
        <sz val="12.0"/>
      </rPr>
      <t>√</t>
    </r>
  </si>
  <si>
    <t>SerialNumber7-6</t>
  </si>
  <si>
    <r>
      <rPr>
        <rFont val="宋体"/>
        <b/>
        <color theme="1"/>
        <sz val="12.0"/>
      </rPr>
      <t>√</t>
    </r>
  </si>
  <si>
    <t>SerialNumber5-4</t>
  </si>
  <si>
    <r>
      <rPr>
        <rFont val="宋体"/>
        <b/>
        <color theme="1"/>
        <sz val="12.0"/>
      </rPr>
      <t>√</t>
    </r>
  </si>
  <si>
    <t>SerialNumber3-2</t>
  </si>
  <si>
    <r>
      <rPr>
        <rFont val="宋体"/>
        <b/>
        <color theme="1"/>
        <sz val="12.0"/>
      </rPr>
      <t>√</t>
    </r>
  </si>
  <si>
    <t>SerialNumber1-0</t>
  </si>
  <si>
    <r>
      <rPr>
        <rFont val="宋体"/>
        <b/>
        <color theme="1"/>
        <sz val="12.0"/>
      </rPr>
      <t>√</t>
    </r>
  </si>
  <si>
    <r>
      <rPr>
        <rFont val="宋体"/>
        <color theme="1"/>
        <sz val="12.0"/>
      </rPr>
      <t>国家</t>
    </r>
  </si>
  <si>
    <t>Country</t>
  </si>
  <si>
    <t>49</t>
  </si>
  <si>
    <t>国家</t>
  </si>
  <si>
    <r>
      <rPr>
        <rFont val="宋体"/>
        <b/>
        <color theme="1"/>
        <sz val="12.0"/>
      </rPr>
      <t>√</t>
    </r>
  </si>
  <si>
    <t>最大交流输出电流</t>
  </si>
  <si>
    <t>MaxAcOutCurr</t>
  </si>
  <si>
    <t>50-51</t>
  </si>
  <si>
    <t>0.01A</t>
  </si>
  <si>
    <r>
      <rPr>
        <rFont val="宋体"/>
        <color theme="1"/>
        <sz val="11.0"/>
      </rPr>
      <t>新增单位</t>
    </r>
    <r>
      <rPr>
        <rFont val="Calibri"/>
        <color theme="1"/>
        <sz val="11.0"/>
      </rPr>
      <t xml:space="preserve"> 0.01A</t>
    </r>
  </si>
  <si>
    <r>
      <rPr>
        <rFont val="宋体"/>
        <b/>
        <color theme="1"/>
        <sz val="12.0"/>
      </rPr>
      <t>√</t>
    </r>
  </si>
  <si>
    <t>机器特性</t>
  </si>
  <si>
    <t>InverCharacter</t>
  </si>
  <si>
    <t>52-53</t>
  </si>
  <si>
    <r>
      <rPr>
        <rFont val="Calibri"/>
        <color theme="1"/>
        <sz val="12.0"/>
      </rPr>
      <t xml:space="preserve">B0-B2: 0 </t>
    </r>
    <r>
      <rPr>
        <rFont val="宋体"/>
        <color theme="1"/>
        <sz val="12.0"/>
      </rPr>
      <t>代表并网机，</t>
    </r>
    <r>
      <rPr>
        <rFont val="Calibri"/>
        <color theme="1"/>
        <sz val="12.0"/>
      </rPr>
      <t>1</t>
    </r>
    <r>
      <rPr>
        <rFont val="宋体"/>
        <color theme="1"/>
        <sz val="12.0"/>
      </rPr>
      <t>代表低压储能，</t>
    </r>
    <r>
      <rPr>
        <rFont val="Calibri"/>
        <color theme="1"/>
        <sz val="12.0"/>
      </rPr>
      <t>2</t>
    </r>
    <r>
      <rPr>
        <rFont val="宋体"/>
        <color theme="1"/>
        <sz val="12.0"/>
      </rPr>
      <t xml:space="preserve">代表高压储能；
</t>
    </r>
    <r>
      <rPr>
        <rFont val="Calibri"/>
        <color theme="1"/>
        <sz val="12.0"/>
      </rPr>
      <t xml:space="preserve">B3-B5: 0 </t>
    </r>
    <r>
      <rPr>
        <rFont val="宋体"/>
        <color theme="1"/>
        <sz val="12.0"/>
      </rPr>
      <t>代表单相，</t>
    </r>
    <r>
      <rPr>
        <rFont val="Calibri"/>
        <color theme="1"/>
        <sz val="12.0"/>
      </rPr>
      <t>1</t>
    </r>
    <r>
      <rPr>
        <rFont val="宋体"/>
        <color theme="1"/>
        <sz val="12.0"/>
      </rPr>
      <t>代表</t>
    </r>
    <r>
      <rPr>
        <rFont val="Calibri"/>
        <color theme="1"/>
        <sz val="12.0"/>
      </rPr>
      <t xml:space="preserve"> </t>
    </r>
    <r>
      <rPr>
        <rFont val="宋体"/>
        <color theme="1"/>
        <sz val="12.0"/>
      </rPr>
      <t>裂相，</t>
    </r>
    <r>
      <rPr>
        <rFont val="Calibri"/>
        <color theme="1"/>
        <sz val="12.0"/>
      </rPr>
      <t>2</t>
    </r>
    <r>
      <rPr>
        <rFont val="宋体"/>
        <color theme="1"/>
        <sz val="12.0"/>
      </rPr>
      <t>代表</t>
    </r>
    <r>
      <rPr>
        <rFont val="Calibri"/>
        <color theme="1"/>
        <sz val="12.0"/>
      </rPr>
      <t xml:space="preserve"> </t>
    </r>
    <r>
      <rPr>
        <rFont val="宋体"/>
        <color theme="1"/>
        <sz val="12.0"/>
      </rPr>
      <t xml:space="preserve">三相；
</t>
    </r>
    <r>
      <rPr>
        <rFont val="Calibri"/>
        <color theme="1"/>
        <sz val="12.0"/>
      </rPr>
      <t xml:space="preserve">B6-B9: PV  boost </t>
    </r>
    <r>
      <rPr>
        <rFont val="宋体"/>
        <color theme="1"/>
        <sz val="12.0"/>
      </rPr>
      <t>路数，</t>
    </r>
    <r>
      <rPr>
        <rFont val="Calibri"/>
        <color theme="1"/>
        <sz val="12.0"/>
      </rPr>
      <t>0</t>
    </r>
    <r>
      <rPr>
        <rFont val="宋体"/>
        <color theme="1"/>
        <sz val="12.0"/>
      </rPr>
      <t>代表</t>
    </r>
    <r>
      <rPr>
        <rFont val="Calibri"/>
        <color theme="1"/>
        <sz val="12.0"/>
      </rPr>
      <t>1</t>
    </r>
    <r>
      <rPr>
        <rFont val="宋体"/>
        <color theme="1"/>
        <sz val="12.0"/>
      </rPr>
      <t>路，</t>
    </r>
    <r>
      <rPr>
        <rFont val="Calibri"/>
        <color theme="1"/>
        <sz val="12.0"/>
      </rPr>
      <t>1</t>
    </r>
    <r>
      <rPr>
        <rFont val="宋体"/>
        <color theme="1"/>
        <sz val="12.0"/>
      </rPr>
      <t>代表</t>
    </r>
    <r>
      <rPr>
        <rFont val="Calibri"/>
        <color theme="1"/>
        <sz val="12.0"/>
      </rPr>
      <t>2</t>
    </r>
    <r>
      <rPr>
        <rFont val="宋体"/>
        <color theme="1"/>
        <sz val="12.0"/>
      </rPr>
      <t>路，</t>
    </r>
    <r>
      <rPr>
        <rFont val="Calibri"/>
        <color theme="1"/>
        <sz val="12.0"/>
      </rPr>
      <t>N</t>
    </r>
    <r>
      <rPr>
        <rFont val="宋体"/>
        <color theme="1"/>
        <sz val="12.0"/>
      </rPr>
      <t>代表</t>
    </r>
    <r>
      <rPr>
        <rFont val="Calibri"/>
        <color theme="1"/>
        <sz val="12.0"/>
      </rPr>
      <t>N+</t>
    </r>
    <r>
      <rPr>
        <rFont val="宋体"/>
        <color theme="1"/>
        <sz val="12.0"/>
      </rPr>
      <t xml:space="preserve">路；
</t>
    </r>
    <r>
      <rPr>
        <rFont val="Calibri"/>
        <color theme="1"/>
        <sz val="12.0"/>
      </rPr>
      <t>B10</t>
    </r>
    <r>
      <rPr>
        <rFont val="宋体"/>
        <color theme="1"/>
        <sz val="12.0"/>
      </rPr>
      <t>：</t>
    </r>
    <r>
      <rPr>
        <rFont val="Calibri"/>
        <color theme="1"/>
        <sz val="12.0"/>
      </rPr>
      <t xml:space="preserve">0 </t>
    </r>
    <r>
      <rPr>
        <rFont val="宋体"/>
        <color theme="1"/>
        <sz val="12.0"/>
      </rPr>
      <t>代表无发电机，</t>
    </r>
    <r>
      <rPr>
        <rFont val="Calibri"/>
        <color theme="1"/>
        <sz val="12.0"/>
      </rPr>
      <t>1</t>
    </r>
    <r>
      <rPr>
        <rFont val="宋体"/>
        <color theme="1"/>
        <sz val="12.0"/>
      </rPr>
      <t>代表有发电机；</t>
    </r>
    <r>
      <rPr>
        <rFont val="Calibri"/>
        <color theme="1"/>
        <sz val="12.0"/>
      </rPr>
      <t xml:space="preserve">
B11-B31</t>
    </r>
    <r>
      <rPr>
        <rFont val="宋体"/>
        <color theme="1"/>
        <sz val="12.0"/>
      </rPr>
      <t>：reserved；</t>
    </r>
  </si>
  <si>
    <r>
      <rPr>
        <rFont val="宋体"/>
        <color theme="1"/>
        <sz val="11.0"/>
      </rPr>
      <t xml:space="preserve">新增 </t>
    </r>
    <r>
      <rPr>
        <rFont val="Calibri"/>
        <color theme="1"/>
        <sz val="11.0"/>
      </rPr>
      <t xml:space="preserve">21.05.12 </t>
    </r>
    <r>
      <rPr>
        <rFont val="宋体"/>
        <color theme="1"/>
        <sz val="11.0"/>
      </rPr>
      <t>用于平台识别
B1-B31 更改为 B11-B31</t>
    </r>
  </si>
  <si>
    <r>
      <rPr>
        <rFont val="宋体"/>
        <b/>
        <color theme="1"/>
        <sz val="12.0"/>
      </rPr>
      <t>√</t>
    </r>
  </si>
  <si>
    <r>
      <rPr>
        <rFont val="宋体"/>
        <color theme="1"/>
        <sz val="10.0"/>
      </rPr>
      <t>预留</t>
    </r>
  </si>
  <si>
    <t>Reserve</t>
  </si>
  <si>
    <t>54-499</t>
  </si>
  <si>
    <r>
      <rPr>
        <rFont val="宋体"/>
        <b/>
        <color theme="1"/>
        <sz val="12.0"/>
      </rPr>
      <t>√</t>
    </r>
  </si>
  <si>
    <r>
      <rPr>
        <rFont val="宋体"/>
        <b/>
        <color theme="1"/>
        <sz val="12.0"/>
      </rPr>
      <t>实时运行信息</t>
    </r>
    <r>
      <rPr>
        <rFont val="Calibri"/>
        <b/>
        <color theme="1"/>
        <sz val="12.0"/>
      </rPr>
      <t>1</t>
    </r>
    <r>
      <rPr>
        <rFont val="宋体"/>
        <b/>
        <color theme="1"/>
        <sz val="12.0"/>
      </rPr>
      <t>（</t>
    </r>
    <r>
      <rPr>
        <rFont val="Calibri"/>
        <b/>
        <color theme="1"/>
        <sz val="12.0"/>
      </rPr>
      <t>PV+</t>
    </r>
    <r>
      <rPr>
        <rFont val="宋体"/>
        <b/>
        <color theme="1"/>
        <sz val="12.0"/>
      </rPr>
      <t>并网运行信息）</t>
    </r>
  </si>
  <si>
    <r>
      <rPr>
        <rFont val="宋体"/>
        <b/>
        <color theme="1"/>
        <sz val="12.0"/>
      </rPr>
      <t>√</t>
    </r>
  </si>
  <si>
    <r>
      <rPr>
        <rFont val="宋体"/>
        <color theme="1"/>
        <sz val="12.0"/>
      </rPr>
      <t>母线电压</t>
    </r>
  </si>
  <si>
    <t>Vbus</t>
  </si>
  <si>
    <t>500</t>
  </si>
  <si>
    <t>0.1V</t>
  </si>
  <si>
    <r>
      <rPr>
        <rFont val="宋体"/>
        <color theme="1"/>
        <sz val="12.0"/>
      </rPr>
      <t>如果是单相</t>
    </r>
    <r>
      <rPr>
        <rFont val="Calibri"/>
        <color theme="1"/>
        <sz val="12.0"/>
      </rPr>
      <t>,</t>
    </r>
    <r>
      <rPr>
        <rFont val="宋体"/>
        <color theme="1"/>
        <sz val="12.0"/>
      </rPr>
      <t>只有</t>
    </r>
    <r>
      <rPr>
        <rFont val="Calibri"/>
        <color theme="1"/>
        <sz val="12.0"/>
      </rPr>
      <t>R</t>
    </r>
    <r>
      <rPr>
        <rFont val="宋体"/>
        <color theme="1"/>
        <sz val="12.0"/>
      </rPr>
      <t>相电压、</t>
    </r>
    <r>
      <rPr>
        <rFont val="Calibri"/>
        <color theme="1"/>
        <sz val="12.0"/>
      </rPr>
      <t>R</t>
    </r>
    <r>
      <rPr>
        <rFont val="宋体"/>
        <color theme="1"/>
        <sz val="12.0"/>
      </rPr>
      <t>相电电流有效；
如果是俩相</t>
    </r>
    <r>
      <rPr>
        <rFont val="Calibri"/>
        <color theme="1"/>
        <sz val="12.0"/>
      </rPr>
      <t>,</t>
    </r>
    <r>
      <rPr>
        <rFont val="宋体"/>
        <color theme="1"/>
        <sz val="12.0"/>
      </rPr>
      <t>只有</t>
    </r>
    <r>
      <rPr>
        <rFont val="Calibri"/>
        <color theme="1"/>
        <sz val="12.0"/>
      </rPr>
      <t>R</t>
    </r>
    <r>
      <rPr>
        <rFont val="宋体"/>
        <color theme="1"/>
        <sz val="12.0"/>
      </rPr>
      <t>，</t>
    </r>
    <r>
      <rPr>
        <rFont val="Calibri"/>
        <color theme="1"/>
        <sz val="12.0"/>
      </rPr>
      <t>S</t>
    </r>
    <r>
      <rPr>
        <rFont val="宋体"/>
        <color theme="1"/>
        <sz val="12.0"/>
      </rPr>
      <t>相电压、</t>
    </r>
    <r>
      <rPr>
        <rFont val="Calibri"/>
        <color theme="1"/>
        <sz val="12.0"/>
      </rPr>
      <t>R,S</t>
    </r>
    <r>
      <rPr>
        <rFont val="宋体"/>
        <color theme="1"/>
        <sz val="12.0"/>
      </rPr>
      <t>相电电流有效；
如果三相四线制</t>
    </r>
    <r>
      <rPr>
        <rFont val="Calibri"/>
        <color theme="1"/>
        <sz val="12.0"/>
      </rPr>
      <t>,</t>
    </r>
    <r>
      <rPr>
        <rFont val="宋体"/>
        <color theme="1"/>
        <sz val="12.0"/>
      </rPr>
      <t>表示：</t>
    </r>
    <r>
      <rPr>
        <rFont val="Calibri"/>
        <color theme="1"/>
        <sz val="12.0"/>
      </rPr>
      <t>“X</t>
    </r>
    <r>
      <rPr>
        <rFont val="宋体"/>
        <color theme="1"/>
        <sz val="12.0"/>
      </rPr>
      <t>相电压</t>
    </r>
    <r>
      <rPr>
        <rFont val="Calibri"/>
        <color theme="1"/>
        <sz val="12.0"/>
      </rPr>
      <t>”</t>
    </r>
    <r>
      <rPr>
        <rFont val="宋体"/>
        <color theme="1"/>
        <sz val="12.0"/>
      </rPr>
      <t>；
如果三相三线制</t>
    </r>
    <r>
      <rPr>
        <rFont val="Calibri"/>
        <color theme="1"/>
        <sz val="12.0"/>
      </rPr>
      <t>,</t>
    </r>
    <r>
      <rPr>
        <rFont val="宋体"/>
        <color theme="1"/>
        <sz val="12.0"/>
      </rPr>
      <t>表示：</t>
    </r>
    <r>
      <rPr>
        <rFont val="Calibri"/>
        <color theme="1"/>
        <sz val="12.0"/>
      </rPr>
      <t xml:space="preserve">“x-x </t>
    </r>
    <r>
      <rPr>
        <rFont val="宋体"/>
        <color theme="1"/>
        <sz val="12.0"/>
      </rPr>
      <t>线电压</t>
    </r>
    <r>
      <rPr>
        <rFont val="Calibri"/>
        <color theme="1"/>
        <sz val="12.0"/>
      </rPr>
      <t xml:space="preserve">”.
</t>
    </r>
    <r>
      <rPr>
        <rFont val="宋体"/>
        <color theme="1"/>
        <sz val="12.0"/>
      </rPr>
      <t>正表示逆变器往电网送电，负表示逆变器从电网取电</t>
    </r>
  </si>
  <si>
    <r>
      <rPr>
        <rFont val="宋体"/>
        <b/>
        <color theme="1"/>
        <sz val="12.0"/>
      </rPr>
      <t>√</t>
    </r>
  </si>
  <si>
    <r>
      <rPr>
        <rFont val="宋体"/>
        <color theme="1"/>
        <sz val="12.0"/>
      </rPr>
      <t>负母线电压</t>
    </r>
  </si>
  <si>
    <t>Vnbus</t>
  </si>
  <si>
    <t>501</t>
  </si>
  <si>
    <r>
      <rPr>
        <rFont val="宋体"/>
        <b/>
        <color theme="1"/>
        <sz val="12.0"/>
      </rPr>
      <t>√</t>
    </r>
  </si>
  <si>
    <r>
      <rPr>
        <rFont val="宋体"/>
        <color theme="1"/>
        <sz val="12.0"/>
      </rPr>
      <t>绝缘阻抗值</t>
    </r>
  </si>
  <si>
    <t>Riso</t>
  </si>
  <si>
    <t>502</t>
  </si>
  <si>
    <t>KΩ</t>
  </si>
  <si>
    <r>
      <rPr>
        <rFont val="宋体"/>
        <b/>
        <color theme="1"/>
        <sz val="12.0"/>
      </rPr>
      <t>√</t>
    </r>
  </si>
  <si>
    <r>
      <rPr>
        <rFont val="宋体"/>
        <color theme="1"/>
        <sz val="12.0"/>
      </rPr>
      <t>漏电流有效值</t>
    </r>
  </si>
  <si>
    <t>IgfciRms</t>
  </si>
  <si>
    <t>503</t>
  </si>
  <si>
    <t>1mA</t>
  </si>
  <si>
    <r>
      <rPr>
        <rFont val="宋体"/>
        <b/>
        <color theme="1"/>
        <sz val="12.0"/>
      </rPr>
      <t>√</t>
    </r>
  </si>
  <si>
    <r>
      <rPr>
        <rFont val="Calibri"/>
        <color theme="1"/>
        <sz val="12.0"/>
      </rPr>
      <t>R</t>
    </r>
    <r>
      <rPr>
        <rFont val="宋体"/>
        <color theme="1"/>
        <sz val="12.0"/>
      </rPr>
      <t>相直流分量</t>
    </r>
  </si>
  <si>
    <t>DCIR</t>
  </si>
  <si>
    <t>504</t>
  </si>
  <si>
    <t>S16</t>
  </si>
  <si>
    <r>
      <rPr>
        <rFont val="宋体"/>
        <b/>
        <color theme="1"/>
        <sz val="12.0"/>
      </rPr>
      <t>√</t>
    </r>
  </si>
  <si>
    <r>
      <rPr>
        <rFont val="Calibri"/>
        <color theme="1"/>
        <sz val="12.0"/>
      </rPr>
      <t>S</t>
    </r>
    <r>
      <rPr>
        <rFont val="宋体"/>
        <color theme="1"/>
        <sz val="12.0"/>
      </rPr>
      <t>相直流分量</t>
    </r>
  </si>
  <si>
    <t>DCIS</t>
  </si>
  <si>
    <t>505</t>
  </si>
  <si>
    <r>
      <rPr>
        <rFont val="宋体"/>
        <b/>
        <color theme="1"/>
        <sz val="12.0"/>
      </rPr>
      <t>√</t>
    </r>
  </si>
  <si>
    <r>
      <rPr>
        <rFont val="Calibri"/>
        <color theme="1"/>
        <sz val="12.0"/>
      </rPr>
      <t>T</t>
    </r>
    <r>
      <rPr>
        <rFont val="宋体"/>
        <color theme="1"/>
        <sz val="12.0"/>
      </rPr>
      <t>相直流分量</t>
    </r>
  </si>
  <si>
    <t>DCIT</t>
  </si>
  <si>
    <t>506</t>
  </si>
  <si>
    <r>
      <rPr>
        <rFont val="宋体"/>
        <b/>
        <color theme="1"/>
        <sz val="12.0"/>
      </rPr>
      <t>√</t>
    </r>
  </si>
  <si>
    <r>
      <rPr>
        <rFont val="Calibri"/>
        <color theme="1"/>
        <sz val="12.0"/>
      </rPr>
      <t>R</t>
    </r>
    <r>
      <rPr>
        <rFont val="宋体"/>
        <color theme="1"/>
        <sz val="12.0"/>
      </rPr>
      <t>相电网电压</t>
    </r>
  </si>
  <si>
    <t>VgridR</t>
  </si>
  <si>
    <t>507</t>
  </si>
  <si>
    <r>
      <rPr>
        <rFont val="宋体"/>
        <b/>
        <color theme="1"/>
        <sz val="12.0"/>
      </rPr>
      <t>√</t>
    </r>
  </si>
  <si>
    <r>
      <rPr>
        <rFont val="Calibri"/>
        <color theme="1"/>
        <sz val="12.0"/>
      </rPr>
      <t>S</t>
    </r>
    <r>
      <rPr>
        <rFont val="宋体"/>
        <color theme="1"/>
        <sz val="12.0"/>
      </rPr>
      <t>相电网电压</t>
    </r>
  </si>
  <si>
    <t>VgridS</t>
  </si>
  <si>
    <t>508</t>
  </si>
  <si>
    <r>
      <rPr>
        <rFont val="宋体"/>
        <b/>
        <color theme="1"/>
        <sz val="12.0"/>
      </rPr>
      <t>√</t>
    </r>
  </si>
  <si>
    <r>
      <rPr>
        <rFont val="Calibri"/>
        <color theme="1"/>
        <sz val="12.0"/>
      </rPr>
      <t>T</t>
    </r>
    <r>
      <rPr>
        <rFont val="宋体"/>
        <color theme="1"/>
        <sz val="12.0"/>
      </rPr>
      <t>相电网电压</t>
    </r>
  </si>
  <si>
    <t>VgridT</t>
  </si>
  <si>
    <t>509</t>
  </si>
  <si>
    <r>
      <rPr>
        <rFont val="宋体"/>
        <b/>
        <color theme="1"/>
        <sz val="12.0"/>
      </rPr>
      <t>√</t>
    </r>
  </si>
  <si>
    <r>
      <rPr>
        <rFont val="Calibri"/>
        <color theme="1"/>
        <sz val="12.0"/>
      </rPr>
      <t>R</t>
    </r>
    <r>
      <rPr>
        <rFont val="宋体"/>
        <color theme="1"/>
        <sz val="12.0"/>
      </rPr>
      <t>相逆变电流</t>
    </r>
  </si>
  <si>
    <t>IinvR</t>
  </si>
  <si>
    <t>510</t>
  </si>
  <si>
    <r>
      <rPr>
        <rFont val="宋体"/>
        <b/>
        <color theme="1"/>
        <sz val="12.0"/>
      </rPr>
      <t>√</t>
    </r>
  </si>
  <si>
    <r>
      <rPr>
        <rFont val="Calibri"/>
        <color theme="1"/>
        <sz val="12.0"/>
      </rPr>
      <t>S</t>
    </r>
    <r>
      <rPr>
        <rFont val="宋体"/>
        <color theme="1"/>
        <sz val="12.0"/>
      </rPr>
      <t>相逆变电流</t>
    </r>
  </si>
  <si>
    <t>IinvS</t>
  </si>
  <si>
    <t>511</t>
  </si>
  <si>
    <r>
      <rPr>
        <rFont val="宋体"/>
        <b/>
        <color theme="1"/>
        <sz val="12.0"/>
      </rPr>
      <t>√</t>
    </r>
  </si>
  <si>
    <r>
      <rPr>
        <rFont val="Calibri"/>
        <color theme="1"/>
        <sz val="12.0"/>
      </rPr>
      <t>T</t>
    </r>
    <r>
      <rPr>
        <rFont val="宋体"/>
        <color theme="1"/>
        <sz val="12.0"/>
      </rPr>
      <t>相逆变电流</t>
    </r>
  </si>
  <si>
    <t>IinvT</t>
  </si>
  <si>
    <t>512</t>
  </si>
  <si>
    <r>
      <rPr>
        <rFont val="宋体"/>
        <b/>
        <color theme="1"/>
        <sz val="12.0"/>
      </rPr>
      <t>√</t>
    </r>
  </si>
  <si>
    <r>
      <rPr>
        <rFont val="Calibri"/>
        <color theme="1"/>
        <sz val="12.0"/>
      </rPr>
      <t>R</t>
    </r>
    <r>
      <rPr>
        <rFont val="宋体"/>
        <color theme="1"/>
        <sz val="12.0"/>
      </rPr>
      <t>相电网频率</t>
    </r>
  </si>
  <si>
    <t>FgridR</t>
  </si>
  <si>
    <t>513</t>
  </si>
  <si>
    <t>0.01Hz</t>
  </si>
  <si>
    <r>
      <rPr>
        <rFont val="宋体"/>
        <b/>
        <color theme="1"/>
        <sz val="12.0"/>
      </rPr>
      <t>√</t>
    </r>
  </si>
  <si>
    <r>
      <rPr>
        <rFont val="Calibri"/>
        <color theme="1"/>
        <sz val="12.0"/>
      </rPr>
      <t>S</t>
    </r>
    <r>
      <rPr>
        <rFont val="宋体"/>
        <color theme="1"/>
        <sz val="12.0"/>
      </rPr>
      <t>相电网频率</t>
    </r>
  </si>
  <si>
    <t>FgridS</t>
  </si>
  <si>
    <t>514</t>
  </si>
  <si>
    <r>
      <rPr>
        <rFont val="宋体"/>
        <b/>
        <color theme="1"/>
        <sz val="12.0"/>
      </rPr>
      <t>√</t>
    </r>
  </si>
  <si>
    <r>
      <rPr>
        <rFont val="Calibri"/>
        <color theme="1"/>
        <sz val="12.0"/>
      </rPr>
      <t>T</t>
    </r>
    <r>
      <rPr>
        <rFont val="宋体"/>
        <color theme="1"/>
        <sz val="12.0"/>
      </rPr>
      <t>相电网频率</t>
    </r>
  </si>
  <si>
    <t>FgridT</t>
  </si>
  <si>
    <t>515</t>
  </si>
  <si>
    <r>
      <rPr>
        <rFont val="宋体"/>
        <b/>
        <color theme="1"/>
        <sz val="12.0"/>
      </rPr>
      <t>√</t>
    </r>
  </si>
  <si>
    <r>
      <rPr>
        <rFont val="Calibri"/>
        <color theme="1"/>
        <sz val="12.0"/>
      </rPr>
      <t>A</t>
    </r>
    <r>
      <rPr>
        <rFont val="宋体"/>
        <color theme="1"/>
        <sz val="12.0"/>
      </rPr>
      <t>相有功功率</t>
    </r>
  </si>
  <si>
    <t>PinvR</t>
  </si>
  <si>
    <t>516-517</t>
  </si>
  <si>
    <t>S32</t>
  </si>
  <si>
    <t>W</t>
  </si>
  <si>
    <r>
      <rPr>
        <rFont val="宋体"/>
        <b/>
        <color theme="1"/>
        <sz val="12.0"/>
      </rPr>
      <t>√</t>
    </r>
  </si>
  <si>
    <r>
      <rPr>
        <rFont val="Calibri"/>
        <color theme="1"/>
        <sz val="12.0"/>
      </rPr>
      <t>B</t>
    </r>
    <r>
      <rPr>
        <rFont val="宋体"/>
        <color theme="1"/>
        <sz val="12.0"/>
      </rPr>
      <t>相有功功率</t>
    </r>
  </si>
  <si>
    <t>PinvS</t>
  </si>
  <si>
    <t>518-519</t>
  </si>
  <si>
    <r>
      <rPr>
        <rFont val="宋体"/>
        <b/>
        <color theme="1"/>
        <sz val="12.0"/>
      </rPr>
      <t>√</t>
    </r>
  </si>
  <si>
    <r>
      <rPr>
        <rFont val="Calibri"/>
        <color theme="1"/>
        <sz val="12.0"/>
      </rPr>
      <t>C</t>
    </r>
    <r>
      <rPr>
        <rFont val="宋体"/>
        <color theme="1"/>
        <sz val="12.0"/>
      </rPr>
      <t>相有功功率</t>
    </r>
  </si>
  <si>
    <t>PinvT</t>
  </si>
  <si>
    <t>520-521</t>
  </si>
  <si>
    <r>
      <rPr>
        <rFont val="宋体"/>
        <b/>
        <color theme="1"/>
        <sz val="12.0"/>
      </rPr>
      <t>√</t>
    </r>
  </si>
  <si>
    <r>
      <rPr>
        <rFont val="宋体"/>
        <color theme="1"/>
        <sz val="12.0"/>
      </rPr>
      <t>总有功功率</t>
    </r>
  </si>
  <si>
    <t>Pinv</t>
  </si>
  <si>
    <t>522-523</t>
  </si>
  <si>
    <r>
      <rPr>
        <rFont val="宋体"/>
        <b/>
        <color theme="1"/>
        <sz val="12.0"/>
      </rPr>
      <t>√</t>
    </r>
  </si>
  <si>
    <r>
      <rPr>
        <rFont val="宋体"/>
        <color theme="1"/>
        <sz val="12.0"/>
      </rPr>
      <t>总无功功率</t>
    </r>
  </si>
  <si>
    <t>Qinv</t>
  </si>
  <si>
    <t>524-525</t>
  </si>
  <si>
    <r>
      <rPr>
        <rFont val="宋体"/>
        <b/>
        <color theme="1"/>
        <sz val="12.0"/>
      </rPr>
      <t>√</t>
    </r>
  </si>
  <si>
    <r>
      <rPr>
        <rFont val="宋体"/>
        <color theme="1"/>
        <sz val="12.0"/>
      </rPr>
      <t>总功率因数</t>
    </r>
  </si>
  <si>
    <t>PFinv</t>
  </si>
  <si>
    <t>526</t>
  </si>
  <si>
    <r>
      <rPr>
        <rFont val="宋体"/>
        <b/>
        <color theme="1"/>
        <sz val="12.0"/>
      </rPr>
      <t>√</t>
    </r>
  </si>
  <si>
    <r>
      <rPr>
        <rFont val="宋体"/>
        <color theme="1"/>
        <sz val="12.0"/>
      </rPr>
      <t>总视在功率</t>
    </r>
  </si>
  <si>
    <t>Sinv</t>
  </si>
  <si>
    <t>527-528</t>
  </si>
  <si>
    <t>VA</t>
  </si>
  <si>
    <r>
      <rPr>
        <rFont val="宋体"/>
        <b/>
        <color theme="1"/>
        <sz val="12.0"/>
      </rPr>
      <t>√</t>
    </r>
  </si>
  <si>
    <r>
      <rPr>
        <rFont val="Calibri"/>
        <color theme="1"/>
        <sz val="12.0"/>
      </rPr>
      <t>R</t>
    </r>
    <r>
      <rPr>
        <rFont val="宋体"/>
        <color theme="1"/>
        <sz val="12.0"/>
      </rPr>
      <t>相并网功率（电表）</t>
    </r>
  </si>
  <si>
    <t>PgridR</t>
  </si>
  <si>
    <t>529-530</t>
  </si>
  <si>
    <r>
      <rPr>
        <rFont val="宋体"/>
        <color theme="1"/>
        <sz val="12.0"/>
      </rPr>
      <t>正表示逆变器往电网送电，负表示逆变器从电网取电</t>
    </r>
  </si>
  <si>
    <r>
      <rPr>
        <rFont val="宋体"/>
        <b/>
        <color theme="1"/>
        <sz val="12.0"/>
      </rPr>
      <t>√</t>
    </r>
  </si>
  <si>
    <r>
      <rPr>
        <rFont val="Calibri"/>
        <color theme="1"/>
        <sz val="12.0"/>
      </rPr>
      <t>S</t>
    </r>
    <r>
      <rPr>
        <rFont val="宋体"/>
        <color theme="1"/>
        <sz val="12.0"/>
      </rPr>
      <t>相并网功率（电表）</t>
    </r>
  </si>
  <si>
    <t>PgridS</t>
  </si>
  <si>
    <t>531-532</t>
  </si>
  <si>
    <r>
      <rPr>
        <rFont val="宋体"/>
        <b/>
        <color theme="1"/>
        <sz val="12.0"/>
      </rPr>
      <t>√</t>
    </r>
  </si>
  <si>
    <r>
      <rPr>
        <rFont val="Calibri"/>
        <color theme="1"/>
        <sz val="12.0"/>
      </rPr>
      <t>T</t>
    </r>
    <r>
      <rPr>
        <rFont val="宋体"/>
        <color theme="1"/>
        <sz val="12.0"/>
      </rPr>
      <t>相并网功率（电表）</t>
    </r>
  </si>
  <si>
    <t>PgridT</t>
  </si>
  <si>
    <t>533-534</t>
  </si>
  <si>
    <r>
      <rPr>
        <rFont val="宋体"/>
        <b/>
        <color theme="1"/>
        <sz val="12.0"/>
      </rPr>
      <t>√</t>
    </r>
  </si>
  <si>
    <t>总并网有功功率</t>
  </si>
  <si>
    <t>Pgrid</t>
  </si>
  <si>
    <t>535-536</t>
  </si>
  <si>
    <r>
      <rPr>
        <rFont val="宋体"/>
        <color theme="1"/>
        <sz val="11.0"/>
      </rPr>
      <t>新增单位</t>
    </r>
    <r>
      <rPr>
        <rFont val="Calibri"/>
        <color theme="1"/>
        <sz val="11.0"/>
      </rPr>
      <t>W</t>
    </r>
  </si>
  <si>
    <r>
      <rPr>
        <rFont val="宋体"/>
        <b/>
        <color theme="1"/>
        <sz val="12.0"/>
      </rPr>
      <t>√</t>
    </r>
  </si>
  <si>
    <r>
      <rPr>
        <rFont val="宋体"/>
        <color theme="1"/>
        <sz val="12.0"/>
      </rPr>
      <t>总并网无功功率</t>
    </r>
  </si>
  <si>
    <t>Qgrid</t>
  </si>
  <si>
    <t>537-538</t>
  </si>
  <si>
    <t>Var</t>
  </si>
  <si>
    <r>
      <rPr>
        <rFont val="宋体"/>
        <color theme="1"/>
        <sz val="11.0"/>
      </rPr>
      <t>新增单位</t>
    </r>
    <r>
      <rPr>
        <rFont val="Calibri"/>
        <color theme="1"/>
        <sz val="11.0"/>
      </rPr>
      <t>Var</t>
    </r>
  </si>
  <si>
    <r>
      <rPr>
        <rFont val="宋体"/>
        <b/>
        <color theme="1"/>
        <sz val="12.0"/>
      </rPr>
      <t>√</t>
    </r>
  </si>
  <si>
    <t>总并网视在功率</t>
  </si>
  <si>
    <t>Sgrid</t>
  </si>
  <si>
    <t>539-540</t>
  </si>
  <si>
    <r>
      <rPr>
        <rFont val="宋体"/>
        <color theme="1"/>
        <sz val="11.0"/>
      </rPr>
      <t>新增单位</t>
    </r>
    <r>
      <rPr>
        <rFont val="Calibri"/>
        <color theme="1"/>
        <sz val="12.0"/>
      </rPr>
      <t>VA</t>
    </r>
  </si>
  <si>
    <r>
      <rPr>
        <rFont val="宋体"/>
        <b/>
        <color theme="1"/>
        <sz val="12.0"/>
      </rPr>
      <t>√</t>
    </r>
  </si>
  <si>
    <r>
      <rPr>
        <rFont val="Calibri"/>
        <color theme="1"/>
        <sz val="12.0"/>
      </rPr>
      <t>R</t>
    </r>
    <r>
      <rPr>
        <rFont val="宋体"/>
        <color theme="1"/>
        <sz val="12.0"/>
      </rPr>
      <t>相负载有功功率</t>
    </r>
  </si>
  <si>
    <t>PloadR</t>
  </si>
  <si>
    <t>541-542</t>
  </si>
  <si>
    <r>
      <rPr>
        <rFont val="宋体"/>
        <b/>
        <color theme="1"/>
        <sz val="12.0"/>
      </rPr>
      <t>√</t>
    </r>
  </si>
  <si>
    <r>
      <rPr>
        <rFont val="Calibri"/>
        <color theme="1"/>
        <sz val="12.0"/>
      </rPr>
      <t>S</t>
    </r>
    <r>
      <rPr>
        <rFont val="宋体"/>
        <color theme="1"/>
        <sz val="12.0"/>
      </rPr>
      <t>相负载有功功率</t>
    </r>
  </si>
  <si>
    <t>PloadS</t>
  </si>
  <si>
    <t>543-544</t>
  </si>
  <si>
    <r>
      <rPr>
        <rFont val="宋体"/>
        <b/>
        <color theme="1"/>
        <sz val="12.0"/>
      </rPr>
      <t>√</t>
    </r>
  </si>
  <si>
    <r>
      <rPr>
        <rFont val="Calibri"/>
        <color theme="1"/>
        <sz val="12.0"/>
      </rPr>
      <t>T</t>
    </r>
    <r>
      <rPr>
        <rFont val="宋体"/>
        <color theme="1"/>
        <sz val="12.0"/>
      </rPr>
      <t>相负载有功功率</t>
    </r>
  </si>
  <si>
    <t>PloadT</t>
  </si>
  <si>
    <t>545-546</t>
  </si>
  <si>
    <r>
      <rPr>
        <rFont val="宋体"/>
        <b/>
        <color theme="1"/>
        <sz val="12.0"/>
      </rPr>
      <t>√</t>
    </r>
  </si>
  <si>
    <r>
      <rPr>
        <rFont val="宋体"/>
        <color theme="1"/>
        <sz val="12.0"/>
      </rPr>
      <t>总负载有功功率</t>
    </r>
  </si>
  <si>
    <t>Pload</t>
  </si>
  <si>
    <t>547-548</t>
  </si>
  <si>
    <r>
      <rPr>
        <rFont val="宋体"/>
        <color theme="1"/>
        <sz val="11.0"/>
      </rPr>
      <t>新增单位</t>
    </r>
    <r>
      <rPr>
        <rFont val="Calibri"/>
        <color theme="1"/>
        <sz val="11.0"/>
      </rPr>
      <t>W</t>
    </r>
  </si>
  <si>
    <r>
      <rPr>
        <rFont val="宋体"/>
        <b/>
        <color theme="1"/>
        <sz val="12.0"/>
      </rPr>
      <t>√</t>
    </r>
  </si>
  <si>
    <r>
      <rPr>
        <rFont val="宋体"/>
        <color theme="1"/>
        <sz val="12.0"/>
      </rPr>
      <t>总负载无功功率</t>
    </r>
  </si>
  <si>
    <t>Qload</t>
  </si>
  <si>
    <t>549-550</t>
  </si>
  <si>
    <r>
      <rPr>
        <rFont val="宋体"/>
        <color theme="1"/>
        <sz val="11.0"/>
      </rPr>
      <t>新增单位</t>
    </r>
    <r>
      <rPr>
        <rFont val="Calibri"/>
        <color theme="1"/>
        <sz val="12.0"/>
      </rPr>
      <t>Var</t>
    </r>
  </si>
  <si>
    <r>
      <rPr>
        <rFont val="宋体"/>
        <b/>
        <color theme="1"/>
        <sz val="12.0"/>
      </rPr>
      <t>√</t>
    </r>
  </si>
  <si>
    <r>
      <rPr>
        <rFont val="宋体"/>
        <color theme="1"/>
        <sz val="12.0"/>
      </rPr>
      <t>总负载视在功率</t>
    </r>
  </si>
  <si>
    <t>Sload</t>
  </si>
  <si>
    <t>551-552</t>
  </si>
  <si>
    <r>
      <rPr>
        <rFont val="宋体"/>
        <color theme="1"/>
        <sz val="11.0"/>
      </rPr>
      <t>新增单位</t>
    </r>
    <r>
      <rPr>
        <rFont val="Calibri"/>
        <color theme="1"/>
        <sz val="12.0"/>
      </rPr>
      <t>VA</t>
    </r>
  </si>
  <si>
    <r>
      <rPr>
        <rFont val="宋体"/>
        <b/>
        <color theme="1"/>
        <sz val="12.0"/>
      </rPr>
      <t>√</t>
    </r>
  </si>
  <si>
    <r>
      <rPr>
        <rFont val="Calibri"/>
        <color theme="1"/>
        <sz val="12.0"/>
      </rPr>
      <t>PV</t>
    </r>
    <r>
      <rPr>
        <rFont val="宋体"/>
        <color theme="1"/>
        <sz val="12.0"/>
      </rPr>
      <t>总功率</t>
    </r>
  </si>
  <si>
    <t>Ppv</t>
  </si>
  <si>
    <t>553-554</t>
  </si>
  <si>
    <r>
      <rPr>
        <rFont val="宋体"/>
        <color theme="1"/>
        <sz val="11.0"/>
      </rPr>
      <t>新增单位</t>
    </r>
    <r>
      <rPr>
        <rFont val="Calibri"/>
        <color theme="1"/>
        <sz val="12.0"/>
      </rPr>
      <t>W</t>
    </r>
  </si>
  <si>
    <r>
      <rPr>
        <rFont val="宋体"/>
        <b/>
        <color theme="1"/>
        <sz val="12.0"/>
      </rPr>
      <t>√</t>
    </r>
  </si>
  <si>
    <r>
      <rPr>
        <rFont val="Calibri"/>
        <color theme="1"/>
        <sz val="12.0"/>
      </rPr>
      <t>PV1</t>
    </r>
    <r>
      <rPr>
        <rFont val="宋体"/>
        <color theme="1"/>
        <sz val="12.0"/>
      </rPr>
      <t>电压</t>
    </r>
  </si>
  <si>
    <t>Vpv1</t>
  </si>
  <si>
    <t>555</t>
  </si>
  <si>
    <r>
      <rPr>
        <rFont val="宋体"/>
        <b/>
        <color theme="1"/>
        <sz val="12.0"/>
      </rPr>
      <t>√</t>
    </r>
  </si>
  <si>
    <r>
      <rPr>
        <rFont val="Calibri"/>
        <color theme="1"/>
        <sz val="12.0"/>
      </rPr>
      <t>PV1</t>
    </r>
    <r>
      <rPr>
        <rFont val="宋体"/>
        <color theme="1"/>
        <sz val="12.0"/>
      </rPr>
      <t>电流</t>
    </r>
  </si>
  <si>
    <t>Ipv1</t>
  </si>
  <si>
    <t>556</t>
  </si>
  <si>
    <r>
      <rPr>
        <rFont val="宋体"/>
        <b/>
        <color theme="1"/>
        <sz val="12.0"/>
      </rPr>
      <t>√</t>
    </r>
  </si>
  <si>
    <r>
      <rPr>
        <rFont val="Calibri"/>
        <color theme="1"/>
        <sz val="12.0"/>
      </rPr>
      <t>PV1</t>
    </r>
    <r>
      <rPr>
        <rFont val="宋体"/>
        <color theme="1"/>
        <sz val="12.0"/>
      </rPr>
      <t>功率</t>
    </r>
  </si>
  <si>
    <t>Ppv1</t>
  </si>
  <si>
    <t>557</t>
  </si>
  <si>
    <r>
      <rPr>
        <rFont val="宋体"/>
        <b/>
        <color theme="1"/>
        <sz val="12.0"/>
      </rPr>
      <t>√</t>
    </r>
  </si>
  <si>
    <r>
      <rPr>
        <rFont val="Calibri"/>
        <color theme="1"/>
        <sz val="12.0"/>
      </rPr>
      <t>PV2</t>
    </r>
    <r>
      <rPr>
        <rFont val="宋体"/>
        <color theme="1"/>
        <sz val="12.0"/>
      </rPr>
      <t>电压</t>
    </r>
  </si>
  <si>
    <t>Vpv2</t>
  </si>
  <si>
    <t>558</t>
  </si>
  <si>
    <r>
      <rPr>
        <rFont val="宋体"/>
        <b/>
        <color theme="1"/>
        <sz val="12.0"/>
      </rPr>
      <t>√</t>
    </r>
  </si>
  <si>
    <r>
      <rPr>
        <rFont val="Calibri"/>
        <color theme="1"/>
        <sz val="12.0"/>
      </rPr>
      <t>PV2</t>
    </r>
    <r>
      <rPr>
        <rFont val="宋体"/>
        <color theme="1"/>
        <sz val="12.0"/>
      </rPr>
      <t>电流</t>
    </r>
  </si>
  <si>
    <t>Ipv2</t>
  </si>
  <si>
    <t>559</t>
  </si>
  <si>
    <r>
      <rPr>
        <rFont val="宋体"/>
        <b/>
        <color theme="1"/>
        <sz val="12.0"/>
      </rPr>
      <t>√</t>
    </r>
  </si>
  <si>
    <r>
      <rPr>
        <rFont val="Calibri"/>
        <color theme="1"/>
        <sz val="12.0"/>
      </rPr>
      <t>PV2</t>
    </r>
    <r>
      <rPr>
        <rFont val="宋体"/>
        <color theme="1"/>
        <sz val="12.0"/>
      </rPr>
      <t>功率</t>
    </r>
  </si>
  <si>
    <t>Ppv2</t>
  </si>
  <si>
    <t>560</t>
  </si>
  <si>
    <r>
      <rPr>
        <rFont val="宋体"/>
        <b/>
        <color theme="1"/>
        <sz val="12.0"/>
      </rPr>
      <t>√</t>
    </r>
  </si>
  <si>
    <r>
      <rPr>
        <rFont val="Calibri"/>
        <color theme="1"/>
        <sz val="12.0"/>
      </rPr>
      <t>PV3</t>
    </r>
    <r>
      <rPr>
        <rFont val="宋体"/>
        <color theme="1"/>
        <sz val="12.0"/>
      </rPr>
      <t>电压</t>
    </r>
  </si>
  <si>
    <t>Vpv3</t>
  </si>
  <si>
    <t>561</t>
  </si>
  <si>
    <r>
      <rPr>
        <rFont val="宋体"/>
        <b/>
        <color theme="1"/>
        <sz val="12.0"/>
      </rPr>
      <t>√</t>
    </r>
  </si>
  <si>
    <r>
      <rPr>
        <rFont val="Calibri"/>
        <color theme="1"/>
        <sz val="12.0"/>
      </rPr>
      <t>PV3</t>
    </r>
    <r>
      <rPr>
        <rFont val="宋体"/>
        <color theme="1"/>
        <sz val="12.0"/>
      </rPr>
      <t>电流</t>
    </r>
  </si>
  <si>
    <t>Ipv3</t>
  </si>
  <si>
    <t>562</t>
  </si>
  <si>
    <r>
      <rPr>
        <rFont val="宋体"/>
        <b/>
        <color theme="1"/>
        <sz val="12.0"/>
      </rPr>
      <t>√</t>
    </r>
  </si>
  <si>
    <r>
      <rPr>
        <rFont val="Calibri"/>
        <color theme="1"/>
        <sz val="12.0"/>
      </rPr>
      <t>PV3</t>
    </r>
    <r>
      <rPr>
        <rFont val="宋体"/>
        <color theme="1"/>
        <sz val="12.0"/>
      </rPr>
      <t>功率</t>
    </r>
  </si>
  <si>
    <t>Ppv3</t>
  </si>
  <si>
    <t>563</t>
  </si>
  <si>
    <r>
      <rPr>
        <rFont val="宋体"/>
        <b/>
        <color theme="1"/>
        <sz val="12.0"/>
      </rPr>
      <t>√</t>
    </r>
  </si>
  <si>
    <r>
      <rPr>
        <rFont val="Calibri"/>
        <color theme="1"/>
        <sz val="12.0"/>
      </rPr>
      <t>PV4</t>
    </r>
    <r>
      <rPr>
        <rFont val="宋体"/>
        <color theme="1"/>
        <sz val="12.0"/>
      </rPr>
      <t>电压</t>
    </r>
  </si>
  <si>
    <t>Vpv4</t>
  </si>
  <si>
    <t>564</t>
  </si>
  <si>
    <r>
      <rPr>
        <rFont val="宋体"/>
        <b/>
        <color theme="1"/>
        <sz val="12.0"/>
      </rPr>
      <t>√</t>
    </r>
  </si>
  <si>
    <r>
      <rPr>
        <rFont val="Calibri"/>
        <color theme="1"/>
        <sz val="12.0"/>
      </rPr>
      <t>PV4</t>
    </r>
    <r>
      <rPr>
        <rFont val="宋体"/>
        <color theme="1"/>
        <sz val="12.0"/>
      </rPr>
      <t>电流</t>
    </r>
  </si>
  <si>
    <t>Ipv4</t>
  </si>
  <si>
    <t>565</t>
  </si>
  <si>
    <r>
      <rPr>
        <rFont val="宋体"/>
        <b/>
        <color theme="1"/>
        <sz val="12.0"/>
      </rPr>
      <t>√</t>
    </r>
  </si>
  <si>
    <r>
      <rPr>
        <rFont val="Calibri"/>
        <color theme="1"/>
        <sz val="12.0"/>
      </rPr>
      <t>PV4</t>
    </r>
    <r>
      <rPr>
        <rFont val="宋体"/>
        <color theme="1"/>
        <sz val="12.0"/>
      </rPr>
      <t>功率</t>
    </r>
  </si>
  <si>
    <t>Ppv4</t>
  </si>
  <si>
    <t>566</t>
  </si>
  <si>
    <r>
      <rPr>
        <rFont val="宋体"/>
        <b/>
        <color theme="1"/>
        <sz val="12.0"/>
      </rPr>
      <t>√</t>
    </r>
  </si>
  <si>
    <r>
      <rPr>
        <rFont val="Calibri"/>
        <color theme="1"/>
        <sz val="12.0"/>
      </rPr>
      <t>PV5</t>
    </r>
    <r>
      <rPr>
        <rFont val="宋体"/>
        <color theme="1"/>
        <sz val="12.0"/>
      </rPr>
      <t>电压</t>
    </r>
  </si>
  <si>
    <t>Vpv5</t>
  </si>
  <si>
    <t>567</t>
  </si>
  <si>
    <r>
      <rPr>
        <rFont val="宋体"/>
        <b/>
        <color theme="1"/>
        <sz val="12.0"/>
      </rPr>
      <t>√</t>
    </r>
  </si>
  <si>
    <r>
      <rPr>
        <rFont val="Calibri"/>
        <color theme="1"/>
        <sz val="12.0"/>
      </rPr>
      <t>PV5</t>
    </r>
    <r>
      <rPr>
        <rFont val="宋体"/>
        <color theme="1"/>
        <sz val="12.0"/>
      </rPr>
      <t>电流</t>
    </r>
  </si>
  <si>
    <t>Ipv5</t>
  </si>
  <si>
    <t>568</t>
  </si>
  <si>
    <r>
      <rPr>
        <rFont val="宋体"/>
        <b/>
        <color theme="1"/>
        <sz val="12.0"/>
      </rPr>
      <t>√</t>
    </r>
  </si>
  <si>
    <r>
      <rPr>
        <rFont val="Calibri"/>
        <color theme="1"/>
        <sz val="12.0"/>
      </rPr>
      <t>PV5</t>
    </r>
    <r>
      <rPr>
        <rFont val="宋体"/>
        <color theme="1"/>
        <sz val="12.0"/>
      </rPr>
      <t>功率</t>
    </r>
  </si>
  <si>
    <t>Ppv5</t>
  </si>
  <si>
    <t>569</t>
  </si>
  <si>
    <r>
      <rPr>
        <rFont val="宋体"/>
        <b/>
        <color theme="1"/>
        <sz val="12.0"/>
      </rPr>
      <t>√</t>
    </r>
  </si>
  <si>
    <r>
      <rPr>
        <rFont val="Calibri"/>
        <color theme="1"/>
        <sz val="12.0"/>
      </rPr>
      <t>PV6</t>
    </r>
    <r>
      <rPr>
        <rFont val="宋体"/>
        <color theme="1"/>
        <sz val="12.0"/>
      </rPr>
      <t>电压</t>
    </r>
  </si>
  <si>
    <t>Vpv6</t>
  </si>
  <si>
    <t>570</t>
  </si>
  <si>
    <r>
      <rPr>
        <rFont val="宋体"/>
        <b/>
        <color theme="1"/>
        <sz val="12.0"/>
      </rPr>
      <t>√</t>
    </r>
  </si>
  <si>
    <r>
      <rPr>
        <rFont val="Calibri"/>
        <color theme="1"/>
        <sz val="12.0"/>
      </rPr>
      <t>PV6</t>
    </r>
    <r>
      <rPr>
        <rFont val="宋体"/>
        <color theme="1"/>
        <sz val="12.0"/>
      </rPr>
      <t>电流</t>
    </r>
  </si>
  <si>
    <t>Ipv6</t>
  </si>
  <si>
    <t>571</t>
  </si>
  <si>
    <r>
      <rPr>
        <rFont val="宋体"/>
        <color theme="1"/>
        <sz val="11.0"/>
      </rPr>
      <t>对于储能，需要</t>
    </r>
    <r>
      <rPr>
        <rFont val="Calibri"/>
        <color theme="1"/>
        <sz val="11.0"/>
      </rPr>
      <t>PV</t>
    </r>
    <r>
      <rPr>
        <rFont val="宋体"/>
        <color theme="1"/>
        <sz val="11.0"/>
      </rPr>
      <t>总功率</t>
    </r>
  </si>
  <si>
    <r>
      <rPr>
        <rFont val="宋体"/>
        <b/>
        <color theme="1"/>
        <sz val="12.0"/>
      </rPr>
      <t>√</t>
    </r>
  </si>
  <si>
    <r>
      <rPr>
        <rFont val="Calibri"/>
        <color theme="1"/>
        <sz val="12.0"/>
      </rPr>
      <t>PV6</t>
    </r>
    <r>
      <rPr>
        <rFont val="宋体"/>
        <color theme="1"/>
        <sz val="12.0"/>
      </rPr>
      <t>功率</t>
    </r>
  </si>
  <si>
    <t>Ppv6</t>
  </si>
  <si>
    <t>572</t>
  </si>
  <si>
    <r>
      <rPr>
        <rFont val="宋体"/>
        <b/>
        <color theme="1"/>
        <sz val="12.0"/>
      </rPr>
      <t>√</t>
    </r>
  </si>
  <si>
    <r>
      <rPr>
        <rFont val="Calibri"/>
        <color theme="1"/>
        <sz val="12.0"/>
      </rPr>
      <t>PV</t>
    </r>
    <r>
      <rPr>
        <rFont val="宋体"/>
        <color theme="1"/>
        <sz val="12.0"/>
      </rPr>
      <t>连接状态</t>
    </r>
  </si>
  <si>
    <t>PVConn</t>
  </si>
  <si>
    <t>573</t>
  </si>
  <si>
    <t>B0:CONNECTED
B1:AVAILABLE
B2:OPERATING
B3:TEST</t>
  </si>
  <si>
    <r>
      <rPr>
        <rFont val="宋体"/>
        <b/>
        <color theme="1"/>
        <sz val="12.0"/>
      </rPr>
      <t>√</t>
    </r>
  </si>
  <si>
    <r>
      <rPr>
        <rFont val="宋体"/>
        <color theme="1"/>
        <sz val="12.0"/>
      </rPr>
      <t>预留</t>
    </r>
  </si>
  <si>
    <t>574-999</t>
  </si>
  <si>
    <r>
      <rPr>
        <rFont val="宋体"/>
        <b/>
        <color theme="1"/>
        <sz val="12.0"/>
      </rPr>
      <t>√</t>
    </r>
  </si>
  <si>
    <r>
      <rPr>
        <rFont val="宋体"/>
        <b/>
        <color theme="1"/>
        <sz val="12.0"/>
      </rPr>
      <t>实时运行信息</t>
    </r>
    <r>
      <rPr>
        <rFont val="Calibri"/>
        <b/>
        <color theme="1"/>
        <sz val="12.0"/>
      </rPr>
      <t>2</t>
    </r>
    <r>
      <rPr>
        <rFont val="宋体"/>
        <b/>
        <color theme="1"/>
        <sz val="12.0"/>
      </rPr>
      <t>（</t>
    </r>
    <r>
      <rPr>
        <rFont val="Calibri"/>
        <b/>
        <color theme="1"/>
        <sz val="12.0"/>
      </rPr>
      <t>PV+</t>
    </r>
    <r>
      <rPr>
        <rFont val="宋体"/>
        <b/>
        <color theme="1"/>
        <sz val="12.0"/>
      </rPr>
      <t>并网发电量）</t>
    </r>
  </si>
  <si>
    <r>
      <rPr>
        <rFont val="宋体"/>
        <b/>
        <color theme="1"/>
        <sz val="12.0"/>
      </rPr>
      <t>√</t>
    </r>
  </si>
  <si>
    <r>
      <rPr>
        <rFont val="宋体"/>
        <color theme="1"/>
        <sz val="12.0"/>
      </rPr>
      <t>逆变器当日发电量</t>
    </r>
  </si>
  <si>
    <t>EInvOutDay</t>
  </si>
  <si>
    <t>1000</t>
  </si>
  <si>
    <t>0.1kwh</t>
  </si>
  <si>
    <r>
      <rPr>
        <rFont val="宋体"/>
        <color theme="1"/>
        <sz val="11.0"/>
      </rPr>
      <t>存</t>
    </r>
  </si>
  <si>
    <r>
      <rPr>
        <rFont val="宋体"/>
        <color theme="1"/>
        <sz val="11.0"/>
      </rPr>
      <t>单位</t>
    </r>
    <r>
      <rPr>
        <rFont val="Calibri"/>
        <color theme="1"/>
        <sz val="11.0"/>
      </rPr>
      <t>0.1wh</t>
    </r>
    <r>
      <rPr>
        <rFont val="宋体"/>
        <color theme="1"/>
        <sz val="11.0"/>
      </rPr>
      <t>修改为</t>
    </r>
    <r>
      <rPr>
        <rFont val="Calibri"/>
        <color theme="1"/>
        <sz val="11.0"/>
      </rPr>
      <t>0.1kwh</t>
    </r>
  </si>
  <si>
    <r>
      <rPr>
        <rFont val="宋体"/>
        <b/>
        <color theme="1"/>
        <sz val="12.0"/>
      </rPr>
      <t>√</t>
    </r>
  </si>
  <si>
    <r>
      <rPr>
        <rFont val="宋体"/>
        <color theme="1"/>
        <sz val="12.0"/>
      </rPr>
      <t>逆变器当日从电网取电量</t>
    </r>
  </si>
  <si>
    <t>EInvRecDay</t>
  </si>
  <si>
    <t>1001</t>
  </si>
  <si>
    <r>
      <rPr>
        <rFont val="宋体"/>
        <color theme="1"/>
        <sz val="11.0"/>
      </rPr>
      <t>存</t>
    </r>
  </si>
  <si>
    <r>
      <rPr>
        <rFont val="宋体"/>
        <b/>
        <color theme="1"/>
        <sz val="12.0"/>
      </rPr>
      <t>√</t>
    </r>
  </si>
  <si>
    <r>
      <rPr>
        <rFont val="宋体"/>
        <color theme="1"/>
        <sz val="12.0"/>
      </rPr>
      <t>当日到电网的电量</t>
    </r>
  </si>
  <si>
    <t>EtogridDay</t>
  </si>
  <si>
    <t>1002</t>
  </si>
  <si>
    <r>
      <rPr>
        <rFont val="宋体"/>
        <color theme="1"/>
        <sz val="11.0"/>
      </rPr>
      <t>存</t>
    </r>
  </si>
  <si>
    <r>
      <rPr>
        <rFont val="宋体"/>
        <b/>
        <color theme="1"/>
        <sz val="12.0"/>
      </rPr>
      <t>√</t>
    </r>
  </si>
  <si>
    <r>
      <rPr>
        <rFont val="宋体"/>
        <color theme="1"/>
        <sz val="12.0"/>
      </rPr>
      <t>当日取电网的电量</t>
    </r>
  </si>
  <si>
    <t>EfromgridDay</t>
  </si>
  <si>
    <t>1003</t>
  </si>
  <si>
    <r>
      <rPr>
        <rFont val="宋体"/>
        <b/>
        <color theme="1"/>
        <sz val="12.0"/>
      </rPr>
      <t>√</t>
    </r>
  </si>
  <si>
    <r>
      <rPr>
        <rFont val="宋体"/>
        <color theme="1"/>
        <sz val="12.0"/>
      </rPr>
      <t>当日到负载的电量</t>
    </r>
  </si>
  <si>
    <t>EtoLoadDay</t>
  </si>
  <si>
    <t>1004</t>
  </si>
  <si>
    <r>
      <rPr>
        <rFont val="宋体"/>
        <color theme="1"/>
        <sz val="11.0"/>
      </rPr>
      <t>存</t>
    </r>
  </si>
  <si>
    <r>
      <rPr>
        <rFont val="宋体"/>
        <b/>
        <color theme="1"/>
        <sz val="12.0"/>
      </rPr>
      <t>√</t>
    </r>
  </si>
  <si>
    <r>
      <rPr>
        <rFont val="宋体"/>
        <color theme="1"/>
        <sz val="12.0"/>
      </rPr>
      <t>当日取负载的电量</t>
    </r>
  </si>
  <si>
    <t>EfromLoadDay</t>
  </si>
  <si>
    <t>1005</t>
  </si>
  <si>
    <r>
      <rPr>
        <rFont val="宋体"/>
        <b/>
        <color theme="1"/>
        <sz val="12.0"/>
      </rPr>
      <t>√</t>
    </r>
  </si>
  <si>
    <r>
      <rPr>
        <rFont val="宋体"/>
        <color theme="1"/>
        <sz val="12.0"/>
      </rPr>
      <t>当日</t>
    </r>
    <r>
      <rPr>
        <rFont val="Calibri"/>
        <color theme="1"/>
        <sz val="12.0"/>
      </rPr>
      <t>PV</t>
    </r>
    <r>
      <rPr>
        <rFont val="宋体"/>
        <color theme="1"/>
        <sz val="12.0"/>
      </rPr>
      <t>发电量</t>
    </r>
  </si>
  <si>
    <t>EPVDay</t>
  </si>
  <si>
    <t>1006-1007</t>
  </si>
  <si>
    <r>
      <rPr>
        <rFont val="宋体"/>
        <color theme="1"/>
        <sz val="11.0"/>
      </rPr>
      <t>存</t>
    </r>
  </si>
  <si>
    <r>
      <rPr>
        <rFont val="宋体"/>
        <b/>
        <color theme="1"/>
        <sz val="12.0"/>
      </rPr>
      <t>√</t>
    </r>
  </si>
  <si>
    <r>
      <rPr>
        <rFont val="宋体"/>
        <color theme="1"/>
        <sz val="12.0"/>
      </rPr>
      <t>当日</t>
    </r>
    <r>
      <rPr>
        <rFont val="Calibri"/>
        <color theme="1"/>
        <sz val="12.0"/>
      </rPr>
      <t>PV1</t>
    </r>
    <r>
      <rPr>
        <rFont val="宋体"/>
        <color theme="1"/>
        <sz val="12.0"/>
      </rPr>
      <t>发电量</t>
    </r>
  </si>
  <si>
    <t>EPV1Day</t>
  </si>
  <si>
    <t>1008</t>
  </si>
  <si>
    <r>
      <rPr>
        <rFont val="宋体"/>
        <color theme="1"/>
        <sz val="11.0"/>
      </rPr>
      <t>存</t>
    </r>
  </si>
  <si>
    <r>
      <rPr>
        <rFont val="宋体"/>
        <b/>
        <color theme="1"/>
        <sz val="12.0"/>
      </rPr>
      <t>√</t>
    </r>
  </si>
  <si>
    <r>
      <rPr>
        <rFont val="宋体"/>
        <color theme="1"/>
        <sz val="12.0"/>
      </rPr>
      <t>当日</t>
    </r>
    <r>
      <rPr>
        <rFont val="Calibri"/>
        <color theme="1"/>
        <sz val="12.0"/>
      </rPr>
      <t>PV2</t>
    </r>
    <r>
      <rPr>
        <rFont val="宋体"/>
        <color theme="1"/>
        <sz val="12.0"/>
      </rPr>
      <t>发电量</t>
    </r>
  </si>
  <si>
    <t>EPV2Day</t>
  </si>
  <si>
    <t>1009</t>
  </si>
  <si>
    <r>
      <rPr>
        <rFont val="宋体"/>
        <color theme="1"/>
        <sz val="11.0"/>
      </rPr>
      <t>存</t>
    </r>
  </si>
  <si>
    <r>
      <rPr>
        <rFont val="宋体"/>
        <b/>
        <color theme="1"/>
        <sz val="12.0"/>
      </rPr>
      <t>√</t>
    </r>
  </si>
  <si>
    <r>
      <rPr>
        <rFont val="宋体"/>
        <color theme="1"/>
        <sz val="12.0"/>
      </rPr>
      <t>当日</t>
    </r>
    <r>
      <rPr>
        <rFont val="Calibri"/>
        <color theme="1"/>
        <sz val="12.0"/>
      </rPr>
      <t>PV3</t>
    </r>
    <r>
      <rPr>
        <rFont val="宋体"/>
        <color theme="1"/>
        <sz val="12.0"/>
      </rPr>
      <t>发电量</t>
    </r>
  </si>
  <si>
    <t>EPV3Day</t>
  </si>
  <si>
    <t>1010</t>
  </si>
  <si>
    <r>
      <rPr>
        <rFont val="宋体"/>
        <color theme="1"/>
        <sz val="11.0"/>
      </rPr>
      <t>存</t>
    </r>
  </si>
  <si>
    <r>
      <rPr>
        <rFont val="宋体"/>
        <b/>
        <color theme="1"/>
        <sz val="12.0"/>
      </rPr>
      <t>√</t>
    </r>
  </si>
  <si>
    <r>
      <rPr>
        <rFont val="宋体"/>
        <color theme="1"/>
        <sz val="12.0"/>
      </rPr>
      <t>当日</t>
    </r>
    <r>
      <rPr>
        <rFont val="Calibri"/>
        <color theme="1"/>
        <sz val="12.0"/>
      </rPr>
      <t>PV4</t>
    </r>
    <r>
      <rPr>
        <rFont val="宋体"/>
        <color theme="1"/>
        <sz val="12.0"/>
      </rPr>
      <t>发电量</t>
    </r>
  </si>
  <si>
    <t>EPV4Day</t>
  </si>
  <si>
    <t>1011</t>
  </si>
  <si>
    <r>
      <rPr>
        <rFont val="宋体"/>
        <color theme="1"/>
        <sz val="11.0"/>
      </rPr>
      <t>存</t>
    </r>
  </si>
  <si>
    <r>
      <rPr>
        <rFont val="宋体"/>
        <b/>
        <color theme="1"/>
        <sz val="12.0"/>
      </rPr>
      <t>√</t>
    </r>
  </si>
  <si>
    <r>
      <rPr>
        <rFont val="宋体"/>
        <color theme="1"/>
        <sz val="12.0"/>
      </rPr>
      <t>当日</t>
    </r>
    <r>
      <rPr>
        <rFont val="Calibri"/>
        <color theme="1"/>
        <sz val="12.0"/>
      </rPr>
      <t>PV5</t>
    </r>
    <r>
      <rPr>
        <rFont val="宋体"/>
        <color theme="1"/>
        <sz val="12.0"/>
      </rPr>
      <t>发电量</t>
    </r>
  </si>
  <si>
    <t>EPV5Day</t>
  </si>
  <si>
    <t>1012</t>
  </si>
  <si>
    <r>
      <rPr>
        <rFont val="宋体"/>
        <color theme="1"/>
        <sz val="11.0"/>
      </rPr>
      <t>存</t>
    </r>
  </si>
  <si>
    <r>
      <rPr>
        <rFont val="宋体"/>
        <b/>
        <color theme="1"/>
        <sz val="12.0"/>
      </rPr>
      <t>√</t>
    </r>
  </si>
  <si>
    <r>
      <rPr>
        <rFont val="宋体"/>
        <color theme="1"/>
        <sz val="12.0"/>
      </rPr>
      <t>当日</t>
    </r>
    <r>
      <rPr>
        <rFont val="Calibri"/>
        <color theme="1"/>
        <sz val="12.0"/>
      </rPr>
      <t>PV6</t>
    </r>
    <r>
      <rPr>
        <rFont val="宋体"/>
        <color theme="1"/>
        <sz val="12.0"/>
      </rPr>
      <t>发电量</t>
    </r>
  </si>
  <si>
    <t>EPV6Day</t>
  </si>
  <si>
    <t>1013</t>
  </si>
  <si>
    <r>
      <rPr>
        <rFont val="宋体"/>
        <color theme="1"/>
        <sz val="11.0"/>
      </rPr>
      <t>存</t>
    </r>
  </si>
  <si>
    <r>
      <rPr>
        <rFont val="宋体"/>
        <b/>
        <color theme="1"/>
        <sz val="12.0"/>
      </rPr>
      <t>√</t>
    </r>
  </si>
  <si>
    <r>
      <rPr>
        <rFont val="宋体"/>
        <color theme="1"/>
        <sz val="12.0"/>
      </rPr>
      <t>逆变器总发电量</t>
    </r>
  </si>
  <si>
    <t>EInvOutTotal</t>
  </si>
  <si>
    <t>1014-1015</t>
  </si>
  <si>
    <r>
      <rPr>
        <rFont val="宋体"/>
        <color theme="1"/>
        <sz val="11.0"/>
      </rPr>
      <t>存</t>
    </r>
  </si>
  <si>
    <r>
      <rPr>
        <rFont val="宋体"/>
        <b/>
        <color theme="1"/>
        <sz val="12.0"/>
      </rPr>
      <t>√</t>
    </r>
  </si>
  <si>
    <r>
      <rPr>
        <rFont val="宋体"/>
        <color theme="1"/>
        <sz val="12.0"/>
      </rPr>
      <t>逆变器总从电网取电量</t>
    </r>
  </si>
  <si>
    <t>EInvRecTotal</t>
  </si>
  <si>
    <t>1016-1017</t>
  </si>
  <si>
    <r>
      <rPr>
        <rFont val="宋体"/>
        <color theme="1"/>
        <sz val="11.0"/>
      </rPr>
      <t>存</t>
    </r>
  </si>
  <si>
    <r>
      <rPr>
        <rFont val="宋体"/>
        <b/>
        <color theme="1"/>
        <sz val="12.0"/>
      </rPr>
      <t>√</t>
    </r>
  </si>
  <si>
    <r>
      <rPr>
        <rFont val="宋体"/>
        <color theme="1"/>
        <sz val="12.0"/>
      </rPr>
      <t>总到电网的电量</t>
    </r>
  </si>
  <si>
    <t>EtogridTotal</t>
  </si>
  <si>
    <t>1018-1019</t>
  </si>
  <si>
    <r>
      <rPr>
        <rFont val="宋体"/>
        <color theme="1"/>
        <sz val="11.0"/>
      </rPr>
      <t>存</t>
    </r>
  </si>
  <si>
    <r>
      <rPr>
        <rFont val="宋体"/>
        <b/>
        <color theme="1"/>
        <sz val="12.0"/>
      </rPr>
      <t>√</t>
    </r>
  </si>
  <si>
    <r>
      <rPr>
        <rFont val="宋体"/>
        <color theme="1"/>
        <sz val="12.0"/>
      </rPr>
      <t>总取电网的电量</t>
    </r>
  </si>
  <si>
    <t>EfromgridTotal</t>
  </si>
  <si>
    <t>1020-1021</t>
  </si>
  <si>
    <r>
      <rPr>
        <rFont val="宋体"/>
        <b/>
        <color theme="1"/>
        <sz val="12.0"/>
      </rPr>
      <t>√</t>
    </r>
  </si>
  <si>
    <r>
      <rPr>
        <rFont val="宋体"/>
        <color theme="1"/>
        <sz val="12.0"/>
      </rPr>
      <t>总到负载的电量</t>
    </r>
  </si>
  <si>
    <t>EtoLoadTotal</t>
  </si>
  <si>
    <t>1022-1023</t>
  </si>
  <si>
    <r>
      <rPr>
        <rFont val="宋体"/>
        <color theme="1"/>
        <sz val="11.0"/>
      </rPr>
      <t>存</t>
    </r>
  </si>
  <si>
    <r>
      <rPr>
        <rFont val="宋体"/>
        <b/>
        <color theme="1"/>
        <sz val="12.0"/>
      </rPr>
      <t>√</t>
    </r>
  </si>
  <si>
    <r>
      <rPr>
        <rFont val="宋体"/>
        <color theme="1"/>
        <sz val="12.0"/>
      </rPr>
      <t>总取负载的电量</t>
    </r>
  </si>
  <si>
    <t>EfromLoadTotal</t>
  </si>
  <si>
    <t>1024-1025</t>
  </si>
  <si>
    <r>
      <rPr>
        <rFont val="宋体"/>
        <b/>
        <color theme="1"/>
        <sz val="12.0"/>
      </rPr>
      <t>√</t>
    </r>
  </si>
  <si>
    <r>
      <rPr>
        <rFont val="宋体"/>
        <color theme="1"/>
        <sz val="12.0"/>
      </rPr>
      <t>总</t>
    </r>
    <r>
      <rPr>
        <rFont val="Calibri"/>
        <color theme="1"/>
        <sz val="12.0"/>
      </rPr>
      <t>PV</t>
    </r>
    <r>
      <rPr>
        <rFont val="宋体"/>
        <color theme="1"/>
        <sz val="12.0"/>
      </rPr>
      <t>发电量</t>
    </r>
  </si>
  <si>
    <t>EPVTotal</t>
  </si>
  <si>
    <t>1026-1027</t>
  </si>
  <si>
    <r>
      <rPr>
        <rFont val="宋体"/>
        <color theme="1"/>
        <sz val="11.0"/>
      </rPr>
      <t>存</t>
    </r>
  </si>
  <si>
    <r>
      <rPr>
        <rFont val="宋体"/>
        <b/>
        <color theme="1"/>
        <sz val="12.0"/>
      </rPr>
      <t>√</t>
    </r>
  </si>
  <si>
    <r>
      <rPr>
        <rFont val="宋体"/>
        <color theme="1"/>
        <sz val="12.0"/>
      </rPr>
      <t>预留</t>
    </r>
  </si>
  <si>
    <t>1028-1499</t>
  </si>
  <si>
    <r>
      <rPr>
        <rFont val="宋体"/>
        <b/>
        <color theme="1"/>
        <sz val="12.0"/>
      </rPr>
      <t>√</t>
    </r>
  </si>
  <si>
    <r>
      <rPr>
        <rFont val="宋体"/>
        <b/>
        <color theme="1"/>
        <sz val="12.0"/>
      </rPr>
      <t>实时运行信息</t>
    </r>
    <r>
      <rPr>
        <rFont val="Calibri"/>
        <b/>
        <color theme="1"/>
        <sz val="12.0"/>
      </rPr>
      <t>3</t>
    </r>
    <r>
      <rPr>
        <rFont val="宋体"/>
        <b/>
        <color theme="1"/>
        <sz val="12.0"/>
      </rPr>
      <t>（</t>
    </r>
    <r>
      <rPr>
        <rFont val="Calibri"/>
        <b/>
        <color theme="1"/>
        <sz val="12.0"/>
      </rPr>
      <t>Backup</t>
    </r>
    <r>
      <rPr>
        <rFont val="宋体"/>
        <b/>
        <color theme="1"/>
        <sz val="12.0"/>
      </rPr>
      <t>运行信息）</t>
    </r>
  </si>
  <si>
    <r>
      <rPr>
        <rFont val="宋体"/>
        <b/>
        <color theme="1"/>
        <sz val="12.0"/>
      </rPr>
      <t>√</t>
    </r>
  </si>
  <si>
    <r>
      <rPr>
        <rFont val="Calibri"/>
        <color theme="1"/>
        <sz val="12.0"/>
      </rPr>
      <t>R</t>
    </r>
    <r>
      <rPr>
        <rFont val="宋体"/>
        <color theme="1"/>
        <sz val="12.0"/>
      </rPr>
      <t>相电压直流分量</t>
    </r>
  </si>
  <si>
    <t>DCVR</t>
  </si>
  <si>
    <t>1500</t>
  </si>
  <si>
    <t>mV</t>
  </si>
  <si>
    <r>
      <rPr>
        <rFont val="宋体"/>
        <color theme="1"/>
        <sz val="12.0"/>
      </rPr>
      <t>如果输出类型是</t>
    </r>
    <r>
      <rPr>
        <rFont val="Calibri"/>
        <color theme="1"/>
        <sz val="12.0"/>
      </rPr>
      <t>0,</t>
    </r>
    <r>
      <rPr>
        <rFont val="宋体"/>
        <color theme="1"/>
        <sz val="12.0"/>
      </rPr>
      <t>只有</t>
    </r>
    <r>
      <rPr>
        <rFont val="Calibri"/>
        <color theme="1"/>
        <sz val="12.0"/>
      </rPr>
      <t>A</t>
    </r>
    <r>
      <rPr>
        <rFont val="宋体"/>
        <color theme="1"/>
        <sz val="12.0"/>
      </rPr>
      <t>相电压、</t>
    </r>
    <r>
      <rPr>
        <rFont val="Calibri"/>
        <color theme="1"/>
        <sz val="12.0"/>
      </rPr>
      <t>A</t>
    </r>
    <r>
      <rPr>
        <rFont val="宋体"/>
        <color theme="1"/>
        <sz val="12.0"/>
      </rPr>
      <t>相电电流有效；
如果输出类型是</t>
    </r>
    <r>
      <rPr>
        <rFont val="Calibri"/>
        <color theme="1"/>
        <sz val="12.0"/>
      </rPr>
      <t xml:space="preserve"> 1,</t>
    </r>
    <r>
      <rPr>
        <rFont val="宋体"/>
        <color theme="1"/>
        <sz val="12.0"/>
      </rPr>
      <t>表示：</t>
    </r>
    <r>
      <rPr>
        <rFont val="Calibri"/>
        <color theme="1"/>
        <sz val="12.0"/>
      </rPr>
      <t>“X</t>
    </r>
    <r>
      <rPr>
        <rFont val="宋体"/>
        <color theme="1"/>
        <sz val="12.0"/>
      </rPr>
      <t>相电压</t>
    </r>
    <r>
      <rPr>
        <rFont val="Calibri"/>
        <color theme="1"/>
        <sz val="12.0"/>
      </rPr>
      <t>”</t>
    </r>
    <r>
      <rPr>
        <rFont val="宋体"/>
        <color theme="1"/>
        <sz val="12.0"/>
      </rPr>
      <t>；
如果输出类型是</t>
    </r>
    <r>
      <rPr>
        <rFont val="Calibri"/>
        <color theme="1"/>
        <sz val="12.0"/>
      </rPr>
      <t xml:space="preserve"> 2,</t>
    </r>
    <r>
      <rPr>
        <rFont val="宋体"/>
        <color theme="1"/>
        <sz val="12.0"/>
      </rPr>
      <t>表示：</t>
    </r>
    <r>
      <rPr>
        <rFont val="Calibri"/>
        <color theme="1"/>
        <sz val="12.0"/>
      </rPr>
      <t xml:space="preserve">“x-x </t>
    </r>
    <r>
      <rPr>
        <rFont val="宋体"/>
        <color theme="1"/>
        <sz val="12.0"/>
      </rPr>
      <t>线电压</t>
    </r>
    <r>
      <rPr>
        <rFont val="Calibri"/>
        <color theme="1"/>
        <sz val="12.0"/>
      </rPr>
      <t>”.</t>
    </r>
  </si>
  <si>
    <t>新增单位mV</t>
  </si>
  <si>
    <r>
      <rPr>
        <rFont val="宋体"/>
        <b/>
        <color theme="1"/>
        <sz val="12.0"/>
      </rPr>
      <t>√</t>
    </r>
  </si>
  <si>
    <r>
      <rPr>
        <rFont val="Calibri"/>
        <color theme="1"/>
        <sz val="12.0"/>
      </rPr>
      <t>S</t>
    </r>
    <r>
      <rPr>
        <rFont val="宋体"/>
        <color theme="1"/>
        <sz val="12.0"/>
      </rPr>
      <t>相电压直流分量</t>
    </r>
  </si>
  <si>
    <t>DCVS</t>
  </si>
  <si>
    <t>1501</t>
  </si>
  <si>
    <r>
      <rPr>
        <rFont val="宋体"/>
        <b/>
        <color theme="1"/>
        <sz val="12.0"/>
      </rPr>
      <t>√</t>
    </r>
  </si>
  <si>
    <r>
      <rPr>
        <rFont val="Calibri"/>
        <color theme="1"/>
        <sz val="12.0"/>
      </rPr>
      <t>T</t>
    </r>
    <r>
      <rPr>
        <rFont val="宋体"/>
        <color theme="1"/>
        <sz val="12.0"/>
      </rPr>
      <t>相电压直流分量</t>
    </r>
  </si>
  <si>
    <t>DCVT</t>
  </si>
  <si>
    <t>1502</t>
  </si>
  <si>
    <r>
      <rPr>
        <rFont val="宋体"/>
        <b/>
        <color theme="1"/>
        <sz val="12.0"/>
      </rPr>
      <t>√</t>
    </r>
  </si>
  <si>
    <r>
      <rPr>
        <rFont val="Calibri"/>
        <color theme="1"/>
        <sz val="12.0"/>
      </rPr>
      <t>R</t>
    </r>
    <r>
      <rPr>
        <rFont val="宋体"/>
        <color theme="1"/>
        <sz val="12.0"/>
      </rPr>
      <t>相</t>
    </r>
    <r>
      <rPr>
        <rFont val="Calibri"/>
        <color theme="1"/>
        <sz val="12.0"/>
      </rPr>
      <t>EPS</t>
    </r>
    <r>
      <rPr>
        <rFont val="宋体"/>
        <color theme="1"/>
        <sz val="12.0"/>
      </rPr>
      <t>电压</t>
    </r>
  </si>
  <si>
    <t>VepsR</t>
  </si>
  <si>
    <t>1503</t>
  </si>
  <si>
    <r>
      <rPr>
        <rFont val="宋体"/>
        <b/>
        <color theme="1"/>
        <sz val="12.0"/>
      </rPr>
      <t>√</t>
    </r>
  </si>
  <si>
    <r>
      <rPr>
        <rFont val="Calibri"/>
        <color theme="1"/>
        <sz val="12.0"/>
      </rPr>
      <t>S</t>
    </r>
    <r>
      <rPr>
        <rFont val="宋体"/>
        <color theme="1"/>
        <sz val="12.0"/>
      </rPr>
      <t>相</t>
    </r>
    <r>
      <rPr>
        <rFont val="Calibri"/>
        <color theme="1"/>
        <sz val="12.0"/>
      </rPr>
      <t>EPS</t>
    </r>
    <r>
      <rPr>
        <rFont val="宋体"/>
        <color theme="1"/>
        <sz val="12.0"/>
      </rPr>
      <t>电压</t>
    </r>
  </si>
  <si>
    <t>VepsS</t>
  </si>
  <si>
    <t>1504</t>
  </si>
  <si>
    <r>
      <rPr>
        <rFont val="宋体"/>
        <b/>
        <color theme="1"/>
        <sz val="12.0"/>
      </rPr>
      <t>√</t>
    </r>
  </si>
  <si>
    <r>
      <rPr>
        <rFont val="Calibri"/>
        <color theme="1"/>
        <sz val="12.0"/>
      </rPr>
      <t>T</t>
    </r>
    <r>
      <rPr>
        <rFont val="宋体"/>
        <color theme="1"/>
        <sz val="12.0"/>
      </rPr>
      <t>相</t>
    </r>
    <r>
      <rPr>
        <rFont val="Calibri"/>
        <color theme="1"/>
        <sz val="12.0"/>
      </rPr>
      <t>EPS</t>
    </r>
    <r>
      <rPr>
        <rFont val="宋体"/>
        <color theme="1"/>
        <sz val="12.0"/>
      </rPr>
      <t>电压</t>
    </r>
  </si>
  <si>
    <t>VepsT</t>
  </si>
  <si>
    <t>1505</t>
  </si>
  <si>
    <r>
      <rPr>
        <rFont val="宋体"/>
        <b/>
        <color theme="1"/>
        <sz val="12.0"/>
      </rPr>
      <t>√</t>
    </r>
  </si>
  <si>
    <r>
      <rPr>
        <rFont val="Calibri"/>
        <color theme="1"/>
        <sz val="12.0"/>
      </rPr>
      <t>R</t>
    </r>
    <r>
      <rPr>
        <rFont val="宋体"/>
        <color theme="1"/>
        <sz val="12.0"/>
      </rPr>
      <t>相</t>
    </r>
    <r>
      <rPr>
        <rFont val="Calibri"/>
        <color theme="1"/>
        <sz val="12.0"/>
      </rPr>
      <t>EPS</t>
    </r>
    <r>
      <rPr>
        <rFont val="宋体"/>
        <color theme="1"/>
        <sz val="12.0"/>
      </rPr>
      <t>电流</t>
    </r>
  </si>
  <si>
    <t>IepsR</t>
  </si>
  <si>
    <t>1506</t>
  </si>
  <si>
    <r>
      <rPr>
        <rFont val="宋体"/>
        <b/>
        <color theme="1"/>
        <sz val="12.0"/>
      </rPr>
      <t>√</t>
    </r>
  </si>
  <si>
    <r>
      <rPr>
        <rFont val="Calibri"/>
        <color theme="1"/>
        <sz val="12.0"/>
      </rPr>
      <t>S</t>
    </r>
    <r>
      <rPr>
        <rFont val="宋体"/>
        <color theme="1"/>
        <sz val="12.0"/>
      </rPr>
      <t>相</t>
    </r>
    <r>
      <rPr>
        <rFont val="Calibri"/>
        <color theme="1"/>
        <sz val="12.0"/>
      </rPr>
      <t>EPS</t>
    </r>
    <r>
      <rPr>
        <rFont val="宋体"/>
        <color theme="1"/>
        <sz val="12.0"/>
      </rPr>
      <t>电流</t>
    </r>
  </si>
  <si>
    <t>IepsS</t>
  </si>
  <si>
    <t>1507</t>
  </si>
  <si>
    <r>
      <rPr>
        <rFont val="宋体"/>
        <b/>
        <color theme="1"/>
        <sz val="12.0"/>
      </rPr>
      <t>√</t>
    </r>
  </si>
  <si>
    <r>
      <rPr>
        <rFont val="Calibri"/>
        <color theme="1"/>
        <sz val="12.0"/>
      </rPr>
      <t>T</t>
    </r>
    <r>
      <rPr>
        <rFont val="宋体"/>
        <color theme="1"/>
        <sz val="12.0"/>
      </rPr>
      <t>相</t>
    </r>
    <r>
      <rPr>
        <rFont val="Calibri"/>
        <color theme="1"/>
        <sz val="12.0"/>
      </rPr>
      <t>EPS</t>
    </r>
    <r>
      <rPr>
        <rFont val="宋体"/>
        <color theme="1"/>
        <sz val="12.0"/>
      </rPr>
      <t>电流</t>
    </r>
  </si>
  <si>
    <t>IepsT</t>
  </si>
  <si>
    <t>1508</t>
  </si>
  <si>
    <r>
      <rPr>
        <rFont val="宋体"/>
        <b/>
        <color theme="1"/>
        <sz val="12.0"/>
      </rPr>
      <t>√</t>
    </r>
  </si>
  <si>
    <r>
      <rPr>
        <rFont val="Calibri"/>
        <color theme="1"/>
        <sz val="12.0"/>
      </rPr>
      <t>R</t>
    </r>
    <r>
      <rPr>
        <rFont val="宋体"/>
        <color theme="1"/>
        <sz val="12.0"/>
      </rPr>
      <t>相</t>
    </r>
    <r>
      <rPr>
        <rFont val="Calibri"/>
        <color theme="1"/>
        <sz val="12.0"/>
      </rPr>
      <t>EPS</t>
    </r>
    <r>
      <rPr>
        <rFont val="宋体"/>
        <color theme="1"/>
        <sz val="12.0"/>
      </rPr>
      <t>频率</t>
    </r>
  </si>
  <si>
    <t>FepsR</t>
  </si>
  <si>
    <t>1509</t>
  </si>
  <si>
    <r>
      <rPr>
        <rFont val="宋体"/>
        <b/>
        <color theme="1"/>
        <sz val="12.0"/>
      </rPr>
      <t>√</t>
    </r>
  </si>
  <si>
    <r>
      <rPr>
        <rFont val="Calibri"/>
        <color theme="1"/>
        <sz val="12.0"/>
      </rPr>
      <t>R</t>
    </r>
    <r>
      <rPr>
        <rFont val="宋体"/>
        <color theme="1"/>
        <sz val="12.0"/>
      </rPr>
      <t>相</t>
    </r>
    <r>
      <rPr>
        <rFont val="Calibri"/>
        <color theme="1"/>
        <sz val="12.0"/>
      </rPr>
      <t>EPS</t>
    </r>
    <r>
      <rPr>
        <rFont val="宋体"/>
        <color theme="1"/>
        <sz val="12.0"/>
      </rPr>
      <t>有功功率</t>
    </r>
  </si>
  <si>
    <t>PepsR</t>
  </si>
  <si>
    <t>1510</t>
  </si>
  <si>
    <r>
      <rPr>
        <rFont val="宋体"/>
        <b/>
        <color theme="1"/>
        <sz val="12.0"/>
      </rPr>
      <t>√</t>
    </r>
  </si>
  <si>
    <r>
      <rPr>
        <rFont val="Calibri"/>
        <color theme="1"/>
        <sz val="12.0"/>
      </rPr>
      <t>S</t>
    </r>
    <r>
      <rPr>
        <rFont val="宋体"/>
        <color theme="1"/>
        <sz val="12.0"/>
      </rPr>
      <t>相</t>
    </r>
    <r>
      <rPr>
        <rFont val="Calibri"/>
        <color theme="1"/>
        <sz val="12.0"/>
      </rPr>
      <t>EPS</t>
    </r>
    <r>
      <rPr>
        <rFont val="宋体"/>
        <color theme="1"/>
        <sz val="12.0"/>
      </rPr>
      <t>有功功率</t>
    </r>
  </si>
  <si>
    <t>PepsS</t>
  </si>
  <si>
    <t>1511</t>
  </si>
  <si>
    <r>
      <rPr>
        <rFont val="宋体"/>
        <b/>
        <color theme="1"/>
        <sz val="12.0"/>
      </rPr>
      <t>√</t>
    </r>
  </si>
  <si>
    <r>
      <rPr>
        <rFont val="Calibri"/>
        <color theme="1"/>
        <sz val="12.0"/>
      </rPr>
      <t>T</t>
    </r>
    <r>
      <rPr>
        <rFont val="宋体"/>
        <color theme="1"/>
        <sz val="12.0"/>
      </rPr>
      <t>相</t>
    </r>
    <r>
      <rPr>
        <rFont val="Calibri"/>
        <color theme="1"/>
        <sz val="12.0"/>
      </rPr>
      <t>EPS</t>
    </r>
    <r>
      <rPr>
        <rFont val="宋体"/>
        <color theme="1"/>
        <sz val="12.0"/>
      </rPr>
      <t>有功功率</t>
    </r>
  </si>
  <si>
    <t>PepsT</t>
  </si>
  <si>
    <t>1512</t>
  </si>
  <si>
    <r>
      <rPr>
        <rFont val="宋体"/>
        <b/>
        <color theme="1"/>
        <sz val="12.0"/>
      </rPr>
      <t>√</t>
    </r>
  </si>
  <si>
    <r>
      <rPr>
        <rFont val="宋体"/>
        <color theme="1"/>
        <sz val="12.0"/>
      </rPr>
      <t>总</t>
    </r>
    <r>
      <rPr>
        <rFont val="Calibri"/>
        <color theme="1"/>
        <sz val="12.0"/>
      </rPr>
      <t>EPS</t>
    </r>
    <r>
      <rPr>
        <rFont val="宋体"/>
        <color theme="1"/>
        <sz val="12.0"/>
      </rPr>
      <t>有功功率</t>
    </r>
  </si>
  <si>
    <t>Peps</t>
  </si>
  <si>
    <t>1513-1514</t>
  </si>
  <si>
    <r>
      <rPr>
        <rFont val="宋体"/>
        <color theme="1"/>
        <sz val="11.0"/>
      </rPr>
      <t>离网并联时有功、无功也有可能是负值，相关的改成有符号数。</t>
    </r>
  </si>
  <si>
    <r>
      <rPr>
        <rFont val="宋体"/>
        <b/>
        <color theme="1"/>
        <sz val="12.0"/>
      </rPr>
      <t>√</t>
    </r>
  </si>
  <si>
    <r>
      <rPr>
        <rFont val="宋体"/>
        <color theme="1"/>
        <sz val="12.0"/>
      </rPr>
      <t>总</t>
    </r>
    <r>
      <rPr>
        <rFont val="Calibri"/>
        <color theme="1"/>
        <sz val="12.0"/>
      </rPr>
      <t>EPS</t>
    </r>
    <r>
      <rPr>
        <rFont val="宋体"/>
        <color theme="1"/>
        <sz val="12.0"/>
      </rPr>
      <t>无功功率</t>
    </r>
  </si>
  <si>
    <t>Qeps</t>
  </si>
  <si>
    <t>1515-1516</t>
  </si>
  <si>
    <r>
      <rPr>
        <rFont val="Calibri"/>
        <color theme="1"/>
        <sz val="11.0"/>
      </rPr>
      <t>VA</t>
    </r>
    <r>
      <rPr>
        <rFont val="宋体"/>
        <color theme="1"/>
        <sz val="11.0"/>
      </rPr>
      <t>修改为</t>
    </r>
    <r>
      <rPr>
        <rFont val="Calibri"/>
        <color theme="1"/>
        <sz val="11.0"/>
      </rPr>
      <t>Var</t>
    </r>
  </si>
  <si>
    <t>√</t>
  </si>
  <si>
    <r>
      <rPr>
        <rFont val="宋体"/>
        <color theme="1"/>
        <sz val="12.0"/>
      </rPr>
      <t>总</t>
    </r>
    <r>
      <rPr>
        <rFont val="Calibri"/>
        <color theme="1"/>
        <sz val="12.0"/>
      </rPr>
      <t>EPS</t>
    </r>
    <r>
      <rPr>
        <rFont val="宋体"/>
        <color theme="1"/>
        <sz val="12.0"/>
      </rPr>
      <t>视在功率</t>
    </r>
  </si>
  <si>
    <t>Seps</t>
  </si>
  <si>
    <t>1517-1518</t>
  </si>
  <si>
    <r>
      <rPr>
        <rFont val="宋体"/>
        <b/>
        <color theme="1"/>
        <sz val="12.0"/>
      </rPr>
      <t>√</t>
    </r>
  </si>
  <si>
    <r>
      <rPr>
        <rFont val="宋体"/>
        <color theme="1"/>
        <sz val="12.0"/>
      </rPr>
      <t>当日</t>
    </r>
    <r>
      <rPr>
        <rFont val="Calibri"/>
        <color theme="1"/>
        <sz val="12.0"/>
      </rPr>
      <t>EPS</t>
    </r>
    <r>
      <rPr>
        <rFont val="宋体"/>
        <color theme="1"/>
        <sz val="12.0"/>
      </rPr>
      <t>放电量</t>
    </r>
  </si>
  <si>
    <t>EepsInvDay</t>
  </si>
  <si>
    <t>1519</t>
  </si>
  <si>
    <r>
      <rPr>
        <rFont val="宋体"/>
        <color theme="1"/>
        <sz val="11.0"/>
      </rPr>
      <t>存</t>
    </r>
  </si>
  <si>
    <r>
      <rPr>
        <rFont val="宋体"/>
        <b/>
        <color theme="1"/>
        <sz val="12.0"/>
      </rPr>
      <t>√</t>
    </r>
  </si>
  <si>
    <r>
      <rPr>
        <rFont val="宋体"/>
        <color theme="1"/>
        <sz val="12.0"/>
      </rPr>
      <t>当日</t>
    </r>
    <r>
      <rPr>
        <rFont val="Calibri"/>
        <color theme="1"/>
        <sz val="12.0"/>
      </rPr>
      <t>EPS</t>
    </r>
    <r>
      <rPr>
        <rFont val="宋体"/>
        <color theme="1"/>
        <sz val="12.0"/>
      </rPr>
      <t>充电量</t>
    </r>
  </si>
  <si>
    <t>EepsRecDay</t>
  </si>
  <si>
    <t>1520</t>
  </si>
  <si>
    <r>
      <rPr>
        <rFont val="宋体"/>
        <color theme="1"/>
        <sz val="11.0"/>
      </rPr>
      <t>存</t>
    </r>
  </si>
  <si>
    <r>
      <rPr>
        <rFont val="宋体"/>
        <b/>
        <color theme="1"/>
        <sz val="12.0"/>
      </rPr>
      <t>√</t>
    </r>
  </si>
  <si>
    <r>
      <rPr>
        <rFont val="Calibri"/>
        <color theme="1"/>
        <sz val="12.0"/>
      </rPr>
      <t>R</t>
    </r>
    <r>
      <rPr>
        <rFont val="宋体"/>
        <color theme="1"/>
        <sz val="12.0"/>
      </rPr>
      <t>相</t>
    </r>
    <r>
      <rPr>
        <rFont val="Calibri"/>
        <color theme="1"/>
        <sz val="12.0"/>
      </rPr>
      <t>GEN</t>
    </r>
    <r>
      <rPr>
        <rFont val="宋体"/>
        <color theme="1"/>
        <sz val="12.0"/>
      </rPr>
      <t>电压</t>
    </r>
  </si>
  <si>
    <t>VgenR</t>
  </si>
  <si>
    <t>1521</t>
  </si>
  <si>
    <r>
      <rPr>
        <rFont val="宋体"/>
        <color theme="1"/>
        <sz val="11.0"/>
      </rPr>
      <t>新增单位</t>
    </r>
    <r>
      <rPr>
        <rFont val="Calibri"/>
        <color theme="1"/>
        <sz val="11.0"/>
      </rPr>
      <t>0.1V</t>
    </r>
  </si>
  <si>
    <r>
      <rPr>
        <rFont val="Calibri"/>
        <color theme="1"/>
        <sz val="12.0"/>
      </rPr>
      <t>S</t>
    </r>
    <r>
      <rPr>
        <rFont val="宋体"/>
        <color theme="1"/>
        <sz val="12.0"/>
      </rPr>
      <t>相</t>
    </r>
    <r>
      <rPr>
        <rFont val="Calibri"/>
        <color theme="1"/>
        <sz val="12.0"/>
      </rPr>
      <t>GEN</t>
    </r>
    <r>
      <rPr>
        <rFont val="宋体"/>
        <color theme="1"/>
        <sz val="12.0"/>
      </rPr>
      <t>电压</t>
    </r>
  </si>
  <si>
    <t>VgenS</t>
  </si>
  <si>
    <t>1522</t>
  </si>
  <si>
    <r>
      <rPr>
        <rFont val="Calibri"/>
        <color theme="1"/>
        <sz val="12.0"/>
      </rPr>
      <t>T</t>
    </r>
    <r>
      <rPr>
        <rFont val="宋体"/>
        <color theme="1"/>
        <sz val="12.0"/>
      </rPr>
      <t>相</t>
    </r>
    <r>
      <rPr>
        <rFont val="Calibri"/>
        <color theme="1"/>
        <sz val="12.0"/>
      </rPr>
      <t>GEN</t>
    </r>
    <r>
      <rPr>
        <rFont val="宋体"/>
        <color theme="1"/>
        <sz val="12.0"/>
      </rPr>
      <t>电压</t>
    </r>
  </si>
  <si>
    <t>VgenT</t>
  </si>
  <si>
    <t>1523</t>
  </si>
  <si>
    <r>
      <rPr>
        <rFont val="Calibri"/>
        <color theme="1"/>
        <sz val="12.0"/>
      </rPr>
      <t>R</t>
    </r>
    <r>
      <rPr>
        <rFont val="宋体"/>
        <color theme="1"/>
        <sz val="12.0"/>
      </rPr>
      <t>相</t>
    </r>
    <r>
      <rPr>
        <rFont val="Calibri"/>
        <color theme="1"/>
        <sz val="12.0"/>
      </rPr>
      <t>GEN</t>
    </r>
    <r>
      <rPr>
        <rFont val="宋体"/>
        <color theme="1"/>
        <sz val="12.0"/>
      </rPr>
      <t>电流</t>
    </r>
  </si>
  <si>
    <t>IgenR</t>
  </si>
  <si>
    <t>1524</t>
  </si>
  <si>
    <r>
      <rPr>
        <rFont val="宋体"/>
        <color theme="1"/>
        <sz val="11.0"/>
      </rPr>
      <t>新增单位</t>
    </r>
    <r>
      <rPr>
        <rFont val="Calibri"/>
        <color theme="1"/>
        <sz val="11.0"/>
      </rPr>
      <t>0.01A</t>
    </r>
  </si>
  <si>
    <r>
      <rPr>
        <rFont val="Calibri"/>
        <color theme="1"/>
        <sz val="12.0"/>
      </rPr>
      <t>S</t>
    </r>
    <r>
      <rPr>
        <rFont val="宋体"/>
        <color theme="1"/>
        <sz val="12.0"/>
      </rPr>
      <t>相</t>
    </r>
    <r>
      <rPr>
        <rFont val="Calibri"/>
        <color theme="1"/>
        <sz val="12.0"/>
      </rPr>
      <t>GEN</t>
    </r>
    <r>
      <rPr>
        <rFont val="宋体"/>
        <color theme="1"/>
        <sz val="12.0"/>
      </rPr>
      <t>电流</t>
    </r>
  </si>
  <si>
    <t>IgenS</t>
  </si>
  <si>
    <t>1525</t>
  </si>
  <si>
    <r>
      <rPr>
        <rFont val="Calibri"/>
        <color theme="1"/>
        <sz val="12.0"/>
      </rPr>
      <t>T</t>
    </r>
    <r>
      <rPr>
        <rFont val="宋体"/>
        <color theme="1"/>
        <sz val="12.0"/>
      </rPr>
      <t>相</t>
    </r>
    <r>
      <rPr>
        <rFont val="Calibri"/>
        <color theme="1"/>
        <sz val="12.0"/>
      </rPr>
      <t>GEN</t>
    </r>
    <r>
      <rPr>
        <rFont val="宋体"/>
        <color theme="1"/>
        <sz val="12.0"/>
      </rPr>
      <t>电流</t>
    </r>
  </si>
  <si>
    <t>IgenT</t>
  </si>
  <si>
    <t>1526</t>
  </si>
  <si>
    <r>
      <rPr>
        <rFont val="Calibri"/>
        <color theme="1"/>
        <sz val="12.0"/>
      </rPr>
      <t>R</t>
    </r>
    <r>
      <rPr>
        <rFont val="宋体"/>
        <color theme="1"/>
        <sz val="12.0"/>
      </rPr>
      <t>相</t>
    </r>
    <r>
      <rPr>
        <rFont val="Calibri"/>
        <color theme="1"/>
        <sz val="12.0"/>
      </rPr>
      <t>GEN</t>
    </r>
    <r>
      <rPr>
        <rFont val="宋体"/>
        <color theme="1"/>
        <sz val="12.0"/>
      </rPr>
      <t>有功功率</t>
    </r>
  </si>
  <si>
    <t>PgenR</t>
  </si>
  <si>
    <t>1527</t>
  </si>
  <si>
    <r>
      <rPr>
        <rFont val="宋体"/>
        <color theme="1"/>
        <sz val="11.0"/>
      </rPr>
      <t>新增单位</t>
    </r>
    <r>
      <rPr>
        <rFont val="Calibri"/>
        <color theme="1"/>
        <sz val="11.0"/>
      </rPr>
      <t>W</t>
    </r>
  </si>
  <si>
    <r>
      <rPr>
        <rFont val="Calibri"/>
        <color theme="1"/>
        <sz val="12.0"/>
      </rPr>
      <t>S</t>
    </r>
    <r>
      <rPr>
        <rFont val="宋体"/>
        <color theme="1"/>
        <sz val="12.0"/>
      </rPr>
      <t>相</t>
    </r>
    <r>
      <rPr>
        <rFont val="Calibri"/>
        <color theme="1"/>
        <sz val="12.0"/>
      </rPr>
      <t>GEN</t>
    </r>
    <r>
      <rPr>
        <rFont val="宋体"/>
        <color theme="1"/>
        <sz val="12.0"/>
      </rPr>
      <t>有功功率</t>
    </r>
  </si>
  <si>
    <t>PgenS</t>
  </si>
  <si>
    <t>1528</t>
  </si>
  <si>
    <r>
      <rPr>
        <rFont val="Calibri"/>
        <color theme="1"/>
        <sz val="12.0"/>
      </rPr>
      <t>T</t>
    </r>
    <r>
      <rPr>
        <rFont val="宋体"/>
        <color theme="1"/>
        <sz val="12.0"/>
      </rPr>
      <t>相</t>
    </r>
    <r>
      <rPr>
        <rFont val="Calibri"/>
        <color theme="1"/>
        <sz val="12.0"/>
      </rPr>
      <t>GEN</t>
    </r>
    <r>
      <rPr>
        <rFont val="宋体"/>
        <color theme="1"/>
        <sz val="12.0"/>
      </rPr>
      <t>有功功率</t>
    </r>
  </si>
  <si>
    <t>PgenT</t>
  </si>
  <si>
    <t>1529</t>
  </si>
  <si>
    <r>
      <rPr>
        <rFont val="宋体"/>
        <color theme="1"/>
        <sz val="12.0"/>
      </rPr>
      <t>总</t>
    </r>
    <r>
      <rPr>
        <rFont val="Calibri"/>
        <color theme="1"/>
        <sz val="12.0"/>
      </rPr>
      <t>GEN</t>
    </r>
    <r>
      <rPr>
        <rFont val="宋体"/>
        <color theme="1"/>
        <sz val="12.0"/>
      </rPr>
      <t>有功功率</t>
    </r>
  </si>
  <si>
    <t>Pgen</t>
  </si>
  <si>
    <t>1530-1531</t>
  </si>
  <si>
    <r>
      <rPr>
        <rFont val="宋体"/>
        <color theme="1"/>
        <sz val="12.0"/>
      </rPr>
      <t>总</t>
    </r>
    <r>
      <rPr>
        <rFont val="Calibri"/>
        <color theme="1"/>
        <sz val="12.0"/>
      </rPr>
      <t>GEN</t>
    </r>
    <r>
      <rPr>
        <rFont val="宋体"/>
        <color theme="1"/>
        <sz val="12.0"/>
      </rPr>
      <t>无功功率</t>
    </r>
  </si>
  <si>
    <t>Qgen</t>
  </si>
  <si>
    <t>1532-1533</t>
  </si>
  <si>
    <t>新增单位Var</t>
  </si>
  <si>
    <r>
      <rPr>
        <rFont val="宋体"/>
        <color theme="1"/>
        <sz val="12.0"/>
      </rPr>
      <t>总</t>
    </r>
    <r>
      <rPr>
        <rFont val="Calibri"/>
        <color theme="1"/>
        <sz val="12.0"/>
      </rPr>
      <t>GEN</t>
    </r>
    <r>
      <rPr>
        <rFont val="宋体"/>
        <color theme="1"/>
        <sz val="12.0"/>
      </rPr>
      <t>视在功率</t>
    </r>
  </si>
  <si>
    <t>Sgen</t>
  </si>
  <si>
    <t>1534-1535</t>
  </si>
  <si>
    <r>
      <rPr>
        <rFont val="宋体"/>
        <color theme="1"/>
        <sz val="11.0"/>
      </rPr>
      <t>新增单位</t>
    </r>
    <r>
      <rPr>
        <rFont val="Calibri"/>
        <color theme="1"/>
        <sz val="11.0"/>
      </rPr>
      <t>VA</t>
    </r>
  </si>
  <si>
    <r>
      <rPr>
        <rFont val="宋体"/>
        <color theme="1"/>
        <sz val="12.0"/>
      </rPr>
      <t>当日</t>
    </r>
    <r>
      <rPr>
        <rFont val="Calibri"/>
        <color theme="1"/>
        <sz val="12.0"/>
      </rPr>
      <t>GEN</t>
    </r>
    <r>
      <rPr>
        <rFont val="宋体"/>
        <color theme="1"/>
        <sz val="12.0"/>
      </rPr>
      <t>发电量</t>
    </r>
  </si>
  <si>
    <t>EgenDay</t>
  </si>
  <si>
    <t>新增单位0.1kwh</t>
  </si>
  <si>
    <r>
      <rPr>
        <rFont val="宋体"/>
        <color theme="1"/>
        <sz val="12.0"/>
      </rPr>
      <t>总</t>
    </r>
    <r>
      <rPr>
        <rFont val="Calibri"/>
        <color theme="1"/>
        <sz val="12.0"/>
      </rPr>
      <t>EPS</t>
    </r>
    <r>
      <rPr>
        <rFont val="宋体"/>
        <color theme="1"/>
        <sz val="12.0"/>
      </rPr>
      <t>放电量</t>
    </r>
  </si>
  <si>
    <t>EepsInvTotal</t>
  </si>
  <si>
    <t>1537-1538</t>
  </si>
  <si>
    <r>
      <rPr>
        <rFont val="宋体"/>
        <color theme="1"/>
        <sz val="12.0"/>
      </rPr>
      <t>总</t>
    </r>
    <r>
      <rPr>
        <rFont val="Calibri"/>
        <color theme="1"/>
        <sz val="12.0"/>
      </rPr>
      <t>EPS</t>
    </r>
    <r>
      <rPr>
        <rFont val="宋体"/>
        <color theme="1"/>
        <sz val="12.0"/>
      </rPr>
      <t>充电量</t>
    </r>
  </si>
  <si>
    <t>EepsRecTotal</t>
  </si>
  <si>
    <t>1539-1540</t>
  </si>
  <si>
    <r>
      <rPr>
        <rFont val="宋体"/>
        <color theme="1"/>
        <sz val="12.0"/>
      </rPr>
      <t>总</t>
    </r>
    <r>
      <rPr>
        <rFont val="Calibri"/>
        <color theme="1"/>
        <sz val="12.0"/>
      </rPr>
      <t>GEN</t>
    </r>
    <r>
      <rPr>
        <rFont val="宋体"/>
        <color theme="1"/>
        <sz val="12.0"/>
      </rPr>
      <t>发电量</t>
    </r>
  </si>
  <si>
    <t>EgenTotal</t>
  </si>
  <si>
    <t>1541-1542</t>
  </si>
  <si>
    <r>
      <rPr>
        <rFont val="宋体"/>
        <color theme="1"/>
        <sz val="12.0"/>
      </rPr>
      <t>预留</t>
    </r>
  </si>
  <si>
    <t>1543-1999</t>
  </si>
  <si>
    <r>
      <rPr>
        <rFont val="宋体"/>
        <b/>
        <color theme="1"/>
        <sz val="12.0"/>
      </rPr>
      <t>√</t>
    </r>
  </si>
  <si>
    <r>
      <rPr>
        <rFont val="宋体"/>
        <b/>
        <color theme="1"/>
        <sz val="12.0"/>
      </rPr>
      <t>实时运行信息</t>
    </r>
    <r>
      <rPr>
        <rFont val="Calibri"/>
        <b/>
        <color theme="1"/>
        <sz val="12.0"/>
      </rPr>
      <t>4</t>
    </r>
    <r>
      <rPr>
        <rFont val="宋体"/>
        <b/>
        <color theme="1"/>
        <sz val="12.0"/>
      </rPr>
      <t>（电池运行信息）</t>
    </r>
  </si>
  <si>
    <r>
      <rPr>
        <rFont val="宋体"/>
        <b/>
        <color theme="1"/>
        <sz val="12.0"/>
      </rPr>
      <t>√</t>
    </r>
  </si>
  <si>
    <r>
      <rPr>
        <rFont val="宋体"/>
        <color theme="1"/>
        <sz val="12.0"/>
      </rPr>
      <t>电池状态</t>
    </r>
  </si>
  <si>
    <t>BatState</t>
  </si>
  <si>
    <t>2000</t>
  </si>
  <si>
    <r>
      <rPr>
        <rFont val="宋体"/>
        <color theme="1"/>
        <sz val="10.0"/>
      </rPr>
      <t>无电池
故障
休眠
起动
运行充电
运行放电
运行停止</t>
    </r>
  </si>
  <si>
    <r>
      <rPr>
        <rFont val="宋体"/>
        <color theme="1"/>
        <sz val="11.0"/>
      </rPr>
      <t>不包括强充</t>
    </r>
  </si>
  <si>
    <r>
      <rPr>
        <rFont val="宋体"/>
        <b/>
        <color theme="1"/>
        <sz val="12.0"/>
      </rPr>
      <t>√</t>
    </r>
  </si>
  <si>
    <r>
      <rPr>
        <rFont val="宋体"/>
        <color theme="1"/>
        <sz val="12.0"/>
      </rPr>
      <t>电池温度</t>
    </r>
  </si>
  <si>
    <t>Tbat</t>
  </si>
  <si>
    <t>2001</t>
  </si>
  <si>
    <t>s16</t>
  </si>
  <si>
    <r>
      <rPr>
        <rFont val="Calibri"/>
        <color theme="1"/>
        <sz val="12.0"/>
      </rPr>
      <t>0.1</t>
    </r>
    <r>
      <rPr>
        <rFont val="宋体"/>
        <color theme="1"/>
        <sz val="12.0"/>
      </rPr>
      <t>℃</t>
    </r>
  </si>
  <si>
    <r>
      <rPr>
        <rFont val="宋体"/>
        <b/>
        <color theme="1"/>
        <sz val="12.0"/>
      </rPr>
      <t>√</t>
    </r>
  </si>
  <si>
    <r>
      <rPr>
        <rFont val="宋体"/>
        <color theme="1"/>
        <sz val="12.0"/>
      </rPr>
      <t>电池</t>
    </r>
    <r>
      <rPr>
        <rFont val="宋体"/>
        <color theme="1"/>
        <sz val="12.0"/>
      </rPr>
      <t>电量（</t>
    </r>
    <r>
      <rPr>
        <rFont val="Calibri"/>
        <color theme="1"/>
        <sz val="12.0"/>
      </rPr>
      <t>SOC</t>
    </r>
    <r>
      <rPr>
        <rFont val="宋体"/>
        <color theme="1"/>
        <sz val="12.0"/>
      </rPr>
      <t>）</t>
    </r>
  </si>
  <si>
    <t>SOC</t>
  </si>
  <si>
    <t>2002</t>
  </si>
  <si>
    <t>%</t>
  </si>
  <si>
    <r>
      <rPr>
        <rFont val="宋体"/>
        <b/>
        <color theme="1"/>
        <sz val="12.0"/>
      </rPr>
      <t>√</t>
    </r>
  </si>
  <si>
    <r>
      <rPr>
        <rFont val="宋体"/>
        <color theme="1"/>
        <sz val="12.0"/>
      </rPr>
      <t>电池</t>
    </r>
    <r>
      <rPr>
        <rFont val="宋体"/>
        <color theme="1"/>
        <sz val="12.0"/>
      </rPr>
      <t>健康状况</t>
    </r>
    <r>
      <rPr>
        <rFont val="Calibri"/>
        <color theme="1"/>
        <sz val="12.0"/>
      </rPr>
      <t>(SOH)</t>
    </r>
  </si>
  <si>
    <t>SOH</t>
  </si>
  <si>
    <t>2003</t>
  </si>
  <si>
    <r>
      <rPr>
        <rFont val="宋体"/>
        <b/>
        <color theme="1"/>
        <sz val="12.0"/>
      </rPr>
      <t>√</t>
    </r>
  </si>
  <si>
    <r>
      <rPr>
        <rFont val="宋体"/>
        <color theme="1"/>
        <sz val="12.0"/>
      </rPr>
      <t>电池电压</t>
    </r>
  </si>
  <si>
    <t>Vbat</t>
  </si>
  <si>
    <t>2004</t>
  </si>
  <si>
    <r>
      <rPr>
        <rFont val="宋体"/>
        <b/>
        <color theme="1"/>
        <sz val="12.0"/>
      </rPr>
      <t>√</t>
    </r>
  </si>
  <si>
    <r>
      <rPr>
        <rFont val="宋体"/>
        <color theme="1"/>
        <sz val="12.0"/>
      </rPr>
      <t>电池电流</t>
    </r>
  </si>
  <si>
    <t>Ibat</t>
  </si>
  <si>
    <t>2005</t>
  </si>
  <si>
    <r>
      <rPr>
        <rFont val="宋体"/>
        <color theme="1"/>
        <sz val="12.0"/>
      </rPr>
      <t>正表示电池充电</t>
    </r>
    <r>
      <rPr>
        <rFont val="Calibri"/>
        <color theme="1"/>
        <sz val="12.0"/>
      </rPr>
      <t xml:space="preserve"> </t>
    </r>
    <r>
      <rPr>
        <rFont val="宋体"/>
        <color theme="1"/>
        <sz val="12.0"/>
      </rPr>
      <t>负表示电池放电</t>
    </r>
  </si>
  <si>
    <r>
      <rPr>
        <rFont val="宋体"/>
        <b/>
        <color theme="1"/>
        <sz val="12.0"/>
      </rPr>
      <t>√</t>
    </r>
  </si>
  <si>
    <r>
      <rPr>
        <rFont val="Calibri"/>
        <color theme="1"/>
        <sz val="12.0"/>
      </rPr>
      <t>BuckBoost</t>
    </r>
    <r>
      <rPr>
        <rFont val="宋体"/>
        <color theme="1"/>
        <sz val="12.0"/>
      </rPr>
      <t>电压</t>
    </r>
  </si>
  <si>
    <t>Vbb</t>
  </si>
  <si>
    <t>2006</t>
  </si>
  <si>
    <r>
      <rPr>
        <rFont val="宋体"/>
        <b/>
        <color theme="1"/>
        <sz val="12.0"/>
      </rPr>
      <t>√</t>
    </r>
  </si>
  <si>
    <t>电池总功率</t>
  </si>
  <si>
    <t>Pbat</t>
  </si>
  <si>
    <t>2007-2008</t>
  </si>
  <si>
    <r>
      <rPr>
        <rFont val="宋体"/>
        <color theme="1"/>
        <sz val="12.0"/>
      </rPr>
      <t>正表示电池充电</t>
    </r>
    <r>
      <rPr>
        <rFont val="Calibri"/>
        <color theme="1"/>
        <sz val="12.0"/>
      </rPr>
      <t xml:space="preserve"> </t>
    </r>
    <r>
      <rPr>
        <rFont val="宋体"/>
        <color theme="1"/>
        <sz val="12.0"/>
      </rPr>
      <t>负表示电池放电</t>
    </r>
  </si>
  <si>
    <r>
      <rPr>
        <rFont val="宋体"/>
        <color theme="1"/>
        <sz val="11.0"/>
      </rPr>
      <t>1.改为有符号数</t>
    </r>
    <r>
      <rPr>
        <rFont val="Calibri"/>
        <color theme="1"/>
        <sz val="11.0"/>
      </rPr>
      <t xml:space="preserve">,
2. </t>
    </r>
    <r>
      <rPr>
        <rFont val="宋体"/>
        <color theme="1"/>
        <sz val="11.0"/>
      </rPr>
      <t>单位</t>
    </r>
    <r>
      <rPr>
        <rFont val="Calibri"/>
        <color theme="1"/>
        <sz val="11.0"/>
      </rPr>
      <t>0.1V</t>
    </r>
    <r>
      <rPr>
        <rFont val="宋体"/>
        <color theme="1"/>
        <sz val="11.0"/>
      </rPr>
      <t>修改为</t>
    </r>
    <r>
      <rPr>
        <rFont val="Calibri"/>
        <color theme="1"/>
        <sz val="11.0"/>
      </rPr>
      <t>1W</t>
    </r>
  </si>
  <si>
    <t>电池当日充电量</t>
  </si>
  <si>
    <t>EChgDay</t>
  </si>
  <si>
    <t>2009</t>
  </si>
  <si>
    <t>存</t>
  </si>
  <si>
    <r>
      <rPr>
        <rFont val="宋体"/>
        <color theme="1"/>
        <sz val="11.0"/>
      </rPr>
      <t>单位</t>
    </r>
    <r>
      <rPr>
        <rFont val="Calibri"/>
        <color theme="1"/>
        <sz val="11.0"/>
      </rPr>
      <t>0.1wh</t>
    </r>
    <r>
      <rPr>
        <rFont val="宋体"/>
        <color theme="1"/>
        <sz val="11.0"/>
      </rPr>
      <t>修改为</t>
    </r>
    <r>
      <rPr>
        <rFont val="Calibri"/>
        <color theme="1"/>
        <sz val="11.0"/>
      </rPr>
      <t>0.1kwh</t>
    </r>
  </si>
  <si>
    <t>电池当日放电量</t>
  </si>
  <si>
    <t>EDischgDay</t>
  </si>
  <si>
    <t>2010</t>
  </si>
  <si>
    <t>总电池充电量</t>
  </si>
  <si>
    <t>EChgTotal</t>
  </si>
  <si>
    <t>2011-2012</t>
  </si>
  <si>
    <r>
      <rPr>
        <rFont val="宋体"/>
        <color theme="1"/>
        <sz val="11.0"/>
      </rPr>
      <t>新增单位</t>
    </r>
    <r>
      <rPr>
        <rFont val="Calibri"/>
        <color theme="1"/>
        <sz val="11.0"/>
      </rPr>
      <t>0.1kwh</t>
    </r>
  </si>
  <si>
    <t>总电池放电量</t>
  </si>
  <si>
    <t>EDischgTotal</t>
  </si>
  <si>
    <t>2013-2014</t>
  </si>
  <si>
    <r>
      <rPr>
        <rFont val="宋体"/>
        <color theme="1"/>
        <sz val="11.0"/>
      </rPr>
      <t>新增单位</t>
    </r>
    <r>
      <rPr>
        <rFont val="Calibri"/>
        <color theme="1"/>
        <sz val="11.0"/>
      </rPr>
      <t>0.1kwh</t>
    </r>
  </si>
  <si>
    <r>
      <rPr>
        <rFont val="宋体"/>
        <color theme="1"/>
        <sz val="12.0"/>
      </rPr>
      <t>电池控制命令</t>
    </r>
  </si>
  <si>
    <t>BatCtrlCmd</t>
  </si>
  <si>
    <r>
      <rPr>
        <rFont val="Calibri"/>
        <color theme="1"/>
        <sz val="12.0"/>
      </rPr>
      <t>bit0-1:
0-</t>
    </r>
    <r>
      <rPr>
        <rFont val="宋体"/>
        <color theme="1"/>
        <sz val="12.0"/>
      </rPr>
      <t>无操作</t>
    </r>
    <r>
      <rPr>
        <rFont val="Calibri"/>
        <color theme="1"/>
        <sz val="12.0"/>
      </rPr>
      <t>,1-</t>
    </r>
    <r>
      <rPr>
        <rFont val="宋体"/>
        <color theme="1"/>
        <sz val="12.0"/>
      </rPr>
      <t>高压上电</t>
    </r>
    <r>
      <rPr>
        <rFont val="Calibri"/>
        <color theme="1"/>
        <sz val="12.0"/>
      </rPr>
      <t>,2-</t>
    </r>
    <r>
      <rPr>
        <rFont val="宋体"/>
        <color theme="1"/>
        <sz val="12.0"/>
      </rPr>
      <t xml:space="preserve">高压下电
</t>
    </r>
    <r>
      <rPr>
        <rFont val="Calibri"/>
        <color theme="1"/>
        <sz val="12.0"/>
      </rPr>
      <t>bit2:</t>
    </r>
    <r>
      <rPr>
        <rFont val="宋体"/>
        <color theme="1"/>
        <sz val="12.0"/>
      </rPr>
      <t xml:space="preserve">充电
</t>
    </r>
    <r>
      <rPr>
        <rFont val="Calibri"/>
        <color theme="1"/>
        <sz val="12.0"/>
      </rPr>
      <t>bit3:</t>
    </r>
    <r>
      <rPr>
        <rFont val="宋体"/>
        <color theme="1"/>
        <sz val="12.0"/>
      </rPr>
      <t xml:space="preserve">放电
</t>
    </r>
    <r>
      <rPr>
        <rFont val="Calibri"/>
        <color theme="1"/>
        <sz val="12.0"/>
      </rPr>
      <t>bit4:</t>
    </r>
    <r>
      <rPr>
        <rFont val="宋体"/>
        <color theme="1"/>
        <sz val="12.0"/>
      </rPr>
      <t xml:space="preserve">重启
</t>
    </r>
    <r>
      <rPr>
        <rFont val="Calibri"/>
        <color theme="1"/>
        <sz val="12.0"/>
      </rPr>
      <t>bit5:</t>
    </r>
    <r>
      <rPr>
        <rFont val="宋体"/>
        <color theme="1"/>
        <sz val="12.0"/>
      </rPr>
      <t xml:space="preserve">关机
</t>
    </r>
    <r>
      <rPr>
        <rFont val="Calibri"/>
        <color theme="1"/>
        <sz val="12.0"/>
      </rPr>
      <t>bit6-15:</t>
    </r>
    <r>
      <rPr>
        <rFont val="宋体"/>
        <color theme="1"/>
        <sz val="12.0"/>
      </rPr>
      <t>保留</t>
    </r>
  </si>
  <si>
    <r>
      <rPr>
        <rFont val="宋体"/>
        <b/>
        <color theme="1"/>
        <sz val="12.0"/>
      </rPr>
      <t>√</t>
    </r>
  </si>
  <si>
    <t>电池连接状态</t>
  </si>
  <si>
    <t>StorConn</t>
  </si>
  <si>
    <r>
      <rPr>
        <rFont val="宋体"/>
        <b/>
        <color theme="1"/>
        <sz val="12.0"/>
      </rPr>
      <t>√</t>
    </r>
  </si>
  <si>
    <r>
      <rPr>
        <rFont val="宋体"/>
        <color theme="1"/>
        <sz val="12.0"/>
      </rPr>
      <t>预留</t>
    </r>
  </si>
  <si>
    <t>2017-2499</t>
  </si>
  <si>
    <r>
      <rPr>
        <rFont val="宋体"/>
        <b/>
        <color theme="1"/>
        <sz val="12.0"/>
      </rPr>
      <t>√</t>
    </r>
  </si>
  <si>
    <r>
      <rPr>
        <rFont val="宋体"/>
        <b/>
        <color theme="1"/>
        <sz val="12.0"/>
      </rPr>
      <t>实时运行信息</t>
    </r>
    <r>
      <rPr>
        <rFont val="Calibri"/>
        <b/>
        <color theme="1"/>
        <sz val="12.0"/>
      </rPr>
      <t>5(</t>
    </r>
    <r>
      <rPr>
        <rFont val="宋体"/>
        <b/>
        <color theme="1"/>
        <sz val="12.0"/>
      </rPr>
      <t>系统信息</t>
    </r>
    <r>
      <rPr>
        <rFont val="Calibri"/>
        <b/>
        <color theme="1"/>
        <sz val="12.0"/>
      </rPr>
      <t>)</t>
    </r>
  </si>
  <si>
    <r>
      <rPr>
        <rFont val="宋体"/>
        <b/>
        <color theme="1"/>
        <sz val="12.0"/>
      </rPr>
      <t>√</t>
    </r>
  </si>
  <si>
    <r>
      <rPr>
        <rFont val="宋体"/>
        <color theme="1"/>
        <sz val="12.0"/>
      </rPr>
      <t>运行状态</t>
    </r>
  </si>
  <si>
    <t>RunState</t>
  </si>
  <si>
    <t>2500</t>
  </si>
  <si>
    <r>
      <rPr>
        <rFont val="宋体"/>
        <color theme="1"/>
        <sz val="10.0"/>
      </rPr>
      <t>初始上电</t>
    </r>
    <r>
      <rPr>
        <rFont val="Calibri"/>
        <color theme="1"/>
        <sz val="10.0"/>
      </rPr>
      <t xml:space="preserve">0
</t>
    </r>
    <r>
      <rPr>
        <rFont val="宋体"/>
        <color theme="1"/>
        <sz val="10.0"/>
      </rPr>
      <t>待机</t>
    </r>
    <r>
      <rPr>
        <rFont val="Calibri"/>
        <color theme="1"/>
        <sz val="10.0"/>
      </rPr>
      <t xml:space="preserve">1
</t>
    </r>
    <r>
      <rPr>
        <rFont val="宋体"/>
        <color theme="1"/>
        <sz val="10.0"/>
      </rPr>
      <t>起动</t>
    </r>
    <r>
      <rPr>
        <rFont val="Calibri"/>
        <color theme="1"/>
        <sz val="10.0"/>
      </rPr>
      <t xml:space="preserve">2
</t>
    </r>
    <r>
      <rPr>
        <rFont val="宋体"/>
        <color theme="1"/>
        <sz val="10.0"/>
      </rPr>
      <t>运行并网</t>
    </r>
    <r>
      <rPr>
        <rFont val="Calibri"/>
        <color theme="1"/>
        <sz val="10.0"/>
      </rPr>
      <t xml:space="preserve">3
</t>
    </r>
    <r>
      <rPr>
        <rFont val="宋体"/>
        <color theme="1"/>
        <sz val="10.0"/>
      </rPr>
      <t>运行离网</t>
    </r>
    <r>
      <rPr>
        <rFont val="Calibri"/>
        <color theme="1"/>
        <sz val="10.0"/>
      </rPr>
      <t xml:space="preserve">4
</t>
    </r>
    <r>
      <rPr>
        <rFont val="宋体"/>
        <color theme="1"/>
        <sz val="10.0"/>
      </rPr>
      <t>运行柴发</t>
    </r>
    <r>
      <rPr>
        <rFont val="Calibri"/>
        <color theme="1"/>
        <sz val="10.0"/>
      </rPr>
      <t xml:space="preserve">5
</t>
    </r>
    <r>
      <rPr>
        <rFont val="宋体"/>
        <color theme="1"/>
        <sz val="10.0"/>
      </rPr>
      <t>并网切离网</t>
    </r>
    <r>
      <rPr>
        <rFont val="Calibri"/>
        <color theme="1"/>
        <sz val="10.0"/>
      </rPr>
      <t xml:space="preserve">6
</t>
    </r>
    <r>
      <rPr>
        <rFont val="宋体"/>
        <color theme="1"/>
        <sz val="10.0"/>
      </rPr>
      <t>离网切并网</t>
    </r>
    <r>
      <rPr>
        <rFont val="Calibri"/>
        <color theme="1"/>
        <sz val="10.0"/>
      </rPr>
      <t xml:space="preserve">7
</t>
    </r>
    <r>
      <rPr>
        <rFont val="宋体"/>
        <color theme="1"/>
        <sz val="10.0"/>
      </rPr>
      <t>掉电处理</t>
    </r>
    <r>
      <rPr>
        <rFont val="Calibri"/>
        <color theme="1"/>
        <sz val="10.0"/>
      </rPr>
      <t xml:space="preserve">8
</t>
    </r>
    <r>
      <rPr>
        <rFont val="宋体"/>
        <color theme="1"/>
        <sz val="10.0"/>
      </rPr>
      <t>关机</t>
    </r>
    <r>
      <rPr>
        <rFont val="Calibri"/>
        <color theme="1"/>
        <sz val="10.0"/>
      </rPr>
      <t xml:space="preserve">9
</t>
    </r>
    <r>
      <rPr>
        <rFont val="宋体"/>
        <color theme="1"/>
        <sz val="10.0"/>
      </rPr>
      <t>故障</t>
    </r>
    <r>
      <rPr>
        <rFont val="Calibri"/>
        <color theme="1"/>
        <sz val="10.0"/>
      </rPr>
      <t xml:space="preserve">10
</t>
    </r>
    <r>
      <rPr>
        <rFont val="宋体"/>
        <color theme="1"/>
        <sz val="10.0"/>
      </rPr>
      <t>升级</t>
    </r>
    <r>
      <rPr>
        <rFont val="Calibri"/>
        <color theme="1"/>
        <sz val="10.0"/>
      </rPr>
      <t xml:space="preserve">11
</t>
    </r>
    <r>
      <rPr>
        <rFont val="宋体"/>
        <color theme="1"/>
        <sz val="10.0"/>
      </rPr>
      <t>老化</t>
    </r>
    <r>
      <rPr>
        <rFont val="Calibri"/>
        <color theme="1"/>
        <sz val="10.0"/>
      </rPr>
      <t xml:space="preserve">12
</t>
    </r>
    <r>
      <rPr>
        <rFont val="宋体"/>
        <color theme="1"/>
        <sz val="10.0"/>
      </rPr>
      <t>开环</t>
    </r>
    <r>
      <rPr>
        <rFont val="Calibri"/>
        <color theme="1"/>
        <sz val="10.0"/>
      </rPr>
      <t xml:space="preserve">13
</t>
    </r>
    <r>
      <rPr>
        <rFont val="宋体"/>
        <color theme="1"/>
        <sz val="10.0"/>
      </rPr>
      <t>采样校准</t>
    </r>
    <r>
      <rPr>
        <rFont val="Calibri"/>
        <color theme="1"/>
        <sz val="10.0"/>
      </rPr>
      <t>14</t>
    </r>
  </si>
  <si>
    <r>
      <rPr>
        <rFont val="宋体"/>
        <b/>
        <color theme="1"/>
        <sz val="12.0"/>
      </rPr>
      <t>√</t>
    </r>
  </si>
  <si>
    <r>
      <rPr>
        <rFont val="宋体"/>
        <color theme="1"/>
        <sz val="12.0"/>
      </rPr>
      <t>当前触发限功率方式</t>
    </r>
  </si>
  <si>
    <t>PLimitMode</t>
  </si>
  <si>
    <t>2501-2502</t>
  </si>
  <si>
    <r>
      <rPr>
        <rFont val="Calibri"/>
        <color theme="1"/>
        <sz val="12.0"/>
      </rPr>
      <t xml:space="preserve">0x0000   </t>
    </r>
    <r>
      <rPr>
        <rFont val="宋体"/>
        <color theme="1"/>
        <sz val="12.0"/>
      </rPr>
      <t xml:space="preserve">无限功率
</t>
    </r>
    <r>
      <rPr>
        <rFont val="Calibri"/>
        <color theme="1"/>
        <sz val="12.0"/>
      </rPr>
      <t xml:space="preserve">0x0001   </t>
    </r>
    <r>
      <rPr>
        <rFont val="宋体"/>
        <color theme="1"/>
        <sz val="12.0"/>
      </rPr>
      <t xml:space="preserve">温度限功率
</t>
    </r>
    <r>
      <rPr>
        <rFont val="Calibri"/>
        <color theme="1"/>
        <sz val="12.0"/>
      </rPr>
      <t xml:space="preserve">0x0002   </t>
    </r>
    <r>
      <rPr>
        <rFont val="宋体"/>
        <color theme="1"/>
        <sz val="12.0"/>
      </rPr>
      <t xml:space="preserve">手动设置限功率
</t>
    </r>
    <r>
      <rPr>
        <rFont val="Calibri"/>
        <color theme="1"/>
        <sz val="12.0"/>
      </rPr>
      <t xml:space="preserve">0x0004   </t>
    </r>
    <r>
      <rPr>
        <rFont val="宋体"/>
        <color theme="1"/>
        <sz val="12.0"/>
      </rPr>
      <t>电网电压兼</t>
    </r>
    <r>
      <rPr>
        <rFont val="Calibri"/>
        <color theme="1"/>
        <sz val="12.0"/>
      </rPr>
      <t>PF</t>
    </r>
    <r>
      <rPr>
        <rFont val="宋体"/>
        <color theme="1"/>
        <sz val="12.0"/>
      </rPr>
      <t xml:space="preserve">限功率
</t>
    </r>
    <r>
      <rPr>
        <rFont val="Calibri"/>
        <color theme="1"/>
        <sz val="12.0"/>
      </rPr>
      <t xml:space="preserve">0x0008   </t>
    </r>
    <r>
      <rPr>
        <rFont val="宋体"/>
        <color theme="1"/>
        <sz val="12.0"/>
      </rPr>
      <t xml:space="preserve">过频限功率
</t>
    </r>
    <r>
      <rPr>
        <rFont val="Calibri"/>
        <color theme="1"/>
        <sz val="12.0"/>
      </rPr>
      <t xml:space="preserve">0x0010   </t>
    </r>
    <r>
      <rPr>
        <rFont val="宋体"/>
        <color theme="1"/>
        <sz val="12.0"/>
      </rPr>
      <t>单独</t>
    </r>
    <r>
      <rPr>
        <rFont val="Calibri"/>
        <color theme="1"/>
        <sz val="12.0"/>
      </rPr>
      <t>PV2</t>
    </r>
    <r>
      <rPr>
        <rFont val="宋体"/>
        <color theme="1"/>
        <sz val="12.0"/>
      </rPr>
      <t xml:space="preserve">输入限功率
</t>
    </r>
    <r>
      <rPr>
        <rFont val="Calibri"/>
        <color theme="1"/>
        <sz val="12.0"/>
      </rPr>
      <t xml:space="preserve">0x0020   </t>
    </r>
    <r>
      <rPr>
        <rFont val="宋体"/>
        <color theme="1"/>
        <sz val="12.0"/>
      </rPr>
      <t xml:space="preserve">故障恢复缓启限功率
</t>
    </r>
    <r>
      <rPr>
        <rFont val="Calibri"/>
        <color theme="1"/>
        <sz val="12.0"/>
      </rPr>
      <t xml:space="preserve">0x0040   </t>
    </r>
    <r>
      <rPr>
        <rFont val="宋体"/>
        <color theme="1"/>
        <sz val="12.0"/>
      </rPr>
      <t>预留通道</t>
    </r>
  </si>
  <si>
    <r>
      <rPr>
        <rFont val="宋体"/>
        <color theme="1"/>
        <sz val="11.0"/>
      </rPr>
      <t>具体的限功率方式可以再添加，建议留</t>
    </r>
    <r>
      <rPr>
        <rFont val="Calibri"/>
        <color theme="1"/>
        <sz val="11.0"/>
      </rPr>
      <t>U32</t>
    </r>
    <r>
      <rPr>
        <rFont val="宋体"/>
        <color theme="1"/>
        <sz val="11.0"/>
      </rPr>
      <t>。</t>
    </r>
  </si>
  <si>
    <r>
      <rPr>
        <rFont val="宋体"/>
        <b/>
        <color theme="1"/>
        <sz val="12.0"/>
      </rPr>
      <t>√</t>
    </r>
  </si>
  <si>
    <r>
      <rPr>
        <rFont val="宋体"/>
        <color theme="1"/>
        <sz val="12.0"/>
      </rPr>
      <t>当前触发电网调度模式</t>
    </r>
  </si>
  <si>
    <t>GridCrlMode</t>
  </si>
  <si>
    <t>2503-2504</t>
  </si>
  <si>
    <t xml:space="preserve">0   E_GRID_ADJUST_DEF 
1   E_GRID_ADJUST_LVRT   
2   E_GRID_ADJUST_FIXE,
3   E_GRID_ADJUST_PF 
4   E_GRID_ADJUST_QP    
5   E_GRID_ADJUST_TEST  </t>
  </si>
  <si>
    <r>
      <rPr>
        <rFont val="宋体"/>
        <color theme="1"/>
        <sz val="11.0"/>
      </rPr>
      <t>应该按位呈现，可能几种组合同时出现，建议留</t>
    </r>
    <r>
      <rPr>
        <rFont val="Calibri"/>
        <color theme="1"/>
        <sz val="11.0"/>
      </rPr>
      <t>U32</t>
    </r>
    <r>
      <rPr>
        <rFont val="宋体"/>
        <color theme="1"/>
        <sz val="11.0"/>
      </rPr>
      <t>。</t>
    </r>
  </si>
  <si>
    <r>
      <rPr>
        <rFont val="宋体"/>
        <b/>
        <color theme="1"/>
        <sz val="12.0"/>
      </rPr>
      <t>√</t>
    </r>
  </si>
  <si>
    <r>
      <rPr>
        <rFont val="Calibri"/>
        <color theme="1"/>
        <sz val="12.0"/>
      </rPr>
      <t>PV1</t>
    </r>
    <r>
      <rPr>
        <rFont val="宋体"/>
        <color theme="1"/>
        <sz val="10.0"/>
      </rPr>
      <t>的</t>
    </r>
    <r>
      <rPr>
        <rFont val="Calibri"/>
        <color theme="1"/>
        <sz val="10.0"/>
      </rPr>
      <t>MPPT</t>
    </r>
    <r>
      <rPr>
        <rFont val="宋体"/>
        <color theme="1"/>
        <sz val="10.0"/>
      </rPr>
      <t>工作模式</t>
    </r>
  </si>
  <si>
    <t>PV1MpptMode</t>
  </si>
  <si>
    <t>2505</t>
  </si>
  <si>
    <r>
      <rPr>
        <rFont val="Calibri"/>
        <color theme="1"/>
        <sz val="10.0"/>
      </rPr>
      <t xml:space="preserve">0  </t>
    </r>
    <r>
      <rPr>
        <rFont val="宋体"/>
        <color theme="1"/>
        <sz val="10.0"/>
      </rPr>
      <t xml:space="preserve">缺省值
</t>
    </r>
    <r>
      <rPr>
        <rFont val="Calibri"/>
        <color theme="1"/>
        <sz val="10.0"/>
      </rPr>
      <t xml:space="preserve">1  </t>
    </r>
    <r>
      <rPr>
        <rFont val="宋体"/>
        <color theme="1"/>
        <sz val="10.0"/>
      </rPr>
      <t xml:space="preserve">待机
</t>
    </r>
    <r>
      <rPr>
        <rFont val="Calibri"/>
        <color theme="1"/>
        <sz val="10.0"/>
      </rPr>
      <t>2  Boost</t>
    </r>
    <r>
      <rPr>
        <rFont val="宋体"/>
        <color theme="1"/>
        <sz val="10.0"/>
      </rPr>
      <t xml:space="preserve">扫描
</t>
    </r>
    <r>
      <rPr>
        <rFont val="Calibri"/>
        <color theme="1"/>
        <sz val="10.0"/>
      </rPr>
      <t>3  Bus</t>
    </r>
    <r>
      <rPr>
        <rFont val="宋体"/>
        <color theme="1"/>
        <sz val="10.0"/>
      </rPr>
      <t xml:space="preserve">扫描
</t>
    </r>
    <r>
      <rPr>
        <rFont val="Calibri"/>
        <color theme="1"/>
        <sz val="10.0"/>
      </rPr>
      <t>4  Boost MPPT</t>
    </r>
    <r>
      <rPr>
        <rFont val="宋体"/>
        <color theme="1"/>
        <sz val="10.0"/>
      </rPr>
      <t xml:space="preserve">运行
</t>
    </r>
    <r>
      <rPr>
        <rFont val="Calibri"/>
        <color theme="1"/>
        <sz val="10.0"/>
      </rPr>
      <t>5  Bus MPPT</t>
    </r>
    <r>
      <rPr>
        <rFont val="宋体"/>
        <color theme="1"/>
        <sz val="10.0"/>
      </rPr>
      <t xml:space="preserve">运行
</t>
    </r>
    <r>
      <rPr>
        <rFont val="Calibri"/>
        <color theme="1"/>
        <sz val="10.0"/>
      </rPr>
      <t xml:space="preserve">6  </t>
    </r>
    <r>
      <rPr>
        <rFont val="宋体"/>
        <color theme="1"/>
        <sz val="10.0"/>
      </rPr>
      <t>集中</t>
    </r>
    <r>
      <rPr>
        <rFont val="Calibri"/>
        <color theme="1"/>
        <sz val="10.0"/>
      </rPr>
      <t>Bus</t>
    </r>
    <r>
      <rPr>
        <rFont val="宋体"/>
        <color theme="1"/>
        <sz val="10.0"/>
      </rPr>
      <t>运行</t>
    </r>
  </si>
  <si>
    <r>
      <rPr>
        <rFont val="宋体"/>
        <b/>
        <color theme="1"/>
        <sz val="12.0"/>
      </rPr>
      <t>√</t>
    </r>
  </si>
  <si>
    <r>
      <rPr>
        <rFont val="Calibri"/>
        <color theme="1"/>
        <sz val="12.0"/>
      </rPr>
      <t>PV2</t>
    </r>
    <r>
      <rPr>
        <rFont val="宋体"/>
        <color theme="1"/>
        <sz val="10.0"/>
      </rPr>
      <t>的</t>
    </r>
    <r>
      <rPr>
        <rFont val="Calibri"/>
        <color theme="1"/>
        <sz val="10.0"/>
      </rPr>
      <t>MPPT</t>
    </r>
    <r>
      <rPr>
        <rFont val="宋体"/>
        <color theme="1"/>
        <sz val="10.0"/>
      </rPr>
      <t>工作模式</t>
    </r>
  </si>
  <si>
    <t>PV2MpptMode</t>
  </si>
  <si>
    <t>2506</t>
  </si>
  <si>
    <r>
      <rPr>
        <rFont val="宋体"/>
        <b/>
        <color theme="1"/>
        <sz val="12.0"/>
      </rPr>
      <t>√</t>
    </r>
  </si>
  <si>
    <r>
      <rPr>
        <rFont val="Calibri"/>
        <color theme="1"/>
        <sz val="12.0"/>
      </rPr>
      <t>PV3</t>
    </r>
    <r>
      <rPr>
        <rFont val="宋体"/>
        <color theme="1"/>
        <sz val="10.0"/>
      </rPr>
      <t>的</t>
    </r>
    <r>
      <rPr>
        <rFont val="Calibri"/>
        <color theme="1"/>
        <sz val="10.0"/>
      </rPr>
      <t>MPPT</t>
    </r>
    <r>
      <rPr>
        <rFont val="宋体"/>
        <color theme="1"/>
        <sz val="10.0"/>
      </rPr>
      <t>工作模式</t>
    </r>
  </si>
  <si>
    <t>PV3MpptMode</t>
  </si>
  <si>
    <t>2507</t>
  </si>
  <si>
    <r>
      <rPr>
        <rFont val="宋体"/>
        <b/>
        <color theme="1"/>
        <sz val="12.0"/>
      </rPr>
      <t>√</t>
    </r>
  </si>
  <si>
    <r>
      <rPr>
        <rFont val="Calibri"/>
        <color theme="1"/>
        <sz val="12.0"/>
      </rPr>
      <t>PV4</t>
    </r>
    <r>
      <rPr>
        <rFont val="宋体"/>
        <color theme="1"/>
        <sz val="10.0"/>
      </rPr>
      <t>的</t>
    </r>
    <r>
      <rPr>
        <rFont val="Calibri"/>
        <color theme="1"/>
        <sz val="10.0"/>
      </rPr>
      <t>MPPT</t>
    </r>
    <r>
      <rPr>
        <rFont val="宋体"/>
        <color theme="1"/>
        <sz val="10.0"/>
      </rPr>
      <t>工作模式</t>
    </r>
  </si>
  <si>
    <t>PV4MpptMode</t>
  </si>
  <si>
    <t>2508</t>
  </si>
  <si>
    <r>
      <rPr>
        <rFont val="宋体"/>
        <b/>
        <color theme="1"/>
        <sz val="12.0"/>
      </rPr>
      <t>√</t>
    </r>
  </si>
  <si>
    <r>
      <rPr>
        <rFont val="Calibri"/>
        <color theme="1"/>
        <sz val="12.0"/>
      </rPr>
      <t>PV5</t>
    </r>
    <r>
      <rPr>
        <rFont val="宋体"/>
        <color theme="1"/>
        <sz val="10.0"/>
      </rPr>
      <t>的</t>
    </r>
    <r>
      <rPr>
        <rFont val="Calibri"/>
        <color theme="1"/>
        <sz val="10.0"/>
      </rPr>
      <t>MPPT</t>
    </r>
    <r>
      <rPr>
        <rFont val="宋体"/>
        <color theme="1"/>
        <sz val="10.0"/>
      </rPr>
      <t>工作模式</t>
    </r>
  </si>
  <si>
    <t>PV5MpptMode</t>
  </si>
  <si>
    <t>2509</t>
  </si>
  <si>
    <r>
      <rPr>
        <rFont val="宋体"/>
        <b/>
        <color theme="1"/>
        <sz val="12.0"/>
      </rPr>
      <t>√</t>
    </r>
  </si>
  <si>
    <r>
      <rPr>
        <rFont val="Calibri"/>
        <color theme="1"/>
        <sz val="12.0"/>
      </rPr>
      <t>PV6</t>
    </r>
    <r>
      <rPr>
        <rFont val="宋体"/>
        <color theme="1"/>
        <sz val="10.0"/>
      </rPr>
      <t>的</t>
    </r>
    <r>
      <rPr>
        <rFont val="Calibri"/>
        <color theme="1"/>
        <sz val="10.0"/>
      </rPr>
      <t>MPPT</t>
    </r>
    <r>
      <rPr>
        <rFont val="宋体"/>
        <color theme="1"/>
        <sz val="10.0"/>
      </rPr>
      <t>工作模式</t>
    </r>
  </si>
  <si>
    <t>PV6MpptMode</t>
  </si>
  <si>
    <t>2510</t>
  </si>
  <si>
    <r>
      <rPr>
        <rFont val="宋体"/>
        <b/>
        <color theme="1"/>
        <sz val="12.0"/>
      </rPr>
      <t>√</t>
    </r>
  </si>
  <si>
    <r>
      <rPr>
        <rFont val="宋体"/>
        <color theme="1"/>
        <sz val="12.0"/>
      </rPr>
      <t>可调负载</t>
    </r>
    <r>
      <rPr>
        <rFont val="Calibri"/>
        <color theme="1"/>
        <sz val="12.0"/>
      </rPr>
      <t>DO</t>
    </r>
    <r>
      <rPr>
        <rFont val="宋体"/>
        <color theme="1"/>
        <sz val="12.0"/>
      </rPr>
      <t>状态</t>
    </r>
  </si>
  <si>
    <t>LoadCtrlState</t>
  </si>
  <si>
    <t>2511</t>
  </si>
  <si>
    <r>
      <rPr>
        <rFont val="宋体"/>
        <b/>
        <color theme="1"/>
        <sz val="12.0"/>
      </rPr>
      <t>√</t>
    </r>
  </si>
  <si>
    <r>
      <rPr>
        <rFont val="宋体"/>
        <color theme="1"/>
        <sz val="12.0"/>
      </rPr>
      <t>电表主动检测状态</t>
    </r>
  </si>
  <si>
    <t>MeterTestState</t>
  </si>
  <si>
    <t>2512</t>
  </si>
  <si>
    <r>
      <rPr>
        <rFont val="宋体"/>
        <b/>
        <color theme="1"/>
        <sz val="12.0"/>
      </rPr>
      <t>√</t>
    </r>
  </si>
  <si>
    <r>
      <rPr>
        <rFont val="宋体"/>
        <color theme="1"/>
        <sz val="12.0"/>
      </rPr>
      <t>起动时间</t>
    </r>
  </si>
  <si>
    <t>ConncetTime</t>
  </si>
  <si>
    <t>2513</t>
  </si>
  <si>
    <t>S</t>
  </si>
  <si>
    <r>
      <rPr>
        <rFont val="宋体"/>
        <b/>
        <color theme="1"/>
        <sz val="12.0"/>
      </rPr>
      <t>√</t>
    </r>
  </si>
  <si>
    <r>
      <rPr>
        <rFont val="宋体"/>
        <color theme="1"/>
        <sz val="12.0"/>
      </rPr>
      <t>逆变器内部温度</t>
    </r>
  </si>
  <si>
    <t>Tinner</t>
  </si>
  <si>
    <t>2514</t>
  </si>
  <si>
    <r>
      <rPr>
        <rFont val="Calibri"/>
        <color theme="1"/>
        <sz val="12.0"/>
      </rPr>
      <t>0.1</t>
    </r>
    <r>
      <rPr>
        <rFont val="宋体"/>
        <color theme="1"/>
        <sz val="12.0"/>
      </rPr>
      <t>℃</t>
    </r>
  </si>
  <si>
    <r>
      <rPr>
        <rFont val="宋体"/>
        <b/>
        <color theme="1"/>
        <sz val="12.0"/>
      </rPr>
      <t>√</t>
    </r>
  </si>
  <si>
    <r>
      <rPr>
        <rFont val="宋体"/>
        <color theme="1"/>
        <sz val="12.0"/>
      </rPr>
      <t>变压器温度</t>
    </r>
  </si>
  <si>
    <t>Ttransf</t>
  </si>
  <si>
    <t>2515</t>
  </si>
  <si>
    <r>
      <rPr>
        <rFont val="Calibri"/>
        <color theme="1"/>
        <sz val="12.0"/>
      </rPr>
      <t>0.1</t>
    </r>
    <r>
      <rPr>
        <rFont val="宋体"/>
        <color theme="1"/>
        <sz val="12.0"/>
      </rPr>
      <t>℃</t>
    </r>
  </si>
  <si>
    <r>
      <rPr>
        <rFont val="宋体"/>
        <b/>
        <color theme="1"/>
        <sz val="12.0"/>
      </rPr>
      <t>√</t>
    </r>
  </si>
  <si>
    <r>
      <rPr>
        <rFont val="宋体"/>
        <color theme="1"/>
        <sz val="12.0"/>
      </rPr>
      <t>温度</t>
    </r>
    <r>
      <rPr>
        <rFont val="Calibri"/>
        <color theme="1"/>
        <sz val="12.0"/>
      </rPr>
      <t>1</t>
    </r>
  </si>
  <si>
    <t>Temp1</t>
  </si>
  <si>
    <t>2516</t>
  </si>
  <si>
    <r>
      <rPr>
        <rFont val="Calibri"/>
        <color theme="1"/>
        <sz val="12.0"/>
      </rPr>
      <t>0.1</t>
    </r>
    <r>
      <rPr>
        <rFont val="宋体"/>
        <color theme="1"/>
        <sz val="12.0"/>
      </rPr>
      <t>℃</t>
    </r>
  </si>
  <si>
    <r>
      <rPr>
        <rFont val="宋体"/>
        <b/>
        <color theme="1"/>
        <sz val="12.0"/>
      </rPr>
      <t>√</t>
    </r>
  </si>
  <si>
    <r>
      <rPr>
        <rFont val="宋体"/>
        <color theme="1"/>
        <sz val="12.0"/>
      </rPr>
      <t>温度</t>
    </r>
    <r>
      <rPr>
        <rFont val="Calibri"/>
        <color theme="1"/>
        <sz val="12.0"/>
      </rPr>
      <t>2</t>
    </r>
  </si>
  <si>
    <t>Temp2</t>
  </si>
  <si>
    <t>2517</t>
  </si>
  <si>
    <r>
      <rPr>
        <rFont val="Calibri"/>
        <color theme="1"/>
        <sz val="12.0"/>
      </rPr>
      <t>0.1</t>
    </r>
    <r>
      <rPr>
        <rFont val="宋体"/>
        <color theme="1"/>
        <sz val="12.0"/>
      </rPr>
      <t>℃</t>
    </r>
  </si>
  <si>
    <r>
      <rPr>
        <rFont val="宋体"/>
        <b/>
        <color theme="1"/>
        <sz val="12.0"/>
      </rPr>
      <t>√</t>
    </r>
  </si>
  <si>
    <r>
      <rPr>
        <rFont val="宋体"/>
        <color theme="1"/>
        <sz val="12.0"/>
      </rPr>
      <t>调试信息</t>
    </r>
    <r>
      <rPr>
        <rFont val="Calibri"/>
        <color theme="1"/>
        <sz val="12.0"/>
      </rPr>
      <t>1</t>
    </r>
  </si>
  <si>
    <t>DebugInfo1</t>
  </si>
  <si>
    <t>2518</t>
  </si>
  <si>
    <r>
      <rPr>
        <rFont val="宋体"/>
        <b/>
        <color theme="1"/>
        <sz val="12.0"/>
      </rPr>
      <t>√</t>
    </r>
  </si>
  <si>
    <r>
      <rPr>
        <rFont val="宋体"/>
        <color theme="1"/>
        <sz val="12.0"/>
      </rPr>
      <t>调试信息</t>
    </r>
    <r>
      <rPr>
        <rFont val="Calibri"/>
        <color theme="1"/>
        <sz val="12.0"/>
      </rPr>
      <t>2</t>
    </r>
  </si>
  <si>
    <t>DebugInfo2</t>
  </si>
  <si>
    <t>2519</t>
  </si>
  <si>
    <r>
      <rPr>
        <rFont val="宋体"/>
        <b/>
        <color theme="1"/>
        <sz val="12.0"/>
      </rPr>
      <t>√</t>
    </r>
  </si>
  <si>
    <r>
      <rPr>
        <rFont val="宋体"/>
        <color theme="1"/>
        <sz val="12.0"/>
      </rPr>
      <t>调试信息</t>
    </r>
    <r>
      <rPr>
        <rFont val="Calibri"/>
        <color theme="1"/>
        <sz val="12.0"/>
      </rPr>
      <t>3</t>
    </r>
  </si>
  <si>
    <t>DebugInfo3</t>
  </si>
  <si>
    <t>2520</t>
  </si>
  <si>
    <r>
      <rPr>
        <rFont val="宋体"/>
        <b/>
        <color theme="1"/>
        <sz val="12.0"/>
      </rPr>
      <t>√</t>
    </r>
  </si>
  <si>
    <r>
      <rPr>
        <rFont val="宋体"/>
        <color theme="1"/>
        <sz val="12.0"/>
      </rPr>
      <t>调试信息</t>
    </r>
    <r>
      <rPr>
        <rFont val="Calibri"/>
        <color theme="1"/>
        <sz val="12.0"/>
      </rPr>
      <t>4</t>
    </r>
  </si>
  <si>
    <t>DebugInfo4</t>
  </si>
  <si>
    <t>2521</t>
  </si>
  <si>
    <r>
      <rPr>
        <rFont val="宋体"/>
        <b/>
        <color theme="1"/>
        <sz val="12.0"/>
      </rPr>
      <t>√</t>
    </r>
  </si>
  <si>
    <r>
      <rPr>
        <rFont val="宋体"/>
        <color theme="1"/>
        <sz val="12.0"/>
      </rPr>
      <t>调试信息</t>
    </r>
    <r>
      <rPr>
        <rFont val="Calibri"/>
        <color theme="1"/>
        <sz val="12.0"/>
      </rPr>
      <t>5</t>
    </r>
  </si>
  <si>
    <t>DebugInfo5</t>
  </si>
  <si>
    <t>2522</t>
  </si>
  <si>
    <r>
      <rPr>
        <rFont val="宋体"/>
        <b/>
        <color theme="1"/>
        <sz val="12.0"/>
      </rPr>
      <t>√</t>
    </r>
  </si>
  <si>
    <r>
      <rPr>
        <rFont val="宋体"/>
        <color theme="1"/>
        <sz val="12.0"/>
      </rPr>
      <t>调试信息</t>
    </r>
    <r>
      <rPr>
        <rFont val="Calibri"/>
        <color theme="1"/>
        <sz val="12.0"/>
      </rPr>
      <t>6</t>
    </r>
  </si>
  <si>
    <t>DebugInfo6</t>
  </si>
  <si>
    <t>2523</t>
  </si>
  <si>
    <r>
      <rPr>
        <rFont val="宋体"/>
        <b/>
        <color theme="1"/>
        <sz val="12.0"/>
      </rPr>
      <t>√</t>
    </r>
  </si>
  <si>
    <r>
      <rPr>
        <rFont val="宋体"/>
        <color theme="1"/>
        <sz val="12.0"/>
      </rPr>
      <t>预留</t>
    </r>
  </si>
  <si>
    <t>2524-2999</t>
  </si>
  <si>
    <r>
      <rPr>
        <rFont val="宋体"/>
        <b/>
        <color theme="1"/>
        <sz val="12.0"/>
      </rPr>
      <t>√</t>
    </r>
  </si>
  <si>
    <r>
      <rPr>
        <rFont val="宋体"/>
        <b/>
        <color theme="1"/>
        <sz val="12.0"/>
      </rPr>
      <t>实时运行信息</t>
    </r>
    <r>
      <rPr>
        <rFont val="Calibri"/>
        <b/>
        <color theme="1"/>
        <sz val="12.0"/>
      </rPr>
      <t>6</t>
    </r>
    <r>
      <rPr>
        <rFont val="宋体"/>
        <b/>
        <color theme="1"/>
        <sz val="12.0"/>
      </rPr>
      <t>（故障及告警）</t>
    </r>
  </si>
  <si>
    <r>
      <rPr>
        <rFont val="宋体"/>
        <b/>
        <color theme="1"/>
        <sz val="12.0"/>
      </rPr>
      <t>√</t>
    </r>
  </si>
  <si>
    <r>
      <rPr>
        <rFont val="Calibri"/>
        <color theme="1"/>
        <sz val="12.0"/>
      </rPr>
      <t>PV</t>
    </r>
    <r>
      <rPr>
        <rFont val="宋体"/>
        <color theme="1"/>
        <sz val="12.0"/>
      </rPr>
      <t>故障</t>
    </r>
    <r>
      <rPr>
        <rFont val="Calibri"/>
        <color theme="1"/>
        <sz val="12.0"/>
      </rPr>
      <t>1</t>
    </r>
  </si>
  <si>
    <t>PvErr1</t>
  </si>
  <si>
    <t>3000-3001</t>
  </si>
  <si>
    <r>
      <rPr>
        <rFont val="宋体"/>
        <b/>
        <color theme="1"/>
        <sz val="12.0"/>
      </rPr>
      <t>√</t>
    </r>
  </si>
  <si>
    <r>
      <rPr>
        <rFont val="Calibri"/>
        <color theme="1"/>
        <sz val="12.0"/>
      </rPr>
      <t>PV</t>
    </r>
    <r>
      <rPr>
        <rFont val="宋体"/>
        <color theme="1"/>
        <sz val="12.0"/>
      </rPr>
      <t>故障</t>
    </r>
    <r>
      <rPr>
        <rFont val="Calibri"/>
        <color theme="1"/>
        <sz val="12.0"/>
      </rPr>
      <t>2</t>
    </r>
  </si>
  <si>
    <t>PvErr2</t>
  </si>
  <si>
    <t>3002-3003</t>
  </si>
  <si>
    <r>
      <rPr>
        <rFont val="宋体"/>
        <b/>
        <color theme="1"/>
        <sz val="12.0"/>
      </rPr>
      <t>√</t>
    </r>
  </si>
  <si>
    <r>
      <rPr>
        <rFont val="宋体"/>
        <color theme="1"/>
        <sz val="12.0"/>
      </rPr>
      <t>电池故障</t>
    </r>
    <r>
      <rPr>
        <rFont val="Calibri"/>
        <color theme="1"/>
        <sz val="12.0"/>
      </rPr>
      <t>1</t>
    </r>
  </si>
  <si>
    <t>BatErr1</t>
  </si>
  <si>
    <t>3004-3005</t>
  </si>
  <si>
    <r>
      <rPr>
        <rFont val="宋体"/>
        <b/>
        <color theme="1"/>
        <sz val="12.0"/>
      </rPr>
      <t>√</t>
    </r>
  </si>
  <si>
    <r>
      <rPr>
        <rFont val="宋体"/>
        <color theme="1"/>
        <sz val="12.0"/>
      </rPr>
      <t>电池故障</t>
    </r>
    <r>
      <rPr>
        <rFont val="Calibri"/>
        <color theme="1"/>
        <sz val="12.0"/>
      </rPr>
      <t>2</t>
    </r>
  </si>
  <si>
    <t>BatErr2</t>
  </si>
  <si>
    <t>3006-3007</t>
  </si>
  <si>
    <r>
      <rPr>
        <rFont val="宋体"/>
        <b/>
        <color theme="1"/>
        <sz val="12.0"/>
      </rPr>
      <t>√</t>
    </r>
  </si>
  <si>
    <r>
      <rPr>
        <rFont val="宋体"/>
        <color theme="1"/>
        <sz val="12.0"/>
      </rPr>
      <t>电网故障</t>
    </r>
  </si>
  <si>
    <t>GridErr</t>
  </si>
  <si>
    <t>3008-3009</t>
  </si>
  <si>
    <r>
      <rPr>
        <rFont val="宋体"/>
        <b/>
        <color theme="1"/>
        <sz val="12.0"/>
      </rPr>
      <t>√</t>
    </r>
  </si>
  <si>
    <r>
      <rPr>
        <rFont val="宋体"/>
        <color theme="1"/>
        <sz val="12.0"/>
      </rPr>
      <t>离网故障</t>
    </r>
  </si>
  <si>
    <t>OffGridErr</t>
  </si>
  <si>
    <t>3010-3011</t>
  </si>
  <si>
    <r>
      <rPr>
        <rFont val="宋体"/>
        <b/>
        <color theme="1"/>
        <sz val="12.0"/>
      </rPr>
      <t>√</t>
    </r>
  </si>
  <si>
    <r>
      <rPr>
        <rFont val="宋体"/>
        <color theme="1"/>
        <sz val="12.0"/>
      </rPr>
      <t>直流侧故障</t>
    </r>
    <r>
      <rPr>
        <rFont val="Calibri"/>
        <color theme="1"/>
        <sz val="12.0"/>
      </rPr>
      <t>1</t>
    </r>
  </si>
  <si>
    <t>DCErr1</t>
  </si>
  <si>
    <t>3012-3013</t>
  </si>
  <si>
    <r>
      <rPr>
        <rFont val="宋体"/>
        <b/>
        <color theme="1"/>
        <sz val="12.0"/>
      </rPr>
      <t>√</t>
    </r>
  </si>
  <si>
    <r>
      <rPr>
        <rFont val="宋体"/>
        <color theme="1"/>
        <sz val="12.0"/>
      </rPr>
      <t>直流侧故障</t>
    </r>
    <r>
      <rPr>
        <rFont val="Calibri"/>
        <color theme="1"/>
        <sz val="10.0"/>
      </rPr>
      <t>2</t>
    </r>
  </si>
  <si>
    <t>DCErr2</t>
  </si>
  <si>
    <t>3014-3015</t>
  </si>
  <si>
    <r>
      <rPr>
        <rFont val="宋体"/>
        <b/>
        <color theme="1"/>
        <sz val="12.0"/>
      </rPr>
      <t>√</t>
    </r>
  </si>
  <si>
    <r>
      <rPr>
        <rFont val="宋体"/>
        <color theme="1"/>
        <sz val="12.0"/>
      </rPr>
      <t>交流侧故障</t>
    </r>
  </si>
  <si>
    <t>ACErr</t>
  </si>
  <si>
    <t>3016-3017</t>
  </si>
  <si>
    <r>
      <rPr>
        <rFont val="宋体"/>
        <b/>
        <color theme="1"/>
        <sz val="12.0"/>
      </rPr>
      <t>√</t>
    </r>
  </si>
  <si>
    <r>
      <rPr>
        <rFont val="宋体"/>
        <color theme="1"/>
        <sz val="12.0"/>
      </rPr>
      <t>系统故障</t>
    </r>
    <r>
      <rPr>
        <rFont val="Calibri"/>
        <color theme="1"/>
        <sz val="12.0"/>
      </rPr>
      <t>1</t>
    </r>
  </si>
  <si>
    <t>SysErr1</t>
  </si>
  <si>
    <t>3018-3019</t>
  </si>
  <si>
    <r>
      <rPr>
        <rFont val="宋体"/>
        <b/>
        <color theme="1"/>
        <sz val="12.0"/>
      </rPr>
      <t>√</t>
    </r>
  </si>
  <si>
    <r>
      <rPr>
        <rFont val="宋体"/>
        <color theme="1"/>
        <sz val="12.0"/>
      </rPr>
      <t>系统故障</t>
    </r>
    <r>
      <rPr>
        <rFont val="Calibri"/>
        <color theme="1"/>
        <sz val="12.0"/>
      </rPr>
      <t>2</t>
    </r>
  </si>
  <si>
    <t>SysErr2</t>
  </si>
  <si>
    <t>3020-3021</t>
  </si>
  <si>
    <r>
      <rPr>
        <rFont val="宋体"/>
        <b/>
        <color theme="1"/>
        <sz val="12.0"/>
      </rPr>
      <t>√</t>
    </r>
  </si>
  <si>
    <r>
      <rPr>
        <rFont val="宋体"/>
        <color theme="1"/>
        <sz val="12.0"/>
      </rPr>
      <t>永久故障</t>
    </r>
  </si>
  <si>
    <t>PermErr</t>
  </si>
  <si>
    <t>3022-3023</t>
  </si>
  <si>
    <r>
      <rPr>
        <rFont val="宋体"/>
        <b/>
        <color theme="1"/>
        <sz val="12.0"/>
      </rPr>
      <t>√</t>
    </r>
  </si>
  <si>
    <r>
      <rPr>
        <rFont val="宋体"/>
        <color theme="1"/>
        <sz val="12.0"/>
      </rPr>
      <t>内部告警</t>
    </r>
  </si>
  <si>
    <t>InWarning</t>
  </si>
  <si>
    <t>3024-3025</t>
  </si>
  <si>
    <r>
      <rPr>
        <rFont val="宋体"/>
        <b/>
        <color theme="1"/>
        <sz val="12.0"/>
      </rPr>
      <t>√</t>
    </r>
  </si>
  <si>
    <r>
      <rPr>
        <rFont val="宋体"/>
        <color theme="1"/>
        <sz val="12.0"/>
      </rPr>
      <t>外部告警</t>
    </r>
  </si>
  <si>
    <t>OutWarning</t>
  </si>
  <si>
    <t>3026-3027</t>
  </si>
  <si>
    <r>
      <rPr>
        <rFont val="宋体"/>
        <b/>
        <color theme="1"/>
        <sz val="12.0"/>
      </rPr>
      <t>√</t>
    </r>
  </si>
  <si>
    <r>
      <rPr>
        <rFont val="宋体"/>
        <color theme="1"/>
        <sz val="12.0"/>
      </rPr>
      <t>预留</t>
    </r>
  </si>
  <si>
    <t>3028-3499</t>
  </si>
  <si>
    <r>
      <rPr>
        <rFont val="宋体"/>
        <b/>
        <color theme="1"/>
        <sz val="12.0"/>
      </rPr>
      <t>√</t>
    </r>
  </si>
  <si>
    <r>
      <rPr>
        <rFont val="宋体"/>
        <b/>
        <color theme="1"/>
        <sz val="16.0"/>
      </rPr>
      <t>名称</t>
    </r>
  </si>
  <si>
    <r>
      <rPr>
        <rFont val="宋体"/>
        <b/>
        <color theme="1"/>
        <sz val="16.0"/>
      </rPr>
      <t>英文</t>
    </r>
  </si>
  <si>
    <r>
      <rPr>
        <rFont val="宋体"/>
        <b/>
        <color theme="1"/>
        <sz val="16.0"/>
      </rPr>
      <t>地址</t>
    </r>
  </si>
  <si>
    <r>
      <rPr>
        <rFont val="宋体"/>
        <b/>
        <color theme="1"/>
        <sz val="16.0"/>
      </rPr>
      <t>数据类型</t>
    </r>
  </si>
  <si>
    <r>
      <rPr>
        <rFont val="宋体"/>
        <b/>
        <color theme="1"/>
        <sz val="16.0"/>
      </rPr>
      <t>字节数</t>
    </r>
  </si>
  <si>
    <r>
      <rPr>
        <rFont val="宋体"/>
        <b/>
        <color theme="1"/>
        <sz val="16.0"/>
      </rPr>
      <t>数据范围</t>
    </r>
  </si>
  <si>
    <r>
      <rPr>
        <rFont val="宋体"/>
        <b/>
        <color theme="1"/>
        <sz val="16.0"/>
      </rPr>
      <t>单位</t>
    </r>
  </si>
  <si>
    <r>
      <rPr>
        <rFont val="宋体"/>
        <b/>
        <color theme="1"/>
        <sz val="16.0"/>
      </rPr>
      <t>备注</t>
    </r>
  </si>
  <si>
    <r>
      <rPr>
        <rFont val="宋体"/>
        <b/>
        <color theme="1"/>
        <sz val="16.0"/>
      </rPr>
      <t>是否存储到外部</t>
    </r>
    <r>
      <rPr>
        <rFont val="Calibri"/>
        <b/>
        <color theme="1"/>
        <sz val="16.0"/>
      </rPr>
      <t>flash</t>
    </r>
  </si>
  <si>
    <t>修改</t>
  </si>
  <si>
    <t>变量名称</t>
  </si>
  <si>
    <r>
      <rPr>
        <rFont val="Arial"/>
        <b/>
        <color theme="1"/>
        <sz val="14.0"/>
      </rPr>
      <t>设置参数</t>
    </r>
    <r>
      <rPr>
        <rFont val="Calibri"/>
        <b/>
        <color theme="1"/>
        <sz val="14.0"/>
      </rPr>
      <t>1</t>
    </r>
    <r>
      <rPr>
        <rFont val="Arial"/>
        <b/>
        <color theme="1"/>
        <sz val="14.0"/>
      </rPr>
      <t>（系统参数）</t>
    </r>
    <r>
      <rPr>
        <rFont val="Calibri"/>
        <b/>
        <color theme="1"/>
        <sz val="14.0"/>
      </rPr>
      <t>Setting parameters 1 (system parameters)</t>
    </r>
  </si>
  <si>
    <t>功能码 Function code</t>
  </si>
  <si>
    <r>
      <rPr>
        <rFont val="宋体"/>
        <color theme="1"/>
        <sz val="12.0"/>
      </rPr>
      <t>额定有功功率</t>
    </r>
  </si>
  <si>
    <t>NormActPower</t>
  </si>
  <si>
    <t>200-201</t>
  </si>
  <si>
    <t>gulDeNormActPwr</t>
  </si>
  <si>
    <r>
      <rPr>
        <rFont val="宋体"/>
        <b/>
        <color theme="1"/>
        <sz val="12.0"/>
      </rPr>
      <t>√</t>
    </r>
  </si>
  <si>
    <r>
      <rPr>
        <rFont val="宋体"/>
        <b/>
        <color theme="1"/>
        <sz val="12.0"/>
      </rPr>
      <t>√</t>
    </r>
  </si>
  <si>
    <r>
      <rPr>
        <rFont val="宋体"/>
        <b/>
        <color theme="1"/>
        <sz val="12.0"/>
      </rPr>
      <t>√</t>
    </r>
  </si>
  <si>
    <r>
      <rPr>
        <rFont val="宋体"/>
        <color theme="1"/>
        <sz val="12.0"/>
      </rPr>
      <t>额定视在功率</t>
    </r>
  </si>
  <si>
    <t>202-203</t>
  </si>
  <si>
    <t>gulDeNormAppPwr</t>
  </si>
  <si>
    <r>
      <rPr>
        <rFont val="宋体"/>
        <b/>
        <color theme="1"/>
        <sz val="12.0"/>
      </rPr>
      <t>√</t>
    </r>
  </si>
  <si>
    <r>
      <rPr>
        <rFont val="宋体"/>
        <b/>
        <color theme="1"/>
        <sz val="12.0"/>
      </rPr>
      <t>√</t>
    </r>
  </si>
  <si>
    <r>
      <rPr>
        <rFont val="宋体"/>
        <b/>
        <color theme="1"/>
        <sz val="12.0"/>
      </rPr>
      <t>√</t>
    </r>
  </si>
  <si>
    <r>
      <rPr>
        <rFont val="宋体"/>
        <color theme="1"/>
        <sz val="12.0"/>
      </rPr>
      <t>国家选择</t>
    </r>
  </si>
  <si>
    <t>204</t>
  </si>
  <si>
    <r>
      <rPr>
        <rFont val="宋体"/>
        <color theme="1"/>
        <sz val="12.0"/>
      </rPr>
      <t>设置好需要重启逆变器</t>
    </r>
  </si>
  <si>
    <r>
      <rPr>
        <rFont val="宋体"/>
        <color theme="1"/>
        <sz val="12.0"/>
      </rPr>
      <t>是</t>
    </r>
  </si>
  <si>
    <t>guwDeSafty</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</si>
  <si>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</si>
  <si>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</si>
  <si>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</si>
  <si>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输入模式</t>
    </r>
  </si>
  <si>
    <t>PVInputType</t>
  </si>
  <si>
    <t>205</t>
  </si>
  <si>
    <r>
      <rPr>
        <rFont val="Calibri"/>
        <color theme="1"/>
        <sz val="12.0"/>
      </rPr>
      <t>0:</t>
    </r>
    <r>
      <rPr>
        <rFont val="宋体"/>
        <color theme="1"/>
        <sz val="12.0"/>
      </rPr>
      <t xml:space="preserve">独立
</t>
    </r>
    <r>
      <rPr>
        <rFont val="Calibri"/>
        <color theme="1"/>
        <sz val="12.0"/>
      </rPr>
      <t>1:</t>
    </r>
    <r>
      <rPr>
        <rFont val="宋体"/>
        <color theme="1"/>
        <sz val="12.0"/>
      </rPr>
      <t>并联</t>
    </r>
    <r>
      <rPr>
        <rFont val="Calibri"/>
        <color theme="1"/>
        <sz val="12.0"/>
      </rPr>
      <t xml:space="preserve">
</t>
    </r>
    <r>
      <rPr>
        <rFont val="Calibri"/>
        <b/>
        <color theme="1"/>
        <sz val="12.0"/>
      </rPr>
      <t>2:</t>
    </r>
    <r>
      <rPr>
        <rFont val="宋体"/>
        <b/>
        <color theme="1"/>
        <sz val="12.0"/>
      </rPr>
      <t>无</t>
    </r>
    <r>
      <rPr>
        <rFont val="Calibri"/>
        <b/>
        <color theme="1"/>
        <sz val="12.0"/>
      </rPr>
      <t>PV</t>
    </r>
  </si>
  <si>
    <r>
      <rPr>
        <rFont val="宋体"/>
        <color theme="1"/>
        <sz val="12.0"/>
      </rPr>
      <t>是</t>
    </r>
  </si>
  <si>
    <r>
      <rPr>
        <rFont val="宋体"/>
        <color theme="1"/>
        <sz val="12.0"/>
      </rPr>
      <t xml:space="preserve">新增 </t>
    </r>
    <r>
      <rPr>
        <rFont val="Calibri"/>
        <color theme="1"/>
        <sz val="12.0"/>
      </rPr>
      <t>2:</t>
    </r>
    <r>
      <rPr>
        <rFont val="宋体"/>
        <color theme="1"/>
        <sz val="12.0"/>
      </rPr>
      <t>无</t>
    </r>
    <r>
      <rPr>
        <rFont val="Calibri"/>
        <color theme="1"/>
        <sz val="12.0"/>
      </rPr>
      <t>PV</t>
    </r>
  </si>
  <si>
    <t>guwDePvInputType</t>
  </si>
  <si>
    <r>
      <rPr>
        <rFont val="宋体"/>
        <b/>
        <color theme="1"/>
        <sz val="12.0"/>
      </rPr>
      <t>√</t>
    </r>
  </si>
  <si>
    <r>
      <rPr>
        <rFont val="宋体"/>
        <b/>
        <color theme="1"/>
        <sz val="12.0"/>
      </rPr>
      <t>√</t>
    </r>
  </si>
  <si>
    <r>
      <rPr>
        <rFont val="宋体"/>
        <b/>
        <color theme="1"/>
        <sz val="12.0"/>
      </rPr>
      <t>√</t>
    </r>
  </si>
  <si>
    <t>运行功能使能</t>
  </si>
  <si>
    <t>FuncEn</t>
  </si>
  <si>
    <t>206-207</t>
  </si>
  <si>
    <r>
      <rPr>
        <rFont val="Calibri"/>
        <color theme="1"/>
        <sz val="12.0"/>
      </rPr>
      <t>B0:</t>
    </r>
    <r>
      <rPr>
        <rFont val="宋体"/>
        <color theme="1"/>
        <sz val="12.0"/>
      </rPr>
      <t>开关机</t>
    </r>
    <r>
      <rPr>
        <rFont val="Calibri"/>
        <color theme="1"/>
        <sz val="12.0"/>
      </rPr>
      <t xml:space="preserve">
B1:Soft start enable
B2:Power soft
B3:EPS Mode enable
B4:Timing AC charge enable
B5:Timing  charge enable
B6:Timing discharge enable
B7:JET simulating test
B8:DRMS enable
B9:ripple control
B10:</t>
    </r>
    <r>
      <rPr>
        <rFont val="宋体"/>
        <color theme="1"/>
        <sz val="12.0"/>
      </rPr>
      <t>电网高压降载</t>
    </r>
    <r>
      <rPr>
        <rFont val="Calibri"/>
        <color theme="1"/>
        <sz val="12.0"/>
      </rPr>
      <t xml:space="preserve">
B11:</t>
    </r>
    <r>
      <rPr>
        <rFont val="宋体"/>
        <color theme="1"/>
        <sz val="12.0"/>
      </rPr>
      <t>电网低压升载</t>
    </r>
    <r>
      <rPr>
        <rFont val="Calibri"/>
        <color theme="1"/>
        <sz val="12.0"/>
      </rPr>
      <t xml:space="preserve">
B12:</t>
    </r>
    <r>
      <rPr>
        <rFont val="宋体"/>
        <color theme="1"/>
        <sz val="12.0"/>
      </rPr>
      <t>电网过频降载</t>
    </r>
    <r>
      <rPr>
        <rFont val="Calibri"/>
        <color theme="1"/>
        <sz val="12.0"/>
      </rPr>
      <t xml:space="preserve">
B13:</t>
    </r>
    <r>
      <rPr>
        <rFont val="宋体"/>
        <color theme="1"/>
        <sz val="12.0"/>
      </rPr>
      <t>电网欠频升载</t>
    </r>
    <r>
      <rPr>
        <rFont val="Calibri"/>
        <color theme="1"/>
        <sz val="12.0"/>
      </rPr>
      <t xml:space="preserve">
B14:HVRT
B15:LVRT
</t>
    </r>
    <r>
      <rPr>
        <rFont val="Calibri"/>
        <b/>
        <color theme="1"/>
        <sz val="12.0"/>
      </rPr>
      <t>B16:Timing Forbid discharge enable</t>
    </r>
    <r>
      <rPr>
        <rFont val="Calibri"/>
        <color theme="1"/>
        <sz val="12.0"/>
      </rPr>
      <t xml:space="preserve">
B17~B31 Reseved</t>
    </r>
  </si>
  <si>
    <t>是</t>
  </si>
  <si>
    <t>1. B5与B6调换位置，修改B16为Forbid discharge enable，移除B17。
2. “AC charge enable”修改为“Timing AC charge enable”
   “Forced charge enable”修改为“Timing  charge enable”
   “Forced discharge enable”修改为“Timing discharge enable”
   “Forbid discharge enable”修改为“Timing Forbid discharge enable”</t>
  </si>
  <si>
    <t>gulDeSysFuncEn</t>
  </si>
  <si>
    <r>
      <rPr>
        <rFont val="宋体"/>
        <b/>
        <color theme="1"/>
        <sz val="12.0"/>
      </rPr>
      <t>√</t>
    </r>
  </si>
  <si>
    <r>
      <rPr>
        <rFont val="宋体"/>
        <b/>
        <color theme="1"/>
        <sz val="12.0"/>
      </rPr>
      <t>√</t>
    </r>
  </si>
  <si>
    <r>
      <rPr>
        <rFont val="宋体"/>
        <b/>
        <color theme="1"/>
        <sz val="12.0"/>
      </rPr>
      <t>√</t>
    </r>
  </si>
  <si>
    <r>
      <rPr>
        <rFont val="宋体"/>
        <color theme="1"/>
        <sz val="12.0"/>
      </rPr>
      <t>保护功能使能</t>
    </r>
  </si>
  <si>
    <t>ProtectEn</t>
  </si>
  <si>
    <t>208-209</t>
  </si>
  <si>
    <r>
      <rPr>
        <rFont val="Calibri"/>
        <color theme="1"/>
        <sz val="12.0"/>
      </rPr>
      <t>B0:</t>
    </r>
    <r>
      <rPr>
        <rFont val="宋体"/>
        <color theme="1"/>
        <sz val="12.0"/>
      </rPr>
      <t xml:space="preserve">并网范围判断
</t>
    </r>
    <r>
      <rPr>
        <rFont val="Calibri"/>
        <color theme="1"/>
        <sz val="12.0"/>
      </rPr>
      <t>B1:AactiveIsland;
B2:PassiveIsland;
B3:OverVolt;
B4:UnderVolt;
B5:OverFreq;
B6:UnderFreq;
B7:10minOverVolt;
B8:IsoChk;
B9:DciChk;
B10:GfciChk;
B11:EarthChk;
B12:</t>
    </r>
    <r>
      <rPr>
        <rFont val="宋体"/>
        <color theme="1"/>
        <sz val="12.0"/>
      </rPr>
      <t>三相不平衡</t>
    </r>
    <r>
      <rPr>
        <rFont val="Calibri"/>
        <color theme="1"/>
        <sz val="12.0"/>
      </rPr>
      <t>;
B13:</t>
    </r>
    <r>
      <rPr>
        <rFont val="宋体"/>
        <color theme="1"/>
        <sz val="12.0"/>
      </rPr>
      <t>电网暂态电压保护</t>
    </r>
    <r>
      <rPr>
        <rFont val="Calibri"/>
        <color theme="1"/>
        <sz val="12.0"/>
      </rPr>
      <t>;
B14:Bus</t>
    </r>
    <r>
      <rPr>
        <rFont val="宋体"/>
        <color theme="1"/>
        <sz val="12.0"/>
      </rPr>
      <t>中点不平衡保护</t>
    </r>
    <r>
      <rPr>
        <rFont val="Calibri"/>
        <color theme="1"/>
        <sz val="12.0"/>
      </rPr>
      <t>;
B15:PV</t>
    </r>
    <r>
      <rPr>
        <rFont val="宋体"/>
        <color theme="1"/>
        <sz val="12.0"/>
      </rPr>
      <t>反接</t>
    </r>
    <r>
      <rPr>
        <rFont val="Calibri"/>
        <color theme="1"/>
        <sz val="12.0"/>
      </rPr>
      <t>;
B16:PV</t>
    </r>
    <r>
      <rPr>
        <rFont val="宋体"/>
        <color theme="1"/>
        <sz val="12.0"/>
      </rPr>
      <t>异常</t>
    </r>
    <r>
      <rPr>
        <rFont val="Calibri"/>
        <color theme="1"/>
        <sz val="12.0"/>
      </rPr>
      <t>;
B17:</t>
    </r>
    <r>
      <rPr>
        <rFont val="宋体"/>
        <color theme="1"/>
        <sz val="12.0"/>
      </rPr>
      <t>采样检测</t>
    </r>
    <r>
      <rPr>
        <rFont val="Calibri"/>
        <color theme="1"/>
        <sz val="12.0"/>
      </rPr>
      <t>;
B18:</t>
    </r>
    <r>
      <rPr>
        <rFont val="宋体"/>
        <color theme="1"/>
        <sz val="12.0"/>
      </rPr>
      <t>温度采样异常</t>
    </r>
    <r>
      <rPr>
        <rFont val="Calibri"/>
        <color theme="1"/>
        <sz val="12.0"/>
      </rPr>
      <t>;
B19:</t>
    </r>
    <r>
      <rPr>
        <rFont val="宋体"/>
        <color theme="1"/>
        <sz val="12.0"/>
      </rPr>
      <t>高低温保护</t>
    </r>
    <r>
      <rPr>
        <rFont val="Calibri"/>
        <color theme="1"/>
        <sz val="12.0"/>
      </rPr>
      <t>;
B20:GEN</t>
    </r>
    <r>
      <rPr>
        <rFont val="宋体"/>
        <color theme="1"/>
        <sz val="12.0"/>
      </rPr>
      <t>电压频率检测</t>
    </r>
    <r>
      <rPr>
        <rFont val="Calibri"/>
        <color theme="1"/>
        <sz val="12.0"/>
      </rPr>
      <t>;
B21:</t>
    </r>
    <r>
      <rPr>
        <rFont val="宋体"/>
        <color theme="1"/>
        <sz val="12.0"/>
      </rPr>
      <t>继电器检测</t>
    </r>
    <r>
      <rPr>
        <rFont val="Calibri"/>
        <color theme="1"/>
        <sz val="12.0"/>
      </rPr>
      <t>;
B22:</t>
    </r>
    <r>
      <rPr>
        <rFont val="宋体"/>
        <color theme="1"/>
        <sz val="12.0"/>
      </rPr>
      <t>内部通信检测</t>
    </r>
    <r>
      <rPr>
        <rFont val="Calibri"/>
        <color theme="1"/>
        <sz val="12.0"/>
      </rPr>
      <t>;
B23:</t>
    </r>
    <r>
      <rPr>
        <rFont val="宋体"/>
        <color theme="1"/>
        <sz val="12.0"/>
      </rPr>
      <t>风扇检测</t>
    </r>
    <r>
      <rPr>
        <rFont val="Calibri"/>
        <color theme="1"/>
        <sz val="12.0"/>
      </rPr>
      <t>;
B24:</t>
    </r>
    <r>
      <rPr>
        <rFont val="宋体"/>
        <color theme="1"/>
        <sz val="12.0"/>
      </rPr>
      <t>电表</t>
    </r>
    <r>
      <rPr>
        <rFont val="Calibri"/>
        <color theme="1"/>
        <sz val="12.0"/>
      </rPr>
      <t>&amp;CT</t>
    </r>
    <r>
      <rPr>
        <rFont val="宋体"/>
        <color theme="1"/>
        <sz val="12.0"/>
      </rPr>
      <t xml:space="preserve">检测
</t>
    </r>
    <r>
      <rPr>
        <rFont val="Calibri"/>
        <color theme="1"/>
        <sz val="12.0"/>
      </rPr>
      <t>B25~B31 Reseved</t>
    </r>
  </si>
  <si>
    <r>
      <rPr>
        <rFont val="宋体"/>
        <color theme="1"/>
        <sz val="12.0"/>
      </rPr>
      <t>是</t>
    </r>
  </si>
  <si>
    <t>gulDeSysProtectEn</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</si>
  <si>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</si>
  <si>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</si>
  <si>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</si>
  <si>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启动电压</t>
    </r>
  </si>
  <si>
    <t>PvStartVolt</t>
  </si>
  <si>
    <t>210</t>
  </si>
  <si>
    <r>
      <rPr>
        <rFont val="宋体"/>
        <color theme="1"/>
        <sz val="12.0"/>
      </rPr>
      <t>是</t>
    </r>
  </si>
  <si>
    <t>guwDeStartVpv</t>
  </si>
  <si>
    <r>
      <rPr>
        <rFont val="宋体"/>
        <b/>
        <color theme="1"/>
        <sz val="12.0"/>
      </rPr>
      <t>√</t>
    </r>
  </si>
  <si>
    <r>
      <rPr>
        <rFont val="宋体"/>
        <b/>
        <color theme="1"/>
        <sz val="12.0"/>
      </rPr>
      <t>√</t>
    </r>
  </si>
  <si>
    <r>
      <rPr>
        <rFont val="宋体"/>
        <b/>
        <color theme="1"/>
        <sz val="12.0"/>
      </rPr>
      <t>√</t>
    </r>
  </si>
  <si>
    <t>CT or Meter</t>
  </si>
  <si>
    <t>MeterType</t>
  </si>
  <si>
    <t>211</t>
  </si>
  <si>
    <r>
      <rPr>
        <rFont val="Calibri"/>
        <color theme="1"/>
        <sz val="12.0"/>
      </rPr>
      <t>0</t>
    </r>
    <r>
      <rPr>
        <rFont val="宋体"/>
        <color theme="1"/>
        <sz val="12.0"/>
      </rPr>
      <t>：</t>
    </r>
    <r>
      <rPr>
        <rFont val="Calibri"/>
        <color theme="1"/>
        <sz val="12.0"/>
      </rPr>
      <t>no merter
1</t>
    </r>
    <r>
      <rPr>
        <rFont val="宋体"/>
        <color theme="1"/>
        <sz val="12.0"/>
      </rPr>
      <t>：</t>
    </r>
    <r>
      <rPr>
        <rFont val="Calibri"/>
        <color theme="1"/>
        <sz val="12.0"/>
      </rPr>
      <t>CT
2</t>
    </r>
    <r>
      <rPr>
        <rFont val="宋体"/>
        <color theme="1"/>
        <sz val="12.0"/>
      </rPr>
      <t>：</t>
    </r>
    <r>
      <rPr>
        <rFont val="Calibri"/>
        <color theme="1"/>
        <sz val="12.0"/>
      </rPr>
      <t>meter</t>
    </r>
  </si>
  <si>
    <r>
      <rPr>
        <rFont val="宋体"/>
        <color theme="1"/>
        <sz val="12.0"/>
      </rPr>
      <t>是</t>
    </r>
  </si>
  <si>
    <t>guwDeMeterType</t>
  </si>
  <si>
    <r>
      <rPr>
        <rFont val="宋体"/>
        <b/>
        <color theme="1"/>
        <sz val="12.0"/>
      </rPr>
      <t>√</t>
    </r>
  </si>
  <si>
    <r>
      <rPr>
        <rFont val="宋体"/>
        <b/>
        <color theme="1"/>
        <sz val="12.0"/>
      </rPr>
      <t>√</t>
    </r>
  </si>
  <si>
    <r>
      <rPr>
        <rFont val="宋体"/>
        <b/>
        <color theme="1"/>
        <sz val="12.0"/>
      </rPr>
      <t>√</t>
    </r>
  </si>
  <si>
    <r>
      <rPr>
        <rFont val="宋体"/>
        <color theme="1"/>
        <sz val="10.0"/>
      </rPr>
      <t>电表厂家</t>
    </r>
  </si>
  <si>
    <t>MeterBrand</t>
  </si>
  <si>
    <t>212</t>
  </si>
  <si>
    <r>
      <rPr>
        <rFont val="Calibri"/>
        <color theme="1"/>
        <sz val="12.0"/>
      </rPr>
      <t>1</t>
    </r>
    <r>
      <rPr>
        <rFont val="宋体"/>
        <color theme="1"/>
        <sz val="12.0"/>
      </rPr>
      <t xml:space="preserve">：
</t>
    </r>
    <r>
      <rPr>
        <rFont val="Calibri"/>
        <color theme="1"/>
        <sz val="12.0"/>
      </rPr>
      <t>2</t>
    </r>
    <r>
      <rPr>
        <rFont val="宋体"/>
        <color theme="1"/>
        <sz val="12.0"/>
      </rPr>
      <t>：</t>
    </r>
  </si>
  <si>
    <r>
      <rPr>
        <rFont val="宋体"/>
        <color theme="1"/>
        <sz val="11.0"/>
      </rPr>
      <t>是</t>
    </r>
  </si>
  <si>
    <t>guwDeMeterBrand</t>
  </si>
  <si>
    <r>
      <rPr>
        <rFont val="宋体"/>
        <b/>
        <color theme="1"/>
        <sz val="12.0"/>
      </rPr>
      <t>√</t>
    </r>
  </si>
  <si>
    <r>
      <rPr>
        <rFont val="宋体"/>
        <b/>
        <color theme="1"/>
        <sz val="12.0"/>
      </rPr>
      <t>√</t>
    </r>
  </si>
  <si>
    <r>
      <rPr>
        <rFont val="宋体"/>
        <b/>
        <color theme="1"/>
        <sz val="12.0"/>
      </rPr>
      <t>√</t>
    </r>
  </si>
  <si>
    <r>
      <rPr>
        <rFont val="Calibri"/>
        <color theme="1"/>
        <sz val="10.0"/>
      </rPr>
      <t>CT</t>
    </r>
    <r>
      <rPr>
        <rFont val="宋体"/>
        <color theme="1"/>
        <sz val="10.0"/>
      </rPr>
      <t>系数</t>
    </r>
  </si>
  <si>
    <t>CTRatio</t>
  </si>
  <si>
    <t>213</t>
  </si>
  <si>
    <r>
      <rPr>
        <rFont val="宋体"/>
        <color theme="1"/>
        <sz val="11.0"/>
      </rPr>
      <t>是</t>
    </r>
  </si>
  <si>
    <r>
      <rPr>
        <rFont val="宋体"/>
        <b/>
        <color theme="1"/>
        <sz val="12.0"/>
      </rPr>
      <t>√</t>
    </r>
  </si>
  <si>
    <r>
      <rPr>
        <rFont val="宋体"/>
        <b/>
        <color theme="1"/>
        <sz val="12.0"/>
      </rPr>
      <t>√</t>
    </r>
  </si>
  <si>
    <r>
      <rPr>
        <rFont val="宋体"/>
        <b/>
        <color theme="1"/>
        <sz val="12.0"/>
      </rPr>
      <t>√</t>
    </r>
  </si>
  <si>
    <t>LoadMinLoad</t>
  </si>
  <si>
    <t>MinLoad</t>
  </si>
  <si>
    <t>214-215</t>
  </si>
  <si>
    <r>
      <rPr>
        <rFont val="宋体"/>
        <color theme="1"/>
        <sz val="12.0"/>
      </rPr>
      <t>用于负载均衡功能，负载小时从电网取电</t>
    </r>
  </si>
  <si>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</si>
  <si>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</si>
  <si>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</si>
  <si>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扫描模式</t>
    </r>
  </si>
  <si>
    <t>PvScanModel</t>
  </si>
  <si>
    <r>
      <rPr>
        <rFont val="Calibri"/>
        <color theme="1"/>
        <sz val="12.0"/>
      </rPr>
      <t xml:space="preserve">0: </t>
    </r>
    <r>
      <rPr>
        <rFont val="宋体"/>
        <color theme="1"/>
        <sz val="12.0"/>
      </rPr>
      <t xml:space="preserve">关闭
</t>
    </r>
    <r>
      <rPr>
        <rFont val="Calibri"/>
        <color theme="1"/>
        <sz val="12.0"/>
      </rPr>
      <t xml:space="preserve">1: </t>
    </r>
    <r>
      <rPr>
        <rFont val="宋体"/>
        <color theme="1"/>
        <sz val="12.0"/>
      </rPr>
      <t xml:space="preserve">开一次
</t>
    </r>
    <r>
      <rPr>
        <rFont val="Calibri"/>
        <color theme="1"/>
        <sz val="12.0"/>
      </rPr>
      <t xml:space="preserve">2: </t>
    </r>
    <r>
      <rPr>
        <rFont val="宋体"/>
        <color theme="1"/>
        <sz val="12.0"/>
      </rPr>
      <t xml:space="preserve">周期定时
</t>
    </r>
    <r>
      <rPr>
        <rFont val="Calibri"/>
        <color theme="1"/>
        <sz val="12.0"/>
      </rPr>
      <t xml:space="preserve">3: </t>
    </r>
    <r>
      <rPr>
        <rFont val="宋体"/>
        <color theme="1"/>
        <sz val="12.0"/>
      </rPr>
      <t>绝对时间定时</t>
    </r>
  </si>
  <si>
    <t>guwDePvScanModel</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</si>
  <si>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</si>
  <si>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</si>
  <si>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</si>
  <si>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扫描周期</t>
    </r>
  </si>
  <si>
    <t>PvScanPrd</t>
  </si>
  <si>
    <t>guwDePvScanPrd</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</si>
  <si>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</si>
  <si>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</si>
  <si>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</si>
  <si>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扫描时间</t>
    </r>
    <r>
      <rPr>
        <rFont val="Calibri"/>
        <color theme="1"/>
        <sz val="12.0"/>
      </rPr>
      <t>1</t>
    </r>
  </si>
  <si>
    <t>PvScanTime1</t>
  </si>
  <si>
    <t>guwDePvScanT1</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</si>
  <si>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</si>
  <si>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</si>
  <si>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</si>
  <si>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扫描时间</t>
    </r>
    <r>
      <rPr>
        <rFont val="Calibri"/>
        <color theme="1"/>
        <sz val="12.0"/>
      </rPr>
      <t>2</t>
    </r>
  </si>
  <si>
    <t>PvScanTime2</t>
  </si>
  <si>
    <t>guwDePvScanT2</t>
  </si>
  <si>
    <r>
      <rPr>
        <rFont val="宋体"/>
        <b/>
        <color theme="1"/>
        <sz val="12.0"/>
      </rPr>
      <t>√</t>
    </r>
  </si>
  <si>
    <r>
      <rPr>
        <rFont val="宋体"/>
        <b/>
        <color theme="1"/>
        <sz val="12.0"/>
      </rPr>
      <t>√</t>
    </r>
  </si>
  <si>
    <r>
      <rPr>
        <rFont val="宋体"/>
        <b/>
        <color theme="1"/>
        <sz val="12.0"/>
      </rPr>
      <t>√</t>
    </r>
  </si>
  <si>
    <r>
      <rPr>
        <rFont val="Calibri"/>
        <color theme="1"/>
        <sz val="12.0"/>
      </rPr>
      <t>PV</t>
    </r>
    <r>
      <rPr>
        <rFont val="宋体"/>
        <color theme="1"/>
        <sz val="12.0"/>
      </rPr>
      <t>扫描时间</t>
    </r>
    <r>
      <rPr>
        <rFont val="Calibri"/>
        <color theme="1"/>
        <sz val="12.0"/>
      </rPr>
      <t>3</t>
    </r>
  </si>
  <si>
    <t>PvScanTime3</t>
  </si>
  <si>
    <t>guwDePvScanT3</t>
  </si>
  <si>
    <r>
      <rPr>
        <rFont val="宋体"/>
        <b/>
        <color theme="1"/>
        <sz val="12.0"/>
      </rPr>
      <t>√</t>
    </r>
  </si>
  <si>
    <r>
      <rPr>
        <rFont val="宋体"/>
        <b/>
        <color theme="1"/>
        <sz val="12.0"/>
      </rPr>
      <t>√</t>
    </r>
  </si>
  <si>
    <r>
      <rPr>
        <rFont val="宋体"/>
        <b/>
        <color theme="1"/>
        <sz val="12.0"/>
      </rPr>
      <t>√</t>
    </r>
  </si>
  <si>
    <t>221-222</t>
  </si>
  <si>
    <r>
      <rPr>
        <rFont val="宋体"/>
        <color theme="1"/>
        <sz val="12.0"/>
      </rPr>
      <t>是</t>
    </r>
  </si>
  <si>
    <t>guwDeMaxAcOutCurr</t>
  </si>
  <si>
    <r>
      <rPr>
        <rFont val="宋体"/>
        <b/>
        <color theme="1"/>
        <sz val="12.0"/>
      </rPr>
      <t>√</t>
    </r>
  </si>
  <si>
    <r>
      <rPr>
        <rFont val="宋体"/>
        <b/>
        <color theme="1"/>
        <sz val="12.0"/>
      </rPr>
      <t>√</t>
    </r>
  </si>
  <si>
    <r>
      <rPr>
        <rFont val="宋体"/>
        <b/>
        <color theme="1"/>
        <sz val="12.0"/>
      </rPr>
      <t>√</t>
    </r>
  </si>
  <si>
    <r>
      <rPr>
        <rFont val="宋体"/>
        <color theme="1"/>
        <sz val="12.0"/>
      </rPr>
      <t>预留</t>
    </r>
  </si>
  <si>
    <t>223-499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</si>
  <si>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</si>
  <si>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</si>
  <si>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</si>
  <si>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2</t>
    </r>
    <r>
      <rPr>
        <rFont val="宋体"/>
        <b/>
        <color theme="1"/>
        <sz val="14.0"/>
      </rPr>
      <t>（系统指令）</t>
    </r>
  </si>
  <si>
    <r>
      <rPr>
        <rFont val="宋体"/>
        <b/>
        <color theme="1"/>
        <sz val="12.0"/>
      </rPr>
      <t>√</t>
    </r>
  </si>
  <si>
    <r>
      <rPr>
        <rFont val="宋体"/>
        <b/>
        <color theme="1"/>
        <sz val="12.0"/>
      </rPr>
      <t>√</t>
    </r>
  </si>
  <si>
    <r>
      <rPr>
        <rFont val="宋体"/>
        <b/>
        <color theme="1"/>
        <sz val="12.0"/>
      </rPr>
      <t>√</t>
    </r>
  </si>
  <si>
    <r>
      <rPr>
        <rFont val="宋体"/>
        <color theme="1"/>
        <sz val="12.0"/>
      </rPr>
      <t>时间</t>
    </r>
  </si>
  <si>
    <t>TimeYear-Month</t>
  </si>
  <si>
    <t>H:18-99
L:1-12</t>
  </si>
  <si>
    <r>
      <rPr>
        <rFont val="宋体"/>
        <color theme="1"/>
        <sz val="12.0"/>
      </rPr>
      <t>否</t>
    </r>
  </si>
  <si>
    <t>guwDeSysTYearMonth</t>
  </si>
  <si>
    <r>
      <rPr>
        <rFont val="宋体"/>
        <b/>
        <color theme="1"/>
        <sz val="12.0"/>
      </rPr>
      <t>√</t>
    </r>
  </si>
  <si>
    <r>
      <rPr>
        <rFont val="宋体"/>
        <b/>
        <color theme="1"/>
        <sz val="12.0"/>
      </rPr>
      <t>√</t>
    </r>
  </si>
  <si>
    <r>
      <rPr>
        <rFont val="宋体"/>
        <b/>
        <color theme="1"/>
        <sz val="12.0"/>
      </rPr>
      <t>√</t>
    </r>
  </si>
  <si>
    <t>TimeDate-Hour</t>
  </si>
  <si>
    <t>H:1-31
L:0-23</t>
  </si>
  <si>
    <r>
      <rPr>
        <rFont val="宋体"/>
        <color theme="1"/>
        <sz val="12.0"/>
      </rPr>
      <t>否</t>
    </r>
  </si>
  <si>
    <t>guwDeSysTDateHour</t>
  </si>
  <si>
    <r>
      <rPr>
        <rFont val="宋体"/>
        <b/>
        <color theme="1"/>
        <sz val="12.0"/>
      </rPr>
      <t>√</t>
    </r>
  </si>
  <si>
    <r>
      <rPr>
        <rFont val="宋体"/>
        <b/>
        <color theme="1"/>
        <sz val="12.0"/>
      </rPr>
      <t>√</t>
    </r>
  </si>
  <si>
    <r>
      <rPr>
        <rFont val="宋体"/>
        <b/>
        <color theme="1"/>
        <sz val="12.0"/>
      </rPr>
      <t>√</t>
    </r>
  </si>
  <si>
    <t>TimeMinute-Sec</t>
  </si>
  <si>
    <t>H:0-59
L:0-59</t>
  </si>
  <si>
    <r>
      <rPr>
        <rFont val="宋体"/>
        <color theme="1"/>
        <sz val="12.0"/>
      </rPr>
      <t>否</t>
    </r>
  </si>
  <si>
    <t>guwDeSysTMinuteSec</t>
  </si>
  <si>
    <r>
      <rPr>
        <rFont val="宋体"/>
        <b/>
        <color theme="1"/>
        <sz val="12.0"/>
      </rPr>
      <t>√</t>
    </r>
  </si>
  <si>
    <r>
      <rPr>
        <rFont val="宋体"/>
        <b/>
        <color theme="1"/>
        <sz val="12.0"/>
      </rPr>
      <t>√</t>
    </r>
  </si>
  <si>
    <r>
      <rPr>
        <rFont val="宋体"/>
        <b/>
        <color theme="1"/>
        <sz val="12.0"/>
      </rPr>
      <t>√</t>
    </r>
  </si>
  <si>
    <r>
      <rPr>
        <rFont val="宋体"/>
        <color theme="1"/>
        <sz val="12.0"/>
      </rPr>
      <t>采集器</t>
    </r>
    <r>
      <rPr>
        <rFont val="Calibri"/>
        <color theme="1"/>
        <sz val="12.0"/>
      </rPr>
      <t>IP</t>
    </r>
    <r>
      <rPr>
        <rFont val="宋体"/>
        <color theme="1"/>
        <sz val="12.0"/>
      </rPr>
      <t>地址和</t>
    </r>
    <r>
      <rPr>
        <rFont val="Calibri"/>
        <color theme="1"/>
        <sz val="12.0"/>
      </rPr>
      <t>SN</t>
    </r>
  </si>
  <si>
    <t>IP15-14</t>
  </si>
  <si>
    <r>
      <rPr>
        <rFont val="宋体"/>
        <color theme="1"/>
        <sz val="12.0"/>
      </rPr>
      <t>否</t>
    </r>
  </si>
  <si>
    <t>guwDeGprsIP7</t>
  </si>
  <si>
    <r>
      <rPr>
        <rFont val="宋体"/>
        <b/>
        <color theme="1"/>
        <sz val="12.0"/>
      </rPr>
      <t>√</t>
    </r>
  </si>
  <si>
    <r>
      <rPr>
        <rFont val="宋体"/>
        <b/>
        <color theme="1"/>
        <sz val="12.0"/>
      </rPr>
      <t>√</t>
    </r>
  </si>
  <si>
    <r>
      <rPr>
        <rFont val="宋体"/>
        <b/>
        <color theme="1"/>
        <sz val="12.0"/>
      </rPr>
      <t>√</t>
    </r>
  </si>
  <si>
    <t>IP13-12</t>
  </si>
  <si>
    <r>
      <rPr>
        <rFont val="宋体"/>
        <color theme="1"/>
        <sz val="12.0"/>
      </rPr>
      <t>否</t>
    </r>
  </si>
  <si>
    <t>guwDeGprsIP6</t>
  </si>
  <si>
    <r>
      <rPr>
        <rFont val="宋体"/>
        <b/>
        <color theme="1"/>
        <sz val="12.0"/>
      </rPr>
      <t>√</t>
    </r>
  </si>
  <si>
    <r>
      <rPr>
        <rFont val="宋体"/>
        <b/>
        <color theme="1"/>
        <sz val="12.0"/>
      </rPr>
      <t>√</t>
    </r>
  </si>
  <si>
    <r>
      <rPr>
        <rFont val="宋体"/>
        <b/>
        <color theme="1"/>
        <sz val="12.0"/>
      </rPr>
      <t>√</t>
    </r>
  </si>
  <si>
    <t>IP11-10</t>
  </si>
  <si>
    <r>
      <rPr>
        <rFont val="宋体"/>
        <color theme="1"/>
        <sz val="12.0"/>
      </rPr>
      <t>否</t>
    </r>
  </si>
  <si>
    <t>guwDeGprsIP5</t>
  </si>
  <si>
    <r>
      <rPr>
        <rFont val="宋体"/>
        <b/>
        <color theme="1"/>
        <sz val="12.0"/>
      </rPr>
      <t>√</t>
    </r>
  </si>
  <si>
    <r>
      <rPr>
        <rFont val="宋体"/>
        <b/>
        <color theme="1"/>
        <sz val="12.0"/>
      </rPr>
      <t>√</t>
    </r>
  </si>
  <si>
    <r>
      <rPr>
        <rFont val="宋体"/>
        <b/>
        <color theme="1"/>
        <sz val="12.0"/>
      </rPr>
      <t>√</t>
    </r>
  </si>
  <si>
    <t>IP9-8</t>
  </si>
  <si>
    <r>
      <rPr>
        <rFont val="宋体"/>
        <color theme="1"/>
        <sz val="12.0"/>
      </rPr>
      <t>否</t>
    </r>
  </si>
  <si>
    <t>guwDeGprsIP4</t>
  </si>
  <si>
    <r>
      <rPr>
        <rFont val="宋体"/>
        <b/>
        <color theme="1"/>
        <sz val="12.0"/>
      </rPr>
      <t>√</t>
    </r>
  </si>
  <si>
    <r>
      <rPr>
        <rFont val="宋体"/>
        <b/>
        <color theme="1"/>
        <sz val="12.0"/>
      </rPr>
      <t>√</t>
    </r>
  </si>
  <si>
    <r>
      <rPr>
        <rFont val="宋体"/>
        <b/>
        <color theme="1"/>
        <sz val="12.0"/>
      </rPr>
      <t>√</t>
    </r>
  </si>
  <si>
    <t>IP7-6</t>
  </si>
  <si>
    <r>
      <rPr>
        <rFont val="宋体"/>
        <color theme="1"/>
        <sz val="12.0"/>
      </rPr>
      <t>否</t>
    </r>
  </si>
  <si>
    <t>guwDeGprsIP3</t>
  </si>
  <si>
    <r>
      <rPr>
        <rFont val="宋体"/>
        <b/>
        <color theme="1"/>
        <sz val="12.0"/>
      </rPr>
      <t>√</t>
    </r>
  </si>
  <si>
    <r>
      <rPr>
        <rFont val="宋体"/>
        <b/>
        <color theme="1"/>
        <sz val="12.0"/>
      </rPr>
      <t>√</t>
    </r>
  </si>
  <si>
    <r>
      <rPr>
        <rFont val="宋体"/>
        <b/>
        <color theme="1"/>
        <sz val="12.0"/>
      </rPr>
      <t>√</t>
    </r>
  </si>
  <si>
    <t>IP5-4</t>
  </si>
  <si>
    <r>
      <rPr>
        <rFont val="宋体"/>
        <color theme="1"/>
        <sz val="12.0"/>
      </rPr>
      <t>否</t>
    </r>
  </si>
  <si>
    <t>guwDeGprsIP2</t>
  </si>
  <si>
    <r>
      <rPr>
        <rFont val="宋体"/>
        <b/>
        <color theme="1"/>
        <sz val="12.0"/>
      </rPr>
      <t>√</t>
    </r>
  </si>
  <si>
    <r>
      <rPr>
        <rFont val="宋体"/>
        <b/>
        <color theme="1"/>
        <sz val="12.0"/>
      </rPr>
      <t>√</t>
    </r>
  </si>
  <si>
    <r>
      <rPr>
        <rFont val="宋体"/>
        <b/>
        <color theme="1"/>
        <sz val="12.0"/>
      </rPr>
      <t>√</t>
    </r>
  </si>
  <si>
    <t>IP3-2</t>
  </si>
  <si>
    <r>
      <rPr>
        <rFont val="宋体"/>
        <color theme="1"/>
        <sz val="12.0"/>
      </rPr>
      <t>否</t>
    </r>
  </si>
  <si>
    <t>guwDeGprsIP1</t>
  </si>
  <si>
    <r>
      <rPr>
        <rFont val="宋体"/>
        <b/>
        <color theme="1"/>
        <sz val="12.0"/>
      </rPr>
      <t>√</t>
    </r>
  </si>
  <si>
    <r>
      <rPr>
        <rFont val="宋体"/>
        <b/>
        <color theme="1"/>
        <sz val="12.0"/>
      </rPr>
      <t>√</t>
    </r>
  </si>
  <si>
    <r>
      <rPr>
        <rFont val="宋体"/>
        <b/>
        <color theme="1"/>
        <sz val="12.0"/>
      </rPr>
      <t>√</t>
    </r>
  </si>
  <si>
    <t>IP1-0</t>
  </si>
  <si>
    <r>
      <rPr>
        <rFont val="宋体"/>
        <color theme="1"/>
        <sz val="12.0"/>
      </rPr>
      <t>否</t>
    </r>
  </si>
  <si>
    <t>guwDeGprsIP0</t>
  </si>
  <si>
    <r>
      <rPr>
        <rFont val="宋体"/>
        <b/>
        <color theme="1"/>
        <sz val="12.0"/>
      </rPr>
      <t>√</t>
    </r>
  </si>
  <si>
    <r>
      <rPr>
        <rFont val="宋体"/>
        <b/>
        <color theme="1"/>
        <sz val="12.0"/>
      </rPr>
      <t>√</t>
    </r>
  </si>
  <si>
    <r>
      <rPr>
        <rFont val="宋体"/>
        <b/>
        <color theme="1"/>
        <sz val="12.0"/>
      </rPr>
      <t>√</t>
    </r>
  </si>
  <si>
    <r>
      <rPr>
        <rFont val="宋体"/>
        <color theme="1"/>
        <sz val="12.0"/>
      </rPr>
      <t>否</t>
    </r>
  </si>
  <si>
    <t>guwDeGprsSN7</t>
  </si>
  <si>
    <r>
      <rPr>
        <rFont val="宋体"/>
        <b/>
        <color theme="1"/>
        <sz val="12.0"/>
      </rPr>
      <t>√</t>
    </r>
  </si>
  <si>
    <r>
      <rPr>
        <rFont val="宋体"/>
        <b/>
        <color theme="1"/>
        <sz val="12.0"/>
      </rPr>
      <t>√</t>
    </r>
  </si>
  <si>
    <r>
      <rPr>
        <rFont val="宋体"/>
        <b/>
        <color theme="1"/>
        <sz val="12.0"/>
      </rPr>
      <t>√</t>
    </r>
  </si>
  <si>
    <r>
      <rPr>
        <rFont val="宋体"/>
        <color theme="1"/>
        <sz val="12.0"/>
      </rPr>
      <t>否</t>
    </r>
  </si>
  <si>
    <t>guwDeGprsSN6</t>
  </si>
  <si>
    <r>
      <rPr>
        <rFont val="宋体"/>
        <b/>
        <color theme="1"/>
        <sz val="12.0"/>
      </rPr>
      <t>√</t>
    </r>
  </si>
  <si>
    <r>
      <rPr>
        <rFont val="宋体"/>
        <b/>
        <color theme="1"/>
        <sz val="12.0"/>
      </rPr>
      <t>√</t>
    </r>
  </si>
  <si>
    <r>
      <rPr>
        <rFont val="宋体"/>
        <b/>
        <color theme="1"/>
        <sz val="12.0"/>
      </rPr>
      <t>√</t>
    </r>
  </si>
  <si>
    <r>
      <rPr>
        <rFont val="宋体"/>
        <color theme="1"/>
        <sz val="12.0"/>
      </rPr>
      <t>否</t>
    </r>
  </si>
  <si>
    <t>guwDeGprsSN5</t>
  </si>
  <si>
    <r>
      <rPr>
        <rFont val="宋体"/>
        <b/>
        <color theme="1"/>
        <sz val="12.0"/>
      </rPr>
      <t>√</t>
    </r>
  </si>
  <si>
    <r>
      <rPr>
        <rFont val="宋体"/>
        <b/>
        <color theme="1"/>
        <sz val="12.0"/>
      </rPr>
      <t>√</t>
    </r>
  </si>
  <si>
    <r>
      <rPr>
        <rFont val="宋体"/>
        <b/>
        <color theme="1"/>
        <sz val="12.0"/>
      </rPr>
      <t>√</t>
    </r>
  </si>
  <si>
    <r>
      <rPr>
        <rFont val="宋体"/>
        <color theme="1"/>
        <sz val="12.0"/>
      </rPr>
      <t>否</t>
    </r>
  </si>
  <si>
    <t>guwDeGprsSN4</t>
  </si>
  <si>
    <r>
      <rPr>
        <rFont val="宋体"/>
        <b/>
        <color theme="1"/>
        <sz val="12.0"/>
      </rPr>
      <t>√</t>
    </r>
  </si>
  <si>
    <r>
      <rPr>
        <rFont val="宋体"/>
        <b/>
        <color theme="1"/>
        <sz val="12.0"/>
      </rPr>
      <t>√</t>
    </r>
  </si>
  <si>
    <r>
      <rPr>
        <rFont val="宋体"/>
        <b/>
        <color theme="1"/>
        <sz val="12.0"/>
      </rPr>
      <t>√</t>
    </r>
  </si>
  <si>
    <r>
      <rPr>
        <rFont val="宋体"/>
        <color theme="1"/>
        <sz val="12.0"/>
      </rPr>
      <t>否</t>
    </r>
  </si>
  <si>
    <t>guwDeGprsSN3</t>
  </si>
  <si>
    <r>
      <rPr>
        <rFont val="宋体"/>
        <b/>
        <color theme="1"/>
        <sz val="12.0"/>
      </rPr>
      <t>√</t>
    </r>
  </si>
  <si>
    <r>
      <rPr>
        <rFont val="宋体"/>
        <b/>
        <color theme="1"/>
        <sz val="12.0"/>
      </rPr>
      <t>√</t>
    </r>
  </si>
  <si>
    <r>
      <rPr>
        <rFont val="宋体"/>
        <b/>
        <color theme="1"/>
        <sz val="12.0"/>
      </rPr>
      <t>√</t>
    </r>
  </si>
  <si>
    <r>
      <rPr>
        <rFont val="宋体"/>
        <color theme="1"/>
        <sz val="12.0"/>
      </rPr>
      <t>否</t>
    </r>
  </si>
  <si>
    <t>guwDeGprsSN2</t>
  </si>
  <si>
    <r>
      <rPr>
        <rFont val="宋体"/>
        <b/>
        <color theme="1"/>
        <sz val="12.0"/>
      </rPr>
      <t>√</t>
    </r>
  </si>
  <si>
    <r>
      <rPr>
        <rFont val="宋体"/>
        <b/>
        <color theme="1"/>
        <sz val="12.0"/>
      </rPr>
      <t>√</t>
    </r>
  </si>
  <si>
    <r>
      <rPr>
        <rFont val="宋体"/>
        <b/>
        <color theme="1"/>
        <sz val="12.0"/>
      </rPr>
      <t>√</t>
    </r>
  </si>
  <si>
    <r>
      <rPr>
        <rFont val="宋体"/>
        <color theme="1"/>
        <sz val="12.0"/>
      </rPr>
      <t>否</t>
    </r>
  </si>
  <si>
    <t>guwDeGprsSN1</t>
  </si>
  <si>
    <r>
      <rPr>
        <rFont val="宋体"/>
        <b/>
        <color theme="1"/>
        <sz val="12.0"/>
      </rPr>
      <t>√</t>
    </r>
  </si>
  <si>
    <r>
      <rPr>
        <rFont val="宋体"/>
        <b/>
        <color theme="1"/>
        <sz val="12.0"/>
      </rPr>
      <t>√</t>
    </r>
  </si>
  <si>
    <r>
      <rPr>
        <rFont val="宋体"/>
        <b/>
        <color theme="1"/>
        <sz val="12.0"/>
      </rPr>
      <t>√</t>
    </r>
  </si>
  <si>
    <r>
      <rPr>
        <rFont val="宋体"/>
        <color theme="1"/>
        <sz val="12.0"/>
      </rPr>
      <t>否</t>
    </r>
  </si>
  <si>
    <t>guwDeGprsSN0</t>
  </si>
  <si>
    <r>
      <rPr>
        <rFont val="宋体"/>
        <b/>
        <color theme="1"/>
        <sz val="12.0"/>
      </rPr>
      <t>√</t>
    </r>
  </si>
  <si>
    <r>
      <rPr>
        <rFont val="宋体"/>
        <b/>
        <color theme="1"/>
        <sz val="12.0"/>
      </rPr>
      <t>√</t>
    </r>
  </si>
  <si>
    <r>
      <rPr>
        <rFont val="宋体"/>
        <b/>
        <color theme="1"/>
        <sz val="12.0"/>
      </rPr>
      <t>√</t>
    </r>
  </si>
  <si>
    <r>
      <rPr>
        <rFont val="宋体"/>
        <color theme="1"/>
        <sz val="12.0"/>
      </rPr>
      <t>允许写操作密码</t>
    </r>
  </si>
  <si>
    <t>WrPassWord</t>
  </si>
  <si>
    <t>519-520</t>
  </si>
  <si>
    <r>
      <rPr>
        <rFont val="宋体"/>
        <color theme="1"/>
        <sz val="12.0"/>
      </rPr>
      <t>通讯密码</t>
    </r>
    <r>
      <rPr>
        <rFont val="Calibri"/>
        <color theme="1"/>
        <sz val="12.0"/>
      </rPr>
      <t xml:space="preserve"> </t>
    </r>
    <r>
      <rPr>
        <rFont val="宋体"/>
        <color theme="1"/>
        <sz val="12.0"/>
      </rPr>
      <t>只有当密码通过是才可以进行写操作</t>
    </r>
    <r>
      <rPr>
        <rFont val="Calibri"/>
        <color theme="1"/>
        <sz val="12.0"/>
      </rPr>
      <t xml:space="preserve"> </t>
    </r>
    <r>
      <rPr>
        <rFont val="宋体"/>
        <color theme="1"/>
        <sz val="12.0"/>
      </rPr>
      <t>只需要</t>
    </r>
    <r>
      <rPr>
        <rFont val="Calibri"/>
        <color theme="1"/>
        <sz val="12.0"/>
      </rPr>
      <t>ARM</t>
    </r>
    <r>
      <rPr>
        <rFont val="宋体"/>
        <color theme="1"/>
        <sz val="12.0"/>
      </rPr>
      <t>操作</t>
    </r>
  </si>
  <si>
    <r>
      <rPr>
        <rFont val="宋体"/>
        <color theme="1"/>
        <sz val="12.0"/>
      </rPr>
      <t>否</t>
    </r>
  </si>
  <si>
    <t>gulDeWriteKey</t>
  </si>
  <si>
    <r>
      <rPr>
        <rFont val="宋体"/>
        <b/>
        <color theme="1"/>
        <sz val="12.0"/>
      </rPr>
      <t>√</t>
    </r>
  </si>
  <si>
    <r>
      <rPr>
        <rFont val="宋体"/>
        <color theme="1"/>
        <sz val="12.0"/>
      </rPr>
      <t>升级使能</t>
    </r>
  </si>
  <si>
    <t>UpdataEn</t>
  </si>
  <si>
    <t>521</t>
  </si>
  <si>
    <r>
      <rPr>
        <rFont val="Calibri"/>
        <color theme="1"/>
        <sz val="12.0"/>
      </rPr>
      <t>0xAA</t>
    </r>
    <r>
      <rPr>
        <rFont val="宋体"/>
        <color theme="1"/>
        <sz val="12.0"/>
      </rPr>
      <t>有效</t>
    </r>
  </si>
  <si>
    <r>
      <rPr>
        <rFont val="宋体"/>
        <color theme="1"/>
        <sz val="12.0"/>
      </rPr>
      <t>否</t>
    </r>
  </si>
  <si>
    <t>guwDeUpdataEn</t>
  </si>
  <si>
    <r>
      <rPr>
        <rFont val="宋体"/>
        <b/>
        <color theme="1"/>
        <sz val="12.0"/>
      </rPr>
      <t>√</t>
    </r>
  </si>
  <si>
    <r>
      <rPr>
        <rFont val="宋体"/>
        <b/>
        <color theme="1"/>
        <sz val="12.0"/>
      </rPr>
      <t>√</t>
    </r>
  </si>
  <si>
    <r>
      <rPr>
        <rFont val="宋体"/>
        <color theme="1"/>
        <sz val="12.0"/>
      </rPr>
      <t>升级波特率</t>
    </r>
  </si>
  <si>
    <t>UpdataBaud</t>
  </si>
  <si>
    <t>522</t>
  </si>
  <si>
    <t>0: 9600 1: 115200</t>
  </si>
  <si>
    <r>
      <rPr>
        <rFont val="宋体"/>
        <color theme="1"/>
        <sz val="12.0"/>
      </rPr>
      <t>否</t>
    </r>
  </si>
  <si>
    <t>guwDeUpdataBaud</t>
  </si>
  <si>
    <r>
      <rPr>
        <rFont val="宋体"/>
        <b/>
        <color theme="1"/>
        <sz val="12.0"/>
      </rPr>
      <t>√</t>
    </r>
  </si>
  <si>
    <r>
      <rPr>
        <rFont val="宋体"/>
        <b/>
        <color theme="1"/>
        <sz val="12.0"/>
      </rPr>
      <t>√</t>
    </r>
  </si>
  <si>
    <r>
      <rPr>
        <rFont val="宋体"/>
        <color theme="1"/>
        <sz val="12.0"/>
      </rPr>
      <t>升级哪个程序</t>
    </r>
  </si>
  <si>
    <t>UpdataCpuNum</t>
  </si>
  <si>
    <t>523</t>
  </si>
  <si>
    <r>
      <rPr>
        <rFont val="Calibri"/>
        <color theme="1"/>
        <sz val="12.0"/>
      </rPr>
      <t>1</t>
    </r>
    <r>
      <rPr>
        <rFont val="宋体"/>
        <color theme="1"/>
        <sz val="12.0"/>
      </rPr>
      <t>：</t>
    </r>
    <r>
      <rPr>
        <rFont val="Calibri"/>
        <color theme="1"/>
        <sz val="12.0"/>
      </rPr>
      <t>HMI(</t>
    </r>
    <r>
      <rPr>
        <rFont val="宋体"/>
        <color theme="1"/>
        <sz val="12.0"/>
      </rPr>
      <t>显示板</t>
    </r>
    <r>
      <rPr>
        <rFont val="Calibri"/>
        <color theme="1"/>
        <sz val="12.0"/>
      </rPr>
      <t>) 
2: Master(</t>
    </r>
    <r>
      <rPr>
        <rFont val="宋体"/>
        <color theme="1"/>
        <sz val="12.0"/>
      </rPr>
      <t>主</t>
    </r>
    <r>
      <rPr>
        <rFont val="Calibri"/>
        <color theme="1"/>
        <sz val="12.0"/>
      </rPr>
      <t>DSP) 
3: Slave(</t>
    </r>
    <r>
      <rPr>
        <rFont val="宋体"/>
        <color theme="1"/>
        <sz val="12.0"/>
      </rPr>
      <t>副</t>
    </r>
    <r>
      <rPr>
        <rFont val="Calibri"/>
        <color theme="1"/>
        <sz val="12.0"/>
      </rPr>
      <t>DSP)</t>
    </r>
  </si>
  <si>
    <r>
      <rPr>
        <rFont val="宋体"/>
        <color theme="1"/>
        <sz val="12.0"/>
      </rPr>
      <t>否</t>
    </r>
  </si>
  <si>
    <t>guwDeUpdataCpuNum</t>
  </si>
  <si>
    <r>
      <rPr>
        <rFont val="宋体"/>
        <b/>
        <color theme="1"/>
        <sz val="12.0"/>
      </rPr>
      <t>√</t>
    </r>
  </si>
  <si>
    <r>
      <rPr>
        <rFont val="宋体"/>
        <b/>
        <color theme="1"/>
        <sz val="12.0"/>
      </rPr>
      <t>√</t>
    </r>
  </si>
  <si>
    <r>
      <rPr>
        <rFont val="Calibri"/>
        <color theme="1"/>
        <sz val="12.0"/>
      </rPr>
      <t>UpdataPackSize(</t>
    </r>
    <r>
      <rPr>
        <rFont val="宋体"/>
        <color theme="1"/>
        <sz val="12.0"/>
      </rPr>
      <t>升级程序包大小</t>
    </r>
    <r>
      <rPr>
        <rFont val="Calibri"/>
        <color theme="1"/>
        <sz val="12.0"/>
      </rPr>
      <t>)</t>
    </r>
  </si>
  <si>
    <t>524</t>
  </si>
  <si>
    <r>
      <rPr>
        <rFont val="宋体"/>
        <color theme="1"/>
        <sz val="12.0"/>
      </rPr>
      <t>否</t>
    </r>
  </si>
  <si>
    <t>guwDeUpdataPackSize</t>
  </si>
  <si>
    <r>
      <rPr>
        <rFont val="宋体"/>
        <b/>
        <color theme="1"/>
        <sz val="12.0"/>
      </rPr>
      <t>√</t>
    </r>
  </si>
  <si>
    <r>
      <rPr>
        <rFont val="宋体"/>
        <b/>
        <color theme="1"/>
        <sz val="12.0"/>
      </rPr>
      <t>√</t>
    </r>
  </si>
  <si>
    <r>
      <rPr>
        <rFont val="宋体"/>
        <color theme="1"/>
        <sz val="12.0"/>
      </rPr>
      <t>开始故障录波密码</t>
    </r>
  </si>
  <si>
    <t>StartErrWaveKey</t>
  </si>
  <si>
    <t>525</t>
  </si>
  <si>
    <r>
      <rPr>
        <rFont val="宋体"/>
        <color theme="1"/>
        <sz val="12.0"/>
      </rPr>
      <t>否</t>
    </r>
  </si>
  <si>
    <t>guwDeFaultWaveKey</t>
  </si>
  <si>
    <r>
      <rPr>
        <rFont val="宋体"/>
        <b/>
        <color theme="1"/>
        <sz val="12.0"/>
      </rPr>
      <t>√</t>
    </r>
  </si>
  <si>
    <r>
      <rPr>
        <rFont val="宋体"/>
        <b/>
        <color theme="1"/>
        <sz val="12.0"/>
      </rPr>
      <t>√</t>
    </r>
  </si>
  <si>
    <r>
      <rPr>
        <rFont val="宋体"/>
        <b/>
        <color theme="1"/>
        <sz val="12.0"/>
      </rPr>
      <t>√</t>
    </r>
  </si>
  <si>
    <r>
      <rPr>
        <rFont val="宋体"/>
        <color theme="1"/>
        <sz val="12.0"/>
      </rPr>
      <t>读取故障录波信息</t>
    </r>
  </si>
  <si>
    <t>ReadErrWave</t>
  </si>
  <si>
    <r>
      <rPr>
        <rFont val="Calibri"/>
        <color theme="1"/>
        <sz val="12.0"/>
      </rPr>
      <t>0xAA:</t>
    </r>
    <r>
      <rPr>
        <rFont val="宋体"/>
        <color theme="1"/>
        <sz val="12.0"/>
      </rPr>
      <t>最近一条</t>
    </r>
    <r>
      <rPr>
        <rFont val="Calibri"/>
        <color theme="1"/>
        <sz val="12.0"/>
      </rPr>
      <t xml:space="preserve"> 0x55:</t>
    </r>
    <r>
      <rPr>
        <rFont val="宋体"/>
        <color theme="1"/>
        <sz val="12.0"/>
      </rPr>
      <t>全部故障</t>
    </r>
  </si>
  <si>
    <r>
      <rPr>
        <rFont val="宋体"/>
        <color theme="1"/>
        <sz val="12.0"/>
      </rPr>
      <t>否</t>
    </r>
  </si>
  <si>
    <t>guwDeFaultWaveRead</t>
  </si>
  <si>
    <r>
      <rPr>
        <rFont val="宋体"/>
        <b/>
        <color theme="1"/>
        <sz val="12.0"/>
      </rPr>
      <t>√</t>
    </r>
  </si>
  <si>
    <r>
      <rPr>
        <rFont val="宋体"/>
        <b/>
        <color theme="1"/>
        <sz val="12.0"/>
      </rPr>
      <t>√</t>
    </r>
  </si>
  <si>
    <r>
      <rPr>
        <rFont val="宋体"/>
        <b/>
        <color theme="1"/>
        <sz val="12.0"/>
      </rPr>
      <t>√</t>
    </r>
  </si>
  <si>
    <r>
      <rPr>
        <rFont val="宋体"/>
        <color theme="1"/>
        <sz val="12.0"/>
      </rPr>
      <t>功能执行指令</t>
    </r>
  </si>
  <si>
    <t>FuncCmd</t>
  </si>
  <si>
    <r>
      <rPr>
        <rFont val="Calibri"/>
        <color theme="1"/>
        <sz val="12.0"/>
      </rPr>
      <t>B0-B2: 0</t>
    </r>
    <r>
      <rPr>
        <rFont val="宋体"/>
        <color theme="1"/>
        <sz val="12.0"/>
      </rPr>
      <t>闭环，</t>
    </r>
    <r>
      <rPr>
        <rFont val="Calibri"/>
        <color theme="1"/>
        <sz val="12.0"/>
      </rPr>
      <t>1</t>
    </r>
    <r>
      <rPr>
        <rFont val="宋体"/>
        <color theme="1"/>
        <sz val="12.0"/>
      </rPr>
      <t>老化，</t>
    </r>
    <r>
      <rPr>
        <rFont val="Calibri"/>
        <color theme="1"/>
        <sz val="12.0"/>
      </rPr>
      <t>2</t>
    </r>
    <r>
      <rPr>
        <rFont val="宋体"/>
        <color theme="1"/>
        <sz val="12.0"/>
      </rPr>
      <t>校准，</t>
    </r>
    <r>
      <rPr>
        <rFont val="Calibri"/>
        <color theme="1"/>
        <sz val="12.0"/>
      </rPr>
      <t>3</t>
    </r>
    <r>
      <rPr>
        <rFont val="宋体"/>
        <color theme="1"/>
        <sz val="12.0"/>
      </rPr>
      <t>开环，</t>
    </r>
    <r>
      <rPr>
        <rFont val="Calibri"/>
        <color theme="1"/>
        <sz val="12.0"/>
      </rPr>
      <t>4</t>
    </r>
    <r>
      <rPr>
        <rFont val="宋体"/>
        <color theme="1"/>
        <sz val="12.0"/>
      </rPr>
      <t xml:space="preserve">单板调试
</t>
    </r>
    <r>
      <rPr>
        <rFont val="Calibri"/>
        <color theme="1"/>
        <sz val="12.0"/>
      </rPr>
      <t xml:space="preserve">B3: </t>
    </r>
    <r>
      <rPr>
        <rFont val="宋体"/>
        <color theme="1"/>
        <sz val="12.0"/>
      </rPr>
      <t xml:space="preserve">强制复位
</t>
    </r>
    <r>
      <rPr>
        <rFont val="Calibri"/>
        <color theme="1"/>
        <sz val="12.0"/>
      </rPr>
      <t xml:space="preserve">B4: </t>
    </r>
    <r>
      <rPr>
        <rFont val="宋体"/>
        <color theme="1"/>
        <sz val="12.0"/>
      </rPr>
      <t xml:space="preserve">恢复出厂
</t>
    </r>
    <r>
      <rPr>
        <rFont val="Calibri"/>
        <color theme="1"/>
        <sz val="12.0"/>
      </rPr>
      <t xml:space="preserve">B5: </t>
    </r>
    <r>
      <rPr>
        <rFont val="宋体"/>
        <color theme="1"/>
        <sz val="12.0"/>
      </rPr>
      <t xml:space="preserve">清除记录信息
</t>
    </r>
    <r>
      <rPr>
        <rFont val="Calibri"/>
        <color theme="1"/>
        <sz val="12.0"/>
      </rPr>
      <t xml:space="preserve">B6: </t>
    </r>
    <r>
      <rPr>
        <rFont val="宋体"/>
        <color theme="1"/>
        <sz val="12.0"/>
      </rPr>
      <t xml:space="preserve">恢复默认参数
</t>
    </r>
    <r>
      <rPr>
        <rFont val="Calibri"/>
        <color theme="1"/>
        <sz val="12.0"/>
      </rPr>
      <t xml:space="preserve">B7: </t>
    </r>
    <r>
      <rPr>
        <rFont val="宋体"/>
        <color theme="1"/>
        <sz val="12.0"/>
      </rPr>
      <t xml:space="preserve">永久故障恢复
</t>
    </r>
    <r>
      <rPr>
        <rFont val="Calibri"/>
        <color theme="1"/>
        <sz val="12.0"/>
      </rPr>
      <t xml:space="preserve">B8: </t>
    </r>
    <r>
      <rPr>
        <rFont val="宋体"/>
        <color theme="1"/>
        <sz val="12.0"/>
      </rPr>
      <t xml:space="preserve">电表主动检测指令
</t>
    </r>
    <r>
      <rPr>
        <rFont val="Calibri"/>
        <color theme="1"/>
        <sz val="12.0"/>
      </rPr>
      <t xml:space="preserve">B9: </t>
    </r>
    <r>
      <rPr>
        <rFont val="宋体"/>
        <color theme="1"/>
        <sz val="12.0"/>
      </rPr>
      <t xml:space="preserve">风扇启动
</t>
    </r>
    <r>
      <rPr>
        <rFont val="Calibri"/>
        <color theme="1"/>
        <sz val="12.0"/>
      </rPr>
      <t xml:space="preserve">B10: </t>
    </r>
    <r>
      <rPr>
        <rFont val="宋体"/>
        <color theme="1"/>
        <sz val="12.0"/>
      </rPr>
      <t>负载开关</t>
    </r>
  </si>
  <si>
    <t>gulDeSysFuncCmd</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</si>
  <si>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</si>
  <si>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</si>
  <si>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</si>
  <si>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1</t>
    </r>
  </si>
  <si>
    <t>DebugPara1</t>
  </si>
  <si>
    <t>529</t>
  </si>
  <si>
    <r>
      <rPr>
        <rFont val="宋体"/>
        <color theme="1"/>
        <sz val="12.0"/>
      </rPr>
      <t>否</t>
    </r>
  </si>
  <si>
    <t>guwDeDebugPara1</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</si>
  <si>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</si>
  <si>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</si>
  <si>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</si>
  <si>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2</t>
    </r>
  </si>
  <si>
    <t>DebugPara2</t>
  </si>
  <si>
    <t>530</t>
  </si>
  <si>
    <r>
      <rPr>
        <rFont val="宋体"/>
        <color theme="1"/>
        <sz val="12.0"/>
      </rPr>
      <t>否</t>
    </r>
  </si>
  <si>
    <t>guwDeDebugPara2</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</si>
  <si>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</si>
  <si>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</si>
  <si>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</si>
  <si>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3</t>
    </r>
  </si>
  <si>
    <t>DebugPara3</t>
  </si>
  <si>
    <t>531</t>
  </si>
  <si>
    <r>
      <rPr>
        <rFont val="宋体"/>
        <color theme="1"/>
        <sz val="12.0"/>
      </rPr>
      <t>否</t>
    </r>
  </si>
  <si>
    <t>guwDeDebugPara3</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</si>
  <si>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</si>
  <si>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</si>
  <si>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</si>
  <si>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4</t>
    </r>
  </si>
  <si>
    <t>DebugPara4</t>
  </si>
  <si>
    <t>532</t>
  </si>
  <si>
    <r>
      <rPr>
        <rFont val="宋体"/>
        <color theme="1"/>
        <sz val="12.0"/>
      </rPr>
      <t>否</t>
    </r>
  </si>
  <si>
    <t>guwDeDebugPara4</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</si>
  <si>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</si>
  <si>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</si>
  <si>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</si>
  <si>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5</t>
    </r>
  </si>
  <si>
    <t>DebugPara5</t>
  </si>
  <si>
    <t>533</t>
  </si>
  <si>
    <r>
      <rPr>
        <rFont val="宋体"/>
        <color theme="1"/>
        <sz val="12.0"/>
      </rPr>
      <t>否</t>
    </r>
  </si>
  <si>
    <t>guwDeDebugPara5</t>
  </si>
  <si>
    <r>
      <rPr>
        <rFont val="宋体"/>
        <b/>
        <color theme="1"/>
        <sz val="12.0"/>
      </rPr>
      <t>√</t>
    </r>
  </si>
  <si>
    <r>
      <rPr>
        <rFont val="宋体"/>
        <b/>
        <color theme="1"/>
        <sz val="12.0"/>
      </rPr>
      <t>√</t>
    </r>
  </si>
  <si>
    <r>
      <rPr>
        <rFont val="宋体"/>
        <b/>
        <color theme="1"/>
        <sz val="12.0"/>
      </rPr>
      <t>√</t>
    </r>
  </si>
  <si>
    <r>
      <rPr>
        <rFont val="宋体"/>
        <color theme="1"/>
        <sz val="11.0"/>
      </rPr>
      <t>调试参数通道</t>
    </r>
    <r>
      <rPr>
        <rFont val="Calibri"/>
        <color theme="1"/>
        <sz val="11.0"/>
      </rPr>
      <t>6</t>
    </r>
  </si>
  <si>
    <t>DebugPara6</t>
  </si>
  <si>
    <t>534</t>
  </si>
  <si>
    <r>
      <rPr>
        <rFont val="宋体"/>
        <color theme="1"/>
        <sz val="12.0"/>
      </rPr>
      <t>否</t>
    </r>
  </si>
  <si>
    <t>guwDeDebugPara6</t>
  </si>
  <si>
    <r>
      <rPr>
        <rFont val="宋体"/>
        <b/>
        <color theme="1"/>
        <sz val="12.0"/>
      </rPr>
      <t>√</t>
    </r>
  </si>
  <si>
    <r>
      <rPr>
        <rFont val="宋体"/>
        <b/>
        <color theme="1"/>
        <sz val="12.0"/>
      </rPr>
      <t>√</t>
    </r>
  </si>
  <si>
    <r>
      <rPr>
        <rFont val="宋体"/>
        <b/>
        <color theme="1"/>
        <sz val="12.0"/>
      </rPr>
      <t>√</t>
    </r>
  </si>
  <si>
    <r>
      <rPr>
        <rFont val="宋体"/>
        <color theme="1"/>
        <sz val="12.0"/>
      </rPr>
      <t>预留</t>
    </r>
  </si>
  <si>
    <t>535-999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</si>
  <si>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</si>
  <si>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</si>
  <si>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</si>
  <si>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3</t>
    </r>
    <r>
      <rPr>
        <rFont val="宋体"/>
        <b/>
        <color theme="1"/>
        <sz val="14.0"/>
      </rPr>
      <t>（保护参数）</t>
    </r>
  </si>
  <si>
    <r>
      <rPr>
        <rFont val="宋体"/>
        <b/>
        <color theme="1"/>
        <sz val="12.0"/>
      </rPr>
      <t>√</t>
    </r>
  </si>
  <si>
    <r>
      <rPr>
        <rFont val="宋体"/>
        <b/>
        <color theme="1"/>
        <sz val="12.0"/>
      </rPr>
      <t>√</t>
    </r>
  </si>
  <si>
    <r>
      <rPr>
        <rFont val="宋体"/>
        <b/>
        <color theme="1"/>
        <sz val="12.0"/>
      </rPr>
      <t>√</t>
    </r>
  </si>
  <si>
    <r>
      <rPr>
        <rFont val="宋体"/>
        <color theme="1"/>
        <sz val="12.0"/>
      </rPr>
      <t>并网条件判断时间</t>
    </r>
  </si>
  <si>
    <t>GridOnJudgTime</t>
  </si>
  <si>
    <t>10-1200</t>
  </si>
  <si>
    <r>
      <rPr>
        <rFont val="宋体"/>
        <color theme="1"/>
        <sz val="12.0"/>
      </rPr>
      <t>是</t>
    </r>
  </si>
  <si>
    <t>guwDeGridOnJudgT</t>
  </si>
  <si>
    <r>
      <rPr>
        <rFont val="宋体"/>
        <b/>
        <color theme="1"/>
        <sz val="12.0"/>
      </rPr>
      <t>√</t>
    </r>
  </si>
  <si>
    <r>
      <rPr>
        <rFont val="宋体"/>
        <b/>
        <color theme="1"/>
        <sz val="12.0"/>
      </rPr>
      <t>√</t>
    </r>
  </si>
  <si>
    <r>
      <rPr>
        <rFont val="宋体"/>
        <b/>
        <color theme="1"/>
        <sz val="12.0"/>
      </rPr>
      <t>√</t>
    </r>
  </si>
  <si>
    <r>
      <rPr>
        <rFont val="宋体"/>
        <color theme="1"/>
        <sz val="12.0"/>
      </rPr>
      <t>并网允许最大电压</t>
    </r>
  </si>
  <si>
    <t>GridOnVoltMax</t>
  </si>
  <si>
    <t>1010-3200</t>
  </si>
  <si>
    <r>
      <rPr>
        <rFont val="宋体"/>
        <color theme="1"/>
        <sz val="12.0"/>
      </rPr>
      <t>是</t>
    </r>
  </si>
  <si>
    <t>guwDeGridOnVMax</t>
  </si>
  <si>
    <r>
      <rPr>
        <rFont val="宋体"/>
        <b/>
        <color theme="1"/>
        <sz val="12.0"/>
      </rPr>
      <t>√</t>
    </r>
  </si>
  <si>
    <r>
      <rPr>
        <rFont val="宋体"/>
        <b/>
        <color theme="1"/>
        <sz val="12.0"/>
      </rPr>
      <t>√</t>
    </r>
  </si>
  <si>
    <r>
      <rPr>
        <rFont val="宋体"/>
        <b/>
        <color theme="1"/>
        <sz val="12.0"/>
      </rPr>
      <t>√</t>
    </r>
  </si>
  <si>
    <r>
      <rPr>
        <rFont val="宋体"/>
        <color theme="1"/>
        <sz val="12.0"/>
      </rPr>
      <t>并网允许最小电压</t>
    </r>
  </si>
  <si>
    <t>GridOnVoltMin</t>
  </si>
  <si>
    <t>500-2300</t>
  </si>
  <si>
    <r>
      <rPr>
        <rFont val="宋体"/>
        <color theme="1"/>
        <sz val="12.0"/>
      </rPr>
      <t>是</t>
    </r>
  </si>
  <si>
    <t>guwDeGridOnVMin</t>
  </si>
  <si>
    <r>
      <rPr>
        <rFont val="宋体"/>
        <b/>
        <color theme="1"/>
        <sz val="12.0"/>
      </rPr>
      <t>√</t>
    </r>
  </si>
  <si>
    <r>
      <rPr>
        <rFont val="宋体"/>
        <b/>
        <color theme="1"/>
        <sz val="12.0"/>
      </rPr>
      <t>√</t>
    </r>
  </si>
  <si>
    <r>
      <rPr>
        <rFont val="宋体"/>
        <b/>
        <color theme="1"/>
        <sz val="12.0"/>
      </rPr>
      <t>√</t>
    </r>
  </si>
  <si>
    <r>
      <rPr>
        <rFont val="宋体"/>
        <color theme="1"/>
        <sz val="12.0"/>
      </rPr>
      <t>并网允许最大频率</t>
    </r>
  </si>
  <si>
    <t>GridOnFreqMax</t>
  </si>
  <si>
    <t>5000-7000</t>
  </si>
  <si>
    <r>
      <rPr>
        <rFont val="宋体"/>
        <color theme="1"/>
        <sz val="12.0"/>
      </rPr>
      <t>是</t>
    </r>
  </si>
  <si>
    <t>guwDeGridOnFMax</t>
  </si>
  <si>
    <r>
      <rPr>
        <rFont val="宋体"/>
        <b/>
        <color theme="1"/>
        <sz val="12.0"/>
      </rPr>
      <t>√</t>
    </r>
  </si>
  <si>
    <r>
      <rPr>
        <rFont val="宋体"/>
        <b/>
        <color theme="1"/>
        <sz val="12.0"/>
      </rPr>
      <t>√</t>
    </r>
  </si>
  <si>
    <r>
      <rPr>
        <rFont val="宋体"/>
        <b/>
        <color theme="1"/>
        <sz val="12.0"/>
      </rPr>
      <t>√</t>
    </r>
  </si>
  <si>
    <r>
      <rPr>
        <rFont val="宋体"/>
        <color theme="1"/>
        <sz val="12.0"/>
      </rPr>
      <t>并网允许最小频率</t>
    </r>
  </si>
  <si>
    <t>GridOnFreqMin</t>
  </si>
  <si>
    <t>4000-6000</t>
  </si>
  <si>
    <r>
      <rPr>
        <rFont val="宋体"/>
        <color theme="1"/>
        <sz val="12.0"/>
      </rPr>
      <t>是</t>
    </r>
  </si>
  <si>
    <t>guwDeGridOnFMin</t>
  </si>
  <si>
    <r>
      <rPr>
        <rFont val="宋体"/>
        <b/>
        <color theme="1"/>
        <sz val="12.0"/>
      </rPr>
      <t>√</t>
    </r>
  </si>
  <si>
    <r>
      <rPr>
        <rFont val="宋体"/>
        <b/>
        <color theme="1"/>
        <sz val="12.0"/>
      </rPr>
      <t>√</t>
    </r>
  </si>
  <si>
    <r>
      <rPr>
        <rFont val="宋体"/>
        <b/>
        <color theme="1"/>
        <sz val="12.0"/>
      </rPr>
      <t>√</t>
    </r>
  </si>
  <si>
    <r>
      <rPr>
        <rFont val="宋体"/>
        <color theme="1"/>
        <sz val="12.0"/>
      </rPr>
      <t>电压保护几级级跳脱选择</t>
    </r>
  </si>
  <si>
    <t>VoltProtectStage</t>
  </si>
  <si>
    <t>1-5</t>
  </si>
  <si>
    <r>
      <rPr>
        <rFont val="Calibri"/>
        <color theme="1"/>
        <sz val="12.0"/>
      </rPr>
      <t>1:1</t>
    </r>
    <r>
      <rPr>
        <rFont val="宋体"/>
        <color theme="1"/>
        <sz val="12.0"/>
      </rPr>
      <t>级</t>
    </r>
    <r>
      <rPr>
        <rFont val="Calibri"/>
        <color theme="1"/>
        <sz val="12.0"/>
      </rPr>
      <t xml:space="preserve"> </t>
    </r>
    <r>
      <rPr>
        <rFont val="宋体"/>
        <color theme="1"/>
        <sz val="12.0"/>
      </rPr>
      <t>默认</t>
    </r>
    <r>
      <rPr>
        <rFont val="Calibri"/>
        <color theme="1"/>
        <sz val="12.0"/>
      </rPr>
      <t>1</t>
    </r>
    <r>
      <rPr>
        <rFont val="宋体"/>
        <color theme="1"/>
        <sz val="12.0"/>
      </rPr>
      <t>级</t>
    </r>
    <r>
      <rPr>
        <rFont val="Calibri"/>
        <color theme="1"/>
        <sz val="12.0"/>
      </rPr>
      <t xml:space="preserve"> 2: 2</t>
    </r>
    <r>
      <rPr>
        <rFont val="宋体"/>
        <color theme="1"/>
        <sz val="12.0"/>
      </rPr>
      <t>级</t>
    </r>
    <r>
      <rPr>
        <rFont val="Calibri"/>
        <color theme="1"/>
        <sz val="12.0"/>
      </rPr>
      <t xml:space="preserve"> 3: 3</t>
    </r>
    <r>
      <rPr>
        <rFont val="宋体"/>
        <color theme="1"/>
        <sz val="12.0"/>
      </rPr>
      <t>级</t>
    </r>
    <r>
      <rPr>
        <rFont val="Calibri"/>
        <color theme="1"/>
        <sz val="12.0"/>
      </rPr>
      <t xml:space="preserve"> 4: 4</t>
    </r>
    <r>
      <rPr>
        <rFont val="宋体"/>
        <color theme="1"/>
        <sz val="12.0"/>
      </rPr>
      <t>级</t>
    </r>
    <r>
      <rPr>
        <rFont val="Calibri"/>
        <color theme="1"/>
        <sz val="12.0"/>
      </rPr>
      <t xml:space="preserve"> 5: 5</t>
    </r>
    <r>
      <rPr>
        <rFont val="宋体"/>
        <color theme="1"/>
        <sz val="12.0"/>
      </rPr>
      <t>级</t>
    </r>
  </si>
  <si>
    <r>
      <rPr>
        <rFont val="宋体"/>
        <color theme="1"/>
        <sz val="12.0"/>
      </rPr>
      <t>是</t>
    </r>
  </si>
  <si>
    <t>guwDeVoltProtectStage</t>
  </si>
  <si>
    <r>
      <rPr>
        <rFont val="宋体"/>
        <b/>
        <color theme="1"/>
        <sz val="12.0"/>
      </rPr>
      <t>√</t>
    </r>
  </si>
  <si>
    <r>
      <rPr>
        <rFont val="宋体"/>
        <b/>
        <color theme="1"/>
        <sz val="12.0"/>
      </rPr>
      <t>√</t>
    </r>
  </si>
  <si>
    <r>
      <rPr>
        <rFont val="宋体"/>
        <b/>
        <color theme="1"/>
        <sz val="12.0"/>
      </rPr>
      <t>√</t>
    </r>
  </si>
  <si>
    <r>
      <rPr>
        <rFont val="宋体"/>
        <color theme="1"/>
        <sz val="12.0"/>
      </rPr>
      <t>频率保护几级级跳脱选择</t>
    </r>
  </si>
  <si>
    <t>FreqProtectStage</t>
  </si>
  <si>
    <t>1006</t>
  </si>
  <si>
    <r>
      <rPr>
        <rFont val="Calibri"/>
        <color theme="1"/>
        <sz val="12.0"/>
      </rPr>
      <t>1:1</t>
    </r>
    <r>
      <rPr>
        <rFont val="宋体"/>
        <color theme="1"/>
        <sz val="12.0"/>
      </rPr>
      <t>级</t>
    </r>
    <r>
      <rPr>
        <rFont val="Calibri"/>
        <color theme="1"/>
        <sz val="12.0"/>
      </rPr>
      <t xml:space="preserve"> </t>
    </r>
    <r>
      <rPr>
        <rFont val="宋体"/>
        <color theme="1"/>
        <sz val="12.0"/>
      </rPr>
      <t>默认</t>
    </r>
    <r>
      <rPr>
        <rFont val="Calibri"/>
        <color theme="1"/>
        <sz val="12.0"/>
      </rPr>
      <t>1</t>
    </r>
    <r>
      <rPr>
        <rFont val="宋体"/>
        <color theme="1"/>
        <sz val="12.0"/>
      </rPr>
      <t>级</t>
    </r>
    <r>
      <rPr>
        <rFont val="Calibri"/>
        <color theme="1"/>
        <sz val="12.0"/>
      </rPr>
      <t xml:space="preserve"> 2: 2</t>
    </r>
    <r>
      <rPr>
        <rFont val="宋体"/>
        <color theme="1"/>
        <sz val="12.0"/>
      </rPr>
      <t>级</t>
    </r>
    <r>
      <rPr>
        <rFont val="Calibri"/>
        <color theme="1"/>
        <sz val="12.0"/>
      </rPr>
      <t xml:space="preserve"> 3: 3</t>
    </r>
    <r>
      <rPr>
        <rFont val="宋体"/>
        <color theme="1"/>
        <sz val="12.0"/>
      </rPr>
      <t>级</t>
    </r>
    <r>
      <rPr>
        <rFont val="Calibri"/>
        <color theme="1"/>
        <sz val="12.0"/>
      </rPr>
      <t xml:space="preserve"> 4: 4</t>
    </r>
    <r>
      <rPr>
        <rFont val="宋体"/>
        <color theme="1"/>
        <sz val="12.0"/>
      </rPr>
      <t>级</t>
    </r>
    <r>
      <rPr>
        <rFont val="Calibri"/>
        <color theme="1"/>
        <sz val="12.0"/>
      </rPr>
      <t xml:space="preserve"> 5: 5</t>
    </r>
    <r>
      <rPr>
        <rFont val="宋体"/>
        <color theme="1"/>
        <sz val="12.0"/>
      </rPr>
      <t>级</t>
    </r>
  </si>
  <si>
    <r>
      <rPr>
        <rFont val="宋体"/>
        <color theme="1"/>
        <sz val="12.0"/>
      </rPr>
      <t>是</t>
    </r>
  </si>
  <si>
    <t>guwDeFreqProtectStage</t>
  </si>
  <si>
    <r>
      <rPr>
        <rFont val="宋体"/>
        <b/>
        <color theme="1"/>
        <sz val="12.0"/>
      </rPr>
      <t>√</t>
    </r>
  </si>
  <si>
    <r>
      <rPr>
        <rFont val="宋体"/>
        <b/>
        <color theme="1"/>
        <sz val="12.0"/>
      </rPr>
      <t>√</t>
    </r>
  </si>
  <si>
    <r>
      <rPr>
        <rFont val="宋体"/>
        <b/>
        <color theme="1"/>
        <sz val="12.0"/>
      </rPr>
      <t>√</t>
    </r>
  </si>
  <si>
    <r>
      <rPr>
        <rFont val="宋体"/>
        <color theme="1"/>
        <sz val="12.0"/>
      </rPr>
      <t>电网过压恢复点</t>
    </r>
  </si>
  <si>
    <t>GridVoltMaxRecover</t>
  </si>
  <si>
    <t>1007</t>
  </si>
  <si>
    <r>
      <rPr>
        <rFont val="宋体"/>
        <color theme="1"/>
        <sz val="12.0"/>
      </rPr>
      <t>是</t>
    </r>
  </si>
  <si>
    <t>guwDeGridVMaxRec</t>
  </si>
  <si>
    <r>
      <rPr>
        <rFont val="宋体"/>
        <b/>
        <color theme="1"/>
        <sz val="12.0"/>
      </rPr>
      <t>√</t>
    </r>
  </si>
  <si>
    <r>
      <rPr>
        <rFont val="宋体"/>
        <b/>
        <color theme="1"/>
        <sz val="12.0"/>
      </rPr>
      <t>√</t>
    </r>
  </si>
  <si>
    <r>
      <rPr>
        <rFont val="宋体"/>
        <b/>
        <color theme="1"/>
        <sz val="12.0"/>
      </rPr>
      <t>√</t>
    </r>
  </si>
  <si>
    <r>
      <rPr>
        <rFont val="宋体"/>
        <color theme="1"/>
        <sz val="12.0"/>
      </rPr>
      <t>电网欠压恢复点</t>
    </r>
  </si>
  <si>
    <t>GridVoltMinRecover</t>
  </si>
  <si>
    <r>
      <rPr>
        <rFont val="宋体"/>
        <color theme="1"/>
        <sz val="12.0"/>
      </rPr>
      <t>是</t>
    </r>
  </si>
  <si>
    <t>guwDeGridVMinRec</t>
  </si>
  <si>
    <r>
      <rPr>
        <rFont val="宋体"/>
        <b/>
        <color theme="1"/>
        <sz val="12.0"/>
      </rPr>
      <t>√</t>
    </r>
  </si>
  <si>
    <r>
      <rPr>
        <rFont val="宋体"/>
        <b/>
        <color theme="1"/>
        <sz val="12.0"/>
      </rPr>
      <t>√</t>
    </r>
  </si>
  <si>
    <r>
      <rPr>
        <rFont val="宋体"/>
        <b/>
        <color theme="1"/>
        <sz val="12.0"/>
      </rPr>
      <t>√</t>
    </r>
  </si>
  <si>
    <r>
      <rPr>
        <rFont val="宋体"/>
        <color theme="1"/>
        <sz val="12.0"/>
      </rPr>
      <t>电网过频恢复点</t>
    </r>
  </si>
  <si>
    <t>GridFreqMaxRecover</t>
  </si>
  <si>
    <r>
      <rPr>
        <rFont val="宋体"/>
        <color theme="1"/>
        <sz val="12.0"/>
      </rPr>
      <t>是</t>
    </r>
  </si>
  <si>
    <t>guwDeGridFMaxRec</t>
  </si>
  <si>
    <r>
      <rPr>
        <rFont val="宋体"/>
        <b/>
        <color theme="1"/>
        <sz val="12.0"/>
      </rPr>
      <t>√</t>
    </r>
  </si>
  <si>
    <r>
      <rPr>
        <rFont val="宋体"/>
        <b/>
        <color theme="1"/>
        <sz val="12.0"/>
      </rPr>
      <t>√</t>
    </r>
  </si>
  <si>
    <r>
      <rPr>
        <rFont val="宋体"/>
        <b/>
        <color theme="1"/>
        <sz val="12.0"/>
      </rPr>
      <t>√</t>
    </r>
  </si>
  <si>
    <r>
      <rPr>
        <rFont val="宋体"/>
        <color theme="1"/>
        <sz val="12.0"/>
      </rPr>
      <t>电网欠频恢复点</t>
    </r>
  </si>
  <si>
    <t>GridFreqMinRecover</t>
  </si>
  <si>
    <r>
      <rPr>
        <rFont val="宋体"/>
        <color theme="1"/>
        <sz val="12.0"/>
      </rPr>
      <t>是</t>
    </r>
  </si>
  <si>
    <t>guwDeGridFMinRec</t>
  </si>
  <si>
    <r>
      <rPr>
        <rFont val="宋体"/>
        <b/>
        <color theme="1"/>
        <sz val="12.0"/>
      </rPr>
      <t>√</t>
    </r>
  </si>
  <si>
    <r>
      <rPr>
        <rFont val="宋体"/>
        <b/>
        <color theme="1"/>
        <sz val="12.0"/>
      </rPr>
      <t>√</t>
    </r>
  </si>
  <si>
    <r>
      <rPr>
        <rFont val="宋体"/>
        <b/>
        <color theme="1"/>
        <sz val="12.0"/>
      </rPr>
      <t>√</t>
    </r>
  </si>
  <si>
    <r>
      <rPr>
        <rFont val="宋体"/>
        <color theme="1"/>
        <sz val="12.0"/>
      </rPr>
      <t>电网过压一级保护值
（默认单级）</t>
    </r>
  </si>
  <si>
    <t>GridVoltMax1</t>
  </si>
  <si>
    <t>1000-4000</t>
  </si>
  <si>
    <r>
      <rPr>
        <rFont val="宋体"/>
        <color theme="1"/>
        <sz val="12.0"/>
      </rPr>
      <t>是</t>
    </r>
  </si>
  <si>
    <t>guwDeGridVMax1</t>
  </si>
  <si>
    <r>
      <rPr>
        <rFont val="宋体"/>
        <b/>
        <color theme="1"/>
        <sz val="12.0"/>
      </rPr>
      <t>√</t>
    </r>
  </si>
  <si>
    <r>
      <rPr>
        <rFont val="宋体"/>
        <b/>
        <color theme="1"/>
        <sz val="12.0"/>
      </rPr>
      <t>√</t>
    </r>
  </si>
  <si>
    <r>
      <rPr>
        <rFont val="宋体"/>
        <b/>
        <color theme="1"/>
        <sz val="12.0"/>
      </rPr>
      <t>√</t>
    </r>
  </si>
  <si>
    <r>
      <rPr>
        <rFont val="宋体"/>
        <color theme="1"/>
        <sz val="12.0"/>
      </rPr>
      <t>电网过压一级保护时间
（默认单级）</t>
    </r>
  </si>
  <si>
    <t>GridVoltMaxTime1</t>
  </si>
  <si>
    <t>0-30000(所有保护)</t>
  </si>
  <si>
    <t>0.01S</t>
  </si>
  <si>
    <r>
      <rPr>
        <rFont val="宋体"/>
        <color theme="1"/>
        <sz val="12.0"/>
      </rPr>
      <t>是</t>
    </r>
  </si>
  <si>
    <t>guwDeGridVMaxTime1</t>
  </si>
  <si>
    <r>
      <rPr>
        <rFont val="宋体"/>
        <b/>
        <color theme="1"/>
        <sz val="12.0"/>
      </rPr>
      <t>√</t>
    </r>
  </si>
  <si>
    <r>
      <rPr>
        <rFont val="宋体"/>
        <b/>
        <color theme="1"/>
        <sz val="12.0"/>
      </rPr>
      <t>√</t>
    </r>
  </si>
  <si>
    <r>
      <rPr>
        <rFont val="宋体"/>
        <b/>
        <color theme="1"/>
        <sz val="12.0"/>
      </rPr>
      <t>√</t>
    </r>
  </si>
  <si>
    <r>
      <rPr>
        <rFont val="宋体"/>
        <color theme="1"/>
        <sz val="12.0"/>
      </rPr>
      <t>电网欠压一级保护值
（默认单级）</t>
    </r>
  </si>
  <si>
    <t>GridVoltMin1</t>
  </si>
  <si>
    <t>500-2500</t>
  </si>
  <si>
    <r>
      <rPr>
        <rFont val="宋体"/>
        <color theme="1"/>
        <sz val="12.0"/>
      </rPr>
      <t>是</t>
    </r>
  </si>
  <si>
    <t>guwDeGridVMin1</t>
  </si>
  <si>
    <r>
      <rPr>
        <rFont val="宋体"/>
        <b/>
        <color theme="1"/>
        <sz val="12.0"/>
      </rPr>
      <t>√</t>
    </r>
  </si>
  <si>
    <r>
      <rPr>
        <rFont val="宋体"/>
        <b/>
        <color theme="1"/>
        <sz val="12.0"/>
      </rPr>
      <t>√</t>
    </r>
  </si>
  <si>
    <r>
      <rPr>
        <rFont val="宋体"/>
        <b/>
        <color theme="1"/>
        <sz val="12.0"/>
      </rPr>
      <t>√</t>
    </r>
  </si>
  <si>
    <r>
      <rPr>
        <rFont val="宋体"/>
        <color theme="1"/>
        <sz val="12.0"/>
      </rPr>
      <t>电网欠压一级保护时间
（默认单级）</t>
    </r>
  </si>
  <si>
    <t>GridVoltMinTime1</t>
  </si>
  <si>
    <t>1014</t>
  </si>
  <si>
    <r>
      <rPr>
        <rFont val="宋体"/>
        <color theme="1"/>
        <sz val="12.0"/>
      </rPr>
      <t>是</t>
    </r>
  </si>
  <si>
    <t>guwDeGridVMinTime1</t>
  </si>
  <si>
    <r>
      <rPr>
        <rFont val="宋体"/>
        <b/>
        <color theme="1"/>
        <sz val="12.0"/>
      </rPr>
      <t>√</t>
    </r>
  </si>
  <si>
    <r>
      <rPr>
        <rFont val="宋体"/>
        <b/>
        <color theme="1"/>
        <sz val="12.0"/>
      </rPr>
      <t>√</t>
    </r>
  </si>
  <si>
    <r>
      <rPr>
        <rFont val="宋体"/>
        <b/>
        <color theme="1"/>
        <sz val="12.0"/>
      </rPr>
      <t>√</t>
    </r>
  </si>
  <si>
    <r>
      <rPr>
        <rFont val="宋体"/>
        <color theme="1"/>
        <sz val="12.0"/>
      </rPr>
      <t>电网过压二级保护值</t>
    </r>
  </si>
  <si>
    <t>GridVoltMax2</t>
  </si>
  <si>
    <t>1015</t>
  </si>
  <si>
    <r>
      <rPr>
        <rFont val="宋体"/>
        <color theme="1"/>
        <sz val="12.0"/>
      </rPr>
      <t>是</t>
    </r>
  </si>
  <si>
    <t>guwDeGridVMax2</t>
  </si>
  <si>
    <r>
      <rPr>
        <rFont val="宋体"/>
        <b/>
        <color theme="1"/>
        <sz val="12.0"/>
      </rPr>
      <t>√</t>
    </r>
  </si>
  <si>
    <r>
      <rPr>
        <rFont val="宋体"/>
        <b/>
        <color theme="1"/>
        <sz val="12.0"/>
      </rPr>
      <t>√</t>
    </r>
  </si>
  <si>
    <r>
      <rPr>
        <rFont val="宋体"/>
        <b/>
        <color theme="1"/>
        <sz val="12.0"/>
      </rPr>
      <t>√</t>
    </r>
  </si>
  <si>
    <r>
      <rPr>
        <rFont val="宋体"/>
        <color theme="1"/>
        <sz val="12.0"/>
      </rPr>
      <t>电网过压二级保护时间</t>
    </r>
  </si>
  <si>
    <t>GridVoltMaxTime2</t>
  </si>
  <si>
    <t>1016</t>
  </si>
  <si>
    <r>
      <rPr>
        <rFont val="宋体"/>
        <color theme="1"/>
        <sz val="12.0"/>
      </rPr>
      <t>是</t>
    </r>
  </si>
  <si>
    <t>guwDeGridVMaxTime2</t>
  </si>
  <si>
    <r>
      <rPr>
        <rFont val="宋体"/>
        <b/>
        <color theme="1"/>
        <sz val="12.0"/>
      </rPr>
      <t>√</t>
    </r>
  </si>
  <si>
    <r>
      <rPr>
        <rFont val="宋体"/>
        <b/>
        <color theme="1"/>
        <sz val="12.0"/>
      </rPr>
      <t>√</t>
    </r>
  </si>
  <si>
    <r>
      <rPr>
        <rFont val="宋体"/>
        <b/>
        <color theme="1"/>
        <sz val="12.0"/>
      </rPr>
      <t>√</t>
    </r>
  </si>
  <si>
    <r>
      <rPr>
        <rFont val="宋体"/>
        <color theme="1"/>
        <sz val="12.0"/>
      </rPr>
      <t>电网欠压二级保护值</t>
    </r>
  </si>
  <si>
    <t>GridVoltMin2</t>
  </si>
  <si>
    <t>1017</t>
  </si>
  <si>
    <r>
      <rPr>
        <rFont val="宋体"/>
        <color theme="1"/>
        <sz val="12.0"/>
      </rPr>
      <t>是</t>
    </r>
  </si>
  <si>
    <t>guwDeGridVMin2</t>
  </si>
  <si>
    <r>
      <rPr>
        <rFont val="宋体"/>
        <b/>
        <color theme="1"/>
        <sz val="12.0"/>
      </rPr>
      <t>√</t>
    </r>
  </si>
  <si>
    <r>
      <rPr>
        <rFont val="宋体"/>
        <b/>
        <color theme="1"/>
        <sz val="12.0"/>
      </rPr>
      <t>√</t>
    </r>
  </si>
  <si>
    <r>
      <rPr>
        <rFont val="宋体"/>
        <b/>
        <color theme="1"/>
        <sz val="12.0"/>
      </rPr>
      <t>√</t>
    </r>
  </si>
  <si>
    <r>
      <rPr>
        <rFont val="宋体"/>
        <color theme="1"/>
        <sz val="12.0"/>
      </rPr>
      <t>电网欠压二级保护时间</t>
    </r>
  </si>
  <si>
    <t>GridVoltMinTime2</t>
  </si>
  <si>
    <t>1018</t>
  </si>
  <si>
    <r>
      <rPr>
        <rFont val="宋体"/>
        <color theme="1"/>
        <sz val="12.0"/>
      </rPr>
      <t>是</t>
    </r>
  </si>
  <si>
    <t>guwDeGridVMinTime2</t>
  </si>
  <si>
    <r>
      <rPr>
        <rFont val="宋体"/>
        <b/>
        <color theme="1"/>
        <sz val="12.0"/>
      </rPr>
      <t>√</t>
    </r>
  </si>
  <si>
    <r>
      <rPr>
        <rFont val="宋体"/>
        <b/>
        <color theme="1"/>
        <sz val="12.0"/>
      </rPr>
      <t>√</t>
    </r>
  </si>
  <si>
    <r>
      <rPr>
        <rFont val="宋体"/>
        <b/>
        <color theme="1"/>
        <sz val="12.0"/>
      </rPr>
      <t>√</t>
    </r>
  </si>
  <si>
    <r>
      <rPr>
        <rFont val="宋体"/>
        <color theme="1"/>
        <sz val="12.0"/>
      </rPr>
      <t>电网过压三级保护值</t>
    </r>
  </si>
  <si>
    <t>GridVoltMax3</t>
  </si>
  <si>
    <t>1019</t>
  </si>
  <si>
    <r>
      <rPr>
        <rFont val="宋体"/>
        <color theme="1"/>
        <sz val="12.0"/>
      </rPr>
      <t>是</t>
    </r>
  </si>
  <si>
    <t>guwDeGridVMax3</t>
  </si>
  <si>
    <r>
      <rPr>
        <rFont val="宋体"/>
        <b/>
        <color theme="1"/>
        <sz val="12.0"/>
      </rPr>
      <t>√</t>
    </r>
  </si>
  <si>
    <r>
      <rPr>
        <rFont val="宋体"/>
        <b/>
        <color theme="1"/>
        <sz val="12.0"/>
      </rPr>
      <t>√</t>
    </r>
  </si>
  <si>
    <r>
      <rPr>
        <rFont val="宋体"/>
        <b/>
        <color theme="1"/>
        <sz val="12.0"/>
      </rPr>
      <t>√</t>
    </r>
  </si>
  <si>
    <r>
      <rPr>
        <rFont val="宋体"/>
        <color theme="1"/>
        <sz val="12.0"/>
      </rPr>
      <t>电网过压三级保护时间</t>
    </r>
  </si>
  <si>
    <t>GridVoltMaxTime3</t>
  </si>
  <si>
    <t>1020</t>
  </si>
  <si>
    <r>
      <rPr>
        <rFont val="宋体"/>
        <color theme="1"/>
        <sz val="12.0"/>
      </rPr>
      <t>是</t>
    </r>
  </si>
  <si>
    <t>guwDeGridVMaxTime3</t>
  </si>
  <si>
    <r>
      <rPr>
        <rFont val="宋体"/>
        <b/>
        <color theme="1"/>
        <sz val="12.0"/>
      </rPr>
      <t>√</t>
    </r>
  </si>
  <si>
    <r>
      <rPr>
        <rFont val="宋体"/>
        <b/>
        <color theme="1"/>
        <sz val="12.0"/>
      </rPr>
      <t>√</t>
    </r>
  </si>
  <si>
    <r>
      <rPr>
        <rFont val="宋体"/>
        <b/>
        <color theme="1"/>
        <sz val="12.0"/>
      </rPr>
      <t>√</t>
    </r>
  </si>
  <si>
    <r>
      <rPr>
        <rFont val="宋体"/>
        <color theme="1"/>
        <sz val="12.0"/>
      </rPr>
      <t>电网欠压三级保护值</t>
    </r>
  </si>
  <si>
    <t>GridVoltMin3</t>
  </si>
  <si>
    <t>1021</t>
  </si>
  <si>
    <r>
      <rPr>
        <rFont val="宋体"/>
        <color theme="1"/>
        <sz val="12.0"/>
      </rPr>
      <t>是</t>
    </r>
  </si>
  <si>
    <t>guwDeGridVMin3</t>
  </si>
  <si>
    <r>
      <rPr>
        <rFont val="宋体"/>
        <b/>
        <color theme="1"/>
        <sz val="12.0"/>
      </rPr>
      <t>√</t>
    </r>
  </si>
  <si>
    <r>
      <rPr>
        <rFont val="宋体"/>
        <b/>
        <color theme="1"/>
        <sz val="12.0"/>
      </rPr>
      <t>√</t>
    </r>
  </si>
  <si>
    <r>
      <rPr>
        <rFont val="宋体"/>
        <b/>
        <color theme="1"/>
        <sz val="12.0"/>
      </rPr>
      <t>√</t>
    </r>
  </si>
  <si>
    <r>
      <rPr>
        <rFont val="宋体"/>
        <color theme="1"/>
        <sz val="12.0"/>
      </rPr>
      <t>电网欠压三级保护时间</t>
    </r>
  </si>
  <si>
    <t>GridVoltMinTime3</t>
  </si>
  <si>
    <t>1022</t>
  </si>
  <si>
    <r>
      <rPr>
        <rFont val="宋体"/>
        <color theme="1"/>
        <sz val="12.0"/>
      </rPr>
      <t>是</t>
    </r>
  </si>
  <si>
    <t>guwDeGridVMinTime3</t>
  </si>
  <si>
    <r>
      <rPr>
        <rFont val="宋体"/>
        <b/>
        <color theme="1"/>
        <sz val="12.0"/>
      </rPr>
      <t>√</t>
    </r>
  </si>
  <si>
    <r>
      <rPr>
        <rFont val="宋体"/>
        <b/>
        <color theme="1"/>
        <sz val="12.0"/>
      </rPr>
      <t>√</t>
    </r>
  </si>
  <si>
    <r>
      <rPr>
        <rFont val="宋体"/>
        <b/>
        <color theme="1"/>
        <sz val="12.0"/>
      </rPr>
      <t>√</t>
    </r>
  </si>
  <si>
    <r>
      <rPr>
        <rFont val="宋体"/>
        <color theme="1"/>
        <sz val="12.0"/>
      </rPr>
      <t>电网过压四级保护值</t>
    </r>
  </si>
  <si>
    <t>GridVoltMax4</t>
  </si>
  <si>
    <t>1023</t>
  </si>
  <si>
    <r>
      <rPr>
        <rFont val="宋体"/>
        <color theme="1"/>
        <sz val="12.0"/>
      </rPr>
      <t>是</t>
    </r>
  </si>
  <si>
    <t>guwDeGridVMax4</t>
  </si>
  <si>
    <r>
      <rPr>
        <rFont val="宋体"/>
        <b/>
        <color theme="1"/>
        <sz val="12.0"/>
      </rPr>
      <t>√</t>
    </r>
  </si>
  <si>
    <r>
      <rPr>
        <rFont val="宋体"/>
        <b/>
        <color theme="1"/>
        <sz val="12.0"/>
      </rPr>
      <t>√</t>
    </r>
  </si>
  <si>
    <r>
      <rPr>
        <rFont val="宋体"/>
        <b/>
        <color theme="1"/>
        <sz val="12.0"/>
      </rPr>
      <t>√</t>
    </r>
  </si>
  <si>
    <r>
      <rPr>
        <rFont val="宋体"/>
        <color theme="1"/>
        <sz val="12.0"/>
      </rPr>
      <t>电网过压四级保护时间</t>
    </r>
  </si>
  <si>
    <t>GridVoltMaxTime4</t>
  </si>
  <si>
    <t>1024</t>
  </si>
  <si>
    <r>
      <rPr>
        <rFont val="宋体"/>
        <color theme="1"/>
        <sz val="12.0"/>
      </rPr>
      <t>是</t>
    </r>
  </si>
  <si>
    <t>guwDeGridVMaxTime4</t>
  </si>
  <si>
    <r>
      <rPr>
        <rFont val="宋体"/>
        <b/>
        <color theme="1"/>
        <sz val="12.0"/>
      </rPr>
      <t>√</t>
    </r>
  </si>
  <si>
    <r>
      <rPr>
        <rFont val="宋体"/>
        <b/>
        <color theme="1"/>
        <sz val="12.0"/>
      </rPr>
      <t>√</t>
    </r>
  </si>
  <si>
    <r>
      <rPr>
        <rFont val="宋体"/>
        <b/>
        <color theme="1"/>
        <sz val="12.0"/>
      </rPr>
      <t>√</t>
    </r>
  </si>
  <si>
    <r>
      <rPr>
        <rFont val="宋体"/>
        <color theme="1"/>
        <sz val="12.0"/>
      </rPr>
      <t>电网欠压四级保护值</t>
    </r>
  </si>
  <si>
    <t>GridVoltMin4</t>
  </si>
  <si>
    <t>1025</t>
  </si>
  <si>
    <r>
      <rPr>
        <rFont val="宋体"/>
        <color theme="1"/>
        <sz val="12.0"/>
      </rPr>
      <t>是</t>
    </r>
  </si>
  <si>
    <t>guwDeGridVMin4</t>
  </si>
  <si>
    <r>
      <rPr>
        <rFont val="宋体"/>
        <b/>
        <color theme="1"/>
        <sz val="12.0"/>
      </rPr>
      <t>√</t>
    </r>
  </si>
  <si>
    <r>
      <rPr>
        <rFont val="宋体"/>
        <b/>
        <color theme="1"/>
        <sz val="12.0"/>
      </rPr>
      <t>√</t>
    </r>
  </si>
  <si>
    <r>
      <rPr>
        <rFont val="宋体"/>
        <b/>
        <color theme="1"/>
        <sz val="12.0"/>
      </rPr>
      <t>√</t>
    </r>
  </si>
  <si>
    <r>
      <rPr>
        <rFont val="宋体"/>
        <color theme="1"/>
        <sz val="12.0"/>
      </rPr>
      <t>电网欠压四级保护时间</t>
    </r>
  </si>
  <si>
    <t>GridVoltMinTime4</t>
  </si>
  <si>
    <t>1026</t>
  </si>
  <si>
    <r>
      <rPr>
        <rFont val="宋体"/>
        <color theme="1"/>
        <sz val="12.0"/>
      </rPr>
      <t>是</t>
    </r>
  </si>
  <si>
    <t>guwDeGridVMinTime4</t>
  </si>
  <si>
    <r>
      <rPr>
        <rFont val="宋体"/>
        <b/>
        <color theme="1"/>
        <sz val="12.0"/>
      </rPr>
      <t>√</t>
    </r>
  </si>
  <si>
    <r>
      <rPr>
        <rFont val="宋体"/>
        <b/>
        <color theme="1"/>
        <sz val="12.0"/>
      </rPr>
      <t>√</t>
    </r>
  </si>
  <si>
    <r>
      <rPr>
        <rFont val="宋体"/>
        <b/>
        <color theme="1"/>
        <sz val="12.0"/>
      </rPr>
      <t>√</t>
    </r>
  </si>
  <si>
    <r>
      <rPr>
        <rFont val="宋体"/>
        <color theme="1"/>
        <sz val="12.0"/>
      </rPr>
      <t>电网过压五级保护值</t>
    </r>
  </si>
  <si>
    <t>GridVoltMax5</t>
  </si>
  <si>
    <t>1027</t>
  </si>
  <si>
    <r>
      <rPr>
        <rFont val="宋体"/>
        <color theme="1"/>
        <sz val="12.0"/>
      </rPr>
      <t>是</t>
    </r>
  </si>
  <si>
    <t>guwDeGridVMax5</t>
  </si>
  <si>
    <r>
      <rPr>
        <rFont val="宋体"/>
        <b/>
        <color theme="1"/>
        <sz val="12.0"/>
      </rPr>
      <t>√</t>
    </r>
  </si>
  <si>
    <r>
      <rPr>
        <rFont val="宋体"/>
        <b/>
        <color theme="1"/>
        <sz val="12.0"/>
      </rPr>
      <t>√</t>
    </r>
  </si>
  <si>
    <r>
      <rPr>
        <rFont val="宋体"/>
        <b/>
        <color theme="1"/>
        <sz val="12.0"/>
      </rPr>
      <t>√</t>
    </r>
  </si>
  <si>
    <r>
      <rPr>
        <rFont val="宋体"/>
        <color theme="1"/>
        <sz val="12.0"/>
      </rPr>
      <t>电网过压五级保护时间</t>
    </r>
  </si>
  <si>
    <t>GridVoltMaxTime5</t>
  </si>
  <si>
    <t>1028</t>
  </si>
  <si>
    <r>
      <rPr>
        <rFont val="宋体"/>
        <color theme="1"/>
        <sz val="12.0"/>
      </rPr>
      <t>是</t>
    </r>
  </si>
  <si>
    <t>guwDeGridVMaxTime5</t>
  </si>
  <si>
    <r>
      <rPr>
        <rFont val="宋体"/>
        <b/>
        <color theme="1"/>
        <sz val="12.0"/>
      </rPr>
      <t>√</t>
    </r>
  </si>
  <si>
    <r>
      <rPr>
        <rFont val="宋体"/>
        <b/>
        <color theme="1"/>
        <sz val="12.0"/>
      </rPr>
      <t>√</t>
    </r>
  </si>
  <si>
    <r>
      <rPr>
        <rFont val="宋体"/>
        <b/>
        <color theme="1"/>
        <sz val="12.0"/>
      </rPr>
      <t>√</t>
    </r>
  </si>
  <si>
    <r>
      <rPr>
        <rFont val="宋体"/>
        <color theme="1"/>
        <sz val="12.0"/>
      </rPr>
      <t>电网欠压五级保护值</t>
    </r>
  </si>
  <si>
    <t>GridVoltMin5</t>
  </si>
  <si>
    <t>1029</t>
  </si>
  <si>
    <r>
      <rPr>
        <rFont val="宋体"/>
        <color theme="1"/>
        <sz val="12.0"/>
      </rPr>
      <t>是</t>
    </r>
  </si>
  <si>
    <t>guwDeGridVMin5</t>
  </si>
  <si>
    <r>
      <rPr>
        <rFont val="宋体"/>
        <b/>
        <color theme="1"/>
        <sz val="12.0"/>
      </rPr>
      <t>√</t>
    </r>
  </si>
  <si>
    <r>
      <rPr>
        <rFont val="宋体"/>
        <b/>
        <color theme="1"/>
        <sz val="12.0"/>
      </rPr>
      <t>√</t>
    </r>
  </si>
  <si>
    <r>
      <rPr>
        <rFont val="宋体"/>
        <b/>
        <color theme="1"/>
        <sz val="12.0"/>
      </rPr>
      <t>√</t>
    </r>
  </si>
  <si>
    <r>
      <rPr>
        <rFont val="宋体"/>
        <color theme="1"/>
        <sz val="12.0"/>
      </rPr>
      <t>电网欠压五级保护时间</t>
    </r>
  </si>
  <si>
    <t>GridVoltMinTime5</t>
  </si>
  <si>
    <t>1030</t>
  </si>
  <si>
    <r>
      <rPr>
        <rFont val="宋体"/>
        <color theme="1"/>
        <sz val="12.0"/>
      </rPr>
      <t>是</t>
    </r>
  </si>
  <si>
    <t>guwDeGridVMinTime5</t>
  </si>
  <si>
    <r>
      <rPr>
        <rFont val="宋体"/>
        <b/>
        <color theme="1"/>
        <sz val="12.0"/>
      </rPr>
      <t>√</t>
    </r>
  </si>
  <si>
    <r>
      <rPr>
        <rFont val="宋体"/>
        <b/>
        <color theme="1"/>
        <sz val="12.0"/>
      </rPr>
      <t>√</t>
    </r>
  </si>
  <si>
    <r>
      <rPr>
        <rFont val="宋体"/>
        <b/>
        <color theme="1"/>
        <sz val="12.0"/>
      </rPr>
      <t>√</t>
    </r>
  </si>
  <si>
    <r>
      <rPr>
        <rFont val="宋体"/>
        <color theme="1"/>
        <sz val="12.0"/>
      </rPr>
      <t>电网过频一级保护值
（默认单级）</t>
    </r>
  </si>
  <si>
    <t>GridFreqMax1</t>
  </si>
  <si>
    <t>1031</t>
  </si>
  <si>
    <r>
      <rPr>
        <rFont val="宋体"/>
        <color theme="1"/>
        <sz val="12.0"/>
      </rPr>
      <t>是</t>
    </r>
  </si>
  <si>
    <t>guwDeGridFMax1</t>
  </si>
  <si>
    <r>
      <rPr>
        <rFont val="宋体"/>
        <b/>
        <color theme="1"/>
        <sz val="12.0"/>
      </rPr>
      <t>√</t>
    </r>
  </si>
  <si>
    <r>
      <rPr>
        <rFont val="宋体"/>
        <b/>
        <color theme="1"/>
        <sz val="12.0"/>
      </rPr>
      <t>√</t>
    </r>
  </si>
  <si>
    <r>
      <rPr>
        <rFont val="宋体"/>
        <b/>
        <color theme="1"/>
        <sz val="12.0"/>
      </rPr>
      <t>√</t>
    </r>
  </si>
  <si>
    <r>
      <rPr>
        <rFont val="宋体"/>
        <color theme="1"/>
        <sz val="12.0"/>
      </rPr>
      <t>电网过频一级保护时间
（默认单级）</t>
    </r>
  </si>
  <si>
    <t>GridFreqMaxTime1</t>
  </si>
  <si>
    <t>1032</t>
  </si>
  <si>
    <r>
      <rPr>
        <rFont val="宋体"/>
        <color theme="1"/>
        <sz val="12.0"/>
      </rPr>
      <t>是</t>
    </r>
  </si>
  <si>
    <t>guwDeGridFMaxTime1</t>
  </si>
  <si>
    <r>
      <rPr>
        <rFont val="宋体"/>
        <b/>
        <color theme="1"/>
        <sz val="12.0"/>
      </rPr>
      <t>√</t>
    </r>
  </si>
  <si>
    <r>
      <rPr>
        <rFont val="宋体"/>
        <b/>
        <color theme="1"/>
        <sz val="12.0"/>
      </rPr>
      <t>√</t>
    </r>
  </si>
  <si>
    <r>
      <rPr>
        <rFont val="宋体"/>
        <b/>
        <color theme="1"/>
        <sz val="12.0"/>
      </rPr>
      <t>√</t>
    </r>
  </si>
  <si>
    <r>
      <rPr>
        <rFont val="宋体"/>
        <color theme="1"/>
        <sz val="12.0"/>
      </rPr>
      <t>电网欠频一级保护值
（默认单级）</t>
    </r>
  </si>
  <si>
    <t>GridFreqMin1</t>
  </si>
  <si>
    <t>1033</t>
  </si>
  <si>
    <r>
      <rPr>
        <rFont val="宋体"/>
        <color theme="1"/>
        <sz val="12.0"/>
      </rPr>
      <t>是</t>
    </r>
  </si>
  <si>
    <t>guwDeGridFMin1</t>
  </si>
  <si>
    <r>
      <rPr>
        <rFont val="宋体"/>
        <b/>
        <color theme="1"/>
        <sz val="12.0"/>
      </rPr>
      <t>√</t>
    </r>
  </si>
  <si>
    <r>
      <rPr>
        <rFont val="宋体"/>
        <b/>
        <color theme="1"/>
        <sz val="12.0"/>
      </rPr>
      <t>√</t>
    </r>
  </si>
  <si>
    <r>
      <rPr>
        <rFont val="宋体"/>
        <b/>
        <color theme="1"/>
        <sz val="12.0"/>
      </rPr>
      <t>√</t>
    </r>
  </si>
  <si>
    <r>
      <rPr>
        <rFont val="宋体"/>
        <color theme="1"/>
        <sz val="12.0"/>
      </rPr>
      <t>电网欠频一级保护时间
（默认单级）</t>
    </r>
  </si>
  <si>
    <t>GridFreqMinTime1</t>
  </si>
  <si>
    <t>1034</t>
  </si>
  <si>
    <r>
      <rPr>
        <rFont val="宋体"/>
        <color theme="1"/>
        <sz val="12.0"/>
      </rPr>
      <t>是</t>
    </r>
  </si>
  <si>
    <t>guwDeGridFMinTime1</t>
  </si>
  <si>
    <r>
      <rPr>
        <rFont val="宋体"/>
        <b/>
        <color theme="1"/>
        <sz val="12.0"/>
      </rPr>
      <t>√</t>
    </r>
  </si>
  <si>
    <r>
      <rPr>
        <rFont val="宋体"/>
        <b/>
        <color theme="1"/>
        <sz val="12.0"/>
      </rPr>
      <t>√</t>
    </r>
  </si>
  <si>
    <r>
      <rPr>
        <rFont val="宋体"/>
        <b/>
        <color theme="1"/>
        <sz val="12.0"/>
      </rPr>
      <t>√</t>
    </r>
  </si>
  <si>
    <r>
      <rPr>
        <rFont val="宋体"/>
        <color theme="1"/>
        <sz val="12.0"/>
      </rPr>
      <t>电网过频二级保护值</t>
    </r>
  </si>
  <si>
    <t>GridFreqMax2</t>
  </si>
  <si>
    <t>1035</t>
  </si>
  <si>
    <r>
      <rPr>
        <rFont val="宋体"/>
        <color theme="1"/>
        <sz val="12.0"/>
      </rPr>
      <t>是</t>
    </r>
  </si>
  <si>
    <t>guwDeGridFMax2</t>
  </si>
  <si>
    <r>
      <rPr>
        <rFont val="宋体"/>
        <b/>
        <color theme="1"/>
        <sz val="12.0"/>
      </rPr>
      <t>√</t>
    </r>
  </si>
  <si>
    <r>
      <rPr>
        <rFont val="宋体"/>
        <b/>
        <color theme="1"/>
        <sz val="12.0"/>
      </rPr>
      <t>√</t>
    </r>
  </si>
  <si>
    <r>
      <rPr>
        <rFont val="宋体"/>
        <b/>
        <color theme="1"/>
        <sz val="12.0"/>
      </rPr>
      <t>√</t>
    </r>
  </si>
  <si>
    <r>
      <rPr>
        <rFont val="宋体"/>
        <color theme="1"/>
        <sz val="12.0"/>
      </rPr>
      <t>电网过频二级保护时间</t>
    </r>
  </si>
  <si>
    <t>GridFreqMaxTime2</t>
  </si>
  <si>
    <t>1036</t>
  </si>
  <si>
    <r>
      <rPr>
        <rFont val="宋体"/>
        <color theme="1"/>
        <sz val="12.0"/>
      </rPr>
      <t>是</t>
    </r>
  </si>
  <si>
    <t>guwDeGridFMaxTime2</t>
  </si>
  <si>
    <r>
      <rPr>
        <rFont val="宋体"/>
        <b/>
        <color theme="1"/>
        <sz val="12.0"/>
      </rPr>
      <t>√</t>
    </r>
  </si>
  <si>
    <r>
      <rPr>
        <rFont val="宋体"/>
        <b/>
        <color theme="1"/>
        <sz val="12.0"/>
      </rPr>
      <t>√</t>
    </r>
  </si>
  <si>
    <r>
      <rPr>
        <rFont val="宋体"/>
        <b/>
        <color theme="1"/>
        <sz val="12.0"/>
      </rPr>
      <t>√</t>
    </r>
  </si>
  <si>
    <r>
      <rPr>
        <rFont val="宋体"/>
        <color theme="1"/>
        <sz val="12.0"/>
      </rPr>
      <t>电网欠频二级保护值</t>
    </r>
  </si>
  <si>
    <t>GridFreqMin2</t>
  </si>
  <si>
    <t>1037</t>
  </si>
  <si>
    <r>
      <rPr>
        <rFont val="宋体"/>
        <color theme="1"/>
        <sz val="12.0"/>
      </rPr>
      <t>是</t>
    </r>
  </si>
  <si>
    <t>guwDeGridFMin2</t>
  </si>
  <si>
    <r>
      <rPr>
        <rFont val="宋体"/>
        <b/>
        <color theme="1"/>
        <sz val="12.0"/>
      </rPr>
      <t>√</t>
    </r>
  </si>
  <si>
    <r>
      <rPr>
        <rFont val="宋体"/>
        <b/>
        <color theme="1"/>
        <sz val="12.0"/>
      </rPr>
      <t>√</t>
    </r>
  </si>
  <si>
    <r>
      <rPr>
        <rFont val="宋体"/>
        <b/>
        <color theme="1"/>
        <sz val="12.0"/>
      </rPr>
      <t>√</t>
    </r>
  </si>
  <si>
    <r>
      <rPr>
        <rFont val="宋体"/>
        <color theme="1"/>
        <sz val="12.0"/>
      </rPr>
      <t>电网欠频二级保护时间</t>
    </r>
  </si>
  <si>
    <t>GridFreqMinTime2</t>
  </si>
  <si>
    <t>1038</t>
  </si>
  <si>
    <r>
      <rPr>
        <rFont val="宋体"/>
        <color theme="1"/>
        <sz val="12.0"/>
      </rPr>
      <t>是</t>
    </r>
  </si>
  <si>
    <t>guwDeGridFMinTime2</t>
  </si>
  <si>
    <r>
      <rPr>
        <rFont val="宋体"/>
        <b/>
        <color theme="1"/>
        <sz val="12.0"/>
      </rPr>
      <t>√</t>
    </r>
  </si>
  <si>
    <r>
      <rPr>
        <rFont val="宋体"/>
        <b/>
        <color theme="1"/>
        <sz val="12.0"/>
      </rPr>
      <t>√</t>
    </r>
  </si>
  <si>
    <r>
      <rPr>
        <rFont val="宋体"/>
        <b/>
        <color theme="1"/>
        <sz val="12.0"/>
      </rPr>
      <t>√</t>
    </r>
  </si>
  <si>
    <r>
      <rPr>
        <rFont val="宋体"/>
        <color theme="1"/>
        <sz val="12.0"/>
      </rPr>
      <t>电网过频三级保护值</t>
    </r>
  </si>
  <si>
    <t>GridFreqMax3</t>
  </si>
  <si>
    <t>1039</t>
  </si>
  <si>
    <r>
      <rPr>
        <rFont val="宋体"/>
        <color theme="1"/>
        <sz val="12.0"/>
      </rPr>
      <t>是</t>
    </r>
  </si>
  <si>
    <t>guwDeGridFMax3</t>
  </si>
  <si>
    <r>
      <rPr>
        <rFont val="宋体"/>
        <b/>
        <color theme="1"/>
        <sz val="12.0"/>
      </rPr>
      <t>√</t>
    </r>
  </si>
  <si>
    <r>
      <rPr>
        <rFont val="宋体"/>
        <b/>
        <color theme="1"/>
        <sz val="12.0"/>
      </rPr>
      <t>√</t>
    </r>
  </si>
  <si>
    <r>
      <rPr>
        <rFont val="宋体"/>
        <b/>
        <color theme="1"/>
        <sz val="12.0"/>
      </rPr>
      <t>√</t>
    </r>
  </si>
  <si>
    <r>
      <rPr>
        <rFont val="宋体"/>
        <color theme="1"/>
        <sz val="12.0"/>
      </rPr>
      <t>电网过频三级保护时间</t>
    </r>
  </si>
  <si>
    <t>GridFreqMaxTime3</t>
  </si>
  <si>
    <t>1040</t>
  </si>
  <si>
    <r>
      <rPr>
        <rFont val="宋体"/>
        <color theme="1"/>
        <sz val="12.0"/>
      </rPr>
      <t>是</t>
    </r>
  </si>
  <si>
    <t>guwDeGridFMaxTime3</t>
  </si>
  <si>
    <r>
      <rPr>
        <rFont val="宋体"/>
        <b/>
        <color theme="1"/>
        <sz val="12.0"/>
      </rPr>
      <t>√</t>
    </r>
  </si>
  <si>
    <r>
      <rPr>
        <rFont val="宋体"/>
        <b/>
        <color theme="1"/>
        <sz val="12.0"/>
      </rPr>
      <t>√</t>
    </r>
  </si>
  <si>
    <r>
      <rPr>
        <rFont val="宋体"/>
        <b/>
        <color theme="1"/>
        <sz val="12.0"/>
      </rPr>
      <t>√</t>
    </r>
  </si>
  <si>
    <r>
      <rPr>
        <rFont val="宋体"/>
        <color theme="1"/>
        <sz val="12.0"/>
      </rPr>
      <t>电网欠频三级保护值</t>
    </r>
  </si>
  <si>
    <t>GridFreqMin3</t>
  </si>
  <si>
    <t>1041</t>
  </si>
  <si>
    <r>
      <rPr>
        <rFont val="宋体"/>
        <color theme="1"/>
        <sz val="12.0"/>
      </rPr>
      <t>是</t>
    </r>
  </si>
  <si>
    <t>guwDeGridFMin3</t>
  </si>
  <si>
    <r>
      <rPr>
        <rFont val="宋体"/>
        <b/>
        <color theme="1"/>
        <sz val="12.0"/>
      </rPr>
      <t>√</t>
    </r>
  </si>
  <si>
    <r>
      <rPr>
        <rFont val="宋体"/>
        <b/>
        <color theme="1"/>
        <sz val="12.0"/>
      </rPr>
      <t>√</t>
    </r>
  </si>
  <si>
    <r>
      <rPr>
        <rFont val="宋体"/>
        <b/>
        <color theme="1"/>
        <sz val="12.0"/>
      </rPr>
      <t>√</t>
    </r>
  </si>
  <si>
    <r>
      <rPr>
        <rFont val="宋体"/>
        <color theme="1"/>
        <sz val="12.0"/>
      </rPr>
      <t>电网欠频三级保护时间</t>
    </r>
  </si>
  <si>
    <t>GridFreqMinTime3</t>
  </si>
  <si>
    <t>1042</t>
  </si>
  <si>
    <r>
      <rPr>
        <rFont val="宋体"/>
        <color theme="1"/>
        <sz val="12.0"/>
      </rPr>
      <t>是</t>
    </r>
  </si>
  <si>
    <t>guwDeGridFMinTime3</t>
  </si>
  <si>
    <r>
      <rPr>
        <rFont val="宋体"/>
        <b/>
        <color theme="1"/>
        <sz val="12.0"/>
      </rPr>
      <t>√</t>
    </r>
  </si>
  <si>
    <r>
      <rPr>
        <rFont val="宋体"/>
        <b/>
        <color theme="1"/>
        <sz val="12.0"/>
      </rPr>
      <t>√</t>
    </r>
  </si>
  <si>
    <r>
      <rPr>
        <rFont val="宋体"/>
        <b/>
        <color theme="1"/>
        <sz val="12.0"/>
      </rPr>
      <t>√</t>
    </r>
  </si>
  <si>
    <r>
      <rPr>
        <rFont val="宋体"/>
        <color theme="1"/>
        <sz val="12.0"/>
      </rPr>
      <t>电网过频四级保护值</t>
    </r>
  </si>
  <si>
    <t>GridFreqMax4</t>
  </si>
  <si>
    <t>1043</t>
  </si>
  <si>
    <r>
      <rPr>
        <rFont val="宋体"/>
        <color theme="1"/>
        <sz val="12.0"/>
      </rPr>
      <t>是</t>
    </r>
  </si>
  <si>
    <t>guwDeGridFMax4</t>
  </si>
  <si>
    <r>
      <rPr>
        <rFont val="宋体"/>
        <b/>
        <color theme="1"/>
        <sz val="12.0"/>
      </rPr>
      <t>√</t>
    </r>
  </si>
  <si>
    <r>
      <rPr>
        <rFont val="宋体"/>
        <b/>
        <color theme="1"/>
        <sz val="12.0"/>
      </rPr>
      <t>√</t>
    </r>
  </si>
  <si>
    <r>
      <rPr>
        <rFont val="宋体"/>
        <b/>
        <color theme="1"/>
        <sz val="12.0"/>
      </rPr>
      <t>√</t>
    </r>
  </si>
  <si>
    <r>
      <rPr>
        <rFont val="宋体"/>
        <color theme="1"/>
        <sz val="12.0"/>
      </rPr>
      <t>电网过频四级保护时间</t>
    </r>
  </si>
  <si>
    <t>GridFreqMaxTime4</t>
  </si>
  <si>
    <t>1044</t>
  </si>
  <si>
    <t>0-30000</t>
  </si>
  <si>
    <r>
      <rPr>
        <rFont val="宋体"/>
        <color theme="1"/>
        <sz val="12.0"/>
      </rPr>
      <t>是</t>
    </r>
  </si>
  <si>
    <t>guwDeGridFMaxTime4</t>
  </si>
  <si>
    <r>
      <rPr>
        <rFont val="宋体"/>
        <b/>
        <color theme="1"/>
        <sz val="12.0"/>
      </rPr>
      <t>√</t>
    </r>
  </si>
  <si>
    <r>
      <rPr>
        <rFont val="宋体"/>
        <b/>
        <color theme="1"/>
        <sz val="12.0"/>
      </rPr>
      <t>√</t>
    </r>
  </si>
  <si>
    <r>
      <rPr>
        <rFont val="宋体"/>
        <b/>
        <color theme="1"/>
        <sz val="12.0"/>
      </rPr>
      <t>√</t>
    </r>
  </si>
  <si>
    <r>
      <rPr>
        <rFont val="宋体"/>
        <color theme="1"/>
        <sz val="12.0"/>
      </rPr>
      <t>电网欠频四级保护值</t>
    </r>
  </si>
  <si>
    <t>GridFreqMin4</t>
  </si>
  <si>
    <t>1045</t>
  </si>
  <si>
    <r>
      <rPr>
        <rFont val="宋体"/>
        <color theme="1"/>
        <sz val="12.0"/>
      </rPr>
      <t>是</t>
    </r>
  </si>
  <si>
    <t>guwDeGridFMin4</t>
  </si>
  <si>
    <r>
      <rPr>
        <rFont val="宋体"/>
        <b/>
        <color theme="1"/>
        <sz val="12.0"/>
      </rPr>
      <t>√</t>
    </r>
  </si>
  <si>
    <r>
      <rPr>
        <rFont val="宋体"/>
        <b/>
        <color theme="1"/>
        <sz val="12.0"/>
      </rPr>
      <t>√</t>
    </r>
  </si>
  <si>
    <r>
      <rPr>
        <rFont val="宋体"/>
        <b/>
        <color theme="1"/>
        <sz val="12.0"/>
      </rPr>
      <t>√</t>
    </r>
  </si>
  <si>
    <r>
      <rPr>
        <rFont val="宋体"/>
        <color theme="1"/>
        <sz val="12.0"/>
      </rPr>
      <t>电网欠频四级保护时间</t>
    </r>
  </si>
  <si>
    <t>GridFreqMinTime4</t>
  </si>
  <si>
    <t>1046</t>
  </si>
  <si>
    <r>
      <rPr>
        <rFont val="宋体"/>
        <color theme="1"/>
        <sz val="12.0"/>
      </rPr>
      <t>是</t>
    </r>
  </si>
  <si>
    <t>guwDeGridFMinTime4</t>
  </si>
  <si>
    <r>
      <rPr>
        <rFont val="宋体"/>
        <b/>
        <color theme="1"/>
        <sz val="12.0"/>
      </rPr>
      <t>√</t>
    </r>
  </si>
  <si>
    <r>
      <rPr>
        <rFont val="宋体"/>
        <b/>
        <color theme="1"/>
        <sz val="12.0"/>
      </rPr>
      <t>√</t>
    </r>
  </si>
  <si>
    <r>
      <rPr>
        <rFont val="宋体"/>
        <b/>
        <color theme="1"/>
        <sz val="12.0"/>
      </rPr>
      <t>√</t>
    </r>
  </si>
  <si>
    <r>
      <rPr>
        <rFont val="宋体"/>
        <color theme="1"/>
        <sz val="12.0"/>
      </rPr>
      <t>电网过频五级保护值</t>
    </r>
  </si>
  <si>
    <t>GridFreqMax5</t>
  </si>
  <si>
    <t>1047</t>
  </si>
  <si>
    <r>
      <rPr>
        <rFont val="宋体"/>
        <color theme="1"/>
        <sz val="12.0"/>
      </rPr>
      <t>是</t>
    </r>
  </si>
  <si>
    <t>guwDeGridFMax5</t>
  </si>
  <si>
    <r>
      <rPr>
        <rFont val="宋体"/>
        <b/>
        <color theme="1"/>
        <sz val="12.0"/>
      </rPr>
      <t>√</t>
    </r>
  </si>
  <si>
    <r>
      <rPr>
        <rFont val="宋体"/>
        <b/>
        <color theme="1"/>
        <sz val="12.0"/>
      </rPr>
      <t>√</t>
    </r>
  </si>
  <si>
    <r>
      <rPr>
        <rFont val="宋体"/>
        <b/>
        <color theme="1"/>
        <sz val="12.0"/>
      </rPr>
      <t>√</t>
    </r>
  </si>
  <si>
    <r>
      <rPr>
        <rFont val="宋体"/>
        <color theme="1"/>
        <sz val="12.0"/>
      </rPr>
      <t>电网过频五级保护时间</t>
    </r>
  </si>
  <si>
    <t>GridFreqMaxTime5</t>
  </si>
  <si>
    <t>1048</t>
  </si>
  <si>
    <r>
      <rPr>
        <rFont val="宋体"/>
        <color theme="1"/>
        <sz val="12.0"/>
      </rPr>
      <t>是</t>
    </r>
  </si>
  <si>
    <t>guwDeGridFMaxTime5</t>
  </si>
  <si>
    <r>
      <rPr>
        <rFont val="宋体"/>
        <b/>
        <color theme="1"/>
        <sz val="12.0"/>
      </rPr>
      <t>√</t>
    </r>
  </si>
  <si>
    <r>
      <rPr>
        <rFont val="宋体"/>
        <b/>
        <color theme="1"/>
        <sz val="12.0"/>
      </rPr>
      <t>√</t>
    </r>
  </si>
  <si>
    <r>
      <rPr>
        <rFont val="宋体"/>
        <b/>
        <color theme="1"/>
        <sz val="12.0"/>
      </rPr>
      <t>√</t>
    </r>
  </si>
  <si>
    <r>
      <rPr>
        <rFont val="宋体"/>
        <color theme="1"/>
        <sz val="12.0"/>
      </rPr>
      <t>电网欠频五级保护值</t>
    </r>
  </si>
  <si>
    <t>GridFreqMin5</t>
  </si>
  <si>
    <t>1049</t>
  </si>
  <si>
    <r>
      <rPr>
        <rFont val="宋体"/>
        <color theme="1"/>
        <sz val="12.0"/>
      </rPr>
      <t>是</t>
    </r>
  </si>
  <si>
    <t>guwDeGridFMin5</t>
  </si>
  <si>
    <r>
      <rPr>
        <rFont val="宋体"/>
        <b/>
        <color theme="1"/>
        <sz val="12.0"/>
      </rPr>
      <t>√</t>
    </r>
  </si>
  <si>
    <r>
      <rPr>
        <rFont val="宋体"/>
        <b/>
        <color theme="1"/>
        <sz val="12.0"/>
      </rPr>
      <t>√</t>
    </r>
  </si>
  <si>
    <r>
      <rPr>
        <rFont val="宋体"/>
        <b/>
        <color theme="1"/>
        <sz val="12.0"/>
      </rPr>
      <t>√</t>
    </r>
  </si>
  <si>
    <r>
      <rPr>
        <rFont val="宋体"/>
        <color theme="1"/>
        <sz val="12.0"/>
      </rPr>
      <t>电网欠频五级保护时间</t>
    </r>
  </si>
  <si>
    <t>GridFreqMinTime5</t>
  </si>
  <si>
    <t>1050</t>
  </si>
  <si>
    <r>
      <rPr>
        <rFont val="宋体"/>
        <color theme="1"/>
        <sz val="12.0"/>
      </rPr>
      <t>是</t>
    </r>
  </si>
  <si>
    <t>guwDeGridFMinTime5</t>
  </si>
  <si>
    <r>
      <rPr>
        <rFont val="宋体"/>
        <b/>
        <color theme="1"/>
        <sz val="12.0"/>
      </rPr>
      <t>√</t>
    </r>
  </si>
  <si>
    <r>
      <rPr>
        <rFont val="宋体"/>
        <b/>
        <color theme="1"/>
        <sz val="12.0"/>
      </rPr>
      <t>√</t>
    </r>
  </si>
  <si>
    <r>
      <rPr>
        <rFont val="宋体"/>
        <b/>
        <color theme="1"/>
        <sz val="12.0"/>
      </rPr>
      <t>√</t>
    </r>
  </si>
  <si>
    <r>
      <rPr>
        <rFont val="Calibri"/>
        <color theme="1"/>
        <sz val="12.0"/>
      </rPr>
      <t>10</t>
    </r>
    <r>
      <rPr>
        <rFont val="宋体"/>
        <color theme="1"/>
        <sz val="10.0"/>
      </rPr>
      <t>分钟平均电压保护值</t>
    </r>
  </si>
  <si>
    <t>10minGridVoltMax</t>
  </si>
  <si>
    <t>1051</t>
  </si>
  <si>
    <r>
      <rPr>
        <rFont val="宋体"/>
        <color theme="1"/>
        <sz val="12.0"/>
      </rPr>
      <t>是</t>
    </r>
  </si>
  <si>
    <t>guwDe10minGridVMax</t>
  </si>
  <si>
    <r>
      <rPr>
        <rFont val="宋体"/>
        <b/>
        <color theme="1"/>
        <sz val="12.0"/>
      </rPr>
      <t>√</t>
    </r>
  </si>
  <si>
    <r>
      <rPr>
        <rFont val="宋体"/>
        <b/>
        <color theme="1"/>
        <sz val="12.0"/>
      </rPr>
      <t>√</t>
    </r>
  </si>
  <si>
    <r>
      <rPr>
        <rFont val="宋体"/>
        <b/>
        <color theme="1"/>
        <sz val="12.0"/>
      </rPr>
      <t>√</t>
    </r>
  </si>
  <si>
    <r>
      <rPr>
        <rFont val="Calibri"/>
        <color theme="1"/>
        <sz val="12.0"/>
      </rPr>
      <t>10</t>
    </r>
    <r>
      <rPr>
        <rFont val="宋体"/>
        <color theme="1"/>
        <sz val="12.0"/>
      </rPr>
      <t>分钟平均电压恢复值</t>
    </r>
  </si>
  <si>
    <t>10minGridVoltMaxRecover</t>
  </si>
  <si>
    <t>1052</t>
  </si>
  <si>
    <r>
      <rPr>
        <rFont val="宋体"/>
        <color theme="1"/>
        <sz val="12.0"/>
      </rPr>
      <t>是</t>
    </r>
  </si>
  <si>
    <t>guwDe10minGridVMaxRec</t>
  </si>
  <si>
    <r>
      <rPr>
        <rFont val="宋体"/>
        <b/>
        <color theme="1"/>
        <sz val="12.0"/>
      </rPr>
      <t>√</t>
    </r>
  </si>
  <si>
    <r>
      <rPr>
        <rFont val="宋体"/>
        <b/>
        <color theme="1"/>
        <sz val="12.0"/>
      </rPr>
      <t>√</t>
    </r>
  </si>
  <si>
    <r>
      <rPr>
        <rFont val="宋体"/>
        <b/>
        <color theme="1"/>
        <sz val="12.0"/>
      </rPr>
      <t>√</t>
    </r>
  </si>
  <si>
    <r>
      <rPr>
        <rFont val="宋体"/>
        <color theme="1"/>
        <sz val="12.0"/>
      </rPr>
      <t>绝缘阻抗下限</t>
    </r>
  </si>
  <si>
    <t>IsoResMin</t>
  </si>
  <si>
    <t>1053</t>
  </si>
  <si>
    <t>10-800</t>
  </si>
  <si>
    <r>
      <rPr>
        <rFont val="宋体"/>
        <color theme="1"/>
        <sz val="12.0"/>
      </rPr>
      <t>是</t>
    </r>
  </si>
  <si>
    <t>guwDeIsoResMin</t>
  </si>
  <si>
    <r>
      <rPr>
        <rFont val="宋体"/>
        <b/>
        <color theme="1"/>
        <sz val="12.0"/>
      </rPr>
      <t>√</t>
    </r>
  </si>
  <si>
    <r>
      <rPr>
        <rFont val="宋体"/>
        <b/>
        <color theme="1"/>
        <sz val="12.0"/>
      </rPr>
      <t>√</t>
    </r>
  </si>
  <si>
    <r>
      <rPr>
        <rFont val="宋体"/>
        <b/>
        <color theme="1"/>
        <sz val="12.0"/>
      </rPr>
      <t>√</t>
    </r>
  </si>
  <si>
    <r>
      <rPr>
        <rFont val="宋体"/>
        <color theme="1"/>
        <sz val="12.0"/>
      </rPr>
      <t>直流分量上限</t>
    </r>
  </si>
  <si>
    <t>DcIMax</t>
  </si>
  <si>
    <t>1054</t>
  </si>
  <si>
    <t>20-2000</t>
  </si>
  <si>
    <t>mA</t>
  </si>
  <si>
    <r>
      <rPr>
        <rFont val="宋体"/>
        <color theme="1"/>
        <sz val="12.0"/>
      </rPr>
      <t>是</t>
    </r>
  </si>
  <si>
    <t>guwDeDcIMax</t>
  </si>
  <si>
    <r>
      <rPr>
        <rFont val="宋体"/>
        <b/>
        <color theme="1"/>
        <sz val="12.0"/>
      </rPr>
      <t>√</t>
    </r>
  </si>
  <si>
    <r>
      <rPr>
        <rFont val="宋体"/>
        <b/>
        <color theme="1"/>
        <sz val="12.0"/>
      </rPr>
      <t>√</t>
    </r>
  </si>
  <si>
    <r>
      <rPr>
        <rFont val="宋体"/>
        <b/>
        <color theme="1"/>
        <sz val="12.0"/>
      </rPr>
      <t>√</t>
    </r>
  </si>
  <si>
    <r>
      <rPr>
        <rFont val="宋体"/>
        <color theme="1"/>
        <sz val="12.0"/>
      </rPr>
      <t>持续漏电流保护值</t>
    </r>
  </si>
  <si>
    <t>ContLeakMax</t>
  </si>
  <si>
    <t>1055</t>
  </si>
  <si>
    <t>guwDeContLeakMax</t>
  </si>
  <si>
    <r>
      <rPr>
        <rFont val="宋体"/>
        <b/>
        <color theme="1"/>
        <sz val="12.0"/>
      </rPr>
      <t>√</t>
    </r>
  </si>
  <si>
    <r>
      <rPr>
        <rFont val="宋体"/>
        <b/>
        <color theme="1"/>
        <sz val="12.0"/>
      </rPr>
      <t>√</t>
    </r>
  </si>
  <si>
    <r>
      <rPr>
        <rFont val="宋体"/>
        <b/>
        <color theme="1"/>
        <sz val="12.0"/>
      </rPr>
      <t>√</t>
    </r>
  </si>
  <si>
    <r>
      <rPr>
        <rFont val="宋体"/>
        <color theme="1"/>
        <sz val="12.0"/>
      </rPr>
      <t>持续漏电流保护时间</t>
    </r>
  </si>
  <si>
    <t>ContLeakMaxTime</t>
  </si>
  <si>
    <t>1056</t>
  </si>
  <si>
    <t>guwDeContLeakMaxTime</t>
  </si>
  <si>
    <r>
      <rPr>
        <rFont val="宋体"/>
        <b/>
        <color theme="1"/>
        <sz val="12.0"/>
      </rPr>
      <t>√</t>
    </r>
  </si>
  <si>
    <r>
      <rPr>
        <rFont val="宋体"/>
        <b/>
        <color theme="1"/>
        <sz val="12.0"/>
      </rPr>
      <t>√</t>
    </r>
  </si>
  <si>
    <r>
      <rPr>
        <rFont val="宋体"/>
        <b/>
        <color theme="1"/>
        <sz val="12.0"/>
      </rPr>
      <t>√</t>
    </r>
  </si>
  <si>
    <r>
      <rPr>
        <rFont val="宋体"/>
        <color theme="1"/>
        <sz val="12.0"/>
      </rPr>
      <t>突变漏电流保护值</t>
    </r>
  </si>
  <si>
    <t>SuddenLeakMax</t>
  </si>
  <si>
    <t>guwDeSuddenLeakMax</t>
  </si>
  <si>
    <r>
      <rPr>
        <rFont val="宋体"/>
        <b/>
        <color theme="1"/>
        <sz val="12.0"/>
      </rPr>
      <t>√</t>
    </r>
  </si>
  <si>
    <r>
      <rPr>
        <rFont val="宋体"/>
        <b/>
        <color theme="1"/>
        <sz val="12.0"/>
      </rPr>
      <t>√</t>
    </r>
  </si>
  <si>
    <r>
      <rPr>
        <rFont val="宋体"/>
        <b/>
        <color theme="1"/>
        <sz val="12.0"/>
      </rPr>
      <t>√</t>
    </r>
  </si>
  <si>
    <r>
      <rPr>
        <rFont val="宋体"/>
        <color theme="1"/>
        <sz val="12.0"/>
      </rPr>
      <t>突变漏电流保护时间</t>
    </r>
  </si>
  <si>
    <t>SuddenLeakMaxTime</t>
  </si>
  <si>
    <t>guwDeSuddenLeakMaxTime</t>
  </si>
  <si>
    <r>
      <rPr>
        <rFont val="宋体"/>
        <b/>
        <color theme="1"/>
        <sz val="12.0"/>
      </rPr>
      <t>√</t>
    </r>
  </si>
  <si>
    <r>
      <rPr>
        <rFont val="宋体"/>
        <b/>
        <color theme="1"/>
        <sz val="12.0"/>
      </rPr>
      <t>√</t>
    </r>
  </si>
  <si>
    <r>
      <rPr>
        <rFont val="宋体"/>
        <b/>
        <color theme="1"/>
        <sz val="12.0"/>
      </rPr>
      <t>√</t>
    </r>
  </si>
  <si>
    <r>
      <rPr>
        <rFont val="宋体"/>
        <color theme="1"/>
        <sz val="12.0"/>
      </rPr>
      <t>三相不平衡度</t>
    </r>
  </si>
  <si>
    <t>GridVoltUnbalMax</t>
  </si>
  <si>
    <t>70-100</t>
  </si>
  <si>
    <r>
      <rPr>
        <rFont val="宋体"/>
        <color theme="1"/>
        <sz val="12.0"/>
      </rPr>
      <t>是</t>
    </r>
  </si>
  <si>
    <t>guwDeGridVoltUnbalMax</t>
  </si>
  <si>
    <r>
      <rPr>
        <rFont val="宋体"/>
        <b/>
        <color theme="1"/>
        <sz val="12.0"/>
      </rPr>
      <t>√</t>
    </r>
  </si>
  <si>
    <r>
      <rPr>
        <rFont val="宋体"/>
        <b/>
        <color theme="1"/>
        <sz val="12.0"/>
      </rPr>
      <t>√</t>
    </r>
  </si>
  <si>
    <r>
      <rPr>
        <rFont val="宋体"/>
        <b/>
        <color theme="1"/>
        <sz val="12.0"/>
      </rPr>
      <t>√</t>
    </r>
  </si>
  <si>
    <r>
      <rPr>
        <rFont val="宋体"/>
        <color theme="1"/>
        <sz val="12.0"/>
      </rPr>
      <t>三相不平衡保护时间</t>
    </r>
  </si>
  <si>
    <t>GridVoltUnbalMaxTime</t>
  </si>
  <si>
    <t>guwDeGridVoltUnbalMaxTime</t>
  </si>
  <si>
    <r>
      <rPr>
        <rFont val="宋体"/>
        <b/>
        <color theme="1"/>
        <sz val="12.0"/>
      </rPr>
      <t>√</t>
    </r>
  </si>
  <si>
    <r>
      <rPr>
        <rFont val="宋体"/>
        <b/>
        <color theme="1"/>
        <sz val="12.0"/>
      </rPr>
      <t>√</t>
    </r>
  </si>
  <si>
    <r>
      <rPr>
        <rFont val="宋体"/>
        <b/>
        <color theme="1"/>
        <sz val="12.0"/>
      </rPr>
      <t>√</t>
    </r>
  </si>
  <si>
    <r>
      <rPr>
        <rFont val="宋体"/>
        <color theme="1"/>
        <sz val="12.0"/>
      </rPr>
      <t>环境温度上限</t>
    </r>
  </si>
  <si>
    <t>AmbiTempMax</t>
  </si>
  <si>
    <t>25-100</t>
  </si>
  <si>
    <r>
      <rPr>
        <rFont val="宋体"/>
        <color theme="1"/>
        <sz val="12.0"/>
      </rPr>
      <t>℃</t>
    </r>
  </si>
  <si>
    <r>
      <rPr>
        <rFont val="宋体"/>
        <color theme="1"/>
        <sz val="12.0"/>
      </rPr>
      <t>是</t>
    </r>
  </si>
  <si>
    <t>gwDeAmbiTempMax</t>
  </si>
  <si>
    <r>
      <rPr>
        <rFont val="宋体"/>
        <b/>
        <color theme="1"/>
        <sz val="12.0"/>
      </rPr>
      <t>√</t>
    </r>
  </si>
  <si>
    <r>
      <rPr>
        <rFont val="宋体"/>
        <b/>
        <color theme="1"/>
        <sz val="12.0"/>
      </rPr>
      <t>√</t>
    </r>
  </si>
  <si>
    <r>
      <rPr>
        <rFont val="宋体"/>
        <b/>
        <color theme="1"/>
        <sz val="12.0"/>
      </rPr>
      <t>√</t>
    </r>
  </si>
  <si>
    <r>
      <rPr>
        <rFont val="宋体"/>
        <color theme="1"/>
        <sz val="12.0"/>
      </rPr>
      <t>环境温度下限</t>
    </r>
  </si>
  <si>
    <t>AmbiTempMin</t>
  </si>
  <si>
    <t>-40-25</t>
  </si>
  <si>
    <t>℃</t>
  </si>
  <si>
    <t>gwDeAmbiTempMin</t>
  </si>
  <si>
    <r>
      <rPr>
        <rFont val="宋体"/>
        <b/>
        <color theme="1"/>
        <sz val="12.0"/>
      </rPr>
      <t>√</t>
    </r>
  </si>
  <si>
    <r>
      <rPr>
        <rFont val="宋体"/>
        <b/>
        <color theme="1"/>
        <sz val="12.0"/>
      </rPr>
      <t>√</t>
    </r>
  </si>
  <si>
    <r>
      <rPr>
        <rFont val="宋体"/>
        <b/>
        <color theme="1"/>
        <sz val="12.0"/>
      </rPr>
      <t>√</t>
    </r>
  </si>
  <si>
    <r>
      <rPr>
        <rFont val="宋体"/>
        <color theme="1"/>
        <sz val="12.0"/>
      </rPr>
      <t>模块温度上限</t>
    </r>
  </si>
  <si>
    <t>ModulTempMax</t>
  </si>
  <si>
    <t>85-200</t>
  </si>
  <si>
    <r>
      <rPr>
        <rFont val="宋体"/>
        <color theme="1"/>
        <sz val="12.0"/>
      </rPr>
      <t>℃</t>
    </r>
  </si>
  <si>
    <r>
      <rPr>
        <rFont val="宋体"/>
        <color theme="1"/>
        <sz val="12.0"/>
      </rPr>
      <t>是</t>
    </r>
  </si>
  <si>
    <t>gwDeModulTempMax</t>
  </si>
  <si>
    <r>
      <rPr>
        <rFont val="宋体"/>
        <b/>
        <color theme="1"/>
        <sz val="12.0"/>
      </rPr>
      <t>√</t>
    </r>
  </si>
  <si>
    <r>
      <rPr>
        <rFont val="宋体"/>
        <b/>
        <color theme="1"/>
        <sz val="12.0"/>
      </rPr>
      <t>√</t>
    </r>
  </si>
  <si>
    <r>
      <rPr>
        <rFont val="宋体"/>
        <b/>
        <color theme="1"/>
        <sz val="12.0"/>
      </rPr>
      <t>√</t>
    </r>
  </si>
  <si>
    <r>
      <rPr>
        <rFont val="宋体"/>
        <color theme="1"/>
        <sz val="12.0"/>
      </rPr>
      <t>暂态电压保护值</t>
    </r>
  </si>
  <si>
    <t>GridVoltFastMax</t>
  </si>
  <si>
    <t>101-320V*1.414</t>
  </si>
  <si>
    <r>
      <rPr>
        <rFont val="宋体"/>
        <color theme="1"/>
        <sz val="12.0"/>
      </rPr>
      <t>是</t>
    </r>
  </si>
  <si>
    <t>guwDeGridVFastMax</t>
  </si>
  <si>
    <r>
      <rPr>
        <rFont val="宋体"/>
        <b/>
        <color theme="1"/>
        <sz val="12.0"/>
      </rPr>
      <t>√</t>
    </r>
  </si>
  <si>
    <r>
      <rPr>
        <rFont val="宋体"/>
        <b/>
        <color theme="1"/>
        <sz val="12.0"/>
      </rPr>
      <t>√</t>
    </r>
  </si>
  <si>
    <r>
      <rPr>
        <rFont val="宋体"/>
        <b/>
        <color theme="1"/>
        <sz val="12.0"/>
      </rPr>
      <t>√</t>
    </r>
  </si>
  <si>
    <r>
      <rPr>
        <rFont val="宋体"/>
        <color theme="1"/>
        <sz val="12.0"/>
      </rPr>
      <t>暂态电压保护时间</t>
    </r>
  </si>
  <si>
    <t>GridVoltFastMaxTime</t>
  </si>
  <si>
    <t>1-10中断周期</t>
  </si>
  <si>
    <r>
      <rPr>
        <rFont val="宋体"/>
        <color theme="1"/>
        <sz val="12.0"/>
      </rPr>
      <t>是</t>
    </r>
  </si>
  <si>
    <t>guwDeGridVFastMaxTime</t>
  </si>
  <si>
    <r>
      <rPr>
        <rFont val="宋体"/>
        <b/>
        <color theme="1"/>
        <sz val="12.0"/>
      </rPr>
      <t>√</t>
    </r>
  </si>
  <si>
    <r>
      <rPr>
        <rFont val="宋体"/>
        <b/>
        <color theme="1"/>
        <sz val="12.0"/>
      </rPr>
      <t>√</t>
    </r>
  </si>
  <si>
    <r>
      <rPr>
        <rFont val="宋体"/>
        <b/>
        <color theme="1"/>
        <sz val="12.0"/>
      </rPr>
      <t>√</t>
    </r>
  </si>
  <si>
    <r>
      <rPr>
        <rFont val="Calibri"/>
        <color theme="1"/>
        <sz val="12.0"/>
      </rPr>
      <t>BUS</t>
    </r>
    <r>
      <rPr>
        <rFont val="宋体"/>
        <color theme="1"/>
        <sz val="12.0"/>
      </rPr>
      <t>中点不平衡保护值</t>
    </r>
  </si>
  <si>
    <t>BusMidDifMax</t>
  </si>
  <si>
    <t>30-1000</t>
  </si>
  <si>
    <r>
      <rPr>
        <rFont val="宋体"/>
        <color theme="1"/>
        <sz val="12.0"/>
      </rPr>
      <t>是</t>
    </r>
  </si>
  <si>
    <t>guwDeBusMidDifMax</t>
  </si>
  <si>
    <r>
      <rPr>
        <rFont val="宋体"/>
        <b/>
        <color theme="1"/>
        <sz val="12.0"/>
      </rPr>
      <t>√</t>
    </r>
  </si>
  <si>
    <r>
      <rPr>
        <rFont val="宋体"/>
        <b/>
        <color theme="1"/>
        <sz val="12.0"/>
      </rPr>
      <t>√</t>
    </r>
  </si>
  <si>
    <r>
      <rPr>
        <rFont val="宋体"/>
        <b/>
        <color theme="1"/>
        <sz val="12.0"/>
      </rPr>
      <t>√</t>
    </r>
  </si>
  <si>
    <r>
      <rPr>
        <rFont val="宋体"/>
        <color theme="1"/>
        <sz val="12.0"/>
      </rPr>
      <t>离网电压直流分量保护值</t>
    </r>
  </si>
  <si>
    <t>DcVMax</t>
  </si>
  <si>
    <t>20-5000</t>
  </si>
  <si>
    <t>0.001V</t>
  </si>
  <si>
    <r>
      <rPr>
        <rFont val="宋体"/>
        <b/>
        <color theme="1"/>
        <sz val="12.0"/>
      </rPr>
      <t>√</t>
    </r>
  </si>
  <si>
    <r>
      <rPr>
        <rFont val="宋体"/>
        <b/>
        <color theme="1"/>
        <sz val="12.0"/>
      </rPr>
      <t>√</t>
    </r>
  </si>
  <si>
    <r>
      <rPr>
        <rFont val="宋体"/>
        <b/>
        <color theme="1"/>
        <sz val="12.0"/>
      </rPr>
      <t>√</t>
    </r>
  </si>
  <si>
    <r>
      <rPr>
        <rFont val="宋体"/>
        <color theme="1"/>
        <sz val="10.0"/>
      </rPr>
      <t>预留</t>
    </r>
  </si>
  <si>
    <t>1067-1499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</si>
  <si>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</si>
  <si>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</si>
  <si>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</si>
  <si>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4</t>
    </r>
    <r>
      <rPr>
        <rFont val="宋体"/>
        <b/>
        <color theme="1"/>
        <sz val="14.0"/>
      </rPr>
      <t>（电网调度参数</t>
    </r>
    <r>
      <rPr>
        <rFont val="Calibri"/>
        <b/>
        <color theme="1"/>
        <sz val="14.0"/>
      </rPr>
      <t>1</t>
    </r>
    <r>
      <rPr>
        <rFont val="宋体"/>
        <b/>
        <color theme="1"/>
        <sz val="14.0"/>
      </rPr>
      <t>）</t>
    </r>
  </si>
  <si>
    <r>
      <rPr>
        <rFont val="宋体"/>
        <b/>
        <color theme="1"/>
        <sz val="12.0"/>
      </rPr>
      <t>√</t>
    </r>
  </si>
  <si>
    <r>
      <rPr>
        <rFont val="宋体"/>
        <b/>
        <color theme="1"/>
        <sz val="12.0"/>
      </rPr>
      <t>√</t>
    </r>
  </si>
  <si>
    <r>
      <rPr>
        <rFont val="宋体"/>
        <b/>
        <color theme="1"/>
        <sz val="12.0"/>
      </rPr>
      <t>√</t>
    </r>
  </si>
  <si>
    <r>
      <rPr>
        <rFont val="宋体"/>
        <color theme="1"/>
        <sz val="12.0"/>
      </rPr>
      <t>无功阈值</t>
    </r>
  </si>
  <si>
    <t>1500-1501</t>
  </si>
  <si>
    <t>0-200000</t>
  </si>
  <si>
    <r>
      <rPr>
        <rFont val="宋体"/>
        <color theme="1"/>
        <sz val="12.0"/>
      </rPr>
      <t>是</t>
    </r>
  </si>
  <si>
    <t>glDeNormReactPwr</t>
  </si>
  <si>
    <r>
      <rPr>
        <rFont val="宋体"/>
        <b/>
        <color theme="1"/>
        <sz val="12.0"/>
      </rPr>
      <t>√</t>
    </r>
  </si>
  <si>
    <r>
      <rPr>
        <rFont val="宋体"/>
        <b/>
        <color theme="1"/>
        <sz val="12.0"/>
      </rPr>
      <t>√</t>
    </r>
  </si>
  <si>
    <r>
      <rPr>
        <rFont val="宋体"/>
        <b/>
        <color theme="1"/>
        <sz val="12.0"/>
      </rPr>
      <t>√</t>
    </r>
  </si>
  <si>
    <r>
      <rPr>
        <rFont val="宋体"/>
        <color theme="1"/>
        <sz val="12.0"/>
      </rPr>
      <t>有功输出限制</t>
    </r>
  </si>
  <si>
    <t>OutPwrMaxPer</t>
  </si>
  <si>
    <t>0-1000</t>
  </si>
  <si>
    <r>
      <rPr>
        <rFont val="宋体"/>
        <color theme="1"/>
        <sz val="12.0"/>
      </rPr>
      <t>是</t>
    </r>
  </si>
  <si>
    <t>guwDeOutPwrMaxPer</t>
  </si>
  <si>
    <r>
      <rPr>
        <rFont val="宋体"/>
        <b/>
        <color theme="1"/>
        <sz val="12.0"/>
      </rPr>
      <t>√</t>
    </r>
  </si>
  <si>
    <r>
      <rPr>
        <rFont val="宋体"/>
        <b/>
        <color theme="1"/>
        <sz val="12.0"/>
      </rPr>
      <t>√</t>
    </r>
  </si>
  <si>
    <r>
      <rPr>
        <rFont val="宋体"/>
        <b/>
        <color theme="1"/>
        <sz val="12.0"/>
      </rPr>
      <t>√</t>
    </r>
  </si>
  <si>
    <r>
      <rPr>
        <rFont val="宋体"/>
        <color theme="1"/>
        <sz val="12.0"/>
      </rPr>
      <t>最大有功输出功率</t>
    </r>
  </si>
  <si>
    <t>OutPwrMax</t>
  </si>
  <si>
    <t>1503-1504</t>
  </si>
  <si>
    <r>
      <rPr>
        <rFont val="宋体"/>
        <color theme="1"/>
        <sz val="12.0"/>
      </rPr>
      <t>是</t>
    </r>
  </si>
  <si>
    <t>gulDeOutPwrMax</t>
  </si>
  <si>
    <r>
      <rPr>
        <rFont val="宋体"/>
        <b/>
        <color theme="1"/>
        <sz val="12.0"/>
      </rPr>
      <t>√</t>
    </r>
  </si>
  <si>
    <r>
      <rPr>
        <rFont val="宋体"/>
        <b/>
        <color theme="1"/>
        <sz val="12.0"/>
      </rPr>
      <t>√</t>
    </r>
  </si>
  <si>
    <r>
      <rPr>
        <rFont val="宋体"/>
        <b/>
        <color theme="1"/>
        <sz val="12.0"/>
      </rPr>
      <t>√</t>
    </r>
  </si>
  <si>
    <r>
      <rPr>
        <rFont val="宋体"/>
        <color theme="1"/>
        <sz val="12.0"/>
      </rPr>
      <t>过频降额曲线</t>
    </r>
  </si>
  <si>
    <t>PbyFOverCurve</t>
  </si>
  <si>
    <r>
      <rPr>
        <rFont val="宋体"/>
        <color theme="1"/>
        <sz val="12.0"/>
      </rPr>
      <t>是</t>
    </r>
  </si>
  <si>
    <t>guwDePbyFOverCurve</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</si>
  <si>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</si>
  <si>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</si>
  <si>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</si>
  <si>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F1</t>
    </r>
  </si>
  <si>
    <t>PbyFOverF1</t>
  </si>
  <si>
    <r>
      <rPr>
        <rFont val="宋体"/>
        <color theme="1"/>
        <sz val="12.0"/>
      </rPr>
      <t>是</t>
    </r>
  </si>
  <si>
    <t>guwDePbyFOverF1</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</si>
  <si>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</si>
  <si>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</si>
  <si>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</si>
  <si>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F2</t>
    </r>
  </si>
  <si>
    <t>PbyFOverF2</t>
  </si>
  <si>
    <r>
      <rPr>
        <rFont val="宋体"/>
        <color theme="1"/>
        <sz val="12.0"/>
      </rPr>
      <t>是</t>
    </r>
  </si>
  <si>
    <t>guwDePbyFOverF2</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</si>
  <si>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</si>
  <si>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</si>
  <si>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</si>
  <si>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F3</t>
    </r>
  </si>
  <si>
    <t>PbyFOverF3</t>
  </si>
  <si>
    <r>
      <rPr>
        <rFont val="宋体"/>
        <color theme="1"/>
        <sz val="12.0"/>
      </rPr>
      <t>是</t>
    </r>
  </si>
  <si>
    <t>guwDePbyFOverF3</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</si>
  <si>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</si>
  <si>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</si>
  <si>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</si>
  <si>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F4</t>
    </r>
  </si>
  <si>
    <t>PbyFOverF4</t>
  </si>
  <si>
    <r>
      <rPr>
        <rFont val="宋体"/>
        <color theme="1"/>
        <sz val="12.0"/>
      </rPr>
      <t>是</t>
    </r>
  </si>
  <si>
    <t>guwDePbyFOverF4</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</si>
  <si>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</si>
  <si>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</si>
  <si>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</si>
  <si>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P1</t>
    </r>
  </si>
  <si>
    <t>PbyFOverP1</t>
  </si>
  <si>
    <t>0-2000</t>
  </si>
  <si>
    <r>
      <rPr>
        <rFont val="宋体"/>
        <color theme="1"/>
        <sz val="12.0"/>
      </rPr>
      <t>是</t>
    </r>
  </si>
  <si>
    <t>gwDePbyFOverP1</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</si>
  <si>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</si>
  <si>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</si>
  <si>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</si>
  <si>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P2</t>
    </r>
  </si>
  <si>
    <t>PbyFOverP2</t>
  </si>
  <si>
    <r>
      <rPr>
        <rFont val="宋体"/>
        <color theme="1"/>
        <sz val="12.0"/>
      </rPr>
      <t>是</t>
    </r>
  </si>
  <si>
    <t>gwDePbyFOverP2</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</si>
  <si>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</si>
  <si>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</si>
  <si>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</si>
  <si>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P3</t>
    </r>
  </si>
  <si>
    <t>PbyFOverP3</t>
  </si>
  <si>
    <r>
      <rPr>
        <rFont val="宋体"/>
        <color theme="1"/>
        <sz val="12.0"/>
      </rPr>
      <t>是</t>
    </r>
  </si>
  <si>
    <t>gwDePbyFOverP3</t>
  </si>
  <si>
    <r>
      <rPr>
        <rFont val="宋体"/>
        <b/>
        <color theme="1"/>
        <sz val="12.0"/>
      </rPr>
      <t>√</t>
    </r>
  </si>
  <si>
    <r>
      <rPr>
        <rFont val="宋体"/>
        <b/>
        <color theme="1"/>
        <sz val="12.0"/>
      </rPr>
      <t>√</t>
    </r>
  </si>
  <si>
    <r>
      <rPr>
        <rFont val="宋体"/>
        <b/>
        <color theme="1"/>
        <sz val="12.0"/>
      </rPr>
      <t>√</t>
    </r>
  </si>
  <si>
    <r>
      <rPr>
        <rFont val="宋体"/>
        <color theme="1"/>
        <sz val="12.0"/>
      </rPr>
      <t>过频降额</t>
    </r>
    <r>
      <rPr>
        <rFont val="Calibri"/>
        <color theme="1"/>
        <sz val="12.0"/>
      </rPr>
      <t>P4</t>
    </r>
  </si>
  <si>
    <t>PbyFOverP4</t>
  </si>
  <si>
    <t>1513</t>
  </si>
  <si>
    <r>
      <rPr>
        <rFont val="宋体"/>
        <color theme="1"/>
        <sz val="12.0"/>
      </rPr>
      <t>是</t>
    </r>
  </si>
  <si>
    <t>gwDePbyFOverP4</t>
  </si>
  <si>
    <r>
      <rPr>
        <rFont val="宋体"/>
        <b/>
        <color theme="1"/>
        <sz val="12.0"/>
      </rPr>
      <t>√</t>
    </r>
  </si>
  <si>
    <r>
      <rPr>
        <rFont val="宋体"/>
        <b/>
        <color theme="1"/>
        <sz val="12.0"/>
      </rPr>
      <t>√</t>
    </r>
  </si>
  <si>
    <r>
      <rPr>
        <rFont val="宋体"/>
        <b/>
        <color theme="1"/>
        <sz val="12.0"/>
      </rPr>
      <t>√</t>
    </r>
  </si>
  <si>
    <r>
      <rPr>
        <rFont val="宋体"/>
        <color theme="1"/>
        <sz val="12.0"/>
      </rPr>
      <t>过频降额恢复点</t>
    </r>
  </si>
  <si>
    <t>PbyFOverFRecover</t>
  </si>
  <si>
    <t>1514</t>
  </si>
  <si>
    <r>
      <rPr>
        <rFont val="宋体"/>
        <color theme="1"/>
        <sz val="12.0"/>
      </rPr>
      <t>是</t>
    </r>
  </si>
  <si>
    <t>guwDePbyFOverFRecover</t>
  </si>
  <si>
    <r>
      <rPr>
        <rFont val="宋体"/>
        <b/>
        <color theme="1"/>
        <sz val="12.0"/>
      </rPr>
      <t>√</t>
    </r>
  </si>
  <si>
    <r>
      <rPr>
        <rFont val="宋体"/>
        <b/>
        <color theme="1"/>
        <sz val="12.0"/>
      </rPr>
      <t>√</t>
    </r>
  </si>
  <si>
    <r>
      <rPr>
        <rFont val="宋体"/>
        <b/>
        <color theme="1"/>
        <sz val="12.0"/>
      </rPr>
      <t>√</t>
    </r>
  </si>
  <si>
    <r>
      <rPr>
        <rFont val="宋体"/>
        <color theme="1"/>
        <sz val="12.0"/>
      </rPr>
      <t>过频降额时有功降额速率</t>
    </r>
  </si>
  <si>
    <t>PbyFOverRate</t>
  </si>
  <si>
    <t>1515</t>
  </si>
  <si>
    <t>0-5000</t>
  </si>
  <si>
    <r>
      <rPr>
        <rFont val="宋体"/>
        <color rgb="FFFF0000"/>
        <sz val="12.0"/>
      </rPr>
      <t>0.1</t>
    </r>
    <r>
      <rPr>
        <rFont val="宋体"/>
        <color rgb="FFFF0000"/>
        <sz val="12.0"/>
      </rPr>
      <t>%/Hz</t>
    </r>
  </si>
  <si>
    <r>
      <rPr>
        <rFont val="宋体"/>
        <color theme="1"/>
        <sz val="12.0"/>
      </rPr>
      <t>是</t>
    </r>
  </si>
  <si>
    <t>guwDePbyFOverRate</t>
  </si>
  <si>
    <r>
      <rPr>
        <rFont val="宋体"/>
        <b/>
        <color theme="1"/>
        <sz val="12.0"/>
      </rPr>
      <t>√</t>
    </r>
  </si>
  <si>
    <r>
      <rPr>
        <rFont val="宋体"/>
        <b/>
        <color theme="1"/>
        <sz val="12.0"/>
      </rPr>
      <t>√</t>
    </r>
  </si>
  <si>
    <r>
      <rPr>
        <rFont val="宋体"/>
        <b/>
        <color theme="1"/>
        <sz val="12.0"/>
      </rPr>
      <t>√</t>
    </r>
  </si>
  <si>
    <r>
      <rPr>
        <rFont val="宋体"/>
        <color theme="1"/>
        <sz val="12.0"/>
      </rPr>
      <t>过频降额后等待恢复时间</t>
    </r>
  </si>
  <si>
    <t>PbyFOverTRecover</t>
  </si>
  <si>
    <t>1516</t>
  </si>
  <si>
    <r>
      <rPr>
        <rFont val="宋体"/>
        <color theme="1"/>
        <sz val="12.0"/>
      </rPr>
      <t>是</t>
    </r>
  </si>
  <si>
    <t>guwDePbyFOverTRecover</t>
  </si>
  <si>
    <r>
      <rPr>
        <rFont val="宋体"/>
        <b/>
        <color theme="1"/>
        <sz val="12.0"/>
      </rPr>
      <t>√</t>
    </r>
  </si>
  <si>
    <r>
      <rPr>
        <rFont val="宋体"/>
        <b/>
        <color theme="1"/>
        <sz val="12.0"/>
      </rPr>
      <t>√</t>
    </r>
  </si>
  <si>
    <r>
      <rPr>
        <rFont val="宋体"/>
        <b/>
        <color theme="1"/>
        <sz val="12.0"/>
      </rPr>
      <t>√</t>
    </r>
  </si>
  <si>
    <r>
      <rPr>
        <rFont val="宋体"/>
        <color theme="1"/>
        <sz val="12.0"/>
      </rPr>
      <t>过频降额后有功恢复速率</t>
    </r>
  </si>
  <si>
    <t>PbyFOverRateRecover</t>
  </si>
  <si>
    <t>1517</t>
  </si>
  <si>
    <r>
      <rPr>
        <rFont val="宋体"/>
        <color theme="1"/>
        <sz val="12.0"/>
      </rPr>
      <t>是</t>
    </r>
  </si>
  <si>
    <t>guwDePbyFOverRateRecover</t>
  </si>
  <si>
    <r>
      <rPr>
        <rFont val="宋体"/>
        <b/>
        <color theme="1"/>
        <sz val="12.0"/>
      </rPr>
      <t>√</t>
    </r>
  </si>
  <si>
    <r>
      <rPr>
        <rFont val="宋体"/>
        <b/>
        <color theme="1"/>
        <sz val="12.0"/>
      </rPr>
      <t>√</t>
    </r>
  </si>
  <si>
    <r>
      <rPr>
        <rFont val="宋体"/>
        <b/>
        <color theme="1"/>
        <sz val="12.0"/>
      </rPr>
      <t>√</t>
    </r>
  </si>
  <si>
    <r>
      <rPr>
        <rFont val="宋体"/>
        <color theme="1"/>
        <sz val="12.0"/>
      </rPr>
      <t>过频降额响应时间</t>
    </r>
  </si>
  <si>
    <t>PbyFOverT</t>
  </si>
  <si>
    <t>1518</t>
  </si>
  <si>
    <r>
      <rPr>
        <rFont val="宋体"/>
        <color theme="1"/>
        <sz val="12.0"/>
      </rPr>
      <t>是</t>
    </r>
  </si>
  <si>
    <t>guwDePbyFOverT</t>
  </si>
  <si>
    <r>
      <rPr>
        <rFont val="宋体"/>
        <b/>
        <color theme="1"/>
        <sz val="12.0"/>
      </rPr>
      <t>√</t>
    </r>
  </si>
  <si>
    <r>
      <rPr>
        <rFont val="宋体"/>
        <b/>
        <color theme="1"/>
        <sz val="12.0"/>
      </rPr>
      <t>√</t>
    </r>
  </si>
  <si>
    <r>
      <rPr>
        <rFont val="宋体"/>
        <b/>
        <color theme="1"/>
        <sz val="12.0"/>
      </rPr>
      <t>√</t>
    </r>
  </si>
  <si>
    <r>
      <rPr>
        <rFont val="宋体"/>
        <color theme="1"/>
        <sz val="12.0"/>
      </rPr>
      <t>欠频升额曲线</t>
    </r>
  </si>
  <si>
    <t>PbyFRiseCurve</t>
  </si>
  <si>
    <r>
      <rPr>
        <rFont val="宋体"/>
        <color theme="1"/>
        <sz val="12.0"/>
      </rPr>
      <t>是</t>
    </r>
  </si>
  <si>
    <t>guwDePbyFRiseCurve</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</si>
  <si>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</si>
  <si>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</si>
  <si>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</si>
  <si>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F1</t>
    </r>
  </si>
  <si>
    <t>PbyFRiseF1</t>
  </si>
  <si>
    <r>
      <rPr>
        <rFont val="宋体"/>
        <color theme="1"/>
        <sz val="12.0"/>
      </rPr>
      <t>是</t>
    </r>
  </si>
  <si>
    <t>guwDePbyFRiseF1</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</si>
  <si>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</si>
  <si>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</si>
  <si>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</si>
  <si>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F2</t>
    </r>
  </si>
  <si>
    <t>PbyFRiseF2</t>
  </si>
  <si>
    <r>
      <rPr>
        <rFont val="宋体"/>
        <color theme="1"/>
        <sz val="12.0"/>
      </rPr>
      <t>是</t>
    </r>
  </si>
  <si>
    <t>guwDePbyFRiseF2</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</si>
  <si>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</si>
  <si>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</si>
  <si>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</si>
  <si>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F3</t>
    </r>
  </si>
  <si>
    <t>PbyFRiseF3</t>
  </si>
  <si>
    <r>
      <rPr>
        <rFont val="宋体"/>
        <color theme="1"/>
        <sz val="12.0"/>
      </rPr>
      <t>是</t>
    </r>
  </si>
  <si>
    <t>guwDePbyFRiseF3</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</si>
  <si>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</si>
  <si>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</si>
  <si>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</si>
  <si>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F4</t>
    </r>
  </si>
  <si>
    <t>PbyFRiseF4</t>
  </si>
  <si>
    <r>
      <rPr>
        <rFont val="宋体"/>
        <color theme="1"/>
        <sz val="12.0"/>
      </rPr>
      <t>是</t>
    </r>
  </si>
  <si>
    <t>guwDePbyFRiseF4</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</si>
  <si>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</si>
  <si>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</si>
  <si>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</si>
  <si>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P1</t>
    </r>
  </si>
  <si>
    <t>PbyFRiseP1</t>
  </si>
  <si>
    <r>
      <rPr>
        <rFont val="宋体"/>
        <color theme="1"/>
        <sz val="12.0"/>
      </rPr>
      <t>是</t>
    </r>
  </si>
  <si>
    <t>gwDePbyFRiseP1</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</si>
  <si>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</si>
  <si>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</si>
  <si>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</si>
  <si>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P2</t>
    </r>
  </si>
  <si>
    <t>PbyFRiseP2</t>
  </si>
  <si>
    <r>
      <rPr>
        <rFont val="宋体"/>
        <color theme="1"/>
        <sz val="12.0"/>
      </rPr>
      <t>是</t>
    </r>
  </si>
  <si>
    <t>gwDePbyFRiseP2</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</si>
  <si>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</si>
  <si>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</si>
  <si>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</si>
  <si>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P3</t>
    </r>
  </si>
  <si>
    <t>PbyFRiseP3</t>
  </si>
  <si>
    <r>
      <rPr>
        <rFont val="宋体"/>
        <color theme="1"/>
        <sz val="12.0"/>
      </rPr>
      <t>是</t>
    </r>
  </si>
  <si>
    <t>gwDePbyFRiseP3</t>
  </si>
  <si>
    <r>
      <rPr>
        <rFont val="宋体"/>
        <b/>
        <color theme="1"/>
        <sz val="12.0"/>
      </rPr>
      <t>√</t>
    </r>
  </si>
  <si>
    <r>
      <rPr>
        <rFont val="宋体"/>
        <b/>
        <color theme="1"/>
        <sz val="12.0"/>
      </rPr>
      <t>√</t>
    </r>
  </si>
  <si>
    <r>
      <rPr>
        <rFont val="宋体"/>
        <b/>
        <color theme="1"/>
        <sz val="12.0"/>
      </rPr>
      <t>√</t>
    </r>
  </si>
  <si>
    <r>
      <rPr>
        <rFont val="宋体"/>
        <color theme="1"/>
        <sz val="12.0"/>
      </rPr>
      <t>欠频升额</t>
    </r>
    <r>
      <rPr>
        <rFont val="Calibri"/>
        <color theme="1"/>
        <sz val="12.0"/>
      </rPr>
      <t>P4</t>
    </r>
  </si>
  <si>
    <t>PbyFRiseP4</t>
  </si>
  <si>
    <r>
      <rPr>
        <rFont val="宋体"/>
        <color theme="1"/>
        <sz val="12.0"/>
      </rPr>
      <t>是</t>
    </r>
  </si>
  <si>
    <t>gwDePbyFRiseP4</t>
  </si>
  <si>
    <r>
      <rPr>
        <rFont val="宋体"/>
        <b/>
        <color theme="1"/>
        <sz val="12.0"/>
      </rPr>
      <t>√</t>
    </r>
  </si>
  <si>
    <r>
      <rPr>
        <rFont val="宋体"/>
        <b/>
        <color theme="1"/>
        <sz val="12.0"/>
      </rPr>
      <t>√</t>
    </r>
  </si>
  <si>
    <r>
      <rPr>
        <rFont val="宋体"/>
        <b/>
        <color theme="1"/>
        <sz val="12.0"/>
      </rPr>
      <t>√</t>
    </r>
  </si>
  <si>
    <r>
      <rPr>
        <rFont val="宋体"/>
        <color theme="1"/>
        <sz val="12.0"/>
      </rPr>
      <t>欠频升额恢复点</t>
    </r>
  </si>
  <si>
    <t>PbyFRiseFRecover</t>
  </si>
  <si>
    <r>
      <rPr>
        <rFont val="宋体"/>
        <color theme="1"/>
        <sz val="12.0"/>
      </rPr>
      <t>是</t>
    </r>
  </si>
  <si>
    <t>guwDePbyFRiseFRecover</t>
  </si>
  <si>
    <r>
      <rPr>
        <rFont val="宋体"/>
        <b/>
        <color theme="1"/>
        <sz val="12.0"/>
      </rPr>
      <t>√</t>
    </r>
  </si>
  <si>
    <r>
      <rPr>
        <rFont val="宋体"/>
        <b/>
        <color theme="1"/>
        <sz val="12.0"/>
      </rPr>
      <t>√</t>
    </r>
  </si>
  <si>
    <r>
      <rPr>
        <rFont val="宋体"/>
        <b/>
        <color theme="1"/>
        <sz val="12.0"/>
      </rPr>
      <t>√</t>
    </r>
  </si>
  <si>
    <r>
      <rPr>
        <rFont val="宋体"/>
        <color theme="1"/>
        <sz val="12.0"/>
      </rPr>
      <t>欠频升额时有功升额速率</t>
    </r>
  </si>
  <si>
    <t>PbyFRiseRate</t>
  </si>
  <si>
    <r>
      <rPr>
        <rFont val="宋体"/>
        <color rgb="FFFF0000"/>
        <sz val="12.0"/>
      </rPr>
      <t>0.1</t>
    </r>
    <r>
      <rPr>
        <rFont val="宋体"/>
        <color rgb="FFFF0000"/>
        <sz val="12.0"/>
      </rPr>
      <t>%/Hz</t>
    </r>
  </si>
  <si>
    <r>
      <rPr>
        <rFont val="宋体"/>
        <color theme="1"/>
        <sz val="12.0"/>
      </rPr>
      <t>是</t>
    </r>
  </si>
  <si>
    <t>guwDePbyFRiseRate</t>
  </si>
  <si>
    <r>
      <rPr>
        <rFont val="宋体"/>
        <b/>
        <color theme="1"/>
        <sz val="12.0"/>
      </rPr>
      <t>√</t>
    </r>
  </si>
  <si>
    <r>
      <rPr>
        <rFont val="宋体"/>
        <b/>
        <color theme="1"/>
        <sz val="12.0"/>
      </rPr>
      <t>√</t>
    </r>
  </si>
  <si>
    <r>
      <rPr>
        <rFont val="宋体"/>
        <b/>
        <color theme="1"/>
        <sz val="12.0"/>
      </rPr>
      <t>√</t>
    </r>
  </si>
  <si>
    <r>
      <rPr>
        <rFont val="宋体"/>
        <color theme="1"/>
        <sz val="12.0"/>
      </rPr>
      <t>欠频升额后等待恢复时间</t>
    </r>
  </si>
  <si>
    <t>PbyFRiseTRecover</t>
  </si>
  <si>
    <t>1530</t>
  </si>
  <si>
    <r>
      <rPr>
        <rFont val="宋体"/>
        <color theme="1"/>
        <sz val="12.0"/>
      </rPr>
      <t>是</t>
    </r>
  </si>
  <si>
    <t>guwDePbyFRiseTRecover</t>
  </si>
  <si>
    <r>
      <rPr>
        <rFont val="宋体"/>
        <b/>
        <color theme="1"/>
        <sz val="12.0"/>
      </rPr>
      <t>√</t>
    </r>
  </si>
  <si>
    <r>
      <rPr>
        <rFont val="宋体"/>
        <b/>
        <color theme="1"/>
        <sz val="12.0"/>
      </rPr>
      <t>√</t>
    </r>
  </si>
  <si>
    <r>
      <rPr>
        <rFont val="宋体"/>
        <b/>
        <color theme="1"/>
        <sz val="12.0"/>
      </rPr>
      <t>√</t>
    </r>
  </si>
  <si>
    <r>
      <rPr>
        <rFont val="宋体"/>
        <color theme="1"/>
        <sz val="12.0"/>
      </rPr>
      <t>欠频升额后有功恢复速率</t>
    </r>
  </si>
  <si>
    <t>PbyFRiseRateRecover</t>
  </si>
  <si>
    <t>1531</t>
  </si>
  <si>
    <r>
      <rPr>
        <rFont val="宋体"/>
        <color theme="1"/>
        <sz val="12.0"/>
      </rPr>
      <t>是</t>
    </r>
  </si>
  <si>
    <t>guwDePbyFRiseRateRecover</t>
  </si>
  <si>
    <r>
      <rPr>
        <rFont val="宋体"/>
        <b/>
        <color theme="1"/>
        <sz val="12.0"/>
      </rPr>
      <t>√</t>
    </r>
  </si>
  <si>
    <r>
      <rPr>
        <rFont val="宋体"/>
        <b/>
        <color theme="1"/>
        <sz val="12.0"/>
      </rPr>
      <t>√</t>
    </r>
  </si>
  <si>
    <r>
      <rPr>
        <rFont val="宋体"/>
        <b/>
        <color theme="1"/>
        <sz val="12.0"/>
      </rPr>
      <t>√</t>
    </r>
  </si>
  <si>
    <r>
      <rPr>
        <rFont val="宋体"/>
        <color theme="1"/>
        <sz val="12.0"/>
      </rPr>
      <t>欠频升额响应时间</t>
    </r>
  </si>
  <si>
    <t>PbyFRiseT</t>
  </si>
  <si>
    <t>1532</t>
  </si>
  <si>
    <r>
      <rPr>
        <rFont val="宋体"/>
        <color theme="1"/>
        <sz val="12.0"/>
      </rPr>
      <t>是</t>
    </r>
  </si>
  <si>
    <t>guwDePbyFRiseT</t>
  </si>
  <si>
    <r>
      <rPr>
        <rFont val="宋体"/>
        <b/>
        <color theme="1"/>
        <sz val="12.0"/>
      </rPr>
      <t>√</t>
    </r>
  </si>
  <si>
    <r>
      <rPr>
        <rFont val="宋体"/>
        <b/>
        <color theme="1"/>
        <sz val="12.0"/>
      </rPr>
      <t>√</t>
    </r>
  </si>
  <si>
    <r>
      <rPr>
        <rFont val="宋体"/>
        <b/>
        <color theme="1"/>
        <sz val="12.0"/>
      </rPr>
      <t>√</t>
    </r>
  </si>
  <si>
    <r>
      <rPr>
        <rFont val="宋体"/>
        <color theme="1"/>
        <sz val="12.0"/>
      </rPr>
      <t>电网过压功率调节电压</t>
    </r>
    <r>
      <rPr>
        <rFont val="Calibri"/>
        <color theme="1"/>
        <sz val="12.0"/>
      </rPr>
      <t>1</t>
    </r>
  </si>
  <si>
    <t>PbyVOverV1</t>
  </si>
  <si>
    <t>1533</t>
  </si>
  <si>
    <r>
      <rPr>
        <rFont val="宋体"/>
        <color theme="1"/>
        <sz val="12.0"/>
      </rPr>
      <t>是</t>
    </r>
  </si>
  <si>
    <t>guwDePbyVOverV1</t>
  </si>
  <si>
    <r>
      <rPr>
        <rFont val="宋体"/>
        <b/>
        <color theme="1"/>
        <sz val="12.0"/>
      </rPr>
      <t>√</t>
    </r>
  </si>
  <si>
    <r>
      <rPr>
        <rFont val="宋体"/>
        <b/>
        <color theme="1"/>
        <sz val="12.0"/>
      </rPr>
      <t>√</t>
    </r>
  </si>
  <si>
    <r>
      <rPr>
        <rFont val="宋体"/>
        <b/>
        <color theme="1"/>
        <sz val="12.0"/>
      </rPr>
      <t>√</t>
    </r>
  </si>
  <si>
    <r>
      <rPr>
        <rFont val="宋体"/>
        <color theme="1"/>
        <sz val="12.0"/>
      </rPr>
      <t>电网过压功率调节电压</t>
    </r>
    <r>
      <rPr>
        <rFont val="Calibri"/>
        <color theme="1"/>
        <sz val="12.0"/>
      </rPr>
      <t>2</t>
    </r>
  </si>
  <si>
    <t>PbyVOverV2</t>
  </si>
  <si>
    <t>1534</t>
  </si>
  <si>
    <r>
      <rPr>
        <rFont val="宋体"/>
        <color theme="1"/>
        <sz val="12.0"/>
      </rPr>
      <t>是</t>
    </r>
  </si>
  <si>
    <t>guwDePbyVOverV2</t>
  </si>
  <si>
    <r>
      <rPr>
        <rFont val="宋体"/>
        <b/>
        <color theme="1"/>
        <sz val="12.0"/>
      </rPr>
      <t>√</t>
    </r>
  </si>
  <si>
    <r>
      <rPr>
        <rFont val="宋体"/>
        <b/>
        <color theme="1"/>
        <sz val="12.0"/>
      </rPr>
      <t>√</t>
    </r>
  </si>
  <si>
    <r>
      <rPr>
        <rFont val="宋体"/>
        <b/>
        <color theme="1"/>
        <sz val="12.0"/>
      </rPr>
      <t>√</t>
    </r>
  </si>
  <si>
    <r>
      <rPr>
        <rFont val="宋体"/>
        <color theme="1"/>
        <sz val="12.0"/>
      </rPr>
      <t>电网过压功率调节电压</t>
    </r>
    <r>
      <rPr>
        <rFont val="Calibri"/>
        <color theme="1"/>
        <sz val="12.0"/>
      </rPr>
      <t>3</t>
    </r>
  </si>
  <si>
    <t>PbyVOverV3</t>
  </si>
  <si>
    <t>1535</t>
  </si>
  <si>
    <r>
      <rPr>
        <rFont val="宋体"/>
        <color theme="1"/>
        <sz val="12.0"/>
      </rPr>
      <t>是</t>
    </r>
  </si>
  <si>
    <t>guwDePbyVOverV3</t>
  </si>
  <si>
    <r>
      <rPr>
        <rFont val="宋体"/>
        <b/>
        <color theme="1"/>
        <sz val="12.0"/>
      </rPr>
      <t>√</t>
    </r>
  </si>
  <si>
    <r>
      <rPr>
        <rFont val="宋体"/>
        <b/>
        <color theme="1"/>
        <sz val="12.0"/>
      </rPr>
      <t>√</t>
    </r>
  </si>
  <si>
    <r>
      <rPr>
        <rFont val="宋体"/>
        <b/>
        <color theme="1"/>
        <sz val="12.0"/>
      </rPr>
      <t>√</t>
    </r>
  </si>
  <si>
    <r>
      <rPr>
        <rFont val="宋体"/>
        <color theme="1"/>
        <sz val="12.0"/>
      </rPr>
      <t>电网过压功率调节电压</t>
    </r>
    <r>
      <rPr>
        <rFont val="Calibri"/>
        <color theme="1"/>
        <sz val="12.0"/>
      </rPr>
      <t>4</t>
    </r>
  </si>
  <si>
    <t>PbyVOverV4</t>
  </si>
  <si>
    <t>1536</t>
  </si>
  <si>
    <r>
      <rPr>
        <rFont val="宋体"/>
        <color theme="1"/>
        <sz val="12.0"/>
      </rPr>
      <t>是</t>
    </r>
  </si>
  <si>
    <t>guwDePbyVOverV4</t>
  </si>
  <si>
    <r>
      <rPr>
        <rFont val="宋体"/>
        <b/>
        <color theme="1"/>
        <sz val="12.0"/>
      </rPr>
      <t>√</t>
    </r>
  </si>
  <si>
    <r>
      <rPr>
        <rFont val="宋体"/>
        <b/>
        <color theme="1"/>
        <sz val="12.0"/>
      </rPr>
      <t>√</t>
    </r>
  </si>
  <si>
    <r>
      <rPr>
        <rFont val="宋体"/>
        <b/>
        <color theme="1"/>
        <sz val="12.0"/>
      </rPr>
      <t>√</t>
    </r>
  </si>
  <si>
    <r>
      <rPr>
        <rFont val="宋体"/>
        <color theme="1"/>
        <sz val="12.0"/>
      </rPr>
      <t>电网过压功率调节功率</t>
    </r>
    <r>
      <rPr>
        <rFont val="Calibri"/>
        <color theme="1"/>
        <sz val="12.0"/>
      </rPr>
      <t>1</t>
    </r>
  </si>
  <si>
    <t>PbyVOverP1</t>
  </si>
  <si>
    <t>1537</t>
  </si>
  <si>
    <r>
      <rPr>
        <rFont val="宋体"/>
        <color theme="1"/>
        <sz val="12.0"/>
      </rPr>
      <t>是</t>
    </r>
  </si>
  <si>
    <t>gwDePbyVOverP1</t>
  </si>
  <si>
    <r>
      <rPr>
        <rFont val="宋体"/>
        <b/>
        <color theme="1"/>
        <sz val="12.0"/>
      </rPr>
      <t>√</t>
    </r>
  </si>
  <si>
    <r>
      <rPr>
        <rFont val="宋体"/>
        <b/>
        <color theme="1"/>
        <sz val="12.0"/>
      </rPr>
      <t>√</t>
    </r>
  </si>
  <si>
    <r>
      <rPr>
        <rFont val="宋体"/>
        <b/>
        <color theme="1"/>
        <sz val="12.0"/>
      </rPr>
      <t>√</t>
    </r>
  </si>
  <si>
    <r>
      <rPr>
        <rFont val="宋体"/>
        <color theme="1"/>
        <sz val="12.0"/>
      </rPr>
      <t>电网过压功率调节功率</t>
    </r>
    <r>
      <rPr>
        <rFont val="Calibri"/>
        <color theme="1"/>
        <sz val="12.0"/>
      </rPr>
      <t>2</t>
    </r>
  </si>
  <si>
    <t>PbyVOverP2</t>
  </si>
  <si>
    <t>1538</t>
  </si>
  <si>
    <r>
      <rPr>
        <rFont val="宋体"/>
        <color theme="1"/>
        <sz val="12.0"/>
      </rPr>
      <t>是</t>
    </r>
  </si>
  <si>
    <t>gwDePbyVOverP2</t>
  </si>
  <si>
    <r>
      <rPr>
        <rFont val="宋体"/>
        <b/>
        <color theme="1"/>
        <sz val="12.0"/>
      </rPr>
      <t>√</t>
    </r>
  </si>
  <si>
    <r>
      <rPr>
        <rFont val="宋体"/>
        <b/>
        <color theme="1"/>
        <sz val="12.0"/>
      </rPr>
      <t>√</t>
    </r>
  </si>
  <si>
    <r>
      <rPr>
        <rFont val="宋体"/>
        <b/>
        <color theme="1"/>
        <sz val="12.0"/>
      </rPr>
      <t>√</t>
    </r>
  </si>
  <si>
    <r>
      <rPr>
        <rFont val="宋体"/>
        <color theme="1"/>
        <sz val="12.0"/>
      </rPr>
      <t>电网过压功率调节功率</t>
    </r>
    <r>
      <rPr>
        <rFont val="Calibri"/>
        <color theme="1"/>
        <sz val="12.0"/>
      </rPr>
      <t>3</t>
    </r>
  </si>
  <si>
    <t>PbyVOverP3</t>
  </si>
  <si>
    <t>1539</t>
  </si>
  <si>
    <r>
      <rPr>
        <rFont val="宋体"/>
        <color theme="1"/>
        <sz val="12.0"/>
      </rPr>
      <t>是</t>
    </r>
  </si>
  <si>
    <t>gwDePbyVOverP3</t>
  </si>
  <si>
    <r>
      <rPr>
        <rFont val="宋体"/>
        <b/>
        <color theme="1"/>
        <sz val="12.0"/>
      </rPr>
      <t>√</t>
    </r>
  </si>
  <si>
    <r>
      <rPr>
        <rFont val="宋体"/>
        <b/>
        <color theme="1"/>
        <sz val="12.0"/>
      </rPr>
      <t>√</t>
    </r>
  </si>
  <si>
    <r>
      <rPr>
        <rFont val="宋体"/>
        <b/>
        <color theme="1"/>
        <sz val="12.0"/>
      </rPr>
      <t>√</t>
    </r>
  </si>
  <si>
    <r>
      <rPr>
        <rFont val="宋体"/>
        <color theme="1"/>
        <sz val="12.0"/>
      </rPr>
      <t>电网过压功率调节功率</t>
    </r>
    <r>
      <rPr>
        <rFont val="Calibri"/>
        <color theme="1"/>
        <sz val="12.0"/>
      </rPr>
      <t>4</t>
    </r>
  </si>
  <si>
    <t>PbyVOverP4</t>
  </si>
  <si>
    <t>1540</t>
  </si>
  <si>
    <r>
      <rPr>
        <rFont val="宋体"/>
        <color theme="1"/>
        <sz val="12.0"/>
      </rPr>
      <t>是</t>
    </r>
  </si>
  <si>
    <t>gwDePbyVOverP4</t>
  </si>
  <si>
    <r>
      <rPr>
        <rFont val="宋体"/>
        <b/>
        <color theme="1"/>
        <sz val="12.0"/>
      </rPr>
      <t>√</t>
    </r>
  </si>
  <si>
    <r>
      <rPr>
        <rFont val="宋体"/>
        <b/>
        <color theme="1"/>
        <sz val="12.0"/>
      </rPr>
      <t>√</t>
    </r>
  </si>
  <si>
    <r>
      <rPr>
        <rFont val="宋体"/>
        <b/>
        <color theme="1"/>
        <sz val="12.0"/>
      </rPr>
      <t>√</t>
    </r>
  </si>
  <si>
    <r>
      <rPr>
        <rFont val="宋体"/>
        <color theme="1"/>
        <sz val="12.0"/>
      </rPr>
      <t>电网过压功率调节时间</t>
    </r>
  </si>
  <si>
    <t>PbyVOverT</t>
  </si>
  <si>
    <t>1541</t>
  </si>
  <si>
    <t>0.01s</t>
  </si>
  <si>
    <r>
      <rPr>
        <rFont val="宋体"/>
        <color theme="1"/>
        <sz val="12.0"/>
      </rPr>
      <t>是</t>
    </r>
  </si>
  <si>
    <t>guwDePbyVOverT</t>
  </si>
  <si>
    <r>
      <rPr>
        <rFont val="宋体"/>
        <b/>
        <color theme="1"/>
        <sz val="12.0"/>
      </rPr>
      <t>√</t>
    </r>
  </si>
  <si>
    <r>
      <rPr>
        <rFont val="宋体"/>
        <b/>
        <color theme="1"/>
        <sz val="12.0"/>
      </rPr>
      <t>√</t>
    </r>
  </si>
  <si>
    <r>
      <rPr>
        <rFont val="宋体"/>
        <b/>
        <color theme="1"/>
        <sz val="12.0"/>
      </rPr>
      <t>√</t>
    </r>
  </si>
  <si>
    <r>
      <rPr>
        <rFont val="宋体"/>
        <color theme="1"/>
        <sz val="12.0"/>
      </rPr>
      <t>电网欠压功率调节电压</t>
    </r>
    <r>
      <rPr>
        <rFont val="Calibri"/>
        <color theme="1"/>
        <sz val="12.0"/>
      </rPr>
      <t>1</t>
    </r>
  </si>
  <si>
    <t>PbyVUnderV1</t>
  </si>
  <si>
    <t>1542</t>
  </si>
  <si>
    <r>
      <rPr>
        <rFont val="宋体"/>
        <color theme="1"/>
        <sz val="12.0"/>
      </rPr>
      <t>是</t>
    </r>
  </si>
  <si>
    <t>guwDePbyVUnderV1</t>
  </si>
  <si>
    <r>
      <rPr>
        <rFont val="宋体"/>
        <b/>
        <color theme="1"/>
        <sz val="12.0"/>
      </rPr>
      <t>√</t>
    </r>
  </si>
  <si>
    <r>
      <rPr>
        <rFont val="宋体"/>
        <b/>
        <color theme="1"/>
        <sz val="12.0"/>
      </rPr>
      <t>√</t>
    </r>
  </si>
  <si>
    <r>
      <rPr>
        <rFont val="宋体"/>
        <b/>
        <color theme="1"/>
        <sz val="12.0"/>
      </rPr>
      <t>√</t>
    </r>
  </si>
  <si>
    <r>
      <rPr>
        <rFont val="宋体"/>
        <color theme="1"/>
        <sz val="12.0"/>
      </rPr>
      <t>电网欠压功率调节电压</t>
    </r>
    <r>
      <rPr>
        <rFont val="Calibri"/>
        <color theme="1"/>
        <sz val="12.0"/>
      </rPr>
      <t>2</t>
    </r>
  </si>
  <si>
    <t>PbyVUnderV2</t>
  </si>
  <si>
    <t>1543</t>
  </si>
  <si>
    <r>
      <rPr>
        <rFont val="宋体"/>
        <color theme="1"/>
        <sz val="12.0"/>
      </rPr>
      <t>是</t>
    </r>
  </si>
  <si>
    <t>guwDePbyVUnderV2</t>
  </si>
  <si>
    <r>
      <rPr>
        <rFont val="宋体"/>
        <b/>
        <color theme="1"/>
        <sz val="12.0"/>
      </rPr>
      <t>√</t>
    </r>
  </si>
  <si>
    <r>
      <rPr>
        <rFont val="宋体"/>
        <b/>
        <color theme="1"/>
        <sz val="12.0"/>
      </rPr>
      <t>√</t>
    </r>
  </si>
  <si>
    <r>
      <rPr>
        <rFont val="宋体"/>
        <b/>
        <color theme="1"/>
        <sz val="12.0"/>
      </rPr>
      <t>√</t>
    </r>
  </si>
  <si>
    <r>
      <rPr>
        <rFont val="宋体"/>
        <color theme="1"/>
        <sz val="12.0"/>
      </rPr>
      <t>电网欠压功率调节电压</t>
    </r>
    <r>
      <rPr>
        <rFont val="Calibri"/>
        <color theme="1"/>
        <sz val="12.0"/>
      </rPr>
      <t>3</t>
    </r>
  </si>
  <si>
    <t>PbyVUnderV3</t>
  </si>
  <si>
    <t>1544</t>
  </si>
  <si>
    <r>
      <rPr>
        <rFont val="宋体"/>
        <color theme="1"/>
        <sz val="12.0"/>
      </rPr>
      <t>是</t>
    </r>
  </si>
  <si>
    <t>guwDePbyVUnderV3</t>
  </si>
  <si>
    <r>
      <rPr>
        <rFont val="宋体"/>
        <b/>
        <color theme="1"/>
        <sz val="12.0"/>
      </rPr>
      <t>√</t>
    </r>
  </si>
  <si>
    <r>
      <rPr>
        <rFont val="宋体"/>
        <b/>
        <color theme="1"/>
        <sz val="12.0"/>
      </rPr>
      <t>√</t>
    </r>
  </si>
  <si>
    <r>
      <rPr>
        <rFont val="宋体"/>
        <b/>
        <color theme="1"/>
        <sz val="12.0"/>
      </rPr>
      <t>√</t>
    </r>
  </si>
  <si>
    <r>
      <rPr>
        <rFont val="宋体"/>
        <color theme="1"/>
        <sz val="12.0"/>
      </rPr>
      <t>电网欠压功率调节电压</t>
    </r>
    <r>
      <rPr>
        <rFont val="Calibri"/>
        <color theme="1"/>
        <sz val="12.0"/>
      </rPr>
      <t>4</t>
    </r>
  </si>
  <si>
    <t>PbyVUnderV4</t>
  </si>
  <si>
    <t>1545</t>
  </si>
  <si>
    <r>
      <rPr>
        <rFont val="宋体"/>
        <color theme="1"/>
        <sz val="12.0"/>
      </rPr>
      <t>是</t>
    </r>
  </si>
  <si>
    <t>guwDePbyVUnderV4</t>
  </si>
  <si>
    <r>
      <rPr>
        <rFont val="宋体"/>
        <b/>
        <color theme="1"/>
        <sz val="12.0"/>
      </rPr>
      <t>√</t>
    </r>
  </si>
  <si>
    <r>
      <rPr>
        <rFont val="宋体"/>
        <b/>
        <color theme="1"/>
        <sz val="12.0"/>
      </rPr>
      <t>√</t>
    </r>
  </si>
  <si>
    <r>
      <rPr>
        <rFont val="宋体"/>
        <b/>
        <color theme="1"/>
        <sz val="12.0"/>
      </rPr>
      <t>√</t>
    </r>
  </si>
  <si>
    <r>
      <rPr>
        <rFont val="宋体"/>
        <color theme="1"/>
        <sz val="12.0"/>
      </rPr>
      <t>电网欠压功率调节功率</t>
    </r>
    <r>
      <rPr>
        <rFont val="Calibri"/>
        <color theme="1"/>
        <sz val="12.0"/>
      </rPr>
      <t>1</t>
    </r>
  </si>
  <si>
    <t>PbyVUnderP1</t>
  </si>
  <si>
    <t>1546</t>
  </si>
  <si>
    <r>
      <rPr>
        <rFont val="宋体"/>
        <color theme="1"/>
        <sz val="12.0"/>
      </rPr>
      <t>是</t>
    </r>
  </si>
  <si>
    <t>gwDePbyVUnderP1</t>
  </si>
  <si>
    <r>
      <rPr>
        <rFont val="宋体"/>
        <b/>
        <color theme="1"/>
        <sz val="12.0"/>
      </rPr>
      <t>√</t>
    </r>
  </si>
  <si>
    <r>
      <rPr>
        <rFont val="宋体"/>
        <b/>
        <color theme="1"/>
        <sz val="12.0"/>
      </rPr>
      <t>√</t>
    </r>
  </si>
  <si>
    <r>
      <rPr>
        <rFont val="宋体"/>
        <b/>
        <color theme="1"/>
        <sz val="12.0"/>
      </rPr>
      <t>√</t>
    </r>
  </si>
  <si>
    <r>
      <rPr>
        <rFont val="宋体"/>
        <color theme="1"/>
        <sz val="12.0"/>
      </rPr>
      <t>电网欠压功率调节功率</t>
    </r>
    <r>
      <rPr>
        <rFont val="Calibri"/>
        <color theme="1"/>
        <sz val="12.0"/>
      </rPr>
      <t>2</t>
    </r>
  </si>
  <si>
    <t>PbyVUnderP2</t>
  </si>
  <si>
    <t>1547</t>
  </si>
  <si>
    <r>
      <rPr>
        <rFont val="宋体"/>
        <color theme="1"/>
        <sz val="12.0"/>
      </rPr>
      <t>是</t>
    </r>
  </si>
  <si>
    <t>gwDePbyVUnderP2</t>
  </si>
  <si>
    <r>
      <rPr>
        <rFont val="宋体"/>
        <b/>
        <color theme="1"/>
        <sz val="12.0"/>
      </rPr>
      <t>√</t>
    </r>
  </si>
  <si>
    <r>
      <rPr>
        <rFont val="宋体"/>
        <b/>
        <color theme="1"/>
        <sz val="12.0"/>
      </rPr>
      <t>√</t>
    </r>
  </si>
  <si>
    <r>
      <rPr>
        <rFont val="宋体"/>
        <b/>
        <color theme="1"/>
        <sz val="12.0"/>
      </rPr>
      <t>√</t>
    </r>
  </si>
  <si>
    <r>
      <rPr>
        <rFont val="宋体"/>
        <color theme="1"/>
        <sz val="12.0"/>
      </rPr>
      <t>电网欠压功率调节功率</t>
    </r>
    <r>
      <rPr>
        <rFont val="Calibri"/>
        <color theme="1"/>
        <sz val="12.0"/>
      </rPr>
      <t>3</t>
    </r>
  </si>
  <si>
    <t>PbyVUnderP3</t>
  </si>
  <si>
    <t>1548</t>
  </si>
  <si>
    <r>
      <rPr>
        <rFont val="宋体"/>
        <color theme="1"/>
        <sz val="12.0"/>
      </rPr>
      <t>是</t>
    </r>
  </si>
  <si>
    <t>gwDePbyVUnderP3</t>
  </si>
  <si>
    <r>
      <rPr>
        <rFont val="宋体"/>
        <b/>
        <color theme="1"/>
        <sz val="12.0"/>
      </rPr>
      <t>√</t>
    </r>
  </si>
  <si>
    <r>
      <rPr>
        <rFont val="宋体"/>
        <b/>
        <color theme="1"/>
        <sz val="12.0"/>
      </rPr>
      <t>√</t>
    </r>
  </si>
  <si>
    <r>
      <rPr>
        <rFont val="宋体"/>
        <b/>
        <color theme="1"/>
        <sz val="12.0"/>
      </rPr>
      <t>√</t>
    </r>
  </si>
  <si>
    <r>
      <rPr>
        <rFont val="宋体"/>
        <color theme="1"/>
        <sz val="12.0"/>
      </rPr>
      <t>电网欠压功率调节功率</t>
    </r>
    <r>
      <rPr>
        <rFont val="Calibri"/>
        <color theme="1"/>
        <sz val="12.0"/>
      </rPr>
      <t>4</t>
    </r>
  </si>
  <si>
    <t>PbyVUnderP4</t>
  </si>
  <si>
    <t>1549</t>
  </si>
  <si>
    <r>
      <rPr>
        <rFont val="宋体"/>
        <color theme="1"/>
        <sz val="12.0"/>
      </rPr>
      <t>是</t>
    </r>
  </si>
  <si>
    <t>gwDePbyVUnderP4</t>
  </si>
  <si>
    <r>
      <rPr>
        <rFont val="宋体"/>
        <b/>
        <color theme="1"/>
        <sz val="12.0"/>
      </rPr>
      <t>√</t>
    </r>
  </si>
  <si>
    <r>
      <rPr>
        <rFont val="宋体"/>
        <b/>
        <color theme="1"/>
        <sz val="12.0"/>
      </rPr>
      <t>√</t>
    </r>
  </si>
  <si>
    <r>
      <rPr>
        <rFont val="宋体"/>
        <b/>
        <color theme="1"/>
        <sz val="12.0"/>
      </rPr>
      <t>√</t>
    </r>
  </si>
  <si>
    <r>
      <rPr>
        <rFont val="宋体"/>
        <color theme="1"/>
        <sz val="12.0"/>
      </rPr>
      <t>电网欠压功率调节时间</t>
    </r>
  </si>
  <si>
    <t>PbyVUnderT</t>
  </si>
  <si>
    <t>1550</t>
  </si>
  <si>
    <r>
      <rPr>
        <rFont val="宋体"/>
        <color theme="1"/>
        <sz val="12.0"/>
      </rPr>
      <t>是</t>
    </r>
  </si>
  <si>
    <t>guwDePbyVUnderT</t>
  </si>
  <si>
    <r>
      <rPr>
        <rFont val="宋体"/>
        <b/>
        <color theme="1"/>
        <sz val="12.0"/>
      </rPr>
      <t>√</t>
    </r>
  </si>
  <si>
    <r>
      <rPr>
        <rFont val="宋体"/>
        <b/>
        <color theme="1"/>
        <sz val="12.0"/>
      </rPr>
      <t>√</t>
    </r>
  </si>
  <si>
    <r>
      <rPr>
        <rFont val="宋体"/>
        <b/>
        <color theme="1"/>
        <sz val="12.0"/>
      </rPr>
      <t>√</t>
    </r>
  </si>
  <si>
    <r>
      <rPr>
        <rFont val="宋体"/>
        <color theme="1"/>
        <sz val="12.0"/>
      </rPr>
      <t>无功控制</t>
    </r>
  </si>
  <si>
    <t>QMode</t>
  </si>
  <si>
    <t>1551</t>
  </si>
  <si>
    <r>
      <rPr>
        <rFont val="Calibri"/>
        <color theme="1"/>
        <sz val="12.0"/>
      </rPr>
      <t>0</t>
    </r>
    <r>
      <rPr>
        <rFont val="宋体"/>
        <color theme="1"/>
        <sz val="12.0"/>
      </rPr>
      <t>：</t>
    </r>
    <r>
      <rPr>
        <rFont val="Calibri"/>
        <color theme="1"/>
        <sz val="12.0"/>
      </rPr>
      <t>Normal
1</t>
    </r>
    <r>
      <rPr>
        <rFont val="宋体"/>
        <color theme="1"/>
        <sz val="12.0"/>
      </rPr>
      <t>：</t>
    </r>
    <r>
      <rPr>
        <rFont val="Calibri"/>
        <color theme="1"/>
        <sz val="12.0"/>
      </rPr>
      <t>Q Set(</t>
    </r>
    <r>
      <rPr>
        <rFont val="宋体"/>
        <color theme="1"/>
        <sz val="12.0"/>
      </rPr>
      <t>配合</t>
    </r>
    <r>
      <rPr>
        <rFont val="Calibri"/>
        <color theme="1"/>
        <sz val="12.0"/>
      </rPr>
      <t>P1518)
2</t>
    </r>
    <r>
      <rPr>
        <rFont val="宋体"/>
        <color theme="1"/>
        <sz val="12.0"/>
      </rPr>
      <t>：</t>
    </r>
    <r>
      <rPr>
        <rFont val="Calibri"/>
        <color theme="1"/>
        <sz val="12.0"/>
      </rPr>
      <t>Pf Set(</t>
    </r>
    <r>
      <rPr>
        <rFont val="宋体"/>
        <color theme="1"/>
        <sz val="12.0"/>
      </rPr>
      <t>配合</t>
    </r>
    <r>
      <rPr>
        <rFont val="Calibri"/>
        <color theme="1"/>
        <sz val="12.0"/>
      </rPr>
      <t>P1519)
3</t>
    </r>
    <r>
      <rPr>
        <rFont val="宋体"/>
        <color theme="1"/>
        <sz val="12.0"/>
      </rPr>
      <t>：</t>
    </r>
    <r>
      <rPr>
        <rFont val="Calibri"/>
        <color theme="1"/>
        <sz val="12.0"/>
      </rPr>
      <t>Q By V(</t>
    </r>
    <r>
      <rPr>
        <rFont val="宋体"/>
        <color theme="1"/>
        <sz val="12.0"/>
      </rPr>
      <t>配合</t>
    </r>
    <r>
      <rPr>
        <rFont val="Calibri"/>
        <color theme="1"/>
        <sz val="12.0"/>
      </rPr>
      <t>P1520~1525)
4</t>
    </r>
    <r>
      <rPr>
        <rFont val="宋体"/>
        <color theme="1"/>
        <sz val="12.0"/>
      </rPr>
      <t>：</t>
    </r>
    <r>
      <rPr>
        <rFont val="Calibri"/>
        <color theme="1"/>
        <sz val="12.0"/>
      </rPr>
      <t>Pf By P(</t>
    </r>
    <r>
      <rPr>
        <rFont val="宋体"/>
        <color theme="1"/>
        <sz val="12.0"/>
      </rPr>
      <t>配合</t>
    </r>
    <r>
      <rPr>
        <rFont val="Calibri"/>
        <color theme="1"/>
        <sz val="12.0"/>
      </rPr>
      <t>P1526~1527)</t>
    </r>
  </si>
  <si>
    <r>
      <rPr>
        <rFont val="宋体"/>
        <color theme="1"/>
        <sz val="12.0"/>
      </rPr>
      <t>是</t>
    </r>
  </si>
  <si>
    <t>guwDeQMode</t>
  </si>
  <si>
    <r>
      <rPr>
        <rFont val="宋体"/>
        <b/>
        <color theme="1"/>
        <sz val="12.0"/>
      </rPr>
      <t>√</t>
    </r>
  </si>
  <si>
    <r>
      <rPr>
        <rFont val="宋体"/>
        <b/>
        <color theme="1"/>
        <sz val="12.0"/>
      </rPr>
      <t>√</t>
    </r>
  </si>
  <si>
    <r>
      <rPr>
        <rFont val="宋体"/>
        <b/>
        <color theme="1"/>
        <sz val="12.0"/>
      </rPr>
      <t>√</t>
    </r>
  </si>
  <si>
    <r>
      <rPr>
        <rFont val="宋体"/>
        <color theme="1"/>
        <sz val="12.0"/>
      </rPr>
      <t>无功功率设置</t>
    </r>
    <r>
      <rPr>
        <rFont val="Calibri"/>
        <color theme="1"/>
        <sz val="12.0"/>
      </rPr>
      <t>%</t>
    </r>
  </si>
  <si>
    <t>QSet%</t>
  </si>
  <si>
    <t>1552</t>
  </si>
  <si>
    <t>(-1000~1000)</t>
  </si>
  <si>
    <t>gwDeQPerSet</t>
  </si>
  <si>
    <r>
      <rPr>
        <rFont val="宋体"/>
        <b/>
        <color theme="1"/>
        <sz val="12.0"/>
      </rPr>
      <t>√</t>
    </r>
  </si>
  <si>
    <r>
      <rPr>
        <rFont val="宋体"/>
        <b/>
        <color theme="1"/>
        <sz val="12.0"/>
      </rPr>
      <t>√</t>
    </r>
  </si>
  <si>
    <r>
      <rPr>
        <rFont val="宋体"/>
        <b/>
        <color theme="1"/>
        <sz val="12.0"/>
      </rPr>
      <t>√</t>
    </r>
  </si>
  <si>
    <r>
      <rPr>
        <rFont val="宋体"/>
        <color theme="1"/>
        <sz val="12.0"/>
      </rPr>
      <t>无功功率设置</t>
    </r>
  </si>
  <si>
    <t xml:space="preserve">QSet </t>
  </si>
  <si>
    <t>1553-1554</t>
  </si>
  <si>
    <t>‘-200000~200000</t>
  </si>
  <si>
    <r>
      <rPr>
        <rFont val="宋体"/>
        <color theme="1"/>
        <sz val="12.0"/>
      </rPr>
      <t>是</t>
    </r>
  </si>
  <si>
    <t>glDeQSet</t>
  </si>
  <si>
    <r>
      <rPr>
        <rFont val="宋体"/>
        <b/>
        <color theme="1"/>
        <sz val="12.0"/>
      </rPr>
      <t>√</t>
    </r>
  </si>
  <si>
    <r>
      <rPr>
        <rFont val="宋体"/>
        <b/>
        <color theme="1"/>
        <sz val="12.0"/>
      </rPr>
      <t>√</t>
    </r>
  </si>
  <si>
    <r>
      <rPr>
        <rFont val="宋体"/>
        <b/>
        <color theme="1"/>
        <sz val="12.0"/>
      </rPr>
      <t>√</t>
    </r>
  </si>
  <si>
    <r>
      <rPr>
        <rFont val="宋体"/>
        <color theme="1"/>
        <sz val="12.0"/>
      </rPr>
      <t>功率因数设置</t>
    </r>
  </si>
  <si>
    <t xml:space="preserve">PfSet </t>
  </si>
  <si>
    <t>(-1000~-800,800~1000)</t>
  </si>
  <si>
    <t>V1&lt;V2&lt;V3&lt;V4</t>
  </si>
  <si>
    <r>
      <rPr>
        <rFont val="宋体"/>
        <color theme="1"/>
        <sz val="12.0"/>
      </rPr>
      <t>是</t>
    </r>
  </si>
  <si>
    <t>gwDePfSet</t>
  </si>
  <si>
    <r>
      <rPr>
        <rFont val="宋体"/>
        <b/>
        <color theme="1"/>
        <sz val="12.0"/>
      </rPr>
      <t>√</t>
    </r>
  </si>
  <si>
    <r>
      <rPr>
        <rFont val="宋体"/>
        <b/>
        <color theme="1"/>
        <sz val="12.0"/>
      </rPr>
      <t>√</t>
    </r>
  </si>
  <si>
    <r>
      <rPr>
        <rFont val="宋体"/>
        <b/>
        <color theme="1"/>
        <sz val="12.0"/>
      </rPr>
      <t>√</t>
    </r>
  </si>
  <si>
    <t>QByV_V1</t>
  </si>
  <si>
    <t>QByVV1</t>
  </si>
  <si>
    <t>800-1000</t>
  </si>
  <si>
    <t>guwDeQByVV1</t>
  </si>
  <si>
    <r>
      <rPr>
        <rFont val="宋体"/>
        <b/>
        <color theme="1"/>
        <sz val="12.0"/>
      </rPr>
      <t>√</t>
    </r>
  </si>
  <si>
    <r>
      <rPr>
        <rFont val="宋体"/>
        <b/>
        <color theme="1"/>
        <sz val="12.0"/>
      </rPr>
      <t>√</t>
    </r>
  </si>
  <si>
    <r>
      <rPr>
        <rFont val="宋体"/>
        <b/>
        <color theme="1"/>
        <sz val="12.0"/>
      </rPr>
      <t>√</t>
    </r>
  </si>
  <si>
    <t>QByV_V2</t>
  </si>
  <si>
    <t>QByVV2</t>
  </si>
  <si>
    <t>guwDeQByVV2</t>
  </si>
  <si>
    <r>
      <rPr>
        <rFont val="宋体"/>
        <b/>
        <color theme="1"/>
        <sz val="12.0"/>
      </rPr>
      <t>√</t>
    </r>
  </si>
  <si>
    <r>
      <rPr>
        <rFont val="宋体"/>
        <b/>
        <color theme="1"/>
        <sz val="12.0"/>
      </rPr>
      <t>√</t>
    </r>
  </si>
  <si>
    <r>
      <rPr>
        <rFont val="宋体"/>
        <b/>
        <color theme="1"/>
        <sz val="12.0"/>
      </rPr>
      <t>√</t>
    </r>
  </si>
  <si>
    <t>QByV_V3</t>
  </si>
  <si>
    <t>QByVV3</t>
  </si>
  <si>
    <t>1000-1100</t>
  </si>
  <si>
    <t>guwDeQByVV3</t>
  </si>
  <si>
    <r>
      <rPr>
        <rFont val="宋体"/>
        <b/>
        <color theme="1"/>
        <sz val="12.0"/>
      </rPr>
      <t>√</t>
    </r>
  </si>
  <si>
    <r>
      <rPr>
        <rFont val="宋体"/>
        <b/>
        <color theme="1"/>
        <sz val="12.0"/>
      </rPr>
      <t>√</t>
    </r>
  </si>
  <si>
    <r>
      <rPr>
        <rFont val="宋体"/>
        <b/>
        <color theme="1"/>
        <sz val="12.0"/>
      </rPr>
      <t>√</t>
    </r>
  </si>
  <si>
    <t xml:space="preserve">QByV_V4  </t>
  </si>
  <si>
    <t xml:space="preserve">QByVV4  </t>
  </si>
  <si>
    <t>1000-1200</t>
  </si>
  <si>
    <t>guwDeQByVV4</t>
  </si>
  <si>
    <r>
      <rPr>
        <rFont val="宋体"/>
        <b/>
        <color theme="1"/>
        <sz val="12.0"/>
      </rPr>
      <t>√</t>
    </r>
  </si>
  <si>
    <r>
      <rPr>
        <rFont val="宋体"/>
        <b/>
        <color theme="1"/>
        <sz val="12.0"/>
      </rPr>
      <t>√</t>
    </r>
  </si>
  <si>
    <r>
      <rPr>
        <rFont val="宋体"/>
        <b/>
        <color theme="1"/>
        <sz val="12.0"/>
      </rPr>
      <t>√</t>
    </r>
  </si>
  <si>
    <t>QByV_Pct1</t>
  </si>
  <si>
    <t>QByVQ1</t>
  </si>
  <si>
    <t>0-40</t>
  </si>
  <si>
    <r>
      <rPr>
        <rFont val="宋体"/>
        <color theme="1"/>
        <sz val="12.0"/>
      </rPr>
      <t>是</t>
    </r>
  </si>
  <si>
    <t>gwDeQByVQ1</t>
  </si>
  <si>
    <r>
      <rPr>
        <rFont val="宋体"/>
        <b/>
        <color theme="1"/>
        <sz val="12.0"/>
      </rPr>
      <t>√</t>
    </r>
  </si>
  <si>
    <r>
      <rPr>
        <rFont val="宋体"/>
        <b/>
        <color theme="1"/>
        <sz val="12.0"/>
      </rPr>
      <t>√</t>
    </r>
  </si>
  <si>
    <r>
      <rPr>
        <rFont val="宋体"/>
        <b/>
        <color theme="1"/>
        <sz val="12.0"/>
      </rPr>
      <t>√</t>
    </r>
  </si>
  <si>
    <t>QByV_Pct2</t>
  </si>
  <si>
    <t>QByVQ2</t>
  </si>
  <si>
    <t>gwDeQByVQ2</t>
  </si>
  <si>
    <r>
      <rPr>
        <rFont val="宋体"/>
        <b/>
        <color theme="1"/>
        <sz val="12.0"/>
      </rPr>
      <t>√</t>
    </r>
  </si>
  <si>
    <r>
      <rPr>
        <rFont val="宋体"/>
        <b/>
        <color theme="1"/>
        <sz val="12.0"/>
      </rPr>
      <t>√</t>
    </r>
  </si>
  <si>
    <r>
      <rPr>
        <rFont val="宋体"/>
        <b/>
        <color theme="1"/>
        <sz val="12.0"/>
      </rPr>
      <t>√</t>
    </r>
  </si>
  <si>
    <t>QByV_Pct3</t>
  </si>
  <si>
    <t>QByVQ3</t>
  </si>
  <si>
    <t>gwDeQByVQ3</t>
  </si>
  <si>
    <r>
      <rPr>
        <rFont val="宋体"/>
        <b/>
        <color theme="1"/>
        <sz val="12.0"/>
      </rPr>
      <t>√</t>
    </r>
  </si>
  <si>
    <r>
      <rPr>
        <rFont val="宋体"/>
        <b/>
        <color theme="1"/>
        <sz val="12.0"/>
      </rPr>
      <t>√</t>
    </r>
  </si>
  <si>
    <r>
      <rPr>
        <rFont val="宋体"/>
        <b/>
        <color theme="1"/>
        <sz val="12.0"/>
      </rPr>
      <t>√</t>
    </r>
  </si>
  <si>
    <t xml:space="preserve">QByV_Pct4  </t>
  </si>
  <si>
    <t>QByVQ4</t>
  </si>
  <si>
    <t>-40-0</t>
  </si>
  <si>
    <r>
      <rPr>
        <rFont val="宋体"/>
        <color theme="1"/>
        <sz val="12.0"/>
      </rPr>
      <t>是</t>
    </r>
  </si>
  <si>
    <t>gwDeQByVQ4</t>
  </si>
  <si>
    <r>
      <rPr>
        <rFont val="宋体"/>
        <b/>
        <color theme="1"/>
        <sz val="12.0"/>
      </rPr>
      <t>√</t>
    </r>
  </si>
  <si>
    <r>
      <rPr>
        <rFont val="宋体"/>
        <b/>
        <color theme="1"/>
        <sz val="12.0"/>
      </rPr>
      <t>√</t>
    </r>
  </si>
  <si>
    <r>
      <rPr>
        <rFont val="宋体"/>
        <b/>
        <color theme="1"/>
        <sz val="12.0"/>
      </rPr>
      <t>√</t>
    </r>
  </si>
  <si>
    <t>PfByPPStart</t>
  </si>
  <si>
    <t>40-100</t>
  </si>
  <si>
    <r>
      <rPr>
        <rFont val="宋体"/>
        <color theme="1"/>
        <sz val="12.0"/>
      </rPr>
      <t>是</t>
    </r>
  </si>
  <si>
    <t>gwDePfByPPStart</t>
  </si>
  <si>
    <r>
      <rPr>
        <rFont val="宋体"/>
        <b/>
        <color theme="1"/>
        <sz val="12.0"/>
      </rPr>
      <t>√</t>
    </r>
  </si>
  <si>
    <r>
      <rPr>
        <rFont val="宋体"/>
        <b/>
        <color theme="1"/>
        <sz val="12.0"/>
      </rPr>
      <t>√</t>
    </r>
  </si>
  <si>
    <r>
      <rPr>
        <rFont val="宋体"/>
        <b/>
        <color theme="1"/>
        <sz val="12.0"/>
      </rPr>
      <t>√</t>
    </r>
  </si>
  <si>
    <t>PfByPPfEnd</t>
  </si>
  <si>
    <r>
      <rPr>
        <rFont val="宋体"/>
        <color theme="1"/>
        <sz val="12.0"/>
      </rPr>
      <t>是</t>
    </r>
  </si>
  <si>
    <t>gwDePfByPPfEnd</t>
  </si>
  <si>
    <r>
      <rPr>
        <rFont val="宋体"/>
        <b/>
        <color theme="1"/>
        <sz val="12.0"/>
      </rPr>
      <t>√</t>
    </r>
  </si>
  <si>
    <r>
      <rPr>
        <rFont val="宋体"/>
        <b/>
        <color theme="1"/>
        <sz val="12.0"/>
      </rPr>
      <t>√</t>
    </r>
  </si>
  <si>
    <r>
      <rPr>
        <rFont val="宋体"/>
        <b/>
        <color theme="1"/>
        <sz val="12.0"/>
      </rPr>
      <t>√</t>
    </r>
  </si>
  <si>
    <t>PfByPRate</t>
  </si>
  <si>
    <t>0.1%Hz</t>
  </si>
  <si>
    <t>guwDePfByPRate</t>
  </si>
  <si>
    <r>
      <rPr>
        <rFont val="宋体"/>
        <b/>
        <color theme="1"/>
        <sz val="12.0"/>
      </rPr>
      <t>√</t>
    </r>
  </si>
  <si>
    <r>
      <rPr>
        <rFont val="宋体"/>
        <b/>
        <color theme="1"/>
        <sz val="12.0"/>
      </rPr>
      <t>√</t>
    </r>
  </si>
  <si>
    <r>
      <rPr>
        <rFont val="宋体"/>
        <b/>
        <color theme="1"/>
        <sz val="12.0"/>
      </rPr>
      <t>√</t>
    </r>
  </si>
  <si>
    <t>PfByP_P1</t>
  </si>
  <si>
    <t>PfByPP1</t>
  </si>
  <si>
    <t>-1000-+1000</t>
  </si>
  <si>
    <t>gwDePfByPP1</t>
  </si>
  <si>
    <r>
      <rPr>
        <rFont val="宋体"/>
        <b/>
        <color theme="1"/>
        <sz val="12.0"/>
      </rPr>
      <t>√</t>
    </r>
  </si>
  <si>
    <r>
      <rPr>
        <rFont val="宋体"/>
        <b/>
        <color theme="1"/>
        <sz val="12.0"/>
      </rPr>
      <t>√</t>
    </r>
  </si>
  <si>
    <r>
      <rPr>
        <rFont val="宋体"/>
        <b/>
        <color theme="1"/>
        <sz val="12.0"/>
      </rPr>
      <t>√</t>
    </r>
  </si>
  <si>
    <t>PfByP_P2</t>
  </si>
  <si>
    <t>PfByPP2</t>
  </si>
  <si>
    <t>gwDePfByPP2</t>
  </si>
  <si>
    <r>
      <rPr>
        <rFont val="宋体"/>
        <b/>
        <color theme="1"/>
        <sz val="12.0"/>
      </rPr>
      <t>√</t>
    </r>
  </si>
  <si>
    <r>
      <rPr>
        <rFont val="宋体"/>
        <b/>
        <color theme="1"/>
        <sz val="12.0"/>
      </rPr>
      <t>√</t>
    </r>
  </si>
  <si>
    <r>
      <rPr>
        <rFont val="宋体"/>
        <b/>
        <color theme="1"/>
        <sz val="12.0"/>
      </rPr>
      <t>√</t>
    </r>
  </si>
  <si>
    <t>PfByP_P3</t>
  </si>
  <si>
    <t>PfByPP3</t>
  </si>
  <si>
    <t>gwDePfByPP3</t>
  </si>
  <si>
    <r>
      <rPr>
        <rFont val="宋体"/>
        <b/>
        <color theme="1"/>
        <sz val="12.0"/>
      </rPr>
      <t>√</t>
    </r>
  </si>
  <si>
    <r>
      <rPr>
        <rFont val="宋体"/>
        <b/>
        <color theme="1"/>
        <sz val="12.0"/>
      </rPr>
      <t>√</t>
    </r>
  </si>
  <si>
    <r>
      <rPr>
        <rFont val="宋体"/>
        <b/>
        <color theme="1"/>
        <sz val="12.0"/>
      </rPr>
      <t>√</t>
    </r>
  </si>
  <si>
    <t>PfByP_P4</t>
  </si>
  <si>
    <t>PfByPP4</t>
  </si>
  <si>
    <t>gwDePfByPP4</t>
  </si>
  <si>
    <r>
      <rPr>
        <rFont val="宋体"/>
        <b/>
        <color theme="1"/>
        <sz val="12.0"/>
      </rPr>
      <t>√</t>
    </r>
  </si>
  <si>
    <r>
      <rPr>
        <rFont val="宋体"/>
        <b/>
        <color theme="1"/>
        <sz val="12.0"/>
      </rPr>
      <t>√</t>
    </r>
  </si>
  <si>
    <r>
      <rPr>
        <rFont val="宋体"/>
        <b/>
        <color theme="1"/>
        <sz val="12.0"/>
      </rPr>
      <t>√</t>
    </r>
  </si>
  <si>
    <t>PfByP_Pf1</t>
  </si>
  <si>
    <t>PfByPPf1</t>
  </si>
  <si>
    <t>-100--1000, +100-+1000</t>
  </si>
  <si>
    <t>gwDePfByPPf1</t>
  </si>
  <si>
    <r>
      <rPr>
        <rFont val="宋体"/>
        <b/>
        <color theme="1"/>
        <sz val="12.0"/>
      </rPr>
      <t>√</t>
    </r>
  </si>
  <si>
    <r>
      <rPr>
        <rFont val="宋体"/>
        <b/>
        <color theme="1"/>
        <sz val="12.0"/>
      </rPr>
      <t>√</t>
    </r>
  </si>
  <si>
    <r>
      <rPr>
        <rFont val="宋体"/>
        <b/>
        <color theme="1"/>
        <sz val="12.0"/>
      </rPr>
      <t>√</t>
    </r>
  </si>
  <si>
    <t>PfByP_Pf2</t>
  </si>
  <si>
    <t>PfByPPf2</t>
  </si>
  <si>
    <t>gwDePfByPPf2</t>
  </si>
  <si>
    <r>
      <rPr>
        <rFont val="宋体"/>
        <b/>
        <color theme="1"/>
        <sz val="12.0"/>
      </rPr>
      <t>√</t>
    </r>
  </si>
  <si>
    <r>
      <rPr>
        <rFont val="宋体"/>
        <b/>
        <color theme="1"/>
        <sz val="12.0"/>
      </rPr>
      <t>√</t>
    </r>
  </si>
  <si>
    <r>
      <rPr>
        <rFont val="宋体"/>
        <b/>
        <color theme="1"/>
        <sz val="12.0"/>
      </rPr>
      <t>√</t>
    </r>
  </si>
  <si>
    <t>PfByP_Pf3</t>
  </si>
  <si>
    <t>PfByPPf3</t>
  </si>
  <si>
    <t>gwDePfByPPf3</t>
  </si>
  <si>
    <r>
      <rPr>
        <rFont val="宋体"/>
        <b/>
        <color theme="1"/>
        <sz val="12.0"/>
      </rPr>
      <t>√</t>
    </r>
  </si>
  <si>
    <r>
      <rPr>
        <rFont val="宋体"/>
        <b/>
        <color theme="1"/>
        <sz val="12.0"/>
      </rPr>
      <t>√</t>
    </r>
  </si>
  <si>
    <r>
      <rPr>
        <rFont val="宋体"/>
        <b/>
        <color theme="1"/>
        <sz val="12.0"/>
      </rPr>
      <t>√</t>
    </r>
  </si>
  <si>
    <t>PfByP_Pf4</t>
  </si>
  <si>
    <t>PfByPPf4</t>
  </si>
  <si>
    <t>gwDePfByPPf4</t>
  </si>
  <si>
    <r>
      <rPr>
        <rFont val="宋体"/>
        <b/>
        <color theme="1"/>
        <sz val="12.0"/>
      </rPr>
      <t>√</t>
    </r>
  </si>
  <si>
    <r>
      <rPr>
        <rFont val="宋体"/>
        <b/>
        <color theme="1"/>
        <sz val="12.0"/>
      </rPr>
      <t>√</t>
    </r>
  </si>
  <si>
    <r>
      <rPr>
        <rFont val="宋体"/>
        <b/>
        <color theme="1"/>
        <sz val="12.0"/>
      </rPr>
      <t>√</t>
    </r>
  </si>
  <si>
    <r>
      <rPr>
        <rFont val="Calibri"/>
        <color theme="1"/>
        <sz val="12.0"/>
      </rPr>
      <t>Q(P)</t>
    </r>
    <r>
      <rPr>
        <rFont val="宋体"/>
        <color theme="1"/>
        <sz val="12.0"/>
      </rPr>
      <t>功能使能的电压比例点</t>
    </r>
  </si>
  <si>
    <t>PfByPEnV</t>
  </si>
  <si>
    <r>
      <rPr>
        <rFont val="宋体"/>
        <color theme="1"/>
        <sz val="12.0"/>
      </rPr>
      <t>是</t>
    </r>
  </si>
  <si>
    <t>guwDePfByPEnV</t>
  </si>
  <si>
    <r>
      <rPr>
        <rFont val="宋体"/>
        <b/>
        <color theme="1"/>
        <sz val="12.0"/>
      </rPr>
      <t>√</t>
    </r>
  </si>
  <si>
    <r>
      <rPr>
        <rFont val="宋体"/>
        <b/>
        <color theme="1"/>
        <sz val="12.0"/>
      </rPr>
      <t>√</t>
    </r>
  </si>
  <si>
    <r>
      <rPr>
        <rFont val="宋体"/>
        <b/>
        <color theme="1"/>
        <sz val="12.0"/>
      </rPr>
      <t>√</t>
    </r>
  </si>
  <si>
    <r>
      <rPr>
        <rFont val="Calibri"/>
        <color theme="1"/>
        <sz val="12.0"/>
      </rPr>
      <t>Q(P)</t>
    </r>
    <r>
      <rPr>
        <rFont val="宋体"/>
        <color theme="1"/>
        <sz val="12.0"/>
      </rPr>
      <t>功能退出使能的电压比例点</t>
    </r>
  </si>
  <si>
    <t>PfByPDisV</t>
  </si>
  <si>
    <r>
      <rPr>
        <rFont val="宋体"/>
        <color theme="1"/>
        <sz val="12.0"/>
      </rPr>
      <t>是</t>
    </r>
  </si>
  <si>
    <t>guwDePfByPDisV</t>
  </si>
  <si>
    <r>
      <rPr>
        <rFont val="宋体"/>
        <b/>
        <color theme="1"/>
        <sz val="12.0"/>
      </rPr>
      <t>√</t>
    </r>
  </si>
  <si>
    <r>
      <rPr>
        <rFont val="宋体"/>
        <b/>
        <color theme="1"/>
        <sz val="12.0"/>
      </rPr>
      <t>√</t>
    </r>
  </si>
  <si>
    <r>
      <rPr>
        <rFont val="宋体"/>
        <b/>
        <color theme="1"/>
        <sz val="12.0"/>
      </rPr>
      <t>√</t>
    </r>
  </si>
  <si>
    <r>
      <rPr>
        <rFont val="Calibri"/>
        <color theme="1"/>
        <sz val="12.0"/>
      </rPr>
      <t>Q(P)</t>
    </r>
    <r>
      <rPr>
        <rFont val="宋体"/>
        <color theme="1"/>
        <sz val="12.0"/>
      </rPr>
      <t>功能退出使能的功率比例点</t>
    </r>
  </si>
  <si>
    <t>PfByPDisP</t>
  </si>
  <si>
    <r>
      <rPr>
        <rFont val="宋体"/>
        <color theme="1"/>
        <sz val="12.0"/>
      </rPr>
      <t>是</t>
    </r>
  </si>
  <si>
    <t>gwDePfByPDisP</t>
  </si>
  <si>
    <r>
      <rPr>
        <rFont val="宋体"/>
        <b/>
        <color theme="1"/>
        <sz val="12.0"/>
      </rPr>
      <t>√</t>
    </r>
  </si>
  <si>
    <r>
      <rPr>
        <rFont val="宋体"/>
        <b/>
        <color theme="1"/>
        <sz val="12.0"/>
      </rPr>
      <t>√</t>
    </r>
  </si>
  <si>
    <r>
      <rPr>
        <rFont val="宋体"/>
        <b/>
        <color theme="1"/>
        <sz val="12.0"/>
      </rPr>
      <t>√</t>
    </r>
  </si>
  <si>
    <r>
      <rPr>
        <rFont val="Calibri"/>
        <color theme="1"/>
        <sz val="12.0"/>
      </rPr>
      <t>Q(U)</t>
    </r>
    <r>
      <rPr>
        <rFont val="宋体"/>
        <color theme="1"/>
        <sz val="12.0"/>
      </rPr>
      <t>功能使能的功率比例点</t>
    </r>
  </si>
  <si>
    <t>QByVEnP</t>
  </si>
  <si>
    <r>
      <rPr>
        <rFont val="宋体"/>
        <color theme="1"/>
        <sz val="12.0"/>
      </rPr>
      <t>是</t>
    </r>
  </si>
  <si>
    <t>gwDeQByVEnP</t>
  </si>
  <si>
    <r>
      <rPr>
        <rFont val="宋体"/>
        <b/>
        <color theme="1"/>
        <sz val="12.0"/>
      </rPr>
      <t>√</t>
    </r>
  </si>
  <si>
    <r>
      <rPr>
        <rFont val="宋体"/>
        <b/>
        <color theme="1"/>
        <sz val="12.0"/>
      </rPr>
      <t>√</t>
    </r>
  </si>
  <si>
    <r>
      <rPr>
        <rFont val="宋体"/>
        <b/>
        <color theme="1"/>
        <sz val="12.0"/>
      </rPr>
      <t>√</t>
    </r>
  </si>
  <si>
    <r>
      <rPr>
        <rFont val="Calibri"/>
        <color theme="1"/>
        <sz val="12.0"/>
      </rPr>
      <t>Q(U)</t>
    </r>
    <r>
      <rPr>
        <rFont val="宋体"/>
        <color theme="1"/>
        <sz val="12.0"/>
      </rPr>
      <t>功能退出使能的功率比例点</t>
    </r>
  </si>
  <si>
    <t>QByVDisP</t>
  </si>
  <si>
    <r>
      <rPr>
        <rFont val="宋体"/>
        <color theme="1"/>
        <sz val="12.0"/>
      </rPr>
      <t>是</t>
    </r>
  </si>
  <si>
    <t>gwDeQByVDisP</t>
  </si>
  <si>
    <r>
      <rPr>
        <rFont val="宋体"/>
        <b/>
        <color theme="1"/>
        <sz val="12.0"/>
      </rPr>
      <t>√</t>
    </r>
  </si>
  <si>
    <r>
      <rPr>
        <rFont val="宋体"/>
        <b/>
        <color theme="1"/>
        <sz val="12.0"/>
      </rPr>
      <t>√</t>
    </r>
  </si>
  <si>
    <r>
      <rPr>
        <rFont val="宋体"/>
        <b/>
        <color theme="1"/>
        <sz val="12.0"/>
      </rPr>
      <t>√</t>
    </r>
  </si>
  <si>
    <t>有功无功控制使能</t>
  </si>
  <si>
    <t>PwrCtrlEn</t>
  </si>
  <si>
    <r>
      <rPr>
        <rFont val="Calibri"/>
        <color theme="1"/>
        <sz val="12.0"/>
      </rPr>
      <t>(</t>
    </r>
    <r>
      <rPr>
        <rFont val="宋体"/>
        <color theme="1"/>
        <sz val="12.0"/>
      </rPr>
      <t>只对</t>
    </r>
    <r>
      <rPr>
        <rFont val="Calibri"/>
        <color theme="1"/>
        <sz val="12.0"/>
      </rPr>
      <t>Sunspec</t>
    </r>
    <r>
      <rPr>
        <rFont val="宋体"/>
        <color theme="1"/>
        <sz val="12.0"/>
      </rPr>
      <t>要求的设定值起作用</t>
    </r>
    <r>
      <rPr>
        <rFont val="Calibri"/>
        <color theme="1"/>
        <sz val="12.0"/>
      </rPr>
      <t>)
B0:</t>
    </r>
    <r>
      <rPr>
        <rFont val="宋体"/>
        <color theme="1"/>
        <sz val="12.0"/>
      </rPr>
      <t>有功设定限制使能</t>
    </r>
    <r>
      <rPr>
        <rFont val="Calibri"/>
        <color theme="1"/>
        <sz val="12.0"/>
      </rPr>
      <t xml:space="preserve">
B1:PF</t>
    </r>
    <r>
      <rPr>
        <rFont val="宋体"/>
        <color theme="1"/>
        <sz val="12.0"/>
      </rPr>
      <t>设定控制使能</t>
    </r>
    <r>
      <rPr>
        <rFont val="Calibri"/>
        <color theme="1"/>
        <sz val="12.0"/>
      </rPr>
      <t xml:space="preserve">
B2:</t>
    </r>
    <r>
      <rPr>
        <rFont val="宋体"/>
        <color theme="1"/>
        <sz val="12.0"/>
      </rPr>
      <t>无功设定控制使能</t>
    </r>
    <r>
      <rPr>
        <rFont val="Calibri"/>
        <color theme="1"/>
        <sz val="12.0"/>
      </rPr>
      <t xml:space="preserve">
B3:</t>
    </r>
    <r>
      <rPr>
        <rFont val="宋体"/>
        <color theme="1"/>
        <sz val="12.0"/>
      </rPr>
      <t>无功</t>
    </r>
    <r>
      <rPr>
        <rFont val="Calibri"/>
        <color theme="1"/>
        <sz val="12.0"/>
      </rPr>
      <t>volt_var</t>
    </r>
    <r>
      <rPr>
        <rFont val="宋体"/>
        <color theme="1"/>
        <sz val="12.0"/>
      </rPr>
      <t>曲线使能</t>
    </r>
    <r>
      <rPr>
        <rFont val="Calibri"/>
        <color theme="1"/>
        <sz val="12.0"/>
      </rPr>
      <t xml:space="preserve">
B4:</t>
    </r>
    <r>
      <rPr>
        <rFont val="宋体"/>
        <color theme="1"/>
        <sz val="12.0"/>
      </rPr>
      <t>有功</t>
    </r>
    <r>
      <rPr>
        <rFont val="Calibri"/>
        <color theme="1"/>
        <sz val="12.0"/>
      </rPr>
      <t>freq_watt</t>
    </r>
    <r>
      <rPr>
        <rFont val="宋体"/>
        <color theme="1"/>
        <sz val="12.0"/>
      </rPr>
      <t>曲线使能</t>
    </r>
    <r>
      <rPr>
        <rFont val="Calibri"/>
        <color theme="1"/>
        <sz val="12.0"/>
      </rPr>
      <t xml:space="preserve">
B5:</t>
    </r>
    <r>
      <rPr>
        <rFont val="宋体"/>
        <color theme="1"/>
        <sz val="12.0"/>
      </rPr>
      <t>有功曲线滞环使能</t>
    </r>
    <r>
      <rPr>
        <rFont val="Calibri"/>
        <color theme="1"/>
        <sz val="12.0"/>
      </rPr>
      <t>(</t>
    </r>
    <r>
      <rPr>
        <rFont val="宋体"/>
        <color theme="1"/>
        <sz val="12.0"/>
      </rPr>
      <t>对外</t>
    </r>
    <r>
      <rPr>
        <rFont val="Calibri"/>
        <color theme="1"/>
        <sz val="12.0"/>
      </rPr>
      <t>0</t>
    </r>
    <r>
      <rPr>
        <rFont val="宋体"/>
        <color theme="1"/>
        <sz val="12.0"/>
      </rPr>
      <t>代表使能</t>
    </r>
    <r>
      <rPr>
        <rFont val="Calibri"/>
        <color theme="1"/>
        <sz val="12.0"/>
      </rPr>
      <t>)
B6:</t>
    </r>
    <r>
      <rPr>
        <rFont val="宋体"/>
        <color theme="1"/>
        <sz val="12.0"/>
      </rPr>
      <t>无功</t>
    </r>
    <r>
      <rPr>
        <rFont val="Calibri"/>
        <color theme="1"/>
        <sz val="12.0"/>
      </rPr>
      <t>watt_pf</t>
    </r>
    <r>
      <rPr>
        <rFont val="宋体"/>
        <color theme="1"/>
        <sz val="12.0"/>
      </rPr>
      <t>曲线使能</t>
    </r>
    <r>
      <rPr>
        <rFont val="Calibri"/>
        <color theme="1"/>
        <sz val="12.0"/>
      </rPr>
      <t xml:space="preserve">
B7:</t>
    </r>
    <r>
      <rPr>
        <rFont val="宋体"/>
        <color theme="1"/>
        <sz val="12.0"/>
      </rPr>
      <t>有功</t>
    </r>
    <r>
      <rPr>
        <rFont val="Calibri"/>
        <color theme="1"/>
        <sz val="12.0"/>
      </rPr>
      <t>volt_watt</t>
    </r>
    <r>
      <rPr>
        <rFont val="宋体"/>
        <color theme="1"/>
        <sz val="12.0"/>
      </rPr>
      <t>曲线使能</t>
    </r>
    <r>
      <rPr>
        <rFont val="Calibri"/>
        <color theme="1"/>
        <sz val="12.0"/>
      </rPr>
      <t xml:space="preserve">
B8:</t>
    </r>
    <r>
      <rPr>
        <rFont val="宋体"/>
        <color theme="1"/>
        <sz val="12.0"/>
      </rPr>
      <t>并网使能</t>
    </r>
    <r>
      <rPr>
        <rFont val="Calibri"/>
        <color theme="1"/>
        <sz val="12.0"/>
      </rPr>
      <t>(connect)</t>
    </r>
  </si>
  <si>
    <r>
      <rPr>
        <rFont val="宋体"/>
        <color theme="1"/>
        <sz val="12.0"/>
      </rPr>
      <t>是</t>
    </r>
  </si>
  <si>
    <r>
      <rPr>
        <rFont val="宋体"/>
        <color theme="1"/>
        <sz val="12.0"/>
      </rPr>
      <t>修改并新增</t>
    </r>
    <r>
      <rPr>
        <rFont val="Calibri"/>
        <color theme="1"/>
        <sz val="12.0"/>
      </rPr>
      <t>B3</t>
    </r>
    <r>
      <rPr>
        <rFont val="宋体"/>
        <color theme="1"/>
        <sz val="12.0"/>
      </rPr>
      <t>、</t>
    </r>
    <r>
      <rPr>
        <rFont val="Calibri"/>
        <color theme="1"/>
        <sz val="12.0"/>
      </rPr>
      <t>B4</t>
    </r>
    <r>
      <rPr>
        <rFont val="宋体"/>
        <color theme="1"/>
        <sz val="12.0"/>
      </rPr>
      <t>、</t>
    </r>
    <r>
      <rPr>
        <rFont val="Calibri"/>
        <color theme="1"/>
        <sz val="12.0"/>
      </rPr>
      <t>B5</t>
    </r>
    <r>
      <rPr>
        <rFont val="宋体"/>
        <color theme="1"/>
        <sz val="12.0"/>
      </rPr>
      <t>、</t>
    </r>
    <r>
      <rPr>
        <rFont val="Calibri"/>
        <color theme="1"/>
        <sz val="12.0"/>
      </rPr>
      <t xml:space="preserve"> B6 </t>
    </r>
    <r>
      <rPr>
        <rFont val="宋体"/>
        <color theme="1"/>
        <sz val="12.0"/>
      </rPr>
      <t>、</t>
    </r>
    <r>
      <rPr>
        <rFont val="Calibri"/>
        <color theme="1"/>
        <sz val="12.0"/>
      </rPr>
      <t xml:space="preserve">B7 </t>
    </r>
    <r>
      <rPr>
        <rFont val="宋体"/>
        <color theme="1"/>
        <sz val="12.0"/>
      </rPr>
      <t>、</t>
    </r>
    <r>
      <rPr>
        <rFont val="Calibri"/>
        <color theme="1"/>
        <sz val="12.0"/>
      </rPr>
      <t>B8</t>
    </r>
  </si>
  <si>
    <t>guwDePwrCtrlEn</t>
  </si>
  <si>
    <r>
      <rPr>
        <rFont val="宋体"/>
        <b/>
        <color theme="1"/>
        <sz val="12.0"/>
      </rPr>
      <t>√</t>
    </r>
  </si>
  <si>
    <r>
      <rPr>
        <rFont val="宋体"/>
        <b/>
        <color theme="1"/>
        <sz val="12.0"/>
      </rPr>
      <t>√</t>
    </r>
  </si>
  <si>
    <r>
      <rPr>
        <rFont val="宋体"/>
        <b/>
        <color theme="1"/>
        <sz val="12.0"/>
      </rPr>
      <t>√</t>
    </r>
  </si>
  <si>
    <t>无功基值选择</t>
  </si>
  <si>
    <t>VarDeptRef</t>
  </si>
  <si>
    <r>
      <rPr>
        <rFont val="Calibri"/>
        <color theme="1"/>
        <sz val="12.0"/>
      </rPr>
      <t>1</t>
    </r>
    <r>
      <rPr>
        <rFont val="宋体"/>
        <color theme="1"/>
        <sz val="12.0"/>
      </rPr>
      <t>：</t>
    </r>
    <r>
      <rPr>
        <rFont val="Calibri"/>
        <color theme="1"/>
        <sz val="12.0"/>
      </rPr>
      <t>WMax
2</t>
    </r>
    <r>
      <rPr>
        <rFont val="宋体"/>
        <color theme="1"/>
        <sz val="12.0"/>
      </rPr>
      <t>：</t>
    </r>
    <r>
      <rPr>
        <rFont val="Calibri"/>
        <color theme="1"/>
        <sz val="12.0"/>
      </rPr>
      <t>VArMax
3</t>
    </r>
    <r>
      <rPr>
        <rFont val="宋体"/>
        <color theme="1"/>
        <sz val="12.0"/>
      </rPr>
      <t>：</t>
    </r>
    <r>
      <rPr>
        <rFont val="Calibri"/>
        <color theme="1"/>
        <sz val="12.0"/>
      </rPr>
      <t>VArAval</t>
    </r>
  </si>
  <si>
    <r>
      <rPr>
        <rFont val="宋体"/>
        <color theme="1"/>
        <sz val="12.0"/>
      </rPr>
      <t>是</t>
    </r>
  </si>
  <si>
    <t>guwDeVarDeptRef</t>
  </si>
  <si>
    <r>
      <rPr>
        <rFont val="宋体"/>
        <b/>
        <color theme="1"/>
        <sz val="12.0"/>
      </rPr>
      <t>√</t>
    </r>
  </si>
  <si>
    <r>
      <rPr>
        <rFont val="宋体"/>
        <b/>
        <color theme="1"/>
        <sz val="12.0"/>
      </rPr>
      <t>√</t>
    </r>
  </si>
  <si>
    <r>
      <rPr>
        <rFont val="宋体"/>
        <b/>
        <color theme="1"/>
        <sz val="12.0"/>
      </rPr>
      <t>√</t>
    </r>
  </si>
  <si>
    <t>有功基值选择</t>
  </si>
  <si>
    <t>WDeptRef</t>
  </si>
  <si>
    <r>
      <rPr>
        <rFont val="Calibri"/>
        <color theme="1"/>
        <sz val="12.0"/>
      </rPr>
      <t>1</t>
    </r>
    <r>
      <rPr>
        <rFont val="宋体"/>
        <color theme="1"/>
        <sz val="12.0"/>
      </rPr>
      <t>：</t>
    </r>
    <r>
      <rPr>
        <rFont val="Calibri"/>
        <color theme="1"/>
        <sz val="12.0"/>
      </rPr>
      <t>WMax
2</t>
    </r>
    <r>
      <rPr>
        <rFont val="宋体"/>
        <color theme="1"/>
        <sz val="12.0"/>
      </rPr>
      <t>：</t>
    </r>
    <r>
      <rPr>
        <rFont val="Calibri"/>
        <color theme="1"/>
        <sz val="12.0"/>
      </rPr>
      <t>WAval</t>
    </r>
  </si>
  <si>
    <t>guwDeWDeptRef</t>
  </si>
  <si>
    <r>
      <rPr>
        <rFont val="宋体"/>
        <b/>
        <color theme="1"/>
        <sz val="12.0"/>
      </rPr>
      <t>√</t>
    </r>
  </si>
  <si>
    <r>
      <rPr>
        <rFont val="宋体"/>
        <b/>
        <color theme="1"/>
        <sz val="12.0"/>
      </rPr>
      <t>√</t>
    </r>
  </si>
  <si>
    <r>
      <rPr>
        <rFont val="宋体"/>
        <b/>
        <color theme="1"/>
        <sz val="12.0"/>
      </rPr>
      <t>√</t>
    </r>
  </si>
  <si>
    <r>
      <rPr>
        <rFont val="宋体"/>
        <color theme="1"/>
        <sz val="12.0"/>
      </rPr>
      <t>预留</t>
    </r>
  </si>
  <si>
    <t>1583-1999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</si>
  <si>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</si>
  <si>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</si>
  <si>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</si>
  <si>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5</t>
    </r>
    <r>
      <rPr>
        <rFont val="宋体"/>
        <b/>
        <color theme="1"/>
        <sz val="14.0"/>
      </rPr>
      <t>（电网调度参数</t>
    </r>
    <r>
      <rPr>
        <rFont val="Calibri"/>
        <b/>
        <color theme="1"/>
        <sz val="14.0"/>
      </rPr>
      <t>2</t>
    </r>
    <r>
      <rPr>
        <rFont val="宋体"/>
        <b/>
        <color theme="1"/>
        <sz val="14.0"/>
      </rPr>
      <t>）</t>
    </r>
  </si>
  <si>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</si>
  <si>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</si>
  <si>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</si>
  <si>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保护级数</t>
    </r>
  </si>
  <si>
    <t>LvrtStage</t>
  </si>
  <si>
    <t>1--5</t>
  </si>
  <si>
    <r>
      <rPr>
        <rFont val="宋体"/>
        <color theme="1"/>
        <sz val="12.0"/>
      </rPr>
      <t>是</t>
    </r>
  </si>
  <si>
    <t>guwDeLvrtStage</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</si>
  <si>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</si>
  <si>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</si>
  <si>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</si>
  <si>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电网不平衡支撑开关</t>
    </r>
  </si>
  <si>
    <t>LvrtUnbalSuppEn</t>
  </si>
  <si>
    <t>0xAA</t>
  </si>
  <si>
    <r>
      <rPr>
        <rFont val="宋体"/>
        <color theme="1"/>
        <sz val="12.0"/>
      </rPr>
      <t>是</t>
    </r>
  </si>
  <si>
    <t>guwDeLvrtUnbalSuppEn</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</si>
  <si>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</si>
  <si>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</si>
  <si>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</si>
  <si>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零功率模式</t>
    </r>
  </si>
  <si>
    <t>Lvrt0PEn</t>
  </si>
  <si>
    <r>
      <rPr>
        <rFont val="宋体"/>
        <color theme="1"/>
        <sz val="12.0"/>
      </rPr>
      <t>是</t>
    </r>
  </si>
  <si>
    <t>guwDeLvrt0PEn</t>
  </si>
  <si>
    <r>
      <rPr>
        <rFont val="宋体"/>
        <b/>
        <color theme="1"/>
        <sz val="12.0"/>
      </rPr>
      <t>√</t>
    </r>
  </si>
  <si>
    <r>
      <rPr>
        <rFont val="宋体"/>
        <b/>
        <color theme="1"/>
        <sz val="12.0"/>
      </rPr>
      <t>√</t>
    </r>
  </si>
  <si>
    <r>
      <rPr>
        <rFont val="宋体"/>
        <b/>
        <color theme="1"/>
        <sz val="12.0"/>
      </rPr>
      <t>√</t>
    </r>
  </si>
  <si>
    <r>
      <rPr>
        <rFont val="Calibri"/>
        <color theme="1"/>
        <sz val="12.0"/>
      </rPr>
      <t>LVRT K</t>
    </r>
    <r>
      <rPr>
        <rFont val="宋体"/>
        <color theme="1"/>
        <sz val="12.0"/>
      </rPr>
      <t>因数</t>
    </r>
  </si>
  <si>
    <t>LvrtK</t>
  </si>
  <si>
    <r>
      <rPr>
        <rFont val="宋体"/>
        <color theme="1"/>
        <sz val="12.0"/>
      </rPr>
      <t>是</t>
    </r>
  </si>
  <si>
    <t>guwDeLvrtK</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</si>
  <si>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</si>
  <si>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</si>
  <si>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</si>
  <si>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无功功率指令</t>
    </r>
  </si>
  <si>
    <t>LvrtQ</t>
  </si>
  <si>
    <t>gwDeLvrtQ</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</si>
  <si>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</si>
  <si>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</si>
  <si>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</si>
  <si>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有功恢复时间</t>
    </r>
  </si>
  <si>
    <t>LvrtPRecT</t>
  </si>
  <si>
    <t>guwDeLvrtPRecT</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</si>
  <si>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</si>
  <si>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</si>
  <si>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</si>
  <si>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电压</t>
    </r>
    <r>
      <rPr>
        <rFont val="Calibri"/>
        <color theme="1"/>
        <sz val="12.0"/>
      </rPr>
      <t>1</t>
    </r>
  </si>
  <si>
    <t>LvrtV1</t>
  </si>
  <si>
    <t>0-2500</t>
  </si>
  <si>
    <r>
      <rPr>
        <rFont val="宋体"/>
        <color theme="1"/>
        <sz val="12.0"/>
      </rPr>
      <t>是</t>
    </r>
  </si>
  <si>
    <t>guwDeLvrtV1</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</si>
  <si>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</si>
  <si>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</si>
  <si>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</si>
  <si>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电压</t>
    </r>
    <r>
      <rPr>
        <rFont val="Calibri"/>
        <color theme="1"/>
        <sz val="12.0"/>
      </rPr>
      <t>2</t>
    </r>
  </si>
  <si>
    <t>LvrtV2</t>
  </si>
  <si>
    <t>2007</t>
  </si>
  <si>
    <r>
      <rPr>
        <rFont val="Calibri"/>
        <color theme="1"/>
        <sz val="11.0"/>
      </rPr>
      <t>345</t>
    </r>
    <r>
      <rPr>
        <rFont val="微软雅黑"/>
        <color theme="1"/>
        <sz val="11.0"/>
      </rPr>
      <t>（</t>
    </r>
    <r>
      <rPr>
        <rFont val="Calibri"/>
        <color theme="1"/>
        <sz val="11.0"/>
      </rPr>
      <t>1110</t>
    </r>
    <r>
      <rPr>
        <rFont val="微软雅黑"/>
        <color theme="1"/>
        <sz val="11.0"/>
      </rPr>
      <t>）</t>
    </r>
  </si>
  <si>
    <r>
      <rPr>
        <rFont val="宋体"/>
        <color theme="1"/>
        <sz val="12.0"/>
      </rPr>
      <t>是</t>
    </r>
  </si>
  <si>
    <t>guwDeLvrtV2</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</si>
  <si>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</si>
  <si>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</si>
  <si>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</si>
  <si>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电压</t>
    </r>
    <r>
      <rPr>
        <rFont val="Calibri"/>
        <color theme="1"/>
        <sz val="12.0"/>
      </rPr>
      <t>3</t>
    </r>
  </si>
  <si>
    <t>LvrtV3</t>
  </si>
  <si>
    <t>2008</t>
  </si>
  <si>
    <r>
      <rPr>
        <rFont val="宋体"/>
        <color theme="1"/>
        <sz val="12.0"/>
      </rPr>
      <t>是</t>
    </r>
  </si>
  <si>
    <t>guwDeLvrtV3</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</si>
  <si>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</si>
  <si>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</si>
  <si>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</si>
  <si>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电压</t>
    </r>
    <r>
      <rPr>
        <rFont val="Calibri"/>
        <color theme="1"/>
        <sz val="12.0"/>
      </rPr>
      <t>4</t>
    </r>
  </si>
  <si>
    <t>LvrtV4</t>
  </si>
  <si>
    <r>
      <rPr>
        <rFont val="宋体"/>
        <color theme="1"/>
        <sz val="12.0"/>
      </rPr>
      <t>是</t>
    </r>
  </si>
  <si>
    <t>guwDeLvrtV4</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</si>
  <si>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</si>
  <si>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</si>
  <si>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</si>
  <si>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电压</t>
    </r>
    <r>
      <rPr>
        <rFont val="Calibri"/>
        <color theme="1"/>
        <sz val="12.0"/>
      </rPr>
      <t>5</t>
    </r>
  </si>
  <si>
    <t>LvrtV5</t>
  </si>
  <si>
    <r>
      <rPr>
        <rFont val="宋体"/>
        <color theme="1"/>
        <sz val="12.0"/>
      </rPr>
      <t>是</t>
    </r>
  </si>
  <si>
    <t>guwDeLvrtV5</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</si>
  <si>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</si>
  <si>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</si>
  <si>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</si>
  <si>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时间</t>
    </r>
    <r>
      <rPr>
        <rFont val="Calibri"/>
        <color theme="1"/>
        <sz val="12.0"/>
      </rPr>
      <t>1</t>
    </r>
  </si>
  <si>
    <t>LvrtT1</t>
  </si>
  <si>
    <t>2011</t>
  </si>
  <si>
    <r>
      <rPr>
        <rFont val="宋体"/>
        <color theme="1"/>
        <sz val="12.0"/>
      </rPr>
      <t>是</t>
    </r>
  </si>
  <si>
    <t>guwDeLvrtT1</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</si>
  <si>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</si>
  <si>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</si>
  <si>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</si>
  <si>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时间</t>
    </r>
    <r>
      <rPr>
        <rFont val="Calibri"/>
        <color theme="1"/>
        <sz val="12.0"/>
      </rPr>
      <t>2</t>
    </r>
  </si>
  <si>
    <t>LvrtT2</t>
  </si>
  <si>
    <t>2012</t>
  </si>
  <si>
    <r>
      <rPr>
        <rFont val="宋体"/>
        <color theme="1"/>
        <sz val="12.0"/>
      </rPr>
      <t>是</t>
    </r>
  </si>
  <si>
    <t>guwDeLvrtT2</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</si>
  <si>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</si>
  <si>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</si>
  <si>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</si>
  <si>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时间</t>
    </r>
    <r>
      <rPr>
        <rFont val="Calibri"/>
        <color theme="1"/>
        <sz val="12.0"/>
      </rPr>
      <t>3</t>
    </r>
  </si>
  <si>
    <t>LvrtT3</t>
  </si>
  <si>
    <t>2013</t>
  </si>
  <si>
    <r>
      <rPr>
        <rFont val="宋体"/>
        <color theme="1"/>
        <sz val="12.0"/>
      </rPr>
      <t>是</t>
    </r>
  </si>
  <si>
    <t>guwDeLvrtT3</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</si>
  <si>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</si>
  <si>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</si>
  <si>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</si>
  <si>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时间</t>
    </r>
    <r>
      <rPr>
        <rFont val="Calibri"/>
        <color theme="1"/>
        <sz val="12.0"/>
      </rPr>
      <t>4</t>
    </r>
  </si>
  <si>
    <t>LvrtT4</t>
  </si>
  <si>
    <t>2014</t>
  </si>
  <si>
    <r>
      <rPr>
        <rFont val="宋体"/>
        <color theme="1"/>
        <sz val="12.0"/>
      </rPr>
      <t>是</t>
    </r>
  </si>
  <si>
    <t>guwDeLvrtT4</t>
  </si>
  <si>
    <r>
      <rPr>
        <rFont val="宋体"/>
        <b/>
        <color theme="1"/>
        <sz val="12.0"/>
      </rPr>
      <t>√</t>
    </r>
  </si>
  <si>
    <r>
      <rPr>
        <rFont val="宋体"/>
        <b/>
        <color theme="1"/>
        <sz val="12.0"/>
      </rPr>
      <t>√</t>
    </r>
  </si>
  <si>
    <r>
      <rPr>
        <rFont val="宋体"/>
        <b/>
        <color theme="1"/>
        <sz val="12.0"/>
      </rPr>
      <t>√</t>
    </r>
  </si>
  <si>
    <r>
      <rPr>
        <rFont val="Calibri"/>
        <color theme="1"/>
        <sz val="12.0"/>
      </rPr>
      <t>LVRT</t>
    </r>
    <r>
      <rPr>
        <rFont val="宋体"/>
        <color theme="1"/>
        <sz val="12.0"/>
      </rPr>
      <t>时间</t>
    </r>
    <r>
      <rPr>
        <rFont val="Calibri"/>
        <color theme="1"/>
        <sz val="12.0"/>
      </rPr>
      <t>5</t>
    </r>
  </si>
  <si>
    <t>LvrtT5</t>
  </si>
  <si>
    <t>2015</t>
  </si>
  <si>
    <r>
      <rPr>
        <rFont val="宋体"/>
        <color theme="1"/>
        <sz val="12.0"/>
      </rPr>
      <t>是</t>
    </r>
  </si>
  <si>
    <t>guwDeLvrtT5</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</si>
  <si>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</si>
  <si>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</si>
  <si>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</si>
  <si>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保护级数</t>
    </r>
  </si>
  <si>
    <t>HvrtStage</t>
  </si>
  <si>
    <t>2016</t>
  </si>
  <si>
    <r>
      <rPr>
        <rFont val="宋体"/>
        <color theme="1"/>
        <sz val="12.0"/>
      </rPr>
      <t>是</t>
    </r>
  </si>
  <si>
    <t>guwDeHvrtStage</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</si>
  <si>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</si>
  <si>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</si>
  <si>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</si>
  <si>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电网不平衡支撑开关</t>
    </r>
  </si>
  <si>
    <t>HvrtUnbalSuppEn</t>
  </si>
  <si>
    <t>2017</t>
  </si>
  <si>
    <r>
      <rPr>
        <rFont val="宋体"/>
        <color theme="1"/>
        <sz val="12.0"/>
      </rPr>
      <t>是</t>
    </r>
  </si>
  <si>
    <t>guwDeHvrtUnbalSuppEn</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</si>
  <si>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</si>
  <si>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</si>
  <si>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</si>
  <si>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零功率模式</t>
    </r>
  </si>
  <si>
    <t>Hvrt0PEn</t>
  </si>
  <si>
    <t>2018</t>
  </si>
  <si>
    <r>
      <rPr>
        <rFont val="宋体"/>
        <color theme="1"/>
        <sz val="12.0"/>
      </rPr>
      <t>是</t>
    </r>
  </si>
  <si>
    <t>guwDeHvrt0PEn</t>
  </si>
  <si>
    <r>
      <rPr>
        <rFont val="宋体"/>
        <b/>
        <color theme="1"/>
        <sz val="12.0"/>
      </rPr>
      <t>√</t>
    </r>
  </si>
  <si>
    <r>
      <rPr>
        <rFont val="宋体"/>
        <b/>
        <color theme="1"/>
        <sz val="12.0"/>
      </rPr>
      <t>√</t>
    </r>
  </si>
  <si>
    <r>
      <rPr>
        <rFont val="宋体"/>
        <b/>
        <color theme="1"/>
        <sz val="12.0"/>
      </rPr>
      <t>√</t>
    </r>
  </si>
  <si>
    <r>
      <rPr>
        <rFont val="Calibri"/>
        <color theme="1"/>
        <sz val="12.0"/>
      </rPr>
      <t>HVRT K</t>
    </r>
    <r>
      <rPr>
        <rFont val="宋体"/>
        <color theme="1"/>
        <sz val="12.0"/>
      </rPr>
      <t>因数</t>
    </r>
  </si>
  <si>
    <t>HvrtK</t>
  </si>
  <si>
    <t>2019</t>
  </si>
  <si>
    <r>
      <rPr>
        <rFont val="宋体"/>
        <color theme="1"/>
        <sz val="12.0"/>
      </rPr>
      <t>是</t>
    </r>
  </si>
  <si>
    <t>guwDeHvrtK</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</si>
  <si>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</si>
  <si>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</si>
  <si>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</si>
  <si>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无功功率指令</t>
    </r>
  </si>
  <si>
    <t>HvrtQ</t>
  </si>
  <si>
    <t>2020</t>
  </si>
  <si>
    <t>gwDeHvrtQ</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</si>
  <si>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</si>
  <si>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</si>
  <si>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</si>
  <si>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有功恢复时间</t>
    </r>
  </si>
  <si>
    <t>HvrtPRecT</t>
  </si>
  <si>
    <t>2021</t>
  </si>
  <si>
    <t>guwDeHvrtPRecT</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</si>
  <si>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</si>
  <si>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</si>
  <si>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</si>
  <si>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电压</t>
    </r>
    <r>
      <rPr>
        <rFont val="Calibri"/>
        <color theme="1"/>
        <sz val="12.0"/>
      </rPr>
      <t>1</t>
    </r>
  </si>
  <si>
    <t>HvrtV1</t>
  </si>
  <si>
    <t>2022</t>
  </si>
  <si>
    <r>
      <rPr>
        <rFont val="宋体"/>
        <color theme="1"/>
        <sz val="12.0"/>
      </rPr>
      <t>是</t>
    </r>
  </si>
  <si>
    <t>guwDeHvrtV1</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</si>
  <si>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</si>
  <si>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</si>
  <si>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</si>
  <si>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电压</t>
    </r>
    <r>
      <rPr>
        <rFont val="Calibri"/>
        <color theme="1"/>
        <sz val="12.0"/>
      </rPr>
      <t>2</t>
    </r>
  </si>
  <si>
    <t>HvrtV2</t>
  </si>
  <si>
    <t>2023</t>
  </si>
  <si>
    <r>
      <rPr>
        <rFont val="Calibri"/>
        <color theme="1"/>
        <sz val="11.0"/>
      </rPr>
      <t>2760</t>
    </r>
    <r>
      <rPr>
        <rFont val="微软雅黑"/>
        <color theme="1"/>
        <sz val="11.0"/>
      </rPr>
      <t>（</t>
    </r>
    <r>
      <rPr>
        <rFont val="Calibri"/>
        <color theme="1"/>
        <sz val="11.0"/>
      </rPr>
      <t>2800</t>
    </r>
    <r>
      <rPr>
        <rFont val="微软雅黑"/>
        <color theme="1"/>
        <sz val="11.0"/>
      </rPr>
      <t>）</t>
    </r>
  </si>
  <si>
    <r>
      <rPr>
        <rFont val="宋体"/>
        <color theme="1"/>
        <sz val="12.0"/>
      </rPr>
      <t>是</t>
    </r>
  </si>
  <si>
    <t>guwDeHvrtV2</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</si>
  <si>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</si>
  <si>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</si>
  <si>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</si>
  <si>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电压</t>
    </r>
    <r>
      <rPr>
        <rFont val="Calibri"/>
        <color theme="1"/>
        <sz val="12.0"/>
      </rPr>
      <t>3</t>
    </r>
  </si>
  <si>
    <t>HvrtV3</t>
  </si>
  <si>
    <t>2024</t>
  </si>
  <si>
    <r>
      <rPr>
        <rFont val="宋体"/>
        <color theme="1"/>
        <sz val="12.0"/>
      </rPr>
      <t>是</t>
    </r>
  </si>
  <si>
    <t>guwDeHvrtV3</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</si>
  <si>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</si>
  <si>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</si>
  <si>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</si>
  <si>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电压</t>
    </r>
    <r>
      <rPr>
        <rFont val="Calibri"/>
        <color theme="1"/>
        <sz val="12.0"/>
      </rPr>
      <t>4</t>
    </r>
  </si>
  <si>
    <t>HvrtV4</t>
  </si>
  <si>
    <t>2025</t>
  </si>
  <si>
    <r>
      <rPr>
        <rFont val="宋体"/>
        <color theme="1"/>
        <sz val="12.0"/>
      </rPr>
      <t>是</t>
    </r>
  </si>
  <si>
    <t>guwDeHvrtV4</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</si>
  <si>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</si>
  <si>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</si>
  <si>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</si>
  <si>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电压</t>
    </r>
    <r>
      <rPr>
        <rFont val="Calibri"/>
        <color theme="1"/>
        <sz val="12.0"/>
      </rPr>
      <t>5</t>
    </r>
  </si>
  <si>
    <t>HvrtV5</t>
  </si>
  <si>
    <t>2026</t>
  </si>
  <si>
    <r>
      <rPr>
        <rFont val="宋体"/>
        <color theme="1"/>
        <sz val="12.0"/>
      </rPr>
      <t>是</t>
    </r>
  </si>
  <si>
    <t>guwDeHvrtV5</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</si>
  <si>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</si>
  <si>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</si>
  <si>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</si>
  <si>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时间</t>
    </r>
    <r>
      <rPr>
        <rFont val="Calibri"/>
        <color theme="1"/>
        <sz val="12.0"/>
      </rPr>
      <t>1</t>
    </r>
  </si>
  <si>
    <t>HvrtT1</t>
  </si>
  <si>
    <t>2027</t>
  </si>
  <si>
    <r>
      <rPr>
        <rFont val="宋体"/>
        <color theme="1"/>
        <sz val="12.0"/>
      </rPr>
      <t>是</t>
    </r>
  </si>
  <si>
    <t>guwDeHvrtT1</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</si>
  <si>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</si>
  <si>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</si>
  <si>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</si>
  <si>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时间</t>
    </r>
    <r>
      <rPr>
        <rFont val="Calibri"/>
        <color theme="1"/>
        <sz val="12.0"/>
      </rPr>
      <t>2</t>
    </r>
  </si>
  <si>
    <t>HvrtT2</t>
  </si>
  <si>
    <t>2028</t>
  </si>
  <si>
    <r>
      <rPr>
        <rFont val="宋体"/>
        <color theme="1"/>
        <sz val="12.0"/>
      </rPr>
      <t>是</t>
    </r>
  </si>
  <si>
    <t>guwDeHvrtT2</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</si>
  <si>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</si>
  <si>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</si>
  <si>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</si>
  <si>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时间</t>
    </r>
    <r>
      <rPr>
        <rFont val="Calibri"/>
        <color theme="1"/>
        <sz val="12.0"/>
      </rPr>
      <t>3</t>
    </r>
  </si>
  <si>
    <t>HvrtT3</t>
  </si>
  <si>
    <t>2029</t>
  </si>
  <si>
    <r>
      <rPr>
        <rFont val="宋体"/>
        <color theme="1"/>
        <sz val="12.0"/>
      </rPr>
      <t>是</t>
    </r>
  </si>
  <si>
    <t>guwDeHvrtT3</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</si>
  <si>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</si>
  <si>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</si>
  <si>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</si>
  <si>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时间</t>
    </r>
    <r>
      <rPr>
        <rFont val="Calibri"/>
        <color theme="1"/>
        <sz val="12.0"/>
      </rPr>
      <t>4</t>
    </r>
  </si>
  <si>
    <t>HvrtT4</t>
  </si>
  <si>
    <t>2030</t>
  </si>
  <si>
    <r>
      <rPr>
        <rFont val="宋体"/>
        <color theme="1"/>
        <sz val="12.0"/>
      </rPr>
      <t>是</t>
    </r>
  </si>
  <si>
    <t>guwDeHvrtT4</t>
  </si>
  <si>
    <r>
      <rPr>
        <rFont val="宋体"/>
        <b/>
        <color theme="1"/>
        <sz val="12.0"/>
      </rPr>
      <t>√</t>
    </r>
  </si>
  <si>
    <r>
      <rPr>
        <rFont val="宋体"/>
        <b/>
        <color theme="1"/>
        <sz val="12.0"/>
      </rPr>
      <t>√</t>
    </r>
  </si>
  <si>
    <r>
      <rPr>
        <rFont val="宋体"/>
        <b/>
        <color theme="1"/>
        <sz val="12.0"/>
      </rPr>
      <t>√</t>
    </r>
  </si>
  <si>
    <r>
      <rPr>
        <rFont val="Calibri"/>
        <color theme="1"/>
        <sz val="12.0"/>
      </rPr>
      <t>HVRT</t>
    </r>
    <r>
      <rPr>
        <rFont val="宋体"/>
        <color theme="1"/>
        <sz val="12.0"/>
      </rPr>
      <t>时间</t>
    </r>
    <r>
      <rPr>
        <rFont val="Calibri"/>
        <color theme="1"/>
        <sz val="12.0"/>
      </rPr>
      <t>5</t>
    </r>
  </si>
  <si>
    <t>HvrtT5</t>
  </si>
  <si>
    <t>2031</t>
  </si>
  <si>
    <r>
      <rPr>
        <rFont val="宋体"/>
        <color theme="1"/>
        <sz val="12.0"/>
      </rPr>
      <t>是</t>
    </r>
  </si>
  <si>
    <t>guwDeHvrtT5</t>
  </si>
  <si>
    <r>
      <rPr>
        <rFont val="宋体"/>
        <b/>
        <color theme="1"/>
        <sz val="12.0"/>
      </rPr>
      <t>√</t>
    </r>
  </si>
  <si>
    <r>
      <rPr>
        <rFont val="宋体"/>
        <b/>
        <color theme="1"/>
        <sz val="12.0"/>
      </rPr>
      <t>√</t>
    </r>
  </si>
  <si>
    <r>
      <rPr>
        <rFont val="宋体"/>
        <b/>
        <color theme="1"/>
        <sz val="12.0"/>
      </rPr>
      <t>√</t>
    </r>
  </si>
  <si>
    <r>
      <rPr>
        <rFont val="Calibri"/>
        <color theme="1"/>
        <sz val="11.0"/>
      </rPr>
      <t>DRM</t>
    </r>
    <r>
      <rPr>
        <rFont val="宋体"/>
        <color theme="1"/>
        <sz val="11.0"/>
      </rPr>
      <t>模式</t>
    </r>
  </si>
  <si>
    <t>DRMModel</t>
  </si>
  <si>
    <t>2032</t>
  </si>
  <si>
    <r>
      <rPr>
        <rFont val="Calibri"/>
        <color theme="1"/>
        <sz val="12.0"/>
      </rPr>
      <t>1~9</t>
    </r>
    <r>
      <rPr>
        <rFont val="宋体"/>
        <color theme="1"/>
        <sz val="12.0"/>
      </rPr>
      <t>：</t>
    </r>
    <r>
      <rPr>
        <rFont val="Calibri"/>
        <color theme="1"/>
        <sz val="12.0"/>
      </rPr>
      <t xml:space="preserve">DRM0~8 ; </t>
    </r>
    <r>
      <rPr>
        <rFont val="宋体"/>
        <color theme="1"/>
        <sz val="12.0"/>
      </rPr>
      <t>其他值无效</t>
    </r>
  </si>
  <si>
    <r>
      <rPr>
        <rFont val="宋体"/>
        <color theme="1"/>
        <sz val="11.0"/>
      </rPr>
      <t>是</t>
    </r>
  </si>
  <si>
    <t>guwDeDRMModel</t>
  </si>
  <si>
    <r>
      <rPr>
        <rFont val="宋体"/>
        <b/>
        <color theme="1"/>
        <sz val="12.0"/>
      </rPr>
      <t>√</t>
    </r>
  </si>
  <si>
    <r>
      <rPr>
        <rFont val="宋体"/>
        <b/>
        <color theme="1"/>
        <sz val="12.0"/>
      </rPr>
      <t>√</t>
    </r>
  </si>
  <si>
    <r>
      <rPr>
        <rFont val="宋体"/>
        <b/>
        <color theme="1"/>
        <sz val="12.0"/>
      </rPr>
      <t>√</t>
    </r>
  </si>
  <si>
    <r>
      <rPr>
        <rFont val="Calibri"/>
        <color theme="1"/>
        <sz val="11.0"/>
      </rPr>
      <t>DRM</t>
    </r>
    <r>
      <rPr>
        <rFont val="宋体"/>
        <color theme="1"/>
        <sz val="11.0"/>
      </rPr>
      <t>限功率值</t>
    </r>
  </si>
  <si>
    <t>DRMPLimit</t>
  </si>
  <si>
    <t>2033</t>
  </si>
  <si>
    <r>
      <rPr>
        <rFont val="宋体"/>
        <color theme="1"/>
        <sz val="11.0"/>
      </rPr>
      <t>是</t>
    </r>
  </si>
  <si>
    <t>gwDeDRMPLimit</t>
  </si>
  <si>
    <r>
      <rPr>
        <rFont val="宋体"/>
        <b/>
        <color theme="1"/>
        <sz val="12.0"/>
      </rPr>
      <t>√</t>
    </r>
  </si>
  <si>
    <r>
      <rPr>
        <rFont val="宋体"/>
        <b/>
        <color theme="1"/>
        <sz val="12.0"/>
      </rPr>
      <t>√</t>
    </r>
  </si>
  <si>
    <r>
      <rPr>
        <rFont val="宋体"/>
        <b/>
        <color theme="1"/>
        <sz val="12.0"/>
      </rPr>
      <t>√</t>
    </r>
  </si>
  <si>
    <r>
      <rPr>
        <rFont val="Calibri"/>
        <color theme="1"/>
        <sz val="11.0"/>
      </rPr>
      <t>DRM PF</t>
    </r>
    <r>
      <rPr>
        <rFont val="宋体"/>
        <color theme="1"/>
        <sz val="11.0"/>
      </rPr>
      <t>值</t>
    </r>
  </si>
  <si>
    <t>DRMPFSet</t>
  </si>
  <si>
    <t>2034</t>
  </si>
  <si>
    <r>
      <rPr>
        <rFont val="宋体"/>
        <color theme="1"/>
        <sz val="11.0"/>
      </rPr>
      <t>是</t>
    </r>
  </si>
  <si>
    <t>gwDeDRMPFSet</t>
  </si>
  <si>
    <r>
      <rPr>
        <rFont val="宋体"/>
        <b/>
        <color theme="1"/>
        <sz val="12.0"/>
      </rPr>
      <t>√</t>
    </r>
  </si>
  <si>
    <r>
      <rPr>
        <rFont val="宋体"/>
        <b/>
        <color theme="1"/>
        <sz val="12.0"/>
      </rPr>
      <t>√</t>
    </r>
  </si>
  <si>
    <r>
      <rPr>
        <rFont val="宋体"/>
        <b/>
        <color theme="1"/>
        <sz val="12.0"/>
      </rPr>
      <t>√</t>
    </r>
  </si>
  <si>
    <r>
      <rPr>
        <rFont val="Calibri"/>
        <color theme="1"/>
        <sz val="11.0"/>
      </rPr>
      <t>RIPPLE CONTROL</t>
    </r>
    <r>
      <rPr>
        <rFont val="宋体"/>
        <color theme="1"/>
        <sz val="11.0"/>
      </rPr>
      <t>模式</t>
    </r>
  </si>
  <si>
    <t>RCModel</t>
  </si>
  <si>
    <t>2035</t>
  </si>
  <si>
    <r>
      <rPr>
        <rFont val="Calibri"/>
        <color theme="1"/>
        <sz val="12.0"/>
      </rPr>
      <t>1~5</t>
    </r>
    <r>
      <rPr>
        <rFont val="宋体"/>
        <color theme="1"/>
        <sz val="12.0"/>
      </rPr>
      <t>：</t>
    </r>
    <r>
      <rPr>
        <rFont val="Calibri"/>
        <color theme="1"/>
        <sz val="12.0"/>
      </rPr>
      <t xml:space="preserve">RIPP0~4 ;         </t>
    </r>
    <r>
      <rPr>
        <rFont val="宋体"/>
        <color theme="1"/>
        <sz val="12.0"/>
      </rPr>
      <t>其他值无效（包括</t>
    </r>
    <r>
      <rPr>
        <rFont val="Calibri"/>
        <color theme="1"/>
        <sz val="12.0"/>
      </rPr>
      <t>0</t>
    </r>
    <r>
      <rPr>
        <rFont val="宋体"/>
        <color theme="1"/>
        <sz val="12.0"/>
      </rPr>
      <t>）</t>
    </r>
  </si>
  <si>
    <r>
      <rPr>
        <rFont val="宋体"/>
        <color theme="1"/>
        <sz val="11.0"/>
      </rPr>
      <t>是</t>
    </r>
  </si>
  <si>
    <t>guwDeRCModel</t>
  </si>
  <si>
    <r>
      <rPr>
        <rFont val="宋体"/>
        <b/>
        <color theme="1"/>
        <sz val="12.0"/>
      </rPr>
      <t>√</t>
    </r>
  </si>
  <si>
    <r>
      <rPr>
        <rFont val="宋体"/>
        <b/>
        <color theme="1"/>
        <sz val="12.0"/>
      </rPr>
      <t>√</t>
    </r>
  </si>
  <si>
    <r>
      <rPr>
        <rFont val="宋体"/>
        <b/>
        <color theme="1"/>
        <sz val="12.0"/>
      </rPr>
      <t>√</t>
    </r>
  </si>
  <si>
    <r>
      <rPr>
        <rFont val="Calibri"/>
        <color theme="1"/>
        <sz val="11.0"/>
      </rPr>
      <t>RIPPLE CONTROL</t>
    </r>
    <r>
      <rPr>
        <rFont val="宋体"/>
        <color theme="1"/>
        <sz val="11.0"/>
      </rPr>
      <t>输出限功率</t>
    </r>
  </si>
  <si>
    <t>RCPLimit</t>
  </si>
  <si>
    <t>2036</t>
  </si>
  <si>
    <t>0~1000</t>
  </si>
  <si>
    <r>
      <rPr>
        <rFont val="宋体"/>
        <color theme="1"/>
        <sz val="11.0"/>
      </rPr>
      <t>是</t>
    </r>
  </si>
  <si>
    <t>gwDeRCPLimit</t>
  </si>
  <si>
    <r>
      <rPr>
        <rFont val="宋体"/>
        <b/>
        <color theme="1"/>
        <sz val="12.0"/>
      </rPr>
      <t>√</t>
    </r>
  </si>
  <si>
    <r>
      <rPr>
        <rFont val="宋体"/>
        <b/>
        <color theme="1"/>
        <sz val="12.0"/>
      </rPr>
      <t>√</t>
    </r>
  </si>
  <si>
    <r>
      <rPr>
        <rFont val="宋体"/>
        <b/>
        <color theme="1"/>
        <sz val="12.0"/>
      </rPr>
      <t>√</t>
    </r>
  </si>
  <si>
    <r>
      <rPr>
        <rFont val="宋体"/>
        <color theme="1"/>
        <sz val="12.0"/>
      </rPr>
      <t>初始连网时间</t>
    </r>
  </si>
  <si>
    <t>IniConnecT</t>
  </si>
  <si>
    <t>2037</t>
  </si>
  <si>
    <t>guwDeIniConnecT</t>
  </si>
  <si>
    <r>
      <rPr>
        <rFont val="宋体"/>
        <b/>
        <color theme="1"/>
        <sz val="12.0"/>
      </rPr>
      <t>√</t>
    </r>
  </si>
  <si>
    <r>
      <rPr>
        <rFont val="宋体"/>
        <b/>
        <color theme="1"/>
        <sz val="12.0"/>
      </rPr>
      <t>√</t>
    </r>
  </si>
  <si>
    <r>
      <rPr>
        <rFont val="宋体"/>
        <b/>
        <color theme="1"/>
        <sz val="12.0"/>
      </rPr>
      <t>√</t>
    </r>
  </si>
  <si>
    <r>
      <rPr>
        <rFont val="宋体"/>
        <color theme="1"/>
        <sz val="12.0"/>
      </rPr>
      <t>故障重连时间</t>
    </r>
  </si>
  <si>
    <t>ReConnecT</t>
  </si>
  <si>
    <t>2038</t>
  </si>
  <si>
    <t>20-600</t>
  </si>
  <si>
    <r>
      <rPr>
        <rFont val="宋体"/>
        <color theme="1"/>
        <sz val="12.0"/>
      </rPr>
      <t>是</t>
    </r>
  </si>
  <si>
    <t>guwDeReConnecT</t>
  </si>
  <si>
    <r>
      <rPr>
        <rFont val="宋体"/>
        <b/>
        <color theme="1"/>
        <sz val="12.0"/>
      </rPr>
      <t>√</t>
    </r>
  </si>
  <si>
    <r>
      <rPr>
        <rFont val="宋体"/>
        <b/>
        <color theme="1"/>
        <sz val="12.0"/>
      </rPr>
      <t>√</t>
    </r>
  </si>
  <si>
    <r>
      <rPr>
        <rFont val="宋体"/>
        <b/>
        <color theme="1"/>
        <sz val="12.0"/>
      </rPr>
      <t>√</t>
    </r>
  </si>
  <si>
    <r>
      <rPr>
        <rFont val="宋体"/>
        <color theme="1"/>
        <sz val="12.0"/>
      </rPr>
      <t>馈网限功率值</t>
    </r>
  </si>
  <si>
    <t>GridFeedPlimit</t>
  </si>
  <si>
    <t>2039-2040</t>
  </si>
  <si>
    <r>
      <rPr>
        <rFont val="宋体"/>
        <color theme="1"/>
        <sz val="12.0"/>
      </rPr>
      <t>是</t>
    </r>
  </si>
  <si>
    <t>glDeGridFeedPlimit</t>
  </si>
  <si>
    <r>
      <rPr>
        <rFont val="宋体"/>
        <b/>
        <color theme="1"/>
        <sz val="12.0"/>
      </rPr>
      <t>√</t>
    </r>
  </si>
  <si>
    <r>
      <rPr>
        <rFont val="宋体"/>
        <b/>
        <color theme="1"/>
        <sz val="12.0"/>
      </rPr>
      <t>√</t>
    </r>
  </si>
  <si>
    <r>
      <rPr>
        <rFont val="宋体"/>
        <b/>
        <color theme="1"/>
        <sz val="12.0"/>
      </rPr>
      <t>√</t>
    </r>
  </si>
  <si>
    <r>
      <rPr>
        <rFont val="宋体"/>
        <color theme="1"/>
        <sz val="12.0"/>
      </rPr>
      <t>电网取电限功率值</t>
    </r>
  </si>
  <si>
    <t>GridBackPlimit</t>
  </si>
  <si>
    <t>2041-2042</t>
  </si>
  <si>
    <t>glDeGridBackPlimit</t>
  </si>
  <si>
    <r>
      <rPr>
        <rFont val="宋体"/>
        <b/>
        <color theme="1"/>
        <sz val="12.0"/>
      </rPr>
      <t>√</t>
    </r>
  </si>
  <si>
    <r>
      <rPr>
        <rFont val="宋体"/>
        <b/>
        <color theme="1"/>
        <sz val="12.0"/>
      </rPr>
      <t>√</t>
    </r>
  </si>
  <si>
    <r>
      <rPr>
        <rFont val="宋体"/>
        <b/>
        <color theme="1"/>
        <sz val="12.0"/>
      </rPr>
      <t>√</t>
    </r>
  </si>
  <si>
    <r>
      <rPr>
        <rFont val="宋体"/>
        <color theme="1"/>
        <sz val="12.0"/>
      </rPr>
      <t>软起斜率</t>
    </r>
  </si>
  <si>
    <t>SoftStartSlope</t>
  </si>
  <si>
    <t>2043</t>
  </si>
  <si>
    <t>0-100</t>
  </si>
  <si>
    <r>
      <rPr>
        <rFont val="宋体"/>
        <color theme="1"/>
        <sz val="12.0"/>
      </rPr>
      <t>并网软起斜率</t>
    </r>
  </si>
  <si>
    <r>
      <rPr>
        <rFont val="宋体"/>
        <color theme="1"/>
        <sz val="12.0"/>
      </rPr>
      <t>是</t>
    </r>
  </si>
  <si>
    <t>guwDeSoftStartSlope</t>
  </si>
  <si>
    <r>
      <rPr>
        <rFont val="宋体"/>
        <b/>
        <color theme="1"/>
        <sz val="12.0"/>
      </rPr>
      <t>√</t>
    </r>
  </si>
  <si>
    <r>
      <rPr>
        <rFont val="宋体"/>
        <b/>
        <color theme="1"/>
        <sz val="12.0"/>
      </rPr>
      <t>√</t>
    </r>
  </si>
  <si>
    <r>
      <rPr>
        <rFont val="宋体"/>
        <b/>
        <color theme="1"/>
        <sz val="12.0"/>
      </rPr>
      <t>√</t>
    </r>
  </si>
  <si>
    <r>
      <rPr>
        <rFont val="宋体"/>
        <color theme="1"/>
        <sz val="12.0"/>
      </rPr>
      <t>功率缓变上升斜率</t>
    </r>
  </si>
  <si>
    <t>SoftIncSlope</t>
  </si>
  <si>
    <t>2044</t>
  </si>
  <si>
    <t>guwDeSoftIncSlope</t>
  </si>
  <si>
    <r>
      <rPr>
        <rFont val="宋体"/>
        <b/>
        <color theme="1"/>
        <sz val="12.0"/>
      </rPr>
      <t>√</t>
    </r>
  </si>
  <si>
    <r>
      <rPr>
        <rFont val="宋体"/>
        <b/>
        <color theme="1"/>
        <sz val="12.0"/>
      </rPr>
      <t>√</t>
    </r>
  </si>
  <si>
    <r>
      <rPr>
        <rFont val="宋体"/>
        <b/>
        <color theme="1"/>
        <sz val="12.0"/>
      </rPr>
      <t>√</t>
    </r>
  </si>
  <si>
    <r>
      <rPr>
        <rFont val="宋体"/>
        <color theme="1"/>
        <sz val="12.0"/>
      </rPr>
      <t>功率缓变下降斜率</t>
    </r>
  </si>
  <si>
    <t>SoftDecSlope</t>
  </si>
  <si>
    <t>2045</t>
  </si>
  <si>
    <t>guwDeSoftDecSlope</t>
  </si>
  <si>
    <r>
      <rPr>
        <rFont val="宋体"/>
        <b/>
        <color theme="1"/>
        <sz val="12.0"/>
      </rPr>
      <t>√</t>
    </r>
  </si>
  <si>
    <r>
      <rPr>
        <rFont val="宋体"/>
        <b/>
        <color theme="1"/>
        <sz val="12.0"/>
      </rPr>
      <t>√</t>
    </r>
  </si>
  <si>
    <r>
      <rPr>
        <rFont val="宋体"/>
        <b/>
        <color theme="1"/>
        <sz val="12.0"/>
      </rPr>
      <t>√</t>
    </r>
  </si>
  <si>
    <r>
      <rPr>
        <rFont val="宋体"/>
        <color theme="1"/>
        <sz val="10.0"/>
      </rPr>
      <t>预留</t>
    </r>
  </si>
  <si>
    <t>2046-2499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</si>
  <si>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</si>
  <si>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</si>
  <si>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</si>
  <si>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6</t>
    </r>
    <r>
      <rPr>
        <rFont val="宋体"/>
        <b/>
        <color theme="1"/>
        <sz val="14.0"/>
      </rPr>
      <t>（</t>
    </r>
    <r>
      <rPr>
        <rFont val="Calibri"/>
        <b/>
        <color theme="1"/>
        <sz val="14.0"/>
      </rPr>
      <t>EMS</t>
    </r>
    <r>
      <rPr>
        <rFont val="宋体"/>
        <b/>
        <color theme="1"/>
        <sz val="14.0"/>
      </rPr>
      <t>）</t>
    </r>
  </si>
  <si>
    <r>
      <rPr>
        <rFont val="宋体"/>
        <b/>
        <color theme="1"/>
        <sz val="12.0"/>
      </rPr>
      <t>√</t>
    </r>
  </si>
  <si>
    <r>
      <rPr>
        <rFont val="宋体"/>
        <b/>
        <color theme="1"/>
        <sz val="12.0"/>
      </rPr>
      <t>√</t>
    </r>
  </si>
  <si>
    <r>
      <rPr>
        <rFont val="宋体"/>
        <b/>
        <color theme="1"/>
        <sz val="12.0"/>
      </rPr>
      <t>√</t>
    </r>
  </si>
  <si>
    <r>
      <rPr>
        <rFont val="Calibri"/>
        <color theme="1"/>
        <sz val="12.0"/>
      </rPr>
      <t>EMS</t>
    </r>
    <r>
      <rPr>
        <rFont val="宋体"/>
        <color theme="1"/>
        <sz val="12.0"/>
      </rPr>
      <t>模式</t>
    </r>
  </si>
  <si>
    <t>EMSMode</t>
  </si>
  <si>
    <t>0:SelfUse
1:CharFst
2:SellFst
3:Maintain
4:CmdChar
5:ExtEms</t>
  </si>
  <si>
    <r>
      <rPr>
        <rFont val="宋体"/>
        <color theme="1"/>
        <sz val="12.0"/>
      </rPr>
      <t>是</t>
    </r>
  </si>
  <si>
    <t>guwDeEMSMode</t>
  </si>
  <si>
    <r>
      <rPr>
        <rFont val="宋体"/>
        <b/>
        <color theme="1"/>
        <sz val="12.0"/>
      </rPr>
      <t>√</t>
    </r>
  </si>
  <si>
    <r>
      <rPr>
        <rFont val="宋体"/>
        <b/>
        <color theme="1"/>
        <sz val="12.0"/>
      </rPr>
      <t>√</t>
    </r>
  </si>
  <si>
    <r>
      <rPr>
        <rFont val="宋体"/>
        <b/>
        <color theme="1"/>
        <sz val="12.0"/>
      </rPr>
      <t>√</t>
    </r>
  </si>
  <si>
    <r>
      <rPr>
        <rFont val="宋体"/>
        <color theme="1"/>
        <sz val="12.0"/>
      </rPr>
      <t>充放电指令</t>
    </r>
  </si>
  <si>
    <t>ChgCmd</t>
  </si>
  <si>
    <t>2501</t>
  </si>
  <si>
    <r>
      <rPr>
        <rFont val="Calibri"/>
        <color theme="1"/>
        <sz val="12.0"/>
      </rPr>
      <t>0xAA:</t>
    </r>
    <r>
      <rPr>
        <rFont val="宋体"/>
        <color theme="1"/>
        <sz val="12.0"/>
      </rPr>
      <t xml:space="preserve">充放电
</t>
    </r>
    <r>
      <rPr>
        <rFont val="Calibri"/>
        <color theme="1"/>
        <sz val="12.0"/>
      </rPr>
      <t>0xBB:</t>
    </r>
    <r>
      <rPr>
        <rFont val="宋体"/>
        <color theme="1"/>
        <sz val="12.0"/>
      </rPr>
      <t xml:space="preserve">停止
</t>
    </r>
    <r>
      <rPr>
        <rFont val="Calibri"/>
        <color theme="1"/>
        <sz val="12.0"/>
      </rPr>
      <t>0xCC:</t>
    </r>
    <r>
      <rPr>
        <rFont val="宋体"/>
        <color theme="1"/>
        <sz val="12.0"/>
      </rPr>
      <t xml:space="preserve">充电
</t>
    </r>
    <r>
      <rPr>
        <rFont val="Calibri"/>
        <color theme="1"/>
        <sz val="12.0"/>
      </rPr>
      <t>0xDD:</t>
    </r>
    <r>
      <rPr>
        <rFont val="宋体"/>
        <color theme="1"/>
        <sz val="12.0"/>
      </rPr>
      <t>放电</t>
    </r>
  </si>
  <si>
    <r>
      <rPr>
        <rFont val="宋体"/>
        <color theme="1"/>
        <sz val="12.0"/>
      </rPr>
      <t>否</t>
    </r>
  </si>
  <si>
    <t>guwDeChgCmd</t>
  </si>
  <si>
    <r>
      <rPr>
        <rFont val="宋体"/>
        <b/>
        <color theme="1"/>
        <sz val="12.0"/>
      </rPr>
      <t>√</t>
    </r>
  </si>
  <si>
    <r>
      <rPr>
        <rFont val="宋体"/>
        <b/>
        <color theme="1"/>
        <sz val="12.0"/>
      </rPr>
      <t>√</t>
    </r>
  </si>
  <si>
    <r>
      <rPr>
        <rFont val="宋体"/>
        <b/>
        <color theme="1"/>
        <sz val="12.0"/>
      </rPr>
      <t>√</t>
    </r>
  </si>
  <si>
    <t>充放电功率指令</t>
  </si>
  <si>
    <t>ChgPowerSet</t>
  </si>
  <si>
    <t>2502-2503</t>
  </si>
  <si>
    <r>
      <rPr>
        <rFont val="宋体"/>
        <color theme="1"/>
        <sz val="12.0"/>
      </rPr>
      <t>否</t>
    </r>
  </si>
  <si>
    <t>“充放电功率”修改为“充放电功率指令”</t>
  </si>
  <si>
    <t>glDeChgPowerSet</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</si>
  <si>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</si>
  <si>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</si>
  <si>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</si>
  <si>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充电功率百分比</t>
    </r>
  </si>
  <si>
    <t>AcPChgMax</t>
  </si>
  <si>
    <t>2504</t>
  </si>
  <si>
    <r>
      <rPr>
        <rFont val="宋体"/>
        <color theme="1"/>
        <sz val="12.0"/>
      </rPr>
      <t>是</t>
    </r>
  </si>
  <si>
    <t>guwDeCurrMaxAcChg</t>
  </si>
  <si>
    <r>
      <rPr>
        <rFont val="宋体"/>
        <b/>
        <color theme="1"/>
        <sz val="12.0"/>
      </rPr>
      <t>√</t>
    </r>
  </si>
  <si>
    <r>
      <rPr>
        <rFont val="宋体"/>
        <b/>
        <color theme="1"/>
        <sz val="12.0"/>
      </rPr>
      <t>√</t>
    </r>
  </si>
  <si>
    <r>
      <rPr>
        <rFont val="宋体"/>
        <b/>
        <color theme="1"/>
        <sz val="12.0"/>
      </rPr>
      <t>√</t>
    </r>
  </si>
  <si>
    <t>AC充电最大SOC</t>
  </si>
  <si>
    <t>AcSocMaxChg</t>
  </si>
  <si>
    <r>
      <rPr>
        <rFont val="宋体"/>
        <color theme="1"/>
        <sz val="12.0"/>
      </rPr>
      <t>是</t>
    </r>
  </si>
  <si>
    <t>“最大充电SOC”修改为“AC充电最大SOC”；“SocMaxChg”修改为“AcSocMaxChg”</t>
  </si>
  <si>
    <t>guwDeSocMaxChg</t>
  </si>
  <si>
    <r>
      <rPr>
        <rFont val="宋体"/>
        <b/>
        <color theme="1"/>
        <sz val="12.0"/>
      </rPr>
      <t>√</t>
    </r>
  </si>
  <si>
    <r>
      <rPr>
        <rFont val="宋体"/>
        <b/>
        <color theme="1"/>
        <sz val="12.0"/>
      </rPr>
      <t>√</t>
    </r>
  </si>
  <si>
    <r>
      <rPr>
        <rFont val="宋体"/>
        <b/>
        <color theme="1"/>
        <sz val="12.0"/>
      </rPr>
      <t>√</t>
    </r>
  </si>
  <si>
    <t>强制放电最小SOC</t>
  </si>
  <si>
    <t>SocMaxDisChg</t>
  </si>
  <si>
    <r>
      <rPr>
        <rFont val="宋体"/>
        <color theme="1"/>
        <sz val="12.0"/>
      </rPr>
      <t>是</t>
    </r>
  </si>
  <si>
    <t>“最小放电SOC”修改为“强制放电最小SOC”；</t>
  </si>
  <si>
    <t>guwDeSocMaxDisChg</t>
  </si>
  <si>
    <r>
      <rPr>
        <rFont val="宋体"/>
        <b/>
        <color theme="1"/>
        <sz val="12.0"/>
      </rPr>
      <t>√</t>
    </r>
  </si>
  <si>
    <r>
      <rPr>
        <rFont val="宋体"/>
        <b/>
        <color theme="1"/>
        <sz val="12.0"/>
      </rPr>
      <t>√</t>
    </r>
  </si>
  <si>
    <r>
      <rPr>
        <rFont val="宋体"/>
        <b/>
        <color theme="1"/>
        <sz val="12.0"/>
      </rPr>
      <t>√</t>
    </r>
  </si>
  <si>
    <r>
      <rPr>
        <rFont val="宋体"/>
        <color theme="1"/>
        <sz val="12.0"/>
      </rPr>
      <t>强制充电功率百分比</t>
    </r>
  </si>
  <si>
    <t>PChgMax</t>
  </si>
  <si>
    <r>
      <rPr>
        <rFont val="宋体"/>
        <color theme="1"/>
        <sz val="12.0"/>
      </rPr>
      <t>是</t>
    </r>
  </si>
  <si>
    <t>guwDePChgMax</t>
  </si>
  <si>
    <r>
      <rPr>
        <rFont val="宋体"/>
        <b/>
        <color theme="1"/>
        <sz val="12.0"/>
      </rPr>
      <t>√</t>
    </r>
  </si>
  <si>
    <r>
      <rPr>
        <rFont val="宋体"/>
        <b/>
        <color theme="1"/>
        <sz val="12.0"/>
      </rPr>
      <t>√</t>
    </r>
  </si>
  <si>
    <r>
      <rPr>
        <rFont val="宋体"/>
        <b/>
        <color theme="1"/>
        <sz val="12.0"/>
      </rPr>
      <t>√</t>
    </r>
  </si>
  <si>
    <r>
      <rPr>
        <rFont val="宋体"/>
        <color theme="1"/>
        <sz val="12.0"/>
      </rPr>
      <t>强制放电功率百分比</t>
    </r>
  </si>
  <si>
    <t>PDisChgMax</t>
  </si>
  <si>
    <r>
      <rPr>
        <rFont val="宋体"/>
        <color theme="1"/>
        <sz val="12.0"/>
      </rPr>
      <t>是</t>
    </r>
  </si>
  <si>
    <t>guwDePDisChgMax</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</si>
  <si>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</si>
  <si>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</si>
  <si>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</si>
  <si>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充电开始时间</t>
    </r>
    <r>
      <rPr>
        <rFont val="Calibri"/>
        <color theme="1"/>
        <sz val="12.0"/>
      </rPr>
      <t>1</t>
    </r>
  </si>
  <si>
    <t xml:space="preserve">TimeOnAcChg1    </t>
  </si>
  <si>
    <t>H:0-23
M:0-59</t>
  </si>
  <si>
    <r>
      <rPr>
        <rFont val="宋体"/>
        <color theme="1"/>
        <sz val="12.0"/>
      </rPr>
      <t>结合实际项目区分周末和工作日</t>
    </r>
  </si>
  <si>
    <r>
      <rPr>
        <rFont val="宋体"/>
        <color theme="1"/>
        <sz val="12.0"/>
      </rPr>
      <t>是</t>
    </r>
  </si>
  <si>
    <t>guwDeTimeOnAcChg1</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</si>
  <si>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</si>
  <si>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</si>
  <si>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</si>
  <si>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充电结束时间</t>
    </r>
    <r>
      <rPr>
        <rFont val="Calibri"/>
        <color theme="1"/>
        <sz val="12.0"/>
      </rPr>
      <t>1</t>
    </r>
  </si>
  <si>
    <t xml:space="preserve">TimeOffAcChg1 </t>
  </si>
  <si>
    <r>
      <rPr>
        <rFont val="宋体"/>
        <color theme="1"/>
        <sz val="12.0"/>
      </rPr>
      <t>是</t>
    </r>
  </si>
  <si>
    <t>guwDeTimeOffAcChg1</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</si>
  <si>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</si>
  <si>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</si>
  <si>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</si>
  <si>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充电开始时间</t>
    </r>
    <r>
      <rPr>
        <rFont val="Calibri"/>
        <color theme="1"/>
        <sz val="12.0"/>
      </rPr>
      <t>2</t>
    </r>
  </si>
  <si>
    <t>TimeOnAcChg2</t>
  </si>
  <si>
    <r>
      <rPr>
        <rFont val="宋体"/>
        <color theme="1"/>
        <sz val="12.0"/>
      </rPr>
      <t>是</t>
    </r>
  </si>
  <si>
    <t>guwDeTimeOnAcChg2</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</si>
  <si>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</si>
  <si>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</si>
  <si>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</si>
  <si>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充电结束时间</t>
    </r>
    <r>
      <rPr>
        <rFont val="Calibri"/>
        <color theme="1"/>
        <sz val="12.0"/>
      </rPr>
      <t>2</t>
    </r>
  </si>
  <si>
    <t>TimeOffAcChg2</t>
  </si>
  <si>
    <r>
      <rPr>
        <rFont val="宋体"/>
        <color theme="1"/>
        <sz val="12.0"/>
      </rPr>
      <t>是</t>
    </r>
  </si>
  <si>
    <t>guwDeTimeOffAcChg2</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</si>
  <si>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</si>
  <si>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</si>
  <si>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</si>
  <si>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充电开始时间</t>
    </r>
    <r>
      <rPr>
        <rFont val="Calibri"/>
        <color theme="1"/>
        <sz val="12.0"/>
      </rPr>
      <t>3</t>
    </r>
  </si>
  <si>
    <t>TimeOnAcChg3</t>
  </si>
  <si>
    <r>
      <rPr>
        <rFont val="宋体"/>
        <color theme="1"/>
        <sz val="12.0"/>
      </rPr>
      <t>是</t>
    </r>
  </si>
  <si>
    <t>guwDeTimeOnAcChg3</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</si>
  <si>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</si>
  <si>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</si>
  <si>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</si>
  <si>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充电结束时间</t>
    </r>
    <r>
      <rPr>
        <rFont val="Calibri"/>
        <color theme="1"/>
        <sz val="12.0"/>
      </rPr>
      <t>3</t>
    </r>
  </si>
  <si>
    <t>TimeOffAcChg3</t>
  </si>
  <si>
    <r>
      <rPr>
        <rFont val="宋体"/>
        <color theme="1"/>
        <sz val="12.0"/>
      </rPr>
      <t>是</t>
    </r>
  </si>
  <si>
    <t>guwDeTimeOffAcChg3</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</si>
  <si>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</si>
  <si>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</si>
  <si>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</si>
  <si>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充电开始时间</t>
    </r>
    <r>
      <rPr>
        <rFont val="Calibri"/>
        <color theme="1"/>
        <sz val="12.0"/>
      </rPr>
      <t>4</t>
    </r>
  </si>
  <si>
    <t>TimeOnAcChg4</t>
  </si>
  <si>
    <t>guwDeTimeOnAcChg4</t>
  </si>
  <si>
    <r>
      <rPr>
        <rFont val="宋体"/>
        <b/>
        <color theme="1"/>
        <sz val="12.0"/>
      </rPr>
      <t>√</t>
    </r>
  </si>
  <si>
    <r>
      <rPr>
        <rFont val="宋体"/>
        <b/>
        <color theme="1"/>
        <sz val="12.0"/>
      </rPr>
      <t>√</t>
    </r>
  </si>
  <si>
    <r>
      <rPr>
        <rFont val="宋体"/>
        <b/>
        <color theme="1"/>
        <sz val="12.0"/>
      </rPr>
      <t>√</t>
    </r>
  </si>
  <si>
    <r>
      <rPr>
        <rFont val="Calibri"/>
        <color theme="1"/>
        <sz val="12.0"/>
      </rPr>
      <t>AC</t>
    </r>
    <r>
      <rPr>
        <rFont val="宋体"/>
        <color theme="1"/>
        <sz val="12.0"/>
      </rPr>
      <t>充电结束时间</t>
    </r>
    <r>
      <rPr>
        <rFont val="Calibri"/>
        <color theme="1"/>
        <sz val="12.0"/>
      </rPr>
      <t>4</t>
    </r>
  </si>
  <si>
    <t>TimeOffAcChg4</t>
  </si>
  <si>
    <t>guwDeTimeOffAcChg4</t>
  </si>
  <si>
    <r>
      <rPr>
        <rFont val="宋体"/>
        <b/>
        <color theme="1"/>
        <sz val="12.0"/>
      </rPr>
      <t>√</t>
    </r>
  </si>
  <si>
    <r>
      <rPr>
        <rFont val="宋体"/>
        <b/>
        <color theme="1"/>
        <sz val="12.0"/>
      </rPr>
      <t>√</t>
    </r>
  </si>
  <si>
    <r>
      <rPr>
        <rFont val="宋体"/>
        <b/>
        <color theme="1"/>
        <sz val="12.0"/>
      </rPr>
      <t>√</t>
    </r>
  </si>
  <si>
    <r>
      <rPr>
        <rFont val="宋体"/>
        <color theme="1"/>
        <sz val="12.0"/>
      </rPr>
      <t>强制充电开始时间</t>
    </r>
    <r>
      <rPr>
        <rFont val="Calibri"/>
        <color theme="1"/>
        <sz val="12.0"/>
      </rPr>
      <t>1</t>
    </r>
  </si>
  <si>
    <t xml:space="preserve">TimeOnForceChg1    </t>
  </si>
  <si>
    <r>
      <rPr>
        <rFont val="宋体"/>
        <color theme="1"/>
        <sz val="12.0"/>
      </rPr>
      <t>是</t>
    </r>
  </si>
  <si>
    <t>guwDeTimeOnForceChg1</t>
  </si>
  <si>
    <r>
      <rPr>
        <rFont val="宋体"/>
        <b/>
        <color theme="1"/>
        <sz val="12.0"/>
      </rPr>
      <t>√</t>
    </r>
  </si>
  <si>
    <r>
      <rPr>
        <rFont val="宋体"/>
        <b/>
        <color theme="1"/>
        <sz val="12.0"/>
      </rPr>
      <t>√</t>
    </r>
  </si>
  <si>
    <r>
      <rPr>
        <rFont val="宋体"/>
        <b/>
        <color theme="1"/>
        <sz val="12.0"/>
      </rPr>
      <t>√</t>
    </r>
  </si>
  <si>
    <r>
      <rPr>
        <rFont val="宋体"/>
        <color theme="1"/>
        <sz val="12.0"/>
      </rPr>
      <t>强制充电结束时间</t>
    </r>
    <r>
      <rPr>
        <rFont val="Calibri"/>
        <color theme="1"/>
        <sz val="12.0"/>
      </rPr>
      <t>1</t>
    </r>
  </si>
  <si>
    <t xml:space="preserve">TimeOffForceChg1 </t>
  </si>
  <si>
    <r>
      <rPr>
        <rFont val="宋体"/>
        <color theme="1"/>
        <sz val="12.0"/>
      </rPr>
      <t>是</t>
    </r>
  </si>
  <si>
    <t>guwDeTimeOffForceChg1</t>
  </si>
  <si>
    <r>
      <rPr>
        <rFont val="宋体"/>
        <b/>
        <color theme="1"/>
        <sz val="12.0"/>
      </rPr>
      <t>√</t>
    </r>
  </si>
  <si>
    <r>
      <rPr>
        <rFont val="宋体"/>
        <b/>
        <color theme="1"/>
        <sz val="12.0"/>
      </rPr>
      <t>√</t>
    </r>
  </si>
  <si>
    <r>
      <rPr>
        <rFont val="宋体"/>
        <b/>
        <color theme="1"/>
        <sz val="12.0"/>
      </rPr>
      <t>√</t>
    </r>
  </si>
  <si>
    <r>
      <rPr>
        <rFont val="宋体"/>
        <color theme="1"/>
        <sz val="12.0"/>
      </rPr>
      <t>强制充电开始时间</t>
    </r>
    <r>
      <rPr>
        <rFont val="Calibri"/>
        <color theme="1"/>
        <sz val="12.0"/>
      </rPr>
      <t>2</t>
    </r>
  </si>
  <si>
    <t>TimeOnForceChg2</t>
  </si>
  <si>
    <r>
      <rPr>
        <rFont val="宋体"/>
        <color theme="1"/>
        <sz val="12.0"/>
      </rPr>
      <t>是</t>
    </r>
  </si>
  <si>
    <t>guwDeTimeOnForceChg2</t>
  </si>
  <si>
    <r>
      <rPr>
        <rFont val="宋体"/>
        <b/>
        <color theme="1"/>
        <sz val="12.0"/>
      </rPr>
      <t>√</t>
    </r>
  </si>
  <si>
    <r>
      <rPr>
        <rFont val="宋体"/>
        <b/>
        <color theme="1"/>
        <sz val="12.0"/>
      </rPr>
      <t>√</t>
    </r>
  </si>
  <si>
    <r>
      <rPr>
        <rFont val="宋体"/>
        <b/>
        <color theme="1"/>
        <sz val="12.0"/>
      </rPr>
      <t>√</t>
    </r>
  </si>
  <si>
    <r>
      <rPr>
        <rFont val="宋体"/>
        <color theme="1"/>
        <sz val="12.0"/>
      </rPr>
      <t>强制充电结束时间</t>
    </r>
    <r>
      <rPr>
        <rFont val="Calibri"/>
        <color theme="1"/>
        <sz val="12.0"/>
      </rPr>
      <t>2</t>
    </r>
  </si>
  <si>
    <t>TimeOffForceChg2</t>
  </si>
  <si>
    <r>
      <rPr>
        <rFont val="宋体"/>
        <color theme="1"/>
        <sz val="12.0"/>
      </rPr>
      <t>是</t>
    </r>
  </si>
  <si>
    <t>guwDeTimeOffForceChg2</t>
  </si>
  <si>
    <r>
      <rPr>
        <rFont val="宋体"/>
        <b/>
        <color theme="1"/>
        <sz val="12.0"/>
      </rPr>
      <t>√</t>
    </r>
  </si>
  <si>
    <r>
      <rPr>
        <rFont val="宋体"/>
        <b/>
        <color theme="1"/>
        <sz val="12.0"/>
      </rPr>
      <t>√</t>
    </r>
  </si>
  <si>
    <r>
      <rPr>
        <rFont val="宋体"/>
        <b/>
        <color theme="1"/>
        <sz val="12.0"/>
      </rPr>
      <t>√</t>
    </r>
  </si>
  <si>
    <r>
      <rPr>
        <rFont val="宋体"/>
        <color theme="1"/>
        <sz val="12.0"/>
      </rPr>
      <t>强制充电开始时间</t>
    </r>
    <r>
      <rPr>
        <rFont val="Calibri"/>
        <color theme="1"/>
        <sz val="12.0"/>
      </rPr>
      <t>3</t>
    </r>
  </si>
  <si>
    <t>TimeOnForceChg3</t>
  </si>
  <si>
    <r>
      <rPr>
        <rFont val="宋体"/>
        <color theme="1"/>
        <sz val="12.0"/>
      </rPr>
      <t>是</t>
    </r>
  </si>
  <si>
    <t>guwDeTimeOnForceChg3</t>
  </si>
  <si>
    <r>
      <rPr>
        <rFont val="宋体"/>
        <b/>
        <color theme="1"/>
        <sz val="12.0"/>
      </rPr>
      <t>√</t>
    </r>
  </si>
  <si>
    <r>
      <rPr>
        <rFont val="宋体"/>
        <b/>
        <color theme="1"/>
        <sz val="12.0"/>
      </rPr>
      <t>√</t>
    </r>
  </si>
  <si>
    <r>
      <rPr>
        <rFont val="宋体"/>
        <b/>
        <color theme="1"/>
        <sz val="12.0"/>
      </rPr>
      <t>√</t>
    </r>
  </si>
  <si>
    <r>
      <rPr>
        <rFont val="宋体"/>
        <color theme="1"/>
        <sz val="12.0"/>
      </rPr>
      <t>强制充电结束时间</t>
    </r>
    <r>
      <rPr>
        <rFont val="Calibri"/>
        <color theme="1"/>
        <sz val="12.0"/>
      </rPr>
      <t>3</t>
    </r>
  </si>
  <si>
    <t>TimeOffForceChg3</t>
  </si>
  <si>
    <r>
      <rPr>
        <rFont val="宋体"/>
        <color theme="1"/>
        <sz val="12.0"/>
      </rPr>
      <t>是</t>
    </r>
  </si>
  <si>
    <t>guwDeTimeOffForceChg3</t>
  </si>
  <si>
    <r>
      <rPr>
        <rFont val="宋体"/>
        <b/>
        <color theme="1"/>
        <sz val="12.0"/>
      </rPr>
      <t>√</t>
    </r>
  </si>
  <si>
    <r>
      <rPr>
        <rFont val="宋体"/>
        <b/>
        <color theme="1"/>
        <sz val="12.0"/>
      </rPr>
      <t>√</t>
    </r>
  </si>
  <si>
    <r>
      <rPr>
        <rFont val="宋体"/>
        <b/>
        <color theme="1"/>
        <sz val="12.0"/>
      </rPr>
      <t>√</t>
    </r>
  </si>
  <si>
    <r>
      <rPr>
        <rFont val="宋体"/>
        <color theme="1"/>
        <sz val="12.0"/>
      </rPr>
      <t>强制充电开始时间</t>
    </r>
    <r>
      <rPr>
        <rFont val="Calibri"/>
        <color theme="1"/>
        <sz val="12.0"/>
      </rPr>
      <t>4</t>
    </r>
  </si>
  <si>
    <t>TimeOnForceChg4</t>
  </si>
  <si>
    <t>guwDeTimeOnForceChg4</t>
  </si>
  <si>
    <r>
      <rPr>
        <rFont val="宋体"/>
        <b/>
        <color theme="1"/>
        <sz val="12.0"/>
      </rPr>
      <t>√</t>
    </r>
  </si>
  <si>
    <r>
      <rPr>
        <rFont val="宋体"/>
        <b/>
        <color theme="1"/>
        <sz val="12.0"/>
      </rPr>
      <t>√</t>
    </r>
  </si>
  <si>
    <r>
      <rPr>
        <rFont val="宋体"/>
        <b/>
        <color theme="1"/>
        <sz val="12.0"/>
      </rPr>
      <t>√</t>
    </r>
  </si>
  <si>
    <r>
      <rPr>
        <rFont val="宋体"/>
        <color theme="1"/>
        <sz val="12.0"/>
      </rPr>
      <t>强制充电结束时间</t>
    </r>
    <r>
      <rPr>
        <rFont val="Calibri"/>
        <color theme="1"/>
        <sz val="12.0"/>
      </rPr>
      <t>4</t>
    </r>
  </si>
  <si>
    <t>TimeOffForceChg4</t>
  </si>
  <si>
    <t>2524</t>
  </si>
  <si>
    <t>guwDeTimeOffForceChg4</t>
  </si>
  <si>
    <r>
      <rPr>
        <rFont val="宋体"/>
        <b/>
        <color theme="1"/>
        <sz val="12.0"/>
      </rPr>
      <t>√</t>
    </r>
  </si>
  <si>
    <r>
      <rPr>
        <rFont val="宋体"/>
        <b/>
        <color theme="1"/>
        <sz val="12.0"/>
      </rPr>
      <t>√</t>
    </r>
  </si>
  <si>
    <r>
      <rPr>
        <rFont val="宋体"/>
        <b/>
        <color theme="1"/>
        <sz val="12.0"/>
      </rPr>
      <t>√</t>
    </r>
  </si>
  <si>
    <r>
      <rPr>
        <rFont val="宋体"/>
        <color theme="1"/>
        <sz val="12.0"/>
      </rPr>
      <t>强制放电开始时间</t>
    </r>
    <r>
      <rPr>
        <rFont val="Calibri"/>
        <color theme="1"/>
        <sz val="12.0"/>
      </rPr>
      <t>1</t>
    </r>
  </si>
  <si>
    <t xml:space="preserve">TimeOnForceDisChg1    </t>
  </si>
  <si>
    <t>2525</t>
  </si>
  <si>
    <r>
      <rPr>
        <rFont val="宋体"/>
        <color theme="1"/>
        <sz val="12.0"/>
      </rPr>
      <t>是</t>
    </r>
  </si>
  <si>
    <t>guwDeTimeOnForceDisChg1</t>
  </si>
  <si>
    <r>
      <rPr>
        <rFont val="宋体"/>
        <b/>
        <color theme="1"/>
        <sz val="12.0"/>
      </rPr>
      <t>√</t>
    </r>
  </si>
  <si>
    <r>
      <rPr>
        <rFont val="宋体"/>
        <b/>
        <color theme="1"/>
        <sz val="12.0"/>
      </rPr>
      <t>√</t>
    </r>
  </si>
  <si>
    <r>
      <rPr>
        <rFont val="宋体"/>
        <b/>
        <color theme="1"/>
        <sz val="12.0"/>
      </rPr>
      <t>√</t>
    </r>
  </si>
  <si>
    <r>
      <rPr>
        <rFont val="宋体"/>
        <color theme="1"/>
        <sz val="12.0"/>
      </rPr>
      <t>强制放电结束时间</t>
    </r>
    <r>
      <rPr>
        <rFont val="Calibri"/>
        <color theme="1"/>
        <sz val="12.0"/>
      </rPr>
      <t>1</t>
    </r>
  </si>
  <si>
    <t xml:space="preserve">TimeOffForceDisChg1 </t>
  </si>
  <si>
    <t>2526</t>
  </si>
  <si>
    <r>
      <rPr>
        <rFont val="宋体"/>
        <color theme="1"/>
        <sz val="12.0"/>
      </rPr>
      <t>是</t>
    </r>
  </si>
  <si>
    <t>guwDeTimeOffForceDisChg1</t>
  </si>
  <si>
    <r>
      <rPr>
        <rFont val="宋体"/>
        <b/>
        <color theme="1"/>
        <sz val="12.0"/>
      </rPr>
      <t>√</t>
    </r>
  </si>
  <si>
    <r>
      <rPr>
        <rFont val="宋体"/>
        <b/>
        <color theme="1"/>
        <sz val="12.0"/>
      </rPr>
      <t>√</t>
    </r>
  </si>
  <si>
    <r>
      <rPr>
        <rFont val="宋体"/>
        <b/>
        <color theme="1"/>
        <sz val="12.0"/>
      </rPr>
      <t>√</t>
    </r>
  </si>
  <si>
    <r>
      <rPr>
        <rFont val="宋体"/>
        <color theme="1"/>
        <sz val="12.0"/>
      </rPr>
      <t>强制放电开始时间</t>
    </r>
    <r>
      <rPr>
        <rFont val="Calibri"/>
        <color theme="1"/>
        <sz val="12.0"/>
      </rPr>
      <t>2</t>
    </r>
  </si>
  <si>
    <t>TimeOnForceDisChg2</t>
  </si>
  <si>
    <t>2527</t>
  </si>
  <si>
    <r>
      <rPr>
        <rFont val="宋体"/>
        <color theme="1"/>
        <sz val="12.0"/>
      </rPr>
      <t>是</t>
    </r>
  </si>
  <si>
    <t>guwDeTimeOnForceDisChg2</t>
  </si>
  <si>
    <r>
      <rPr>
        <rFont val="宋体"/>
        <b/>
        <color theme="1"/>
        <sz val="12.0"/>
      </rPr>
      <t>√</t>
    </r>
  </si>
  <si>
    <r>
      <rPr>
        <rFont val="宋体"/>
        <b/>
        <color theme="1"/>
        <sz val="12.0"/>
      </rPr>
      <t>√</t>
    </r>
  </si>
  <si>
    <r>
      <rPr>
        <rFont val="宋体"/>
        <b/>
        <color theme="1"/>
        <sz val="12.0"/>
      </rPr>
      <t>√</t>
    </r>
  </si>
  <si>
    <r>
      <rPr>
        <rFont val="宋体"/>
        <color theme="1"/>
        <sz val="12.0"/>
      </rPr>
      <t>强制放电结束时间</t>
    </r>
    <r>
      <rPr>
        <rFont val="Calibri"/>
        <color theme="1"/>
        <sz val="12.0"/>
      </rPr>
      <t>2</t>
    </r>
  </si>
  <si>
    <t>TimeOffForceDisChg2</t>
  </si>
  <si>
    <t>2528</t>
  </si>
  <si>
    <r>
      <rPr>
        <rFont val="宋体"/>
        <color theme="1"/>
        <sz val="12.0"/>
      </rPr>
      <t>是</t>
    </r>
  </si>
  <si>
    <t>guwDeTimeOffForceDisChg2</t>
  </si>
  <si>
    <r>
      <rPr>
        <rFont val="宋体"/>
        <b/>
        <color theme="1"/>
        <sz val="12.0"/>
      </rPr>
      <t>√</t>
    </r>
  </si>
  <si>
    <r>
      <rPr>
        <rFont val="宋体"/>
        <b/>
        <color theme="1"/>
        <sz val="12.0"/>
      </rPr>
      <t>√</t>
    </r>
  </si>
  <si>
    <r>
      <rPr>
        <rFont val="宋体"/>
        <b/>
        <color theme="1"/>
        <sz val="12.0"/>
      </rPr>
      <t>√</t>
    </r>
  </si>
  <si>
    <r>
      <rPr>
        <rFont val="宋体"/>
        <color theme="1"/>
        <sz val="12.0"/>
      </rPr>
      <t>强制放电开始时间</t>
    </r>
    <r>
      <rPr>
        <rFont val="Calibri"/>
        <color theme="1"/>
        <sz val="12.0"/>
      </rPr>
      <t>3</t>
    </r>
  </si>
  <si>
    <t>TimeOnForceDisChg3</t>
  </si>
  <si>
    <t>2529</t>
  </si>
  <si>
    <r>
      <rPr>
        <rFont val="宋体"/>
        <color theme="1"/>
        <sz val="12.0"/>
      </rPr>
      <t>是</t>
    </r>
  </si>
  <si>
    <t>guwDeTimeOnForceDisChg3</t>
  </si>
  <si>
    <r>
      <rPr>
        <rFont val="宋体"/>
        <b/>
        <color theme="1"/>
        <sz val="12.0"/>
      </rPr>
      <t>√</t>
    </r>
  </si>
  <si>
    <r>
      <rPr>
        <rFont val="宋体"/>
        <b/>
        <color theme="1"/>
        <sz val="12.0"/>
      </rPr>
      <t>√</t>
    </r>
  </si>
  <si>
    <r>
      <rPr>
        <rFont val="宋体"/>
        <b/>
        <color theme="1"/>
        <sz val="12.0"/>
      </rPr>
      <t>√</t>
    </r>
  </si>
  <si>
    <r>
      <rPr>
        <rFont val="宋体"/>
        <color theme="1"/>
        <sz val="12.0"/>
      </rPr>
      <t>强制放电结束时间</t>
    </r>
    <r>
      <rPr>
        <rFont val="Calibri"/>
        <color theme="1"/>
        <sz val="12.0"/>
      </rPr>
      <t>3</t>
    </r>
  </si>
  <si>
    <t>TimeOffForceDisChg3</t>
  </si>
  <si>
    <t>2530</t>
  </si>
  <si>
    <r>
      <rPr>
        <rFont val="宋体"/>
        <color theme="1"/>
        <sz val="12.0"/>
      </rPr>
      <t>是</t>
    </r>
  </si>
  <si>
    <t>guwDeTimeOffForceDisChg3</t>
  </si>
  <si>
    <r>
      <rPr>
        <rFont val="宋体"/>
        <b/>
        <color theme="1"/>
        <sz val="12.0"/>
      </rPr>
      <t>√</t>
    </r>
  </si>
  <si>
    <r>
      <rPr>
        <rFont val="宋体"/>
        <b/>
        <color theme="1"/>
        <sz val="12.0"/>
      </rPr>
      <t>√</t>
    </r>
  </si>
  <si>
    <r>
      <rPr>
        <rFont val="宋体"/>
        <b/>
        <color theme="1"/>
        <sz val="12.0"/>
      </rPr>
      <t>√</t>
    </r>
  </si>
  <si>
    <r>
      <rPr>
        <rFont val="宋体"/>
        <color theme="1"/>
        <sz val="12.0"/>
      </rPr>
      <t>强制放电开始时间</t>
    </r>
    <r>
      <rPr>
        <rFont val="Calibri"/>
        <color theme="1"/>
        <sz val="12.0"/>
      </rPr>
      <t>4</t>
    </r>
  </si>
  <si>
    <t>TimeOnForceDisChg4</t>
  </si>
  <si>
    <t>2531</t>
  </si>
  <si>
    <t>guwDeTimeOnForceDisChg4</t>
  </si>
  <si>
    <r>
      <rPr>
        <rFont val="宋体"/>
        <b/>
        <color theme="1"/>
        <sz val="12.0"/>
      </rPr>
      <t>√</t>
    </r>
  </si>
  <si>
    <r>
      <rPr>
        <rFont val="宋体"/>
        <b/>
        <color theme="1"/>
        <sz val="12.0"/>
      </rPr>
      <t>√</t>
    </r>
  </si>
  <si>
    <r>
      <rPr>
        <rFont val="宋体"/>
        <b/>
        <color theme="1"/>
        <sz val="12.0"/>
      </rPr>
      <t>√</t>
    </r>
  </si>
  <si>
    <r>
      <rPr>
        <rFont val="宋体"/>
        <color theme="1"/>
        <sz val="12.0"/>
      </rPr>
      <t>强制放电结束时间</t>
    </r>
    <r>
      <rPr>
        <rFont val="Calibri"/>
        <color theme="1"/>
        <sz val="12.0"/>
      </rPr>
      <t>4</t>
    </r>
  </si>
  <si>
    <t>TimeOffForceDisChg4</t>
  </si>
  <si>
    <t>2532</t>
  </si>
  <si>
    <t>guwDeTimeOffForceDisChg4</t>
  </si>
  <si>
    <r>
      <rPr>
        <rFont val="宋体"/>
        <b/>
        <color theme="1"/>
        <sz val="12.0"/>
      </rPr>
      <t>√</t>
    </r>
  </si>
  <si>
    <r>
      <rPr>
        <rFont val="宋体"/>
        <b/>
        <color theme="1"/>
        <sz val="12.0"/>
      </rPr>
      <t>√</t>
    </r>
  </si>
  <si>
    <r>
      <rPr>
        <rFont val="宋体"/>
        <b/>
        <color theme="1"/>
        <sz val="12.0"/>
      </rPr>
      <t>√</t>
    </r>
  </si>
  <si>
    <r>
      <rPr>
        <rFont val="宋体"/>
        <color theme="1"/>
        <sz val="12.0"/>
      </rPr>
      <t>禁止放电开始时间</t>
    </r>
    <r>
      <rPr>
        <rFont val="Calibri"/>
        <color theme="1"/>
        <sz val="12.0"/>
      </rPr>
      <t>1</t>
    </r>
  </si>
  <si>
    <t>TimeOnForbidChg1</t>
  </si>
  <si>
    <t>2533</t>
  </si>
  <si>
    <r>
      <rPr>
        <rFont val="宋体"/>
        <color theme="1"/>
        <sz val="12.0"/>
      </rPr>
      <t>是</t>
    </r>
  </si>
  <si>
    <t>guwDeTimeOnForbidChg1</t>
  </si>
  <si>
    <r>
      <rPr>
        <rFont val="宋体"/>
        <b/>
        <color theme="1"/>
        <sz val="12.0"/>
      </rPr>
      <t>√</t>
    </r>
  </si>
  <si>
    <r>
      <rPr>
        <rFont val="宋体"/>
        <b/>
        <color theme="1"/>
        <sz val="12.0"/>
      </rPr>
      <t>√</t>
    </r>
  </si>
  <si>
    <r>
      <rPr>
        <rFont val="宋体"/>
        <b/>
        <color theme="1"/>
        <sz val="12.0"/>
      </rPr>
      <t>√</t>
    </r>
  </si>
  <si>
    <r>
      <rPr>
        <rFont val="宋体"/>
        <color theme="1"/>
        <sz val="12.0"/>
      </rPr>
      <t>禁止放电结束时间</t>
    </r>
    <r>
      <rPr>
        <rFont val="Calibri"/>
        <color theme="1"/>
        <sz val="12.0"/>
      </rPr>
      <t>1</t>
    </r>
  </si>
  <si>
    <t>TimeOffForbidChg1</t>
  </si>
  <si>
    <t>2534</t>
  </si>
  <si>
    <r>
      <rPr>
        <rFont val="宋体"/>
        <color theme="1"/>
        <sz val="12.0"/>
      </rPr>
      <t>是</t>
    </r>
  </si>
  <si>
    <t>guwDeTimeOffForbidChg1</t>
  </si>
  <si>
    <r>
      <rPr>
        <rFont val="宋体"/>
        <b/>
        <color theme="1"/>
        <sz val="12.0"/>
      </rPr>
      <t>√</t>
    </r>
  </si>
  <si>
    <r>
      <rPr>
        <rFont val="宋体"/>
        <b/>
        <color theme="1"/>
        <sz val="12.0"/>
      </rPr>
      <t>√</t>
    </r>
  </si>
  <si>
    <r>
      <rPr>
        <rFont val="宋体"/>
        <b/>
        <color theme="1"/>
        <sz val="12.0"/>
      </rPr>
      <t>√</t>
    </r>
  </si>
  <si>
    <r>
      <rPr>
        <rFont val="宋体"/>
        <color theme="1"/>
        <sz val="12.0"/>
      </rPr>
      <t>禁止放电开始时间</t>
    </r>
    <r>
      <rPr>
        <rFont val="Calibri"/>
        <color theme="1"/>
        <sz val="12.0"/>
      </rPr>
      <t>2</t>
    </r>
  </si>
  <si>
    <t>TimeOnForbidChg2</t>
  </si>
  <si>
    <t>2535</t>
  </si>
  <si>
    <r>
      <rPr>
        <rFont val="宋体"/>
        <color theme="1"/>
        <sz val="12.0"/>
      </rPr>
      <t>是</t>
    </r>
  </si>
  <si>
    <t>guwDeTimeOnForbidChg2</t>
  </si>
  <si>
    <r>
      <rPr>
        <rFont val="宋体"/>
        <b/>
        <color theme="1"/>
        <sz val="12.0"/>
      </rPr>
      <t>√</t>
    </r>
  </si>
  <si>
    <r>
      <rPr>
        <rFont val="宋体"/>
        <b/>
        <color theme="1"/>
        <sz val="12.0"/>
      </rPr>
      <t>√</t>
    </r>
  </si>
  <si>
    <r>
      <rPr>
        <rFont val="宋体"/>
        <b/>
        <color theme="1"/>
        <sz val="12.0"/>
      </rPr>
      <t>√</t>
    </r>
  </si>
  <si>
    <r>
      <rPr>
        <rFont val="宋体"/>
        <color theme="1"/>
        <sz val="12.0"/>
      </rPr>
      <t>禁止放电结束时间</t>
    </r>
    <r>
      <rPr>
        <rFont val="Calibri"/>
        <color theme="1"/>
        <sz val="12.0"/>
      </rPr>
      <t>2</t>
    </r>
  </si>
  <si>
    <t>TimeOffForbidChg2</t>
  </si>
  <si>
    <t>2536</t>
  </si>
  <si>
    <r>
      <rPr>
        <rFont val="宋体"/>
        <color theme="1"/>
        <sz val="12.0"/>
      </rPr>
      <t>是</t>
    </r>
  </si>
  <si>
    <t>guwDeTimeOffForbidChg2</t>
  </si>
  <si>
    <r>
      <rPr>
        <rFont val="宋体"/>
        <b/>
        <color theme="1"/>
        <sz val="12.0"/>
      </rPr>
      <t>√</t>
    </r>
  </si>
  <si>
    <r>
      <rPr>
        <rFont val="宋体"/>
        <b/>
        <color theme="1"/>
        <sz val="12.0"/>
      </rPr>
      <t>√</t>
    </r>
  </si>
  <si>
    <r>
      <rPr>
        <rFont val="宋体"/>
        <b/>
        <color theme="1"/>
        <sz val="12.0"/>
      </rPr>
      <t>√</t>
    </r>
  </si>
  <si>
    <r>
      <rPr>
        <rFont val="宋体"/>
        <color theme="1"/>
        <sz val="12.0"/>
      </rPr>
      <t>禁止放电开始时间</t>
    </r>
    <r>
      <rPr>
        <rFont val="Calibri"/>
        <color theme="1"/>
        <sz val="12.0"/>
      </rPr>
      <t>3</t>
    </r>
  </si>
  <si>
    <t>TimeOnForbidChg3</t>
  </si>
  <si>
    <t>2537</t>
  </si>
  <si>
    <r>
      <rPr>
        <rFont val="宋体"/>
        <color theme="1"/>
        <sz val="12.0"/>
      </rPr>
      <t>是</t>
    </r>
  </si>
  <si>
    <t>guwDeTimeOnForbidChg3</t>
  </si>
  <si>
    <r>
      <rPr>
        <rFont val="宋体"/>
        <b/>
        <color theme="1"/>
        <sz val="12.0"/>
      </rPr>
      <t>√</t>
    </r>
  </si>
  <si>
    <r>
      <rPr>
        <rFont val="宋体"/>
        <b/>
        <color theme="1"/>
        <sz val="12.0"/>
      </rPr>
      <t>√</t>
    </r>
  </si>
  <si>
    <r>
      <rPr>
        <rFont val="宋体"/>
        <b/>
        <color theme="1"/>
        <sz val="12.0"/>
      </rPr>
      <t>√</t>
    </r>
  </si>
  <si>
    <r>
      <rPr>
        <rFont val="宋体"/>
        <color theme="1"/>
        <sz val="12.0"/>
      </rPr>
      <t>禁止放电结束时间</t>
    </r>
    <r>
      <rPr>
        <rFont val="Calibri"/>
        <color theme="1"/>
        <sz val="12.0"/>
      </rPr>
      <t>3</t>
    </r>
  </si>
  <si>
    <t>TimeOffForbidChg3</t>
  </si>
  <si>
    <t>2538</t>
  </si>
  <si>
    <r>
      <rPr>
        <rFont val="宋体"/>
        <color theme="1"/>
        <sz val="12.0"/>
      </rPr>
      <t>是</t>
    </r>
  </si>
  <si>
    <t>guwDeTimeOffForbidChg3</t>
  </si>
  <si>
    <r>
      <rPr>
        <rFont val="宋体"/>
        <b/>
        <color theme="1"/>
        <sz val="12.0"/>
      </rPr>
      <t>√</t>
    </r>
  </si>
  <si>
    <r>
      <rPr>
        <rFont val="宋体"/>
        <b/>
        <color theme="1"/>
        <sz val="12.0"/>
      </rPr>
      <t>√</t>
    </r>
  </si>
  <si>
    <r>
      <rPr>
        <rFont val="宋体"/>
        <b/>
        <color theme="1"/>
        <sz val="12.0"/>
      </rPr>
      <t>√</t>
    </r>
  </si>
  <si>
    <r>
      <rPr>
        <rFont val="宋体"/>
        <color theme="1"/>
        <sz val="12.0"/>
      </rPr>
      <t>禁止放电开始时间</t>
    </r>
    <r>
      <rPr>
        <rFont val="Calibri"/>
        <color theme="1"/>
        <sz val="12.0"/>
      </rPr>
      <t>4</t>
    </r>
  </si>
  <si>
    <t>TimeOnForbidChg4</t>
  </si>
  <si>
    <t>2539</t>
  </si>
  <si>
    <t>guwDeTimeOnForbidChg4</t>
  </si>
  <si>
    <r>
      <rPr>
        <rFont val="宋体"/>
        <b/>
        <color theme="1"/>
        <sz val="12.0"/>
      </rPr>
      <t>√</t>
    </r>
  </si>
  <si>
    <r>
      <rPr>
        <rFont val="宋体"/>
        <b/>
        <color theme="1"/>
        <sz val="12.0"/>
      </rPr>
      <t>√</t>
    </r>
  </si>
  <si>
    <r>
      <rPr>
        <rFont val="宋体"/>
        <b/>
        <color theme="1"/>
        <sz val="12.0"/>
      </rPr>
      <t>√</t>
    </r>
  </si>
  <si>
    <r>
      <rPr>
        <rFont val="宋体"/>
        <color theme="1"/>
        <sz val="12.0"/>
      </rPr>
      <t>禁止放电结束时间</t>
    </r>
    <r>
      <rPr>
        <rFont val="Calibri"/>
        <color theme="1"/>
        <sz val="12.0"/>
      </rPr>
      <t>4</t>
    </r>
  </si>
  <si>
    <t>TimeOffForbidChg4</t>
  </si>
  <si>
    <t>2540</t>
  </si>
  <si>
    <t>guwDeTimeOffForbidChg4</t>
  </si>
  <si>
    <r>
      <rPr>
        <rFont val="宋体"/>
        <b/>
        <color theme="1"/>
        <sz val="12.0"/>
      </rPr>
      <t>√</t>
    </r>
  </si>
  <si>
    <r>
      <rPr>
        <rFont val="宋体"/>
        <b/>
        <color theme="1"/>
        <sz val="12.0"/>
      </rPr>
      <t>√</t>
    </r>
  </si>
  <si>
    <r>
      <rPr>
        <rFont val="宋体"/>
        <b/>
        <color theme="1"/>
        <sz val="12.0"/>
      </rPr>
      <t>√</t>
    </r>
  </si>
  <si>
    <r>
      <rPr>
        <rFont val="宋体"/>
        <color theme="1"/>
        <sz val="12.0"/>
      </rPr>
      <t>负载调节模式</t>
    </r>
  </si>
  <si>
    <t>LoadCtrlMode</t>
  </si>
  <si>
    <t>2541</t>
  </si>
  <si>
    <r>
      <rPr>
        <rFont val="Calibri"/>
        <color theme="1"/>
        <sz val="12.0"/>
      </rPr>
      <t>0</t>
    </r>
    <r>
      <rPr>
        <rFont val="宋体"/>
        <color theme="1"/>
        <sz val="12.0"/>
      </rPr>
      <t xml:space="preserve">：开关模式
</t>
    </r>
    <r>
      <rPr>
        <rFont val="Calibri"/>
        <color theme="1"/>
        <sz val="12.0"/>
      </rPr>
      <t>1</t>
    </r>
    <r>
      <rPr>
        <rFont val="宋体"/>
        <color theme="1"/>
        <sz val="12.0"/>
      </rPr>
      <t xml:space="preserve">：定时模式
</t>
    </r>
    <r>
      <rPr>
        <rFont val="Calibri"/>
        <color theme="1"/>
        <sz val="12.0"/>
      </rPr>
      <t>2</t>
    </r>
    <r>
      <rPr>
        <rFont val="宋体"/>
        <color theme="1"/>
        <sz val="12.0"/>
      </rPr>
      <t xml:space="preserve">：智能模式
</t>
    </r>
    <r>
      <rPr>
        <rFont val="Calibri"/>
        <color theme="1"/>
        <sz val="12.0"/>
      </rPr>
      <t>3</t>
    </r>
    <r>
      <rPr>
        <rFont val="宋体"/>
        <color theme="1"/>
        <sz val="12.0"/>
      </rPr>
      <t>：关闭</t>
    </r>
  </si>
  <si>
    <r>
      <rPr>
        <rFont val="宋体"/>
        <color theme="1"/>
        <sz val="12.0"/>
      </rPr>
      <t>是</t>
    </r>
  </si>
  <si>
    <t>guwDeLoadCtrlMode</t>
  </si>
  <si>
    <r>
      <rPr>
        <rFont val="宋体"/>
        <b/>
        <color theme="1"/>
        <sz val="12.0"/>
      </rPr>
      <t>√</t>
    </r>
  </si>
  <si>
    <r>
      <rPr>
        <rFont val="宋体"/>
        <b/>
        <color theme="1"/>
        <sz val="12.0"/>
      </rPr>
      <t>√</t>
    </r>
  </si>
  <si>
    <r>
      <rPr>
        <rFont val="宋体"/>
        <b/>
        <color theme="1"/>
        <sz val="12.0"/>
      </rPr>
      <t>√</t>
    </r>
  </si>
  <si>
    <r>
      <rPr>
        <rFont val="宋体"/>
        <color theme="1"/>
        <sz val="12.0"/>
      </rPr>
      <t>负载开时间</t>
    </r>
    <r>
      <rPr>
        <rFont val="Calibri"/>
        <color theme="1"/>
        <sz val="12.0"/>
      </rPr>
      <t>1</t>
    </r>
  </si>
  <si>
    <t>TimeOnLoad1</t>
  </si>
  <si>
    <t>2542</t>
  </si>
  <si>
    <t>guwDeTimeOnLoad1</t>
  </si>
  <si>
    <r>
      <rPr>
        <rFont val="宋体"/>
        <b/>
        <color theme="1"/>
        <sz val="12.0"/>
      </rPr>
      <t>√</t>
    </r>
  </si>
  <si>
    <r>
      <rPr>
        <rFont val="宋体"/>
        <b/>
        <color theme="1"/>
        <sz val="12.0"/>
      </rPr>
      <t>√</t>
    </r>
  </si>
  <si>
    <r>
      <rPr>
        <rFont val="宋体"/>
        <b/>
        <color theme="1"/>
        <sz val="12.0"/>
      </rPr>
      <t>√</t>
    </r>
  </si>
  <si>
    <r>
      <rPr>
        <rFont val="宋体"/>
        <color theme="1"/>
        <sz val="12.0"/>
      </rPr>
      <t>负载关时间</t>
    </r>
    <r>
      <rPr>
        <rFont val="Calibri"/>
        <color theme="1"/>
        <sz val="12.0"/>
      </rPr>
      <t>1</t>
    </r>
  </si>
  <si>
    <t>TimeOffLoad1</t>
  </si>
  <si>
    <t>2543</t>
  </si>
  <si>
    <t>guwDeTimeOffLoad1</t>
  </si>
  <si>
    <r>
      <rPr>
        <rFont val="宋体"/>
        <b/>
        <color theme="1"/>
        <sz val="12.0"/>
      </rPr>
      <t>√</t>
    </r>
  </si>
  <si>
    <r>
      <rPr>
        <rFont val="宋体"/>
        <b/>
        <color theme="1"/>
        <sz val="12.0"/>
      </rPr>
      <t>√</t>
    </r>
  </si>
  <si>
    <r>
      <rPr>
        <rFont val="宋体"/>
        <b/>
        <color theme="1"/>
        <sz val="12.0"/>
      </rPr>
      <t>√</t>
    </r>
  </si>
  <si>
    <r>
      <rPr>
        <rFont val="宋体"/>
        <color theme="1"/>
        <sz val="12.0"/>
      </rPr>
      <t>负载开时间</t>
    </r>
    <r>
      <rPr>
        <rFont val="Calibri"/>
        <color theme="1"/>
        <sz val="12.0"/>
      </rPr>
      <t>2</t>
    </r>
  </si>
  <si>
    <t>TimeOnLoad2</t>
  </si>
  <si>
    <t>2544</t>
  </si>
  <si>
    <t>guwDeTimeOnLoad2</t>
  </si>
  <si>
    <r>
      <rPr>
        <rFont val="宋体"/>
        <b/>
        <color theme="1"/>
        <sz val="12.0"/>
      </rPr>
      <t>√</t>
    </r>
  </si>
  <si>
    <r>
      <rPr>
        <rFont val="宋体"/>
        <b/>
        <color theme="1"/>
        <sz val="12.0"/>
      </rPr>
      <t>√</t>
    </r>
  </si>
  <si>
    <r>
      <rPr>
        <rFont val="宋体"/>
        <b/>
        <color theme="1"/>
        <sz val="12.0"/>
      </rPr>
      <t>√</t>
    </r>
  </si>
  <si>
    <r>
      <rPr>
        <rFont val="宋体"/>
        <color theme="1"/>
        <sz val="12.0"/>
      </rPr>
      <t>负载关时间</t>
    </r>
    <r>
      <rPr>
        <rFont val="Calibri"/>
        <color theme="1"/>
        <sz val="12.0"/>
      </rPr>
      <t>2</t>
    </r>
  </si>
  <si>
    <t>TimeOffLoad2</t>
  </si>
  <si>
    <t>2545</t>
  </si>
  <si>
    <t>guwDeTimeOffLoad2</t>
  </si>
  <si>
    <r>
      <rPr>
        <rFont val="宋体"/>
        <b/>
        <color theme="1"/>
        <sz val="12.0"/>
      </rPr>
      <t>√</t>
    </r>
  </si>
  <si>
    <r>
      <rPr>
        <rFont val="宋体"/>
        <b/>
        <color theme="1"/>
        <sz val="12.0"/>
      </rPr>
      <t>√</t>
    </r>
  </si>
  <si>
    <r>
      <rPr>
        <rFont val="宋体"/>
        <b/>
        <color theme="1"/>
        <sz val="12.0"/>
      </rPr>
      <t>√</t>
    </r>
  </si>
  <si>
    <r>
      <rPr>
        <rFont val="宋体"/>
        <color theme="1"/>
        <sz val="12.0"/>
      </rPr>
      <t>负载额定功率</t>
    </r>
  </si>
  <si>
    <t>NormLoadPower</t>
  </si>
  <si>
    <t>2546-2547</t>
  </si>
  <si>
    <r>
      <rPr>
        <rFont val="宋体"/>
        <color theme="1"/>
        <sz val="12.0"/>
      </rPr>
      <t>是</t>
    </r>
  </si>
  <si>
    <t>gulDeNormLoadPower</t>
  </si>
  <si>
    <r>
      <rPr>
        <rFont val="宋体"/>
        <b/>
        <color theme="1"/>
        <sz val="12.0"/>
      </rPr>
      <t>√</t>
    </r>
  </si>
  <si>
    <r>
      <rPr>
        <rFont val="宋体"/>
        <b/>
        <color theme="1"/>
        <sz val="12.0"/>
      </rPr>
      <t>√</t>
    </r>
  </si>
  <si>
    <r>
      <rPr>
        <rFont val="宋体"/>
        <b/>
        <color theme="1"/>
        <sz val="12.0"/>
      </rPr>
      <t>√</t>
    </r>
  </si>
  <si>
    <t>强制充电最大SOC</t>
  </si>
  <si>
    <t>ForceSocMaxChg</t>
  </si>
  <si>
    <t>guwForceSocMaxChg</t>
  </si>
  <si>
    <r>
      <rPr>
        <rFont val="宋体"/>
        <b/>
        <color theme="1"/>
        <sz val="12.0"/>
      </rPr>
      <t>√</t>
    </r>
  </si>
  <si>
    <r>
      <rPr>
        <rFont val="宋体"/>
        <b/>
        <color theme="1"/>
        <sz val="12.0"/>
      </rPr>
      <t>√</t>
    </r>
  </si>
  <si>
    <r>
      <rPr>
        <rFont val="宋体"/>
        <b/>
        <color theme="1"/>
        <sz val="12.0"/>
      </rPr>
      <t>√</t>
    </r>
  </si>
  <si>
    <r>
      <rPr>
        <rFont val="宋体"/>
        <color theme="1"/>
        <sz val="12.0"/>
      </rPr>
      <t>预留</t>
    </r>
  </si>
  <si>
    <t>2549-2999</t>
  </si>
  <si>
    <r>
      <rPr>
        <rFont val="宋体"/>
        <b/>
        <color theme="1"/>
        <sz val="12.0"/>
      </rPr>
      <t>√</t>
    </r>
  </si>
  <si>
    <r>
      <rPr>
        <rFont val="宋体"/>
        <b/>
        <color theme="1"/>
        <sz val="12.0"/>
      </rPr>
      <t>√</t>
    </r>
  </si>
  <si>
    <r>
      <rPr>
        <rFont val="宋体"/>
        <b/>
        <color theme="1"/>
        <sz val="12.0"/>
      </rPr>
      <t>√</t>
    </r>
  </si>
  <si>
    <r>
      <rPr>
        <rFont val="宋体"/>
        <b/>
        <color theme="1"/>
        <sz val="14.0"/>
      </rPr>
      <t>设置参数</t>
    </r>
    <r>
      <rPr>
        <rFont val="Calibri"/>
        <b/>
        <color theme="1"/>
        <sz val="14.0"/>
      </rPr>
      <t>7</t>
    </r>
    <r>
      <rPr>
        <rFont val="宋体"/>
        <b/>
        <color theme="1"/>
        <sz val="14.0"/>
      </rPr>
      <t>（电池参数）</t>
    </r>
  </si>
  <si>
    <r>
      <rPr>
        <rFont val="宋体"/>
        <b/>
        <color theme="1"/>
        <sz val="12.0"/>
      </rPr>
      <t>√</t>
    </r>
  </si>
  <si>
    <r>
      <rPr>
        <rFont val="宋体"/>
        <b/>
        <color theme="1"/>
        <sz val="12.0"/>
      </rPr>
      <t>√</t>
    </r>
  </si>
  <si>
    <r>
      <rPr>
        <rFont val="宋体"/>
        <b/>
        <color theme="1"/>
        <sz val="12.0"/>
      </rPr>
      <t>√</t>
    </r>
  </si>
  <si>
    <r>
      <rPr>
        <rFont val="宋体"/>
        <color theme="1"/>
        <sz val="12.0"/>
      </rPr>
      <t>电池类型</t>
    </r>
  </si>
  <si>
    <t>BatType</t>
  </si>
  <si>
    <t>3000</t>
  </si>
  <si>
    <r>
      <rPr>
        <rFont val="Calibri"/>
        <color theme="1"/>
        <sz val="12.0"/>
      </rPr>
      <t xml:space="preserve">0: </t>
    </r>
    <r>
      <rPr>
        <rFont val="宋体"/>
        <color theme="1"/>
        <sz val="12.0"/>
      </rPr>
      <t>无电池</t>
    </r>
    <r>
      <rPr>
        <rFont val="Calibri"/>
        <color theme="1"/>
        <sz val="12.0"/>
      </rPr>
      <t xml:space="preserve"> 1:</t>
    </r>
    <r>
      <rPr>
        <rFont val="宋体"/>
        <color theme="1"/>
        <sz val="12.0"/>
      </rPr>
      <t>锂电池</t>
    </r>
    <r>
      <rPr>
        <rFont val="Calibri"/>
        <color theme="1"/>
        <sz val="12.0"/>
      </rPr>
      <t>, 2:</t>
    </r>
    <r>
      <rPr>
        <rFont val="宋体"/>
        <color theme="1"/>
        <sz val="12.0"/>
      </rPr>
      <t>铅酸电池</t>
    </r>
    <r>
      <rPr>
        <rFont val="Calibri"/>
        <color theme="1"/>
        <sz val="12.0"/>
      </rPr>
      <t xml:space="preserve"> 3:</t>
    </r>
    <r>
      <rPr>
        <rFont val="宋体"/>
        <color theme="1"/>
        <sz val="12.0"/>
      </rPr>
      <t>模拟电池</t>
    </r>
  </si>
  <si>
    <r>
      <rPr>
        <rFont val="宋体"/>
        <color theme="1"/>
        <sz val="12.0"/>
      </rPr>
      <t>是</t>
    </r>
  </si>
  <si>
    <t>guwDeBatType</t>
  </si>
  <si>
    <r>
      <rPr>
        <rFont val="宋体"/>
        <b/>
        <color theme="1"/>
        <sz val="12.0"/>
      </rPr>
      <t>√</t>
    </r>
  </si>
  <si>
    <r>
      <rPr>
        <rFont val="宋体"/>
        <b/>
        <color theme="1"/>
        <sz val="12.0"/>
      </rPr>
      <t>√</t>
    </r>
  </si>
  <si>
    <r>
      <rPr>
        <rFont val="宋体"/>
        <b/>
        <color theme="1"/>
        <sz val="12.0"/>
      </rPr>
      <t>√</t>
    </r>
  </si>
  <si>
    <r>
      <rPr>
        <rFont val="宋体"/>
        <color theme="1"/>
        <sz val="12.0"/>
      </rPr>
      <t>锂电池厂家</t>
    </r>
  </si>
  <si>
    <t>BatBrand</t>
  </si>
  <si>
    <t>3001</t>
  </si>
  <si>
    <r>
      <rPr>
        <rFont val="宋体"/>
        <color theme="1"/>
        <sz val="12.0"/>
      </rPr>
      <t>是</t>
    </r>
  </si>
  <si>
    <t>guwDeBatBrand</t>
  </si>
  <si>
    <r>
      <rPr>
        <rFont val="宋体"/>
        <b/>
        <color theme="1"/>
        <sz val="12.0"/>
      </rPr>
      <t>√</t>
    </r>
  </si>
  <si>
    <r>
      <rPr>
        <rFont val="宋体"/>
        <b/>
        <color theme="1"/>
        <sz val="12.0"/>
      </rPr>
      <t>√</t>
    </r>
  </si>
  <si>
    <r>
      <rPr>
        <rFont val="宋体"/>
        <b/>
        <color theme="1"/>
        <sz val="12.0"/>
      </rPr>
      <t>√</t>
    </r>
  </si>
  <si>
    <r>
      <rPr>
        <rFont val="宋体"/>
        <color theme="1"/>
        <sz val="12.0"/>
      </rPr>
      <t>电池额定电压</t>
    </r>
  </si>
  <si>
    <t>VBatNorm</t>
  </si>
  <si>
    <t>3002</t>
  </si>
  <si>
    <t>480-4000</t>
  </si>
  <si>
    <r>
      <rPr>
        <rFont val="宋体"/>
        <color theme="1"/>
        <sz val="12.0"/>
      </rPr>
      <t>是</t>
    </r>
  </si>
  <si>
    <t>guwDeVBatNorm</t>
  </si>
  <si>
    <r>
      <rPr>
        <rFont val="宋体"/>
        <b/>
        <color theme="1"/>
        <sz val="12.0"/>
      </rPr>
      <t>√</t>
    </r>
  </si>
  <si>
    <r>
      <rPr>
        <rFont val="宋体"/>
        <b/>
        <color theme="1"/>
        <sz val="12.0"/>
      </rPr>
      <t>√</t>
    </r>
  </si>
  <si>
    <r>
      <rPr>
        <rFont val="宋体"/>
        <b/>
        <color theme="1"/>
        <sz val="12.0"/>
      </rPr>
      <t>√</t>
    </r>
  </si>
  <si>
    <r>
      <rPr>
        <rFont val="宋体"/>
        <color theme="1"/>
        <sz val="12.0"/>
      </rPr>
      <t>电池容量</t>
    </r>
  </si>
  <si>
    <t>BatCap</t>
  </si>
  <si>
    <t>3003</t>
  </si>
  <si>
    <t>10~1000</t>
  </si>
  <si>
    <t>Ah</t>
  </si>
  <si>
    <r>
      <rPr>
        <rFont val="宋体"/>
        <color theme="1"/>
        <sz val="12.0"/>
      </rPr>
      <t>是</t>
    </r>
  </si>
  <si>
    <t>guwDeBatCap</t>
  </si>
  <si>
    <r>
      <rPr>
        <rFont val="宋体"/>
        <b/>
        <color theme="1"/>
        <sz val="12.0"/>
      </rPr>
      <t>√</t>
    </r>
  </si>
  <si>
    <r>
      <rPr>
        <rFont val="宋体"/>
        <b/>
        <color theme="1"/>
        <sz val="12.0"/>
      </rPr>
      <t>√</t>
    </r>
  </si>
  <si>
    <r>
      <rPr>
        <rFont val="宋体"/>
        <b/>
        <color theme="1"/>
        <sz val="12.0"/>
      </rPr>
      <t>√</t>
    </r>
  </si>
  <si>
    <r>
      <rPr>
        <rFont val="宋体"/>
        <color theme="1"/>
        <sz val="12.0"/>
      </rPr>
      <t>允许日充放电次数</t>
    </r>
  </si>
  <si>
    <t>ChgCntMax</t>
  </si>
  <si>
    <t>3004</t>
  </si>
  <si>
    <t>1-10</t>
  </si>
  <si>
    <r>
      <rPr>
        <rFont val="宋体"/>
        <color theme="1"/>
        <sz val="12.0"/>
      </rPr>
      <t>是</t>
    </r>
  </si>
  <si>
    <t>guwDeChgCntMax</t>
  </si>
  <si>
    <r>
      <rPr>
        <rFont val="宋体"/>
        <b/>
        <color theme="1"/>
        <sz val="12.0"/>
      </rPr>
      <t>√</t>
    </r>
  </si>
  <si>
    <r>
      <rPr>
        <rFont val="宋体"/>
        <b/>
        <color theme="1"/>
        <sz val="12.0"/>
      </rPr>
      <t>√</t>
    </r>
  </si>
  <si>
    <r>
      <rPr>
        <rFont val="宋体"/>
        <b/>
        <color theme="1"/>
        <sz val="12.0"/>
      </rPr>
      <t>√</t>
    </r>
  </si>
  <si>
    <r>
      <rPr>
        <rFont val="Calibri"/>
        <color theme="1"/>
        <sz val="12.0"/>
      </rPr>
      <t>SOC</t>
    </r>
    <r>
      <rPr>
        <rFont val="宋体"/>
        <color theme="1"/>
        <sz val="12.0"/>
      </rPr>
      <t>上限</t>
    </r>
  </si>
  <si>
    <t>MaxSOC</t>
  </si>
  <si>
    <t>3005</t>
  </si>
  <si>
    <t>700~1000</t>
  </si>
  <si>
    <r>
      <rPr>
        <rFont val="宋体"/>
        <color theme="1"/>
        <sz val="12.0"/>
      </rPr>
      <t>是</t>
    </r>
  </si>
  <si>
    <t>guwDeMaxSOC</t>
  </si>
  <si>
    <r>
      <rPr>
        <rFont val="宋体"/>
        <b/>
        <color theme="1"/>
        <sz val="12.0"/>
      </rPr>
      <t>√</t>
    </r>
  </si>
  <si>
    <r>
      <rPr>
        <rFont val="宋体"/>
        <b/>
        <color theme="1"/>
        <sz val="12.0"/>
      </rPr>
      <t>√</t>
    </r>
  </si>
  <si>
    <r>
      <rPr>
        <rFont val="宋体"/>
        <b/>
        <color theme="1"/>
        <sz val="12.0"/>
      </rPr>
      <t>√</t>
    </r>
  </si>
  <si>
    <r>
      <rPr>
        <rFont val="Calibri"/>
        <color theme="1"/>
        <sz val="12.0"/>
      </rPr>
      <t>SOC</t>
    </r>
    <r>
      <rPr>
        <rFont val="宋体"/>
        <color theme="1"/>
        <sz val="12.0"/>
      </rPr>
      <t>下限</t>
    </r>
  </si>
  <si>
    <t>MinSOC</t>
  </si>
  <si>
    <t>3006</t>
  </si>
  <si>
    <t>0~500</t>
  </si>
  <si>
    <r>
      <rPr>
        <rFont val="宋体"/>
        <color theme="1"/>
        <sz val="12.0"/>
      </rPr>
      <t>是</t>
    </r>
  </si>
  <si>
    <t>guwDeMinSOC</t>
  </si>
  <si>
    <r>
      <rPr>
        <rFont val="宋体"/>
        <b/>
        <color theme="1"/>
        <sz val="12.0"/>
      </rPr>
      <t>√</t>
    </r>
  </si>
  <si>
    <r>
      <rPr>
        <rFont val="宋体"/>
        <b/>
        <color theme="1"/>
        <sz val="12.0"/>
      </rPr>
      <t>√</t>
    </r>
  </si>
  <si>
    <r>
      <rPr>
        <rFont val="宋体"/>
        <b/>
        <color theme="1"/>
        <sz val="12.0"/>
      </rPr>
      <t>√</t>
    </r>
  </si>
  <si>
    <r>
      <rPr>
        <rFont val="宋体"/>
        <color theme="1"/>
        <sz val="12.0"/>
      </rPr>
      <t>电池过压阀值</t>
    </r>
  </si>
  <si>
    <t>VBatMax</t>
  </si>
  <si>
    <t>3007</t>
  </si>
  <si>
    <t>480~4500</t>
  </si>
  <si>
    <r>
      <rPr>
        <rFont val="宋体"/>
        <color theme="1"/>
        <sz val="12.0"/>
      </rPr>
      <t>是</t>
    </r>
  </si>
  <si>
    <t>guwDeVBatMax</t>
  </si>
  <si>
    <r>
      <rPr>
        <rFont val="宋体"/>
        <b/>
        <color theme="1"/>
        <sz val="12.0"/>
      </rPr>
      <t>√</t>
    </r>
  </si>
  <si>
    <r>
      <rPr>
        <rFont val="宋体"/>
        <b/>
        <color theme="1"/>
        <sz val="12.0"/>
      </rPr>
      <t>√</t>
    </r>
  </si>
  <si>
    <r>
      <rPr>
        <rFont val="宋体"/>
        <b/>
        <color theme="1"/>
        <sz val="12.0"/>
      </rPr>
      <t>√</t>
    </r>
  </si>
  <si>
    <r>
      <rPr>
        <rFont val="宋体"/>
        <color theme="1"/>
        <sz val="12.0"/>
      </rPr>
      <t>电池欠压阀值</t>
    </r>
  </si>
  <si>
    <t>VBatMin</t>
  </si>
  <si>
    <t>3008</t>
  </si>
  <si>
    <t>300~4000</t>
  </si>
  <si>
    <r>
      <rPr>
        <rFont val="宋体"/>
        <color theme="1"/>
        <sz val="12.0"/>
      </rPr>
      <t>是</t>
    </r>
  </si>
  <si>
    <t>guwDeVBatMin</t>
  </si>
  <si>
    <r>
      <rPr>
        <rFont val="宋体"/>
        <b/>
        <color theme="1"/>
        <sz val="12.0"/>
      </rPr>
      <t>√</t>
    </r>
  </si>
  <si>
    <r>
      <rPr>
        <rFont val="宋体"/>
        <b/>
        <color theme="1"/>
        <sz val="12.0"/>
      </rPr>
      <t>√</t>
    </r>
  </si>
  <si>
    <r>
      <rPr>
        <rFont val="宋体"/>
        <b/>
        <color theme="1"/>
        <sz val="12.0"/>
      </rPr>
      <t>√</t>
    </r>
  </si>
  <si>
    <r>
      <rPr>
        <rFont val="宋体"/>
        <color theme="1"/>
        <sz val="12.0"/>
      </rPr>
      <t>最大充电电流</t>
    </r>
  </si>
  <si>
    <t>CurrMaxChg</t>
  </si>
  <si>
    <t>3009</t>
  </si>
  <si>
    <r>
      <rPr>
        <rFont val="Calibri"/>
        <color theme="1"/>
        <sz val="12.0"/>
      </rPr>
      <t xml:space="preserve">50~2000
</t>
    </r>
    <r>
      <rPr>
        <rFont val="宋体"/>
        <color theme="1"/>
        <sz val="10.0"/>
      </rPr>
      <t>南都默认</t>
    </r>
    <r>
      <rPr>
        <rFont val="Calibri"/>
        <color theme="1"/>
        <sz val="10.0"/>
      </rPr>
      <t>250</t>
    </r>
    <r>
      <rPr>
        <rFont val="宋体"/>
        <color theme="1"/>
        <sz val="10.0"/>
      </rPr>
      <t>，三星默认</t>
    </r>
    <r>
      <rPr>
        <rFont val="Calibri"/>
        <color theme="1"/>
        <sz val="10.0"/>
      </rPr>
      <t xml:space="preserve">1000
</t>
    </r>
  </si>
  <si>
    <r>
      <rPr>
        <rFont val="宋体"/>
        <color theme="1"/>
        <sz val="12.0"/>
      </rPr>
      <t>是</t>
    </r>
  </si>
  <si>
    <t>guwDeCurrMaxChg</t>
  </si>
  <si>
    <r>
      <rPr>
        <rFont val="宋体"/>
        <b/>
        <color theme="1"/>
        <sz val="12.0"/>
      </rPr>
      <t>√</t>
    </r>
  </si>
  <si>
    <r>
      <rPr>
        <rFont val="宋体"/>
        <b/>
        <color theme="1"/>
        <sz val="12.0"/>
      </rPr>
      <t>√</t>
    </r>
  </si>
  <si>
    <r>
      <rPr>
        <rFont val="宋体"/>
        <b/>
        <color theme="1"/>
        <sz val="12.0"/>
      </rPr>
      <t>√</t>
    </r>
  </si>
  <si>
    <r>
      <rPr>
        <rFont val="宋体"/>
        <color theme="1"/>
        <sz val="12.0"/>
      </rPr>
      <t>最大放电电流</t>
    </r>
  </si>
  <si>
    <t>CurrMaxDisChg</t>
  </si>
  <si>
    <t>3010</t>
  </si>
  <si>
    <r>
      <rPr>
        <rFont val="Calibri"/>
        <color theme="1"/>
        <sz val="12.0"/>
      </rPr>
      <t xml:space="preserve">100~2000C </t>
    </r>
    <r>
      <rPr>
        <rFont val="宋体"/>
        <color theme="1"/>
        <sz val="10.0"/>
      </rPr>
      <t>默认</t>
    </r>
    <r>
      <rPr>
        <rFont val="Calibri"/>
        <color theme="1"/>
        <sz val="10.0"/>
      </rPr>
      <t xml:space="preserve">1000
</t>
    </r>
  </si>
  <si>
    <r>
      <rPr>
        <rFont val="宋体"/>
        <color theme="1"/>
        <sz val="12.0"/>
      </rPr>
      <t>是</t>
    </r>
  </si>
  <si>
    <t>guwDeCurrMaxDisChg</t>
  </si>
  <si>
    <r>
      <rPr>
        <rFont val="宋体"/>
        <b/>
        <color theme="1"/>
        <sz val="12.0"/>
      </rPr>
      <t>√</t>
    </r>
  </si>
  <si>
    <r>
      <rPr>
        <rFont val="宋体"/>
        <b/>
        <color theme="1"/>
        <sz val="12.0"/>
      </rPr>
      <t>√</t>
    </r>
  </si>
  <si>
    <r>
      <rPr>
        <rFont val="宋体"/>
        <b/>
        <color theme="1"/>
        <sz val="12.0"/>
      </rPr>
      <t>√</t>
    </r>
  </si>
  <si>
    <r>
      <rPr>
        <rFont val="宋体"/>
        <color theme="1"/>
        <sz val="12.0"/>
      </rPr>
      <t>电池过温阀值</t>
    </r>
  </si>
  <si>
    <t>TBatMax</t>
  </si>
  <si>
    <t>3011</t>
  </si>
  <si>
    <r>
      <rPr>
        <rFont val="Calibri"/>
        <color theme="1"/>
        <sz val="12.0"/>
      </rPr>
      <t xml:space="preserve">200~850
</t>
    </r>
    <r>
      <rPr>
        <rFont val="宋体"/>
        <color theme="1"/>
        <sz val="12.0"/>
      </rPr>
      <t>默认</t>
    </r>
    <r>
      <rPr>
        <rFont val="Calibri"/>
        <color theme="1"/>
        <sz val="12.0"/>
      </rPr>
      <t>600</t>
    </r>
  </si>
  <si>
    <r>
      <rPr>
        <rFont val="Calibri"/>
        <color theme="1"/>
        <sz val="12.0"/>
      </rPr>
      <t>0.1</t>
    </r>
    <r>
      <rPr>
        <rFont val="宋体"/>
        <color theme="1"/>
        <sz val="12.0"/>
      </rPr>
      <t>℃</t>
    </r>
  </si>
  <si>
    <r>
      <rPr>
        <rFont val="宋体"/>
        <color theme="1"/>
        <sz val="12.0"/>
      </rPr>
      <t>是</t>
    </r>
  </si>
  <si>
    <t>gwDeTBatMax</t>
  </si>
  <si>
    <r>
      <rPr>
        <rFont val="宋体"/>
        <b/>
        <color theme="1"/>
        <sz val="12.0"/>
      </rPr>
      <t>√</t>
    </r>
  </si>
  <si>
    <r>
      <rPr>
        <rFont val="宋体"/>
        <b/>
        <color theme="1"/>
        <sz val="12.0"/>
      </rPr>
      <t>√</t>
    </r>
  </si>
  <si>
    <r>
      <rPr>
        <rFont val="宋体"/>
        <b/>
        <color theme="1"/>
        <sz val="12.0"/>
      </rPr>
      <t>√</t>
    </r>
  </si>
  <si>
    <r>
      <rPr>
        <rFont val="宋体"/>
        <color theme="1"/>
        <sz val="12.0"/>
      </rPr>
      <t>电池欠温阀值</t>
    </r>
  </si>
  <si>
    <t>TBatMin</t>
  </si>
  <si>
    <t>3012</t>
  </si>
  <si>
    <r>
      <rPr>
        <rFont val="Calibri"/>
        <color theme="1"/>
        <sz val="12.0"/>
      </rPr>
      <t xml:space="preserve">(-300~100)
</t>
    </r>
    <r>
      <rPr>
        <rFont val="宋体"/>
        <color theme="1"/>
        <sz val="12.0"/>
      </rPr>
      <t>默认</t>
    </r>
    <r>
      <rPr>
        <rFont val="Calibri"/>
        <color theme="1"/>
        <sz val="12.0"/>
      </rPr>
      <t>-20.0</t>
    </r>
  </si>
  <si>
    <r>
      <rPr>
        <rFont val="Calibri"/>
        <color theme="1"/>
        <sz val="12.0"/>
      </rPr>
      <t>0.1</t>
    </r>
    <r>
      <rPr>
        <rFont val="宋体"/>
        <color theme="1"/>
        <sz val="12.0"/>
      </rPr>
      <t>℃</t>
    </r>
  </si>
  <si>
    <r>
      <rPr>
        <rFont val="宋体"/>
        <color theme="1"/>
        <sz val="12.0"/>
      </rPr>
      <t>是</t>
    </r>
  </si>
  <si>
    <t>gwDeTBatMin</t>
  </si>
  <si>
    <r>
      <rPr>
        <rFont val="宋体"/>
        <b/>
        <color theme="1"/>
        <sz val="12.0"/>
      </rPr>
      <t>√</t>
    </r>
  </si>
  <si>
    <r>
      <rPr>
        <rFont val="宋体"/>
        <b/>
        <color theme="1"/>
        <sz val="12.0"/>
      </rPr>
      <t>√</t>
    </r>
  </si>
  <si>
    <r>
      <rPr>
        <rFont val="宋体"/>
        <b/>
        <color theme="1"/>
        <sz val="12.0"/>
      </rPr>
      <t>√</t>
    </r>
  </si>
  <si>
    <r>
      <rPr>
        <rFont val="宋体"/>
        <color theme="1"/>
        <sz val="12.0"/>
      </rPr>
      <t>恒压充电电压</t>
    </r>
  </si>
  <si>
    <t>VConstVolt</t>
  </si>
  <si>
    <t>3013</t>
  </si>
  <si>
    <t>400~4500</t>
  </si>
  <si>
    <r>
      <rPr>
        <rFont val="宋体"/>
        <color theme="1"/>
        <sz val="12.0"/>
      </rPr>
      <t>是</t>
    </r>
  </si>
  <si>
    <t>guwDeVConstVolt</t>
  </si>
  <si>
    <r>
      <rPr>
        <rFont val="宋体"/>
        <b/>
        <color theme="1"/>
        <sz val="12.0"/>
      </rPr>
      <t>√</t>
    </r>
  </si>
  <si>
    <r>
      <rPr>
        <rFont val="宋体"/>
        <b/>
        <color theme="1"/>
        <sz val="12.0"/>
      </rPr>
      <t>√</t>
    </r>
  </si>
  <si>
    <r>
      <rPr>
        <rFont val="宋体"/>
        <b/>
        <color theme="1"/>
        <sz val="12.0"/>
      </rPr>
      <t>√</t>
    </r>
  </si>
  <si>
    <r>
      <rPr>
        <rFont val="宋体"/>
        <color theme="1"/>
        <sz val="12.0"/>
      </rPr>
      <t>恒压充电终止电流</t>
    </r>
  </si>
  <si>
    <t>IConstVoltEnd</t>
  </si>
  <si>
    <t>3014</t>
  </si>
  <si>
    <t xml:space="preserve">500~5000
</t>
  </si>
  <si>
    <r>
      <rPr>
        <rFont val="宋体"/>
        <color theme="1"/>
        <sz val="12.0"/>
      </rPr>
      <t>是</t>
    </r>
  </si>
  <si>
    <t>guwDeIConstVoltEnd</t>
  </si>
  <si>
    <r>
      <rPr>
        <rFont val="宋体"/>
        <b/>
        <color theme="1"/>
        <sz val="12.0"/>
      </rPr>
      <t>√</t>
    </r>
  </si>
  <si>
    <r>
      <rPr>
        <rFont val="宋体"/>
        <b/>
        <color theme="1"/>
        <sz val="12.0"/>
      </rPr>
      <t>√</t>
    </r>
  </si>
  <si>
    <r>
      <rPr>
        <rFont val="宋体"/>
        <b/>
        <color theme="1"/>
        <sz val="12.0"/>
      </rPr>
      <t>√</t>
    </r>
  </si>
  <si>
    <r>
      <rPr>
        <rFont val="宋体"/>
        <color theme="1"/>
        <sz val="12.0"/>
      </rPr>
      <t>恒压充电时间</t>
    </r>
  </si>
  <si>
    <t>TConstVolt</t>
  </si>
  <si>
    <t>3015</t>
  </si>
  <si>
    <t xml:space="preserve">300~4500V
</t>
  </si>
  <si>
    <r>
      <rPr>
        <rFont val="宋体"/>
        <color theme="1"/>
        <sz val="12.0"/>
      </rPr>
      <t>是</t>
    </r>
  </si>
  <si>
    <t>guwDeTConstVolt</t>
  </si>
  <si>
    <r>
      <rPr>
        <rFont val="宋体"/>
        <b/>
        <color theme="1"/>
        <sz val="12.0"/>
      </rPr>
      <t>√</t>
    </r>
  </si>
  <si>
    <r>
      <rPr>
        <rFont val="宋体"/>
        <b/>
        <color theme="1"/>
        <sz val="12.0"/>
      </rPr>
      <t>√</t>
    </r>
  </si>
  <si>
    <r>
      <rPr>
        <rFont val="宋体"/>
        <b/>
        <color theme="1"/>
        <sz val="12.0"/>
      </rPr>
      <t>√</t>
    </r>
  </si>
  <si>
    <r>
      <rPr>
        <rFont val="宋体"/>
        <color theme="1"/>
        <sz val="12.0"/>
      </rPr>
      <t>放电终止电压</t>
    </r>
  </si>
  <si>
    <t>VDisChgEnd</t>
  </si>
  <si>
    <t>3016</t>
  </si>
  <si>
    <r>
      <rPr>
        <rFont val="宋体"/>
        <color theme="1"/>
        <sz val="12.0"/>
      </rPr>
      <t>是</t>
    </r>
  </si>
  <si>
    <t>guwDeVDisChgEnd</t>
  </si>
  <si>
    <r>
      <rPr>
        <rFont val="宋体"/>
        <b/>
        <color theme="1"/>
        <sz val="12.0"/>
      </rPr>
      <t>√</t>
    </r>
  </si>
  <si>
    <r>
      <rPr>
        <rFont val="宋体"/>
        <b/>
        <color theme="1"/>
        <sz val="12.0"/>
      </rPr>
      <t>√</t>
    </r>
  </si>
  <si>
    <r>
      <rPr>
        <rFont val="宋体"/>
        <b/>
        <color theme="1"/>
        <sz val="12.0"/>
      </rPr>
      <t>√</t>
    </r>
  </si>
  <si>
    <r>
      <rPr>
        <rFont val="宋体"/>
        <color theme="1"/>
        <sz val="12.0"/>
      </rPr>
      <t>紧急充电启动电压</t>
    </r>
  </si>
  <si>
    <t>EmerChgStartV</t>
  </si>
  <si>
    <t>3017</t>
  </si>
  <si>
    <t>400-4500</t>
  </si>
  <si>
    <t>guwDeEmerChgStartV</t>
  </si>
  <si>
    <r>
      <rPr>
        <rFont val="宋体"/>
        <b/>
        <color theme="1"/>
        <sz val="12.0"/>
      </rPr>
      <t>√</t>
    </r>
  </si>
  <si>
    <r>
      <rPr>
        <rFont val="宋体"/>
        <b/>
        <color theme="1"/>
        <sz val="12.0"/>
      </rPr>
      <t>√</t>
    </r>
  </si>
  <si>
    <r>
      <rPr>
        <rFont val="宋体"/>
        <b/>
        <color theme="1"/>
        <sz val="12.0"/>
      </rPr>
      <t>√</t>
    </r>
  </si>
  <si>
    <r>
      <rPr>
        <rFont val="宋体"/>
        <color theme="1"/>
        <sz val="12.0"/>
      </rPr>
      <t>紧急充电停止电压</t>
    </r>
  </si>
  <si>
    <t>EmerChgEndV</t>
  </si>
  <si>
    <t>3018</t>
  </si>
  <si>
    <t>guwDeEmerChgEndV</t>
  </si>
  <si>
    <r>
      <rPr>
        <rFont val="宋体"/>
        <b/>
        <color theme="1"/>
        <sz val="12.0"/>
      </rPr>
      <t>√</t>
    </r>
  </si>
  <si>
    <r>
      <rPr>
        <rFont val="宋体"/>
        <b/>
        <color theme="1"/>
        <sz val="12.0"/>
      </rPr>
      <t>√</t>
    </r>
  </si>
  <si>
    <r>
      <rPr>
        <rFont val="宋体"/>
        <b/>
        <color theme="1"/>
        <sz val="12.0"/>
      </rPr>
      <t>√</t>
    </r>
  </si>
  <si>
    <r>
      <rPr>
        <rFont val="宋体"/>
        <color theme="1"/>
        <sz val="12.0"/>
      </rPr>
      <t>紧急充电电流</t>
    </r>
  </si>
  <si>
    <t>EmerChgI</t>
  </si>
  <si>
    <t>3019</t>
  </si>
  <si>
    <r>
      <rPr>
        <rFont val="Calibri"/>
        <color theme="1"/>
        <sz val="12.0"/>
      </rPr>
      <t>25~2000</t>
    </r>
    <r>
      <rPr>
        <rFont val="Calibri"/>
        <color theme="1"/>
        <sz val="10.0"/>
      </rPr>
      <t xml:space="preserve">
</t>
    </r>
  </si>
  <si>
    <r>
      <rPr>
        <rFont val="宋体"/>
        <color theme="1"/>
        <sz val="12.0"/>
      </rPr>
      <t>是</t>
    </r>
  </si>
  <si>
    <t>guwDeEmerChgI</t>
  </si>
  <si>
    <r>
      <rPr>
        <rFont val="宋体"/>
        <b/>
        <color theme="1"/>
        <sz val="12.0"/>
      </rPr>
      <t>√</t>
    </r>
  </si>
  <si>
    <r>
      <rPr>
        <rFont val="宋体"/>
        <b/>
        <color theme="1"/>
        <sz val="12.0"/>
      </rPr>
      <t>√</t>
    </r>
  </si>
  <si>
    <r>
      <rPr>
        <rFont val="宋体"/>
        <b/>
        <color theme="1"/>
        <sz val="12.0"/>
      </rPr>
      <t>√</t>
    </r>
  </si>
  <si>
    <r>
      <rPr>
        <rFont val="宋体"/>
        <color theme="1"/>
        <sz val="12.0"/>
      </rPr>
      <t>电阻补偿</t>
    </r>
  </si>
  <si>
    <t>BatResComp</t>
  </si>
  <si>
    <t>3020</t>
  </si>
  <si>
    <t>0.0~50000</t>
  </si>
  <si>
    <t>0.1mΩ</t>
  </si>
  <si>
    <r>
      <rPr>
        <rFont val="宋体"/>
        <color theme="1"/>
        <sz val="12.0"/>
      </rPr>
      <t>是</t>
    </r>
  </si>
  <si>
    <t>gwDeBatResComp</t>
  </si>
  <si>
    <r>
      <rPr>
        <rFont val="宋体"/>
        <b/>
        <color theme="1"/>
        <sz val="12.0"/>
      </rPr>
      <t>√</t>
    </r>
  </si>
  <si>
    <r>
      <rPr>
        <rFont val="宋体"/>
        <b/>
        <color theme="1"/>
        <sz val="12.0"/>
      </rPr>
      <t>√</t>
    </r>
  </si>
  <si>
    <r>
      <rPr>
        <rFont val="宋体"/>
        <b/>
        <color theme="1"/>
        <sz val="12.0"/>
      </rPr>
      <t>√</t>
    </r>
  </si>
  <si>
    <r>
      <rPr>
        <rFont val="宋体"/>
        <color theme="1"/>
        <sz val="12.0"/>
      </rPr>
      <t>温度补偿</t>
    </r>
  </si>
  <si>
    <t>BatTempComp</t>
  </si>
  <si>
    <t>3021</t>
  </si>
  <si>
    <r>
      <rPr>
        <rFont val="Calibri"/>
        <color theme="1"/>
        <sz val="12.0"/>
      </rPr>
      <t>0.1</t>
    </r>
    <r>
      <rPr>
        <rFont val="宋体"/>
        <color theme="1"/>
        <sz val="10.0"/>
      </rPr>
      <t>℃</t>
    </r>
  </si>
  <si>
    <r>
      <rPr>
        <rFont val="宋体"/>
        <color theme="1"/>
        <sz val="12.0"/>
      </rPr>
      <t>是</t>
    </r>
  </si>
  <si>
    <t>gwDeBatTempComp</t>
  </si>
  <si>
    <r>
      <rPr>
        <rFont val="宋体"/>
        <b/>
        <color theme="1"/>
        <sz val="12.0"/>
      </rPr>
      <t>√</t>
    </r>
  </si>
  <si>
    <r>
      <rPr>
        <rFont val="宋体"/>
        <b/>
        <color theme="1"/>
        <sz val="12.0"/>
      </rPr>
      <t>√</t>
    </r>
  </si>
  <si>
    <r>
      <rPr>
        <rFont val="宋体"/>
        <b/>
        <color theme="1"/>
        <sz val="12.0"/>
      </rPr>
      <t>√</t>
    </r>
  </si>
  <si>
    <t>最大充电功率</t>
  </si>
  <si>
    <t>WChaMax</t>
  </si>
  <si>
    <t>100~100000</t>
  </si>
  <si>
    <r>
      <rPr>
        <rFont val="宋体"/>
        <color theme="1"/>
        <sz val="12.0"/>
      </rPr>
      <t>是</t>
    </r>
  </si>
  <si>
    <t>gwDeWChaMax</t>
  </si>
  <si>
    <r>
      <rPr>
        <rFont val="宋体"/>
        <b/>
        <color theme="1"/>
        <sz val="12.0"/>
      </rPr>
      <t>√</t>
    </r>
  </si>
  <si>
    <r>
      <rPr>
        <rFont val="宋体"/>
        <b/>
        <color theme="1"/>
        <sz val="12.0"/>
      </rPr>
      <t>√</t>
    </r>
  </si>
  <si>
    <r>
      <rPr>
        <rFont val="宋体"/>
        <b/>
        <color theme="1"/>
        <sz val="12.0"/>
      </rPr>
      <t>√</t>
    </r>
  </si>
  <si>
    <t>最大充电变化率</t>
  </si>
  <si>
    <t>WChaGra</t>
  </si>
  <si>
    <r>
      <rPr>
        <rFont val="宋体"/>
        <color theme="1"/>
        <sz val="12.0"/>
      </rPr>
      <t>是</t>
    </r>
  </si>
  <si>
    <t>gwDeWChaGra</t>
  </si>
  <si>
    <r>
      <rPr>
        <rFont val="宋体"/>
        <b/>
        <color theme="1"/>
        <sz val="12.0"/>
      </rPr>
      <t>√</t>
    </r>
  </si>
  <si>
    <r>
      <rPr>
        <rFont val="宋体"/>
        <b/>
        <color theme="1"/>
        <sz val="12.0"/>
      </rPr>
      <t>√</t>
    </r>
  </si>
  <si>
    <r>
      <rPr>
        <rFont val="宋体"/>
        <b/>
        <color theme="1"/>
        <sz val="12.0"/>
      </rPr>
      <t>√</t>
    </r>
  </si>
  <si>
    <t>最大放点变化率</t>
  </si>
  <si>
    <t>WDisChaGra</t>
  </si>
  <si>
    <r>
      <rPr>
        <rFont val="宋体"/>
        <color theme="1"/>
        <sz val="12.0"/>
      </rPr>
      <t>是</t>
    </r>
  </si>
  <si>
    <t>gwDeWDisChaGra</t>
  </si>
  <si>
    <r>
      <rPr>
        <rFont val="宋体"/>
        <b/>
        <color theme="1"/>
        <sz val="12.0"/>
      </rPr>
      <t>√</t>
    </r>
  </si>
  <si>
    <r>
      <rPr>
        <rFont val="宋体"/>
        <b/>
        <color theme="1"/>
        <sz val="12.0"/>
      </rPr>
      <t>√</t>
    </r>
  </si>
  <si>
    <r>
      <rPr>
        <rFont val="宋体"/>
        <b/>
        <color theme="1"/>
        <sz val="12.0"/>
      </rPr>
      <t>√</t>
    </r>
  </si>
  <si>
    <t>铅酸电池厂家</t>
  </si>
  <si>
    <t>LeadAcidBrand</t>
  </si>
  <si>
    <r>
      <rPr>
        <rFont val="Calibri"/>
        <color rgb="FFFF0000"/>
        <sz val="12.0"/>
      </rPr>
      <t xml:space="preserve">0. common
1. SACRED </t>
    </r>
    <r>
      <rPr>
        <rFont val="宋体"/>
        <color rgb="FFFF0000"/>
        <sz val="12.0"/>
      </rPr>
      <t>圣阳</t>
    </r>
    <r>
      <rPr>
        <rFont val="Calibri"/>
        <color rgb="FFFF0000"/>
        <sz val="12.0"/>
      </rPr>
      <t xml:space="preserve">
2.</t>
    </r>
  </si>
  <si>
    <t>预留</t>
  </si>
  <si>
    <t>3027-3499</t>
  </si>
  <si>
    <r>
      <rPr>
        <rFont val="宋体"/>
        <b/>
        <color theme="1"/>
        <sz val="12.0"/>
      </rPr>
      <t>√</t>
    </r>
  </si>
  <si>
    <r>
      <rPr>
        <rFont val="宋体"/>
        <b/>
        <color theme="1"/>
        <sz val="12.0"/>
      </rPr>
      <t>√</t>
    </r>
  </si>
  <si>
    <r>
      <rPr>
        <rFont val="宋体"/>
        <b/>
        <color theme="1"/>
        <sz val="12.0"/>
      </rPr>
      <t>√</t>
    </r>
  </si>
  <si>
    <t>编码</t>
  </si>
  <si>
    <t>备注</t>
  </si>
  <si>
    <t>Com_50Hz</t>
  </si>
  <si>
    <t>0</t>
  </si>
  <si>
    <t>50Hz宽范围参数</t>
  </si>
  <si>
    <t>Com_60Hz</t>
  </si>
  <si>
    <t>1</t>
  </si>
  <si>
    <t>60Hz宽范围参数</t>
  </si>
  <si>
    <t>CN</t>
  </si>
  <si>
    <t>2</t>
  </si>
  <si>
    <t>中国</t>
  </si>
  <si>
    <t>JP_50Hz</t>
  </si>
  <si>
    <t>3</t>
  </si>
  <si>
    <t>日本50Hz电网</t>
  </si>
  <si>
    <t>JP_60Hz</t>
  </si>
  <si>
    <t>4</t>
  </si>
  <si>
    <t>日本60Hz电网</t>
  </si>
  <si>
    <t>US_240S</t>
  </si>
  <si>
    <t>5</t>
  </si>
  <si>
    <t>美国240V单相</t>
  </si>
  <si>
    <t>US_240D</t>
  </si>
  <si>
    <t>美国240V裂相</t>
  </si>
  <si>
    <t>US_208S</t>
  </si>
  <si>
    <t>7</t>
  </si>
  <si>
    <t>美国208V单相</t>
  </si>
  <si>
    <t>US_208D</t>
  </si>
  <si>
    <t>8</t>
  </si>
  <si>
    <t>美国208V裂相</t>
  </si>
  <si>
    <t>AU</t>
  </si>
  <si>
    <t>9</t>
  </si>
  <si>
    <t>澳大利亚</t>
  </si>
  <si>
    <t>UK_G83</t>
  </si>
  <si>
    <t>10</t>
  </si>
  <si>
    <t>英国G83标准</t>
  </si>
  <si>
    <t>UK_G59</t>
  </si>
  <si>
    <t>11</t>
  </si>
  <si>
    <t>英国G59标准</t>
  </si>
  <si>
    <t>DE</t>
  </si>
  <si>
    <t>12</t>
  </si>
  <si>
    <t>德国低压电网</t>
  </si>
  <si>
    <t>DE_BDEW</t>
  </si>
  <si>
    <t>13</t>
  </si>
  <si>
    <t>德国中压电网</t>
  </si>
  <si>
    <t>FR</t>
  </si>
  <si>
    <t>14</t>
  </si>
  <si>
    <t>法国</t>
  </si>
  <si>
    <t>FR_IL50Hz</t>
  </si>
  <si>
    <t>法国50Hz岛屿</t>
  </si>
  <si>
    <t>FR_IL60Hz</t>
  </si>
  <si>
    <t>16</t>
  </si>
  <si>
    <t>法国60Hz岛屿</t>
  </si>
  <si>
    <t>PL</t>
  </si>
  <si>
    <t>17</t>
  </si>
  <si>
    <t>波兰</t>
  </si>
  <si>
    <t>IT</t>
  </si>
  <si>
    <t>18</t>
  </si>
  <si>
    <t>意大利</t>
  </si>
  <si>
    <t>TH_ME</t>
  </si>
  <si>
    <t>19</t>
  </si>
  <si>
    <t>泰国ME地区</t>
  </si>
  <si>
    <t>TH_PE</t>
  </si>
  <si>
    <t>泰国PE地区</t>
  </si>
  <si>
    <t>IN</t>
  </si>
  <si>
    <t>21</t>
  </si>
  <si>
    <t>印度</t>
  </si>
  <si>
    <t>KR</t>
  </si>
  <si>
    <t>22</t>
  </si>
  <si>
    <t>韩国</t>
  </si>
  <si>
    <t>PH</t>
  </si>
  <si>
    <t>23</t>
  </si>
  <si>
    <t>菲律宾</t>
  </si>
  <si>
    <t>KP</t>
  </si>
  <si>
    <t>24</t>
  </si>
  <si>
    <t>朝鲜</t>
  </si>
  <si>
    <t>MY</t>
  </si>
  <si>
    <t>马来西亚</t>
  </si>
  <si>
    <t>CY</t>
  </si>
  <si>
    <t>26</t>
  </si>
  <si>
    <t>塞浦路斯</t>
  </si>
  <si>
    <t>NL</t>
  </si>
  <si>
    <t>27</t>
  </si>
  <si>
    <t>荷兰</t>
  </si>
  <si>
    <t>NL_16A</t>
  </si>
  <si>
    <t>28</t>
  </si>
  <si>
    <t>荷兰限制16A并网</t>
  </si>
  <si>
    <t>ES</t>
  </si>
  <si>
    <t>29</t>
  </si>
  <si>
    <t>西班牙</t>
  </si>
  <si>
    <t>GR</t>
  </si>
  <si>
    <t>希腊</t>
  </si>
  <si>
    <t>GR_IL</t>
  </si>
  <si>
    <t>31</t>
  </si>
  <si>
    <t>希腊岛屿</t>
  </si>
  <si>
    <t>PT</t>
  </si>
  <si>
    <t>32</t>
  </si>
  <si>
    <t>葡萄牙</t>
  </si>
  <si>
    <t>BE</t>
  </si>
  <si>
    <t>33</t>
  </si>
  <si>
    <t>比利时</t>
  </si>
  <si>
    <t>DK</t>
  </si>
  <si>
    <t>34</t>
  </si>
  <si>
    <t>丹麦</t>
  </si>
  <si>
    <t>DK_16A</t>
  </si>
  <si>
    <t>丹麦限制16A并网</t>
  </si>
  <si>
    <t>CZ</t>
  </si>
  <si>
    <t>36</t>
  </si>
  <si>
    <t>捷克</t>
  </si>
  <si>
    <t>SK</t>
  </si>
  <si>
    <t>37</t>
  </si>
  <si>
    <t>斯洛伐克</t>
  </si>
  <si>
    <t>SE</t>
  </si>
  <si>
    <t>38</t>
  </si>
  <si>
    <t>瑞典</t>
  </si>
  <si>
    <t>AT</t>
  </si>
  <si>
    <t>39</t>
  </si>
  <si>
    <t>奥地利</t>
  </si>
  <si>
    <t>BG</t>
  </si>
  <si>
    <t>保加利亚</t>
  </si>
  <si>
    <t>RO</t>
  </si>
  <si>
    <t>41</t>
  </si>
  <si>
    <t>罗马尼亚</t>
  </si>
  <si>
    <t>UA</t>
  </si>
  <si>
    <t>42</t>
  </si>
  <si>
    <t>乌克兰</t>
  </si>
  <si>
    <t>ZA</t>
  </si>
  <si>
    <t>43</t>
  </si>
  <si>
    <t>南非</t>
  </si>
  <si>
    <t>MU</t>
  </si>
  <si>
    <t>44</t>
  </si>
  <si>
    <t>毛里求斯</t>
  </si>
  <si>
    <t>IL</t>
  </si>
  <si>
    <t>45</t>
  </si>
  <si>
    <t>以色列</t>
  </si>
  <si>
    <t>MX</t>
  </si>
  <si>
    <t>46</t>
  </si>
  <si>
    <t>墨西哥</t>
  </si>
  <si>
    <t>BR</t>
  </si>
  <si>
    <t>47</t>
  </si>
  <si>
    <t>巴西</t>
  </si>
  <si>
    <t>LK</t>
  </si>
  <si>
    <t>48</t>
  </si>
  <si>
    <t>斯里兰卡</t>
  </si>
  <si>
    <t>CL</t>
  </si>
  <si>
    <t>智利</t>
  </si>
  <si>
    <t>CONNERA</t>
  </si>
  <si>
    <t>50</t>
  </si>
  <si>
    <t>墨西哥CONNERA定制</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</si>
</sst>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scheme val="minor"/>
    </font>
    <font>
      <b/>
      <sz val="11.0"/>
      <color theme="1"/>
      <name val="SimSun"/>
    </font>
    <font>
      <b/>
      <sz val="11.0"/>
      <color theme="1"/>
      <name val="Calibri"/>
    </font>
    <font>
      <sz val="11.0"/>
      <color theme="1"/>
      <name val="Calibri"/>
    </font>
    <font>
      <sz val="11.0"/>
      <color theme="1"/>
      <name val="SimSun"/>
    </font>
    <font/>
    <font>
      <b/>
      <sz val="16.0"/>
      <color theme="1"/>
      <name val="Calibri"/>
    </font>
    <font>
      <b/>
      <sz val="12.0"/>
      <color theme="1"/>
      <name val="Calibri"/>
    </font>
    <font>
      <sz val="11.0"/>
      <color rgb="FFFF0000"/>
      <name val="Calibri"/>
    </font>
    <font>
      <sz val="12.0"/>
      <color theme="1"/>
      <name val="Calibri"/>
    </font>
    <font>
      <sz val="12.0"/>
      <color theme="1"/>
      <name val="SimSun"/>
    </font>
    <font>
      <sz val="11.0"/>
      <color theme="1"/>
      <name val="Cambria Math"/>
    </font>
    <font>
      <u/>
      <sz val="11.0"/>
      <color rgb="FF0000FF"/>
      <name val="SimSun"/>
    </font>
    <font>
      <sz val="10.0"/>
      <color theme="1"/>
      <name val="Calibri"/>
    </font>
    <font>
      <b/>
      <sz val="12.0"/>
      <color theme="1"/>
      <name val="SimSun"/>
    </font>
    <font>
      <color theme="1"/>
      <name val="Calibri"/>
      <scheme val="minor"/>
    </font>
    <font>
      <b/>
      <sz val="16.0"/>
      <color theme="1"/>
      <name val="SimSun"/>
    </font>
    <font>
      <b/>
      <sz val="14.0"/>
      <color theme="1"/>
      <name val="Calibri"/>
    </font>
    <font>
      <sz val="12.0"/>
      <color rgb="FFFF0000"/>
      <name val="Calibri"/>
    </font>
    <font>
      <u/>
      <sz val="11.0"/>
      <color rgb="FF0000FF"/>
      <name val="SimSun"/>
    </font>
    <font>
      <b/>
      <sz val="14.0"/>
      <color theme="1"/>
      <name val="SimSun"/>
    </font>
    <font>
      <sz val="12.0"/>
      <color rgb="FFFF0000"/>
      <name val="SimSun"/>
    </font>
    <font>
      <b/>
      <sz val="12.0"/>
      <color rgb="FFFF0000"/>
      <name val="Calibri"/>
    </font>
    <font>
      <sz val="11.0"/>
      <color rgb="FFFF0000"/>
      <name val="SimSun"/>
    </font>
  </fonts>
  <fills count="11">
    <fill>
      <patternFill patternType="none"/>
    </fill>
    <fill>
      <patternFill patternType="lightGray"/>
    </fill>
    <fill>
      <patternFill patternType="solid">
        <fgColor rgb="FF00B050"/>
        <bgColor rgb="FF00B050"/>
      </patternFill>
    </fill>
    <fill>
      <patternFill patternType="solid">
        <fgColor rgb="FF31859B"/>
        <bgColor rgb="FF31859B"/>
      </patternFill>
    </fill>
    <fill>
      <patternFill patternType="solid">
        <fgColor rgb="FFFFFF00"/>
        <bgColor rgb="FFFFFF00"/>
      </patternFill>
    </fill>
    <fill>
      <patternFill patternType="solid">
        <fgColor rgb="FFDAEEF3"/>
        <bgColor rgb="FFDAEEF3"/>
      </patternFill>
    </fill>
    <fill>
      <patternFill patternType="solid">
        <fgColor theme="0"/>
        <bgColor theme="0"/>
      </patternFill>
    </fill>
    <fill>
      <patternFill patternType="solid">
        <fgColor rgb="FFDBEEF3"/>
        <bgColor rgb="FFDBEEF3"/>
      </patternFill>
    </fill>
    <fill>
      <patternFill patternType="solid">
        <fgColor rgb="FFFBD4B4"/>
        <bgColor rgb="FFFBD4B4"/>
      </patternFill>
    </fill>
    <fill>
      <patternFill patternType="solid">
        <fgColor rgb="FFFBD5B5"/>
        <bgColor rgb="FFFBD5B5"/>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shrinkToFit="0" wrapText="1"/>
    </xf>
    <xf borderId="0" fillId="0" fontId="2" numFmtId="0" xfId="0" applyAlignment="1" applyFont="1">
      <alignment horizontal="left" shrinkToFit="0" vertical="center" wrapText="1"/>
    </xf>
    <xf borderId="0" fillId="0" fontId="2" numFmtId="0" xfId="0" applyAlignment="1" applyFont="1">
      <alignment horizontal="center" vertical="center"/>
    </xf>
    <xf borderId="1" fillId="0" fontId="1" numFmtId="0" xfId="0" applyAlignment="1" applyBorder="1" applyFont="1">
      <alignment horizontal="center" vertical="center"/>
    </xf>
    <xf borderId="1" fillId="0" fontId="2" numFmtId="0" xfId="0" applyAlignment="1" applyBorder="1" applyFont="1">
      <alignment horizontal="center" shrinkToFit="0"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shrinkToFit="0" wrapText="1"/>
    </xf>
    <xf borderId="1" fillId="0" fontId="3" numFmtId="0" xfId="0" applyAlignment="1" applyBorder="1" applyFont="1">
      <alignment horizontal="left" shrinkToFit="0" vertical="center" wrapText="1"/>
    </xf>
    <xf borderId="2" fillId="0" fontId="3" numFmtId="0" xfId="0" applyAlignment="1" applyBorder="1" applyFont="1">
      <alignment horizontal="center" vertical="center"/>
    </xf>
    <xf borderId="1" fillId="0" fontId="4" numFmtId="0" xfId="0" applyAlignment="1" applyBorder="1" applyFont="1">
      <alignment shrinkToFit="0" wrapText="1"/>
    </xf>
    <xf borderId="3" fillId="0" fontId="5" numFmtId="0" xfId="0" applyBorder="1" applyFont="1"/>
    <xf borderId="4" fillId="0" fontId="5" numFmtId="0" xfId="0" applyBorder="1" applyFont="1"/>
    <xf borderId="1" fillId="0" fontId="3" numFmtId="0" xfId="0" applyAlignment="1" applyBorder="1" applyFont="1">
      <alignment horizontal="center" shrinkToFit="0" vertical="center" wrapText="1"/>
    </xf>
    <xf borderId="4" fillId="0" fontId="4" numFmtId="0" xfId="0" applyBorder="1" applyFont="1"/>
    <xf borderId="1" fillId="0" fontId="4" numFmtId="0" xfId="0" applyBorder="1" applyFont="1"/>
    <xf borderId="1" fillId="0" fontId="4" numFmtId="0" xfId="0" applyAlignment="1" applyBorder="1" applyFont="1">
      <alignment shrinkToFit="0" vertical="center" wrapText="1"/>
    </xf>
    <xf borderId="2" fillId="0" fontId="4" numFmtId="0" xfId="0" applyBorder="1" applyFont="1"/>
    <xf borderId="1" fillId="0" fontId="3" numFmtId="0" xfId="0" applyBorder="1" applyFont="1"/>
    <xf borderId="4" fillId="0" fontId="3" numFmtId="0" xfId="0" applyBorder="1" applyFont="1"/>
    <xf borderId="4" fillId="0" fontId="3" numFmtId="0" xfId="0" applyAlignment="1" applyBorder="1" applyFont="1">
      <alignment horizontal="center" vertical="center"/>
    </xf>
    <xf borderId="4" fillId="0" fontId="4" numFmtId="0" xfId="0" applyAlignment="1" applyBorder="1" applyFont="1">
      <alignment horizontal="left"/>
    </xf>
    <xf borderId="4" fillId="0" fontId="3" numFmtId="0" xfId="0" applyAlignment="1" applyBorder="1" applyFont="1">
      <alignment horizontal="left"/>
    </xf>
    <xf borderId="4" fillId="0" fontId="4" numFmtId="0" xfId="0" applyAlignment="1" applyBorder="1" applyFont="1">
      <alignment horizontal="left" shrinkToFit="0" wrapText="1"/>
    </xf>
    <xf borderId="3" fillId="0" fontId="3" numFmtId="0" xfId="0" applyAlignment="1" applyBorder="1" applyFont="1">
      <alignment horizontal="center" vertical="center"/>
    </xf>
    <xf borderId="3" fillId="0" fontId="3" numFmtId="0" xfId="0" applyAlignment="1" applyBorder="1" applyFont="1">
      <alignment horizontal="center"/>
    </xf>
    <xf borderId="0" fillId="0" fontId="3" numFmtId="0" xfId="0" applyAlignment="1" applyFont="1">
      <alignment vertical="center"/>
    </xf>
    <xf borderId="0" fillId="0" fontId="3" numFmtId="0" xfId="0" applyFont="1"/>
    <xf borderId="0" fillId="2" fontId="6" numFmtId="0" xfId="0" applyAlignment="1" applyFill="1" applyFont="1">
      <alignment horizontal="center" vertical="top"/>
    </xf>
    <xf borderId="0" fillId="2" fontId="6" numFmtId="0" xfId="0" applyAlignment="1" applyFont="1">
      <alignment horizontal="center" shrinkToFit="0" vertical="top" wrapText="1"/>
    </xf>
    <xf borderId="0" fillId="2" fontId="6" numFmtId="0" xfId="0" applyAlignment="1" applyFont="1">
      <alignment horizontal="left" shrinkToFit="0" vertical="top" wrapText="1"/>
    </xf>
    <xf borderId="0" fillId="2" fontId="7" numFmtId="0" xfId="0" applyAlignment="1" applyFont="1">
      <alignment horizontal="left" shrinkToFit="0" vertical="center" wrapText="1"/>
    </xf>
    <xf borderId="0" fillId="2" fontId="7" numFmtId="0" xfId="0" applyAlignment="1" applyFont="1">
      <alignment horizontal="left" shrinkToFit="0" vertical="top" wrapText="1"/>
    </xf>
    <xf borderId="1" fillId="2" fontId="6" numFmtId="0" xfId="0" applyAlignment="1" applyBorder="1" applyFont="1">
      <alignment horizontal="center" vertical="top"/>
    </xf>
    <xf borderId="1" fillId="2" fontId="6" numFmtId="0" xfId="0" applyAlignment="1" applyBorder="1" applyFont="1">
      <alignment horizontal="center" shrinkToFit="0" vertical="top" wrapText="1"/>
    </xf>
    <xf borderId="1" fillId="2" fontId="6" numFmtId="0" xfId="0" applyAlignment="1" applyBorder="1" applyFont="1">
      <alignment horizontal="left" shrinkToFit="0" vertical="top" wrapText="1"/>
    </xf>
    <xf borderId="1" fillId="2" fontId="7" numFmtId="0" xfId="0" applyAlignment="1" applyBorder="1" applyFont="1">
      <alignment horizontal="left" shrinkToFit="0" vertical="center" wrapText="1"/>
    </xf>
    <xf borderId="1" fillId="2" fontId="7" numFmtId="0" xfId="0" applyAlignment="1" applyBorder="1" applyFont="1">
      <alignment horizontal="left" shrinkToFit="0" vertical="top" wrapText="1"/>
    </xf>
    <xf borderId="5" fillId="3" fontId="7" numFmtId="0" xfId="0" applyAlignment="1" applyBorder="1" applyFill="1" applyFont="1">
      <alignment horizontal="center" readingOrder="0" shrinkToFit="0" vertical="center" wrapText="1"/>
    </xf>
    <xf borderId="6" fillId="0" fontId="5" numFmtId="0" xfId="0" applyBorder="1" applyFont="1"/>
    <xf borderId="7" fillId="0" fontId="5" numFmtId="0" xfId="0" applyBorder="1" applyFont="1"/>
    <xf borderId="1" fillId="4" fontId="3" numFmtId="0" xfId="0" applyAlignment="1" applyBorder="1" applyFill="1" applyFont="1">
      <alignment readingOrder="0" shrinkToFit="0" vertical="center" wrapText="1"/>
    </xf>
    <xf borderId="1" fillId="0" fontId="8" numFmtId="0" xfId="0" applyAlignment="1" applyBorder="1" applyFont="1">
      <alignment shrinkToFit="0" vertical="center" wrapText="1"/>
    </xf>
    <xf borderId="5" fillId="2" fontId="7" numFmtId="0" xfId="0" applyAlignment="1" applyBorder="1" applyFont="1">
      <alignment horizontal="center" shrinkToFit="0" vertical="center" wrapText="1"/>
    </xf>
    <xf borderId="1" fillId="5" fontId="9" numFmtId="0" xfId="0" applyAlignment="1" applyBorder="1" applyFill="1" applyFont="1">
      <alignment horizontal="left" shrinkToFit="0" vertical="center" wrapText="1"/>
    </xf>
    <xf borderId="1" fillId="5" fontId="9" numFmtId="0" xfId="0" applyAlignment="1" applyBorder="1" applyFont="1">
      <alignment horizontal="left" vertical="center"/>
    </xf>
    <xf borderId="1" fillId="5" fontId="9" numFmtId="0" xfId="0" applyBorder="1" applyFont="1"/>
    <xf borderId="1" fillId="5" fontId="9" numFmtId="0" xfId="0" applyAlignment="1" applyBorder="1" applyFont="1">
      <alignment shrinkToFit="0" vertical="center" wrapText="1"/>
    </xf>
    <xf borderId="1" fillId="5" fontId="9"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7" numFmtId="0" xfId="0" applyAlignment="1" applyBorder="1" applyFont="1">
      <alignment horizontal="left" shrinkToFit="0" vertical="center" wrapText="1"/>
    </xf>
    <xf borderId="1" fillId="0" fontId="7" numFmtId="0" xfId="0" applyAlignment="1" applyBorder="1" applyFont="1">
      <alignment horizontal="center" vertical="center"/>
    </xf>
    <xf borderId="1" fillId="4" fontId="10" numFmtId="0" xfId="0" applyAlignment="1" applyBorder="1" applyFont="1">
      <alignment shrinkToFit="0" vertical="center" wrapText="1"/>
    </xf>
    <xf borderId="1" fillId="4" fontId="9" numFmtId="0" xfId="0" applyAlignment="1" applyBorder="1" applyFont="1">
      <alignment horizontal="left" shrinkToFit="0" vertical="center" wrapText="1"/>
    </xf>
    <xf borderId="1" fillId="4" fontId="9" numFmtId="0" xfId="0" applyBorder="1" applyFont="1"/>
    <xf borderId="1" fillId="4" fontId="9" numFmtId="0" xfId="0" applyAlignment="1" applyBorder="1" applyFont="1">
      <alignment horizontal="left" vertical="center"/>
    </xf>
    <xf borderId="1" fillId="4" fontId="9" numFmtId="0" xfId="0" applyAlignment="1" applyBorder="1" applyFont="1">
      <alignment horizontal="center" vertical="center"/>
    </xf>
    <xf borderId="1" fillId="4" fontId="3" numFmtId="0" xfId="0" applyBorder="1" applyFont="1"/>
    <xf borderId="1" fillId="4" fontId="3" numFmtId="0" xfId="0" applyAlignment="1" applyBorder="1" applyFont="1">
      <alignment shrinkToFit="0" vertical="center" wrapText="1"/>
    </xf>
    <xf borderId="1" fillId="4" fontId="7" numFmtId="0" xfId="0" applyAlignment="1" applyBorder="1" applyFont="1">
      <alignment horizontal="left" shrinkToFit="0" vertical="center" wrapText="1"/>
    </xf>
    <xf borderId="1" fillId="4" fontId="7" numFmtId="0" xfId="0" applyAlignment="1" applyBorder="1" applyFont="1">
      <alignment horizontal="center" vertical="center"/>
    </xf>
    <xf borderId="8" fillId="4" fontId="11" numFmtId="0" xfId="0" applyBorder="1" applyFont="1"/>
    <xf borderId="8" fillId="4" fontId="4" numFmtId="0" xfId="0" applyBorder="1" applyFont="1"/>
    <xf borderId="1" fillId="5" fontId="9" numFmtId="0" xfId="0" applyAlignment="1" applyBorder="1" applyFont="1">
      <alignment horizontal="center" vertical="center"/>
    </xf>
    <xf borderId="0" fillId="0" fontId="4" numFmtId="0" xfId="0" applyFont="1"/>
    <xf borderId="1" fillId="5" fontId="9" numFmtId="0" xfId="0" applyAlignment="1" applyBorder="1" applyFont="1">
      <alignment horizontal="left" vertical="top"/>
    </xf>
    <xf borderId="1" fillId="6" fontId="8" numFmtId="0" xfId="0" applyAlignment="1" applyBorder="1" applyFill="1" applyFont="1">
      <alignment shrinkToFit="0" vertical="center" wrapText="1"/>
    </xf>
    <xf borderId="1" fillId="5" fontId="9" numFmtId="0" xfId="0" applyAlignment="1" applyBorder="1" applyFont="1">
      <alignment horizontal="left"/>
    </xf>
    <xf borderId="1" fillId="7" fontId="9" numFmtId="0" xfId="0" applyAlignment="1" applyBorder="1" applyFill="1" applyFont="1">
      <alignment horizontal="left" shrinkToFit="0" vertical="center" wrapText="1"/>
    </xf>
    <xf borderId="1" fillId="5" fontId="12" numFmtId="0" xfId="0" applyAlignment="1" applyBorder="1" applyFont="1">
      <alignment horizontal="center" shrinkToFit="0" vertical="center" wrapText="1"/>
    </xf>
    <xf borderId="1" fillId="7" fontId="10" numFmtId="0" xfId="0" applyAlignment="1" applyBorder="1" applyFont="1">
      <alignment horizontal="left" shrinkToFit="0" vertical="center" wrapText="1"/>
    </xf>
    <xf borderId="1" fillId="7" fontId="9" numFmtId="0" xfId="0" applyBorder="1" applyFont="1"/>
    <xf borderId="1" fillId="7" fontId="9" numFmtId="0" xfId="0" applyAlignment="1" applyBorder="1" applyFont="1">
      <alignment shrinkToFit="0" vertical="center" wrapText="1"/>
    </xf>
    <xf borderId="1" fillId="7" fontId="9" numFmtId="0" xfId="0" applyAlignment="1" applyBorder="1" applyFont="1">
      <alignment horizontal="center" shrinkToFit="0" vertical="center" wrapText="1"/>
    </xf>
    <xf borderId="1" fillId="7" fontId="3" numFmtId="0" xfId="0" applyBorder="1" applyFont="1"/>
    <xf borderId="1" fillId="7" fontId="4" numFmtId="0" xfId="0" applyAlignment="1" applyBorder="1" applyFont="1">
      <alignment shrinkToFit="0" vertical="center" wrapText="1"/>
    </xf>
    <xf borderId="1" fillId="7" fontId="7" numFmtId="0" xfId="0" applyAlignment="1" applyBorder="1" applyFont="1">
      <alignment horizontal="left" shrinkToFit="0" vertical="center" wrapText="1"/>
    </xf>
    <xf borderId="1" fillId="7" fontId="7" numFmtId="0" xfId="0" applyAlignment="1" applyBorder="1" applyFont="1">
      <alignment horizontal="center" vertical="center"/>
    </xf>
    <xf borderId="8" fillId="7" fontId="4" numFmtId="0" xfId="0" applyBorder="1" applyFont="1"/>
    <xf borderId="1" fillId="7" fontId="9" numFmtId="0" xfId="0" applyAlignment="1" applyBorder="1" applyFont="1">
      <alignment horizontal="left" vertical="center"/>
    </xf>
    <xf borderId="1" fillId="7" fontId="3" numFmtId="0" xfId="0" applyAlignment="1" applyBorder="1" applyFont="1">
      <alignment shrinkToFit="0" wrapText="1"/>
    </xf>
    <xf borderId="1" fillId="5" fontId="13" numFmtId="0" xfId="0" applyAlignment="1" applyBorder="1" applyFont="1">
      <alignment horizontal="left" shrinkToFit="0" vertical="top" wrapText="1"/>
    </xf>
    <xf borderId="1" fillId="5" fontId="3" numFmtId="0" xfId="0" applyBorder="1" applyFont="1"/>
    <xf borderId="1" fillId="5" fontId="3" numFmtId="0" xfId="0" applyAlignment="1" applyBorder="1" applyFont="1">
      <alignment horizontal="left"/>
    </xf>
    <xf borderId="1" fillId="5" fontId="3" numFmtId="0" xfId="0" applyAlignment="1" applyBorder="1" applyFont="1">
      <alignment horizontal="center"/>
    </xf>
    <xf borderId="1" fillId="5" fontId="3" numFmtId="0" xfId="0" applyAlignment="1" applyBorder="1" applyFont="1">
      <alignment horizontal="left" shrinkToFit="0" wrapText="1"/>
    </xf>
    <xf borderId="5" fillId="3" fontId="7" numFmtId="0" xfId="0" applyAlignment="1" applyBorder="1" applyFont="1">
      <alignment horizontal="center" shrinkToFit="0" vertical="center" wrapText="1"/>
    </xf>
    <xf borderId="1" fillId="8" fontId="9" numFmtId="0" xfId="0" applyAlignment="1" applyBorder="1" applyFill="1" applyFont="1">
      <alignment horizontal="left" shrinkToFit="0" vertical="top" wrapText="1"/>
    </xf>
    <xf borderId="1" fillId="8" fontId="9" numFmtId="49" xfId="0" applyBorder="1" applyFont="1" applyNumberFormat="1"/>
    <xf borderId="1" fillId="8" fontId="9" numFmtId="0" xfId="0" applyAlignment="1" applyBorder="1" applyFont="1">
      <alignment horizontal="center" shrinkToFit="0" vertical="top" wrapText="1"/>
    </xf>
    <xf borderId="2" fillId="8" fontId="9" numFmtId="0" xfId="0" applyAlignment="1" applyBorder="1" applyFont="1">
      <alignment horizontal="left" shrinkToFit="0" vertical="center" wrapText="1"/>
    </xf>
    <xf borderId="2" fillId="0" fontId="3" numFmtId="0" xfId="0" applyAlignment="1" applyBorder="1" applyFont="1">
      <alignment shrinkToFit="0" vertical="center" wrapText="1"/>
    </xf>
    <xf borderId="1" fillId="9" fontId="9" numFmtId="49" xfId="0" applyBorder="1" applyFill="1" applyFont="1" applyNumberFormat="1"/>
    <xf borderId="1" fillId="9" fontId="10" numFmtId="0" xfId="0" applyAlignment="1" applyBorder="1" applyFont="1">
      <alignment horizontal="left" shrinkToFit="0" vertical="top" wrapText="1"/>
    </xf>
    <xf borderId="1" fillId="9" fontId="9" numFmtId="0" xfId="0" applyAlignment="1" applyBorder="1" applyFont="1">
      <alignment horizontal="left" shrinkToFit="0" vertical="top" wrapText="1"/>
    </xf>
    <xf borderId="1" fillId="9" fontId="9" numFmtId="0" xfId="0" applyAlignment="1" applyBorder="1" applyFont="1">
      <alignment horizontal="center" shrinkToFit="0" vertical="top" wrapText="1"/>
    </xf>
    <xf borderId="1" fillId="9" fontId="3" numFmtId="0" xfId="0" applyBorder="1" applyFont="1"/>
    <xf borderId="1" fillId="9" fontId="4" numFmtId="0" xfId="0" applyAlignment="1" applyBorder="1" applyFont="1">
      <alignment shrinkToFit="0" vertical="center" wrapText="1"/>
    </xf>
    <xf borderId="1" fillId="9" fontId="7" numFmtId="0" xfId="0" applyAlignment="1" applyBorder="1" applyFont="1">
      <alignment horizontal="left" shrinkToFit="0" vertical="center" wrapText="1"/>
    </xf>
    <xf borderId="1" fillId="9" fontId="7" numFmtId="0" xfId="0" applyAlignment="1" applyBorder="1" applyFont="1">
      <alignment horizontal="center" vertical="center"/>
    </xf>
    <xf borderId="8" fillId="9" fontId="4" numFmtId="0" xfId="0" applyBorder="1" applyFont="1"/>
    <xf borderId="9" fillId="9" fontId="9" numFmtId="0" xfId="0" applyAlignment="1" applyBorder="1" applyFont="1">
      <alignment horizontal="left" shrinkToFit="0" vertical="top" wrapText="1"/>
    </xf>
    <xf borderId="1" fillId="8" fontId="9" numFmtId="49" xfId="0" applyAlignment="1" applyBorder="1" applyFont="1" applyNumberFormat="1">
      <alignment vertical="top"/>
    </xf>
    <xf borderId="5" fillId="3" fontId="14"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2" fillId="0" fontId="7" numFmtId="0" xfId="0" applyAlignment="1" applyBorder="1" applyFont="1">
      <alignment horizontal="left" shrinkToFit="0" vertical="center" wrapText="1"/>
    </xf>
    <xf borderId="1" fillId="5" fontId="9" numFmtId="0" xfId="0" applyAlignment="1" applyBorder="1" applyFont="1">
      <alignment horizontal="left" shrinkToFit="0" vertical="top" wrapText="1"/>
    </xf>
    <xf borderId="1" fillId="5" fontId="9" numFmtId="0" xfId="0" applyAlignment="1" applyBorder="1" applyFont="1">
      <alignment horizontal="center" shrinkToFit="0" vertical="top" wrapText="1"/>
    </xf>
    <xf borderId="1" fillId="9" fontId="9" numFmtId="0" xfId="0" applyAlignment="1" applyBorder="1" applyFont="1">
      <alignment horizontal="left" shrinkToFit="0" vertical="center" wrapText="1"/>
    </xf>
    <xf borderId="1" fillId="9" fontId="9" numFmtId="0" xfId="0" applyAlignment="1" applyBorder="1" applyFont="1">
      <alignment horizontal="center" shrinkToFit="0" vertical="center" wrapText="1"/>
    </xf>
    <xf borderId="1" fillId="9" fontId="9" numFmtId="0" xfId="0" applyAlignment="1" applyBorder="1" applyFont="1">
      <alignment horizontal="left" shrinkToFit="0" wrapText="1"/>
    </xf>
    <xf borderId="2" fillId="9" fontId="10" numFmtId="0" xfId="0" applyAlignment="1" applyBorder="1" applyFont="1">
      <alignment horizontal="left" shrinkToFit="0" vertical="center" wrapText="1"/>
    </xf>
    <xf borderId="2" fillId="9" fontId="3" numFmtId="0" xfId="0" applyAlignment="1" applyBorder="1" applyFont="1">
      <alignment shrinkToFit="0" vertical="center" wrapText="1"/>
    </xf>
    <xf borderId="2" fillId="9" fontId="4" numFmtId="0" xfId="0" applyAlignment="1" applyBorder="1" applyFont="1">
      <alignment horizontal="left" shrinkToFit="0" vertical="center" wrapText="1"/>
    </xf>
    <xf borderId="2" fillId="9" fontId="7" numFmtId="0" xfId="0" applyAlignment="1" applyBorder="1" applyFont="1">
      <alignment horizontal="left" shrinkToFit="0" vertical="center" wrapText="1"/>
    </xf>
    <xf borderId="1" fillId="9" fontId="3" numFmtId="0" xfId="0" applyAlignment="1" applyBorder="1" applyFont="1">
      <alignment shrinkToFit="0" vertical="center" wrapText="1"/>
    </xf>
    <xf borderId="1" fillId="9" fontId="9" numFmtId="0" xfId="0" applyAlignment="1" applyBorder="1" applyFont="1">
      <alignment horizontal="center" shrinkToFit="0" wrapText="1"/>
    </xf>
    <xf borderId="1" fillId="9" fontId="10" numFmtId="0" xfId="0" applyAlignment="1" applyBorder="1" applyFont="1">
      <alignment horizontal="left" shrinkToFit="0" wrapText="1"/>
    </xf>
    <xf borderId="1" fillId="9" fontId="14" numFmtId="0" xfId="0" applyAlignment="1" applyBorder="1" applyFont="1">
      <alignment horizontal="center" vertical="center"/>
    </xf>
    <xf borderId="1" fillId="9" fontId="8" numFmtId="0" xfId="0" applyAlignment="1" applyBorder="1" applyFont="1">
      <alignment shrinkToFit="0" vertical="center" wrapText="1"/>
    </xf>
    <xf borderId="9" fillId="9" fontId="9" numFmtId="0" xfId="0" applyAlignment="1" applyBorder="1" applyFont="1">
      <alignment horizontal="left" shrinkToFit="0" wrapText="1"/>
    </xf>
    <xf borderId="3" fillId="0" fontId="15" numFmtId="0" xfId="0" applyBorder="1" applyFont="1"/>
    <xf borderId="4" fillId="0" fontId="15" numFmtId="0" xfId="0" applyBorder="1" applyFont="1"/>
    <xf borderId="1" fillId="8" fontId="9" numFmtId="0" xfId="0" applyAlignment="1" applyBorder="1" applyFont="1">
      <alignment horizontal="left" shrinkToFit="0" wrapText="1"/>
    </xf>
    <xf borderId="1" fillId="8" fontId="9" numFmtId="0" xfId="0" applyAlignment="1" applyBorder="1" applyFont="1">
      <alignment horizontal="center" shrinkToFit="0" wrapText="1"/>
    </xf>
    <xf borderId="1" fillId="5" fontId="13" numFmtId="0" xfId="0" applyAlignment="1" applyBorder="1" applyFont="1">
      <alignment horizontal="left" shrinkToFit="0" vertical="center" wrapText="1"/>
    </xf>
    <xf borderId="1" fillId="7" fontId="14" numFmtId="0" xfId="0" applyAlignment="1" applyBorder="1" applyFont="1">
      <alignment horizontal="center" vertical="center"/>
    </xf>
    <xf borderId="2" fillId="7" fontId="4" numFmtId="0" xfId="0" applyAlignment="1" applyBorder="1" applyFont="1">
      <alignment horizontal="center" shrinkToFit="0" vertical="center" wrapText="1"/>
    </xf>
    <xf borderId="2" fillId="7" fontId="7" numFmtId="0" xfId="0" applyAlignment="1" applyBorder="1" applyFont="1">
      <alignment horizontal="left" shrinkToFit="0" vertical="center" wrapText="1"/>
    </xf>
    <xf borderId="1" fillId="7" fontId="3" numFmtId="0" xfId="0" applyAlignment="1" applyBorder="1" applyFont="1">
      <alignment shrinkToFit="0" vertical="center" wrapText="1"/>
    </xf>
    <xf borderId="9" fillId="7" fontId="9" numFmtId="0" xfId="0" applyAlignment="1" applyBorder="1" applyFont="1">
      <alignment horizontal="left" shrinkToFit="0" vertical="center" wrapText="1"/>
    </xf>
    <xf borderId="1" fillId="5" fontId="10" numFmtId="0" xfId="0" applyAlignment="1" applyBorder="1" applyFont="1">
      <alignment horizontal="left" shrinkToFit="0" vertical="center" wrapText="1"/>
    </xf>
    <xf borderId="1" fillId="8" fontId="9" numFmtId="0" xfId="0" applyAlignment="1" applyBorder="1" applyFont="1">
      <alignment horizontal="left" shrinkToFit="0" vertical="center" wrapText="1"/>
    </xf>
    <xf borderId="1" fillId="8" fontId="9" numFmtId="0" xfId="0" applyAlignment="1" applyBorder="1" applyFont="1">
      <alignment horizontal="center" shrinkToFit="0" vertical="center" wrapText="1"/>
    </xf>
    <xf borderId="1" fillId="8" fontId="13" numFmtId="0" xfId="0" applyAlignment="1" applyBorder="1" applyFont="1">
      <alignment horizontal="left" shrinkToFit="0" vertical="center" wrapText="1"/>
    </xf>
    <xf borderId="2" fillId="8" fontId="13" numFmtId="0" xfId="0" applyAlignment="1" applyBorder="1" applyFont="1">
      <alignment horizontal="left" shrinkToFit="0" vertical="center" wrapText="1"/>
    </xf>
    <xf borderId="2" fillId="0" fontId="3" numFmtId="0" xfId="0" applyBorder="1" applyFont="1"/>
    <xf borderId="1" fillId="8" fontId="9" numFmtId="0" xfId="0" applyAlignment="1" applyBorder="1" applyFont="1">
      <alignment shrinkToFit="0" vertical="center" wrapText="1"/>
    </xf>
    <xf borderId="1" fillId="5" fontId="9" numFmtId="0" xfId="0" applyAlignment="1" applyBorder="1" applyFont="1">
      <alignment horizontal="left" shrinkToFit="0" wrapText="1"/>
    </xf>
    <xf borderId="1" fillId="5" fontId="9" numFmtId="0" xfId="0" applyAlignment="1" applyBorder="1" applyFont="1">
      <alignment horizontal="center" shrinkToFit="0" wrapText="1"/>
    </xf>
    <xf borderId="0" fillId="0" fontId="3" numFmtId="0" xfId="0" applyAlignment="1" applyFont="1">
      <alignment horizontal="center"/>
    </xf>
    <xf borderId="0" fillId="0" fontId="8" numFmtId="0" xfId="0" applyAlignment="1" applyFont="1">
      <alignment shrinkToFit="0" vertical="center" wrapText="1"/>
    </xf>
    <xf borderId="0" fillId="0" fontId="7" numFmtId="0" xfId="0" applyAlignment="1" applyFont="1">
      <alignment horizontal="left" shrinkToFit="0" vertical="center" wrapText="1"/>
    </xf>
    <xf borderId="0" fillId="0" fontId="7" numFmtId="0" xfId="0" applyFont="1"/>
    <xf borderId="4" fillId="0" fontId="8" numFmtId="0" xfId="0" applyAlignment="1" applyBorder="1" applyFont="1">
      <alignment shrinkToFit="0" vertical="center" wrapText="1"/>
    </xf>
    <xf borderId="1" fillId="2" fontId="6" numFmtId="0" xfId="0" applyAlignment="1" applyBorder="1" applyFont="1">
      <alignment horizontal="center" readingOrder="0" shrinkToFit="0" vertical="top" wrapText="1"/>
    </xf>
    <xf borderId="1" fillId="2" fontId="16" numFmtId="0" xfId="0" applyAlignment="1" applyBorder="1" applyFont="1">
      <alignment horizontal="center" shrinkToFit="0" vertical="top" wrapText="1"/>
    </xf>
    <xf borderId="5" fillId="3" fontId="17" numFmtId="0" xfId="0" applyAlignment="1" applyBorder="1" applyFont="1">
      <alignment horizontal="center" readingOrder="0" shrinkToFit="0" vertical="center" wrapText="1"/>
    </xf>
    <xf borderId="1" fillId="3" fontId="17" numFmtId="0" xfId="0" applyAlignment="1" applyBorder="1" applyFont="1">
      <alignment horizontal="center" shrinkToFit="0" vertical="center" wrapText="1"/>
    </xf>
    <xf borderId="5" fillId="4" fontId="7" numFmtId="0" xfId="0" applyAlignment="1" applyBorder="1" applyFont="1">
      <alignment horizontal="center" readingOrder="0" shrinkToFit="0" vertical="center" wrapText="1"/>
    </xf>
    <xf borderId="1" fillId="8" fontId="9" numFmtId="0" xfId="0" applyAlignment="1" applyBorder="1" applyFont="1">
      <alignment horizontal="left" readingOrder="0" shrinkToFit="0" vertical="center" wrapText="1"/>
    </xf>
    <xf borderId="1" fillId="4" fontId="18" numFmtId="0" xfId="0" applyAlignment="1" applyBorder="1" applyFont="1">
      <alignment horizontal="left" shrinkToFit="0" vertical="center" wrapText="1"/>
    </xf>
    <xf borderId="1" fillId="8" fontId="19" numFmtId="0" xfId="0" applyAlignment="1" applyBorder="1" applyFont="1">
      <alignment horizontal="center" shrinkToFit="0" vertical="center" wrapText="1"/>
    </xf>
    <xf borderId="1" fillId="8" fontId="10" numFmtId="0" xfId="0" applyAlignment="1" applyBorder="1" applyFont="1">
      <alignment horizontal="left" shrinkToFit="0" vertical="center" wrapText="1"/>
    </xf>
    <xf borderId="1" fillId="8" fontId="9" numFmtId="10" xfId="0" applyAlignment="1" applyBorder="1" applyFont="1" applyNumberFormat="1">
      <alignment horizontal="left" shrinkToFit="0" vertical="center" wrapText="1"/>
    </xf>
    <xf borderId="1" fillId="8" fontId="13" numFmtId="0" xfId="0" applyAlignment="1" applyBorder="1" applyFont="1">
      <alignment horizontal="left" shrinkToFit="0" vertical="top" wrapText="1"/>
    </xf>
    <xf borderId="1" fillId="8" fontId="3" numFmtId="0" xfId="0" applyAlignment="1" applyBorder="1" applyFont="1">
      <alignment shrinkToFit="0" wrapText="1"/>
    </xf>
    <xf borderId="1" fillId="8" fontId="3" numFmtId="0" xfId="0" applyAlignment="1" applyBorder="1" applyFont="1">
      <alignment horizontal="left"/>
    </xf>
    <xf borderId="5" fillId="3" fontId="17" numFmtId="0" xfId="0" applyAlignment="1" applyBorder="1" applyFont="1">
      <alignment horizontal="center" shrinkToFit="0" vertical="center" wrapText="1"/>
    </xf>
    <xf borderId="6" fillId="3" fontId="17" numFmtId="0" xfId="0" applyAlignment="1" applyBorder="1" applyFont="1">
      <alignment horizontal="center" shrinkToFit="0" vertical="center" wrapText="1"/>
    </xf>
    <xf borderId="7" fillId="3" fontId="17" numFmtId="0" xfId="0" applyAlignment="1" applyBorder="1" applyFont="1">
      <alignment horizontal="center" shrinkToFit="0" vertical="center" wrapText="1"/>
    </xf>
    <xf borderId="1" fillId="4" fontId="9" numFmtId="0" xfId="0" applyAlignment="1" applyBorder="1" applyFont="1">
      <alignment horizontal="left" shrinkToFit="0" vertical="top" wrapText="1"/>
    </xf>
    <xf borderId="1" fillId="4" fontId="9" numFmtId="0" xfId="0" applyAlignment="1" applyBorder="1" applyFont="1">
      <alignment horizontal="center" shrinkToFit="0" vertical="top" wrapText="1"/>
    </xf>
    <xf borderId="1" fillId="5" fontId="3" numFmtId="0" xfId="0" applyAlignment="1" applyBorder="1" applyFont="1">
      <alignment horizontal="left" shrinkToFit="0" vertical="center" wrapText="1"/>
    </xf>
    <xf quotePrefix="1" borderId="1" fillId="8" fontId="9" numFmtId="0" xfId="0" applyAlignment="1" applyBorder="1" applyFont="1">
      <alignment shrinkToFit="0" vertical="center" wrapText="1"/>
    </xf>
    <xf borderId="1" fillId="10" fontId="9" numFmtId="0" xfId="0" applyAlignment="1" applyBorder="1" applyFill="1" applyFont="1">
      <alignment shrinkToFit="0" vertical="center" wrapText="1"/>
    </xf>
    <xf borderId="1" fillId="10" fontId="9" numFmtId="0" xfId="0" applyAlignment="1" applyBorder="1" applyFont="1">
      <alignment horizontal="left" shrinkToFit="0" vertical="center" wrapText="1"/>
    </xf>
    <xf borderId="1" fillId="10" fontId="9" numFmtId="0" xfId="0" applyAlignment="1" applyBorder="1" applyFont="1">
      <alignment horizontal="center" shrinkToFit="0" vertical="center" wrapText="1"/>
    </xf>
    <xf borderId="1" fillId="10" fontId="18" numFmtId="0" xfId="0" applyAlignment="1" applyBorder="1" applyFont="1">
      <alignment shrinkToFit="0" vertical="center" wrapText="1"/>
    </xf>
    <xf borderId="1" fillId="10" fontId="7" numFmtId="0" xfId="0" applyAlignment="1" applyBorder="1" applyFont="1">
      <alignment horizontal="center" vertical="center"/>
    </xf>
    <xf borderId="8" fillId="10" fontId="4" numFmtId="0" xfId="0" applyBorder="1" applyFont="1"/>
    <xf quotePrefix="1" borderId="1" fillId="10" fontId="18" numFmtId="0" xfId="0" applyAlignment="1" applyBorder="1" applyFont="1">
      <alignment shrinkToFit="0" vertical="center" wrapText="1"/>
    </xf>
    <xf borderId="0" fillId="0" fontId="20" numFmtId="0" xfId="0" applyAlignment="1" applyFont="1">
      <alignment horizontal="center" shrinkToFit="0" vertical="center" wrapText="1"/>
    </xf>
    <xf borderId="1" fillId="8" fontId="3" numFmtId="0" xfId="0" applyAlignment="1" applyBorder="1" applyFont="1">
      <alignment horizontal="center"/>
    </xf>
    <xf borderId="1" fillId="8" fontId="3" numFmtId="0" xfId="0" applyAlignment="1" applyBorder="1" applyFont="1">
      <alignment horizontal="left" shrinkToFit="0" wrapText="1"/>
    </xf>
    <xf borderId="1" fillId="5" fontId="9" numFmtId="10" xfId="0" applyAlignment="1" applyBorder="1" applyFont="1" applyNumberFormat="1">
      <alignment horizontal="left" shrinkToFit="0" vertical="center" wrapText="1"/>
    </xf>
    <xf borderId="1" fillId="7" fontId="18" numFmtId="0" xfId="0" applyAlignment="1" applyBorder="1" applyFont="1">
      <alignment horizontal="left" shrinkToFit="0" vertical="center" wrapText="1"/>
    </xf>
    <xf borderId="1" fillId="10" fontId="18" numFmtId="0" xfId="0" applyAlignment="1" applyBorder="1" applyFont="1">
      <alignment horizontal="left" shrinkToFit="0" vertical="center" wrapText="1"/>
    </xf>
    <xf borderId="1" fillId="10" fontId="21" numFmtId="0" xfId="0" applyAlignment="1" applyBorder="1" applyFont="1">
      <alignment horizontal="left" shrinkToFit="0" vertical="center" wrapText="1"/>
    </xf>
    <xf borderId="1" fillId="10" fontId="21" numFmtId="10" xfId="0" applyAlignment="1" applyBorder="1" applyFont="1" applyNumberFormat="1">
      <alignment horizontal="left" shrinkToFit="0" vertical="center" wrapText="1"/>
    </xf>
    <xf borderId="2" fillId="5" fontId="9" numFmtId="0" xfId="0" applyAlignment="1" applyBorder="1" applyFont="1">
      <alignment horizontal="left" shrinkToFit="0" vertical="center" wrapText="1"/>
    </xf>
    <xf quotePrefix="1" borderId="1" fillId="10" fontId="18" numFmtId="0" xfId="0" applyAlignment="1" applyBorder="1" applyFont="1">
      <alignment horizontal="left" shrinkToFit="0" vertical="center" wrapText="1"/>
    </xf>
    <xf borderId="1" fillId="10" fontId="18" numFmtId="10" xfId="0" applyAlignment="1" applyBorder="1" applyFont="1" applyNumberFormat="1">
      <alignment horizontal="left" shrinkToFit="0" vertical="center" wrapText="1"/>
    </xf>
    <xf borderId="1" fillId="5" fontId="18" numFmtId="0" xfId="0" applyAlignment="1" applyBorder="1" applyFont="1">
      <alignment horizontal="left" shrinkToFit="0" vertical="center" wrapText="1"/>
    </xf>
    <xf borderId="1" fillId="8" fontId="18" numFmtId="0" xfId="0" applyAlignment="1" applyBorder="1" applyFont="1">
      <alignment shrinkToFit="0" vertical="center" wrapText="1"/>
    </xf>
    <xf quotePrefix="1" borderId="1" fillId="10" fontId="9" numFmtId="0" xfId="0" applyAlignment="1" applyBorder="1" applyFont="1">
      <alignment horizontal="left" shrinkToFit="0" vertical="center" wrapText="1"/>
    </xf>
    <xf borderId="1" fillId="10" fontId="9" numFmtId="10" xfId="0" applyAlignment="1" applyBorder="1" applyFont="1" applyNumberFormat="1">
      <alignment horizontal="left" shrinkToFit="0" vertical="center" wrapText="1"/>
    </xf>
    <xf borderId="1" fillId="8" fontId="18" numFmtId="0" xfId="0" applyAlignment="1" applyBorder="1" applyFont="1">
      <alignment horizontal="left" shrinkToFit="0" vertical="center" wrapText="1"/>
    </xf>
    <xf borderId="10" fillId="4" fontId="21" numFmtId="0" xfId="0" applyAlignment="1" applyBorder="1" applyFont="1">
      <alignment horizontal="left" shrinkToFit="0" vertical="center" wrapText="1"/>
    </xf>
    <xf borderId="1" fillId="4" fontId="9" numFmtId="0" xfId="0" applyAlignment="1" applyBorder="1" applyFont="1">
      <alignment horizontal="center" shrinkToFit="0" vertical="center" wrapText="1"/>
    </xf>
    <xf borderId="1" fillId="4" fontId="21" numFmtId="0" xfId="0" applyAlignment="1" applyBorder="1" applyFont="1">
      <alignment horizontal="left" shrinkToFit="0" vertical="center" wrapText="1"/>
    </xf>
    <xf borderId="1" fillId="4" fontId="21" numFmtId="0" xfId="0" applyAlignment="1" applyBorder="1" applyFont="1">
      <alignment horizontal="center" shrinkToFit="0" vertical="center" wrapText="1"/>
    </xf>
    <xf borderId="5" fillId="4" fontId="21" numFmtId="0" xfId="0" applyAlignment="1" applyBorder="1" applyFont="1">
      <alignment horizontal="left" shrinkToFit="0" vertical="center" wrapText="1"/>
    </xf>
    <xf quotePrefix="1" borderId="1" fillId="8" fontId="9" numFmtId="0" xfId="0" applyAlignment="1" applyBorder="1" applyFont="1">
      <alignment horizontal="left" shrinkToFit="0" vertical="center" wrapText="1"/>
    </xf>
    <xf borderId="1" fillId="10" fontId="9" numFmtId="0" xfId="0" applyAlignment="1" applyBorder="1" applyFont="1">
      <alignment horizontal="left" shrinkToFit="0" vertical="top" wrapText="1"/>
    </xf>
    <xf borderId="1" fillId="4" fontId="18" numFmtId="0" xfId="0" applyAlignment="1" applyBorder="1" applyFont="1">
      <alignment horizontal="center" shrinkToFit="0" vertical="center" wrapText="1"/>
    </xf>
    <xf borderId="1" fillId="4" fontId="22" numFmtId="0" xfId="0" applyAlignment="1" applyBorder="1" applyFont="1">
      <alignment horizontal="center" vertical="center"/>
    </xf>
    <xf borderId="8" fillId="4" fontId="23" numFmtId="0" xfId="0" applyBorder="1" applyFont="1"/>
    <xf borderId="0" fillId="0" fontId="3" numFmtId="0" xfId="0" applyAlignment="1" applyFont="1">
      <alignment shrinkToFit="0" wrapText="1"/>
    </xf>
    <xf borderId="0" fillId="0" fontId="9" numFmtId="0" xfId="0" applyFont="1"/>
    <xf borderId="1" fillId="0" fontId="1" numFmtId="0" xfId="0" applyAlignment="1" applyBorder="1" applyFont="1">
      <alignment horizontal="center"/>
    </xf>
    <xf quotePrefix="1" borderId="1" fillId="0" fontId="4" numFmtId="0" xfId="0" applyAlignment="1" applyBorder="1" applyFont="1">
      <alignment horizontal="center"/>
    </xf>
    <xf borderId="0" fillId="0" fontId="4" numFmtId="0" xfId="0" applyAlignment="1" applyFont="1">
      <alignment horizontal="center"/>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74.57"/>
    <col customWidth="1" min="3" max="3" width="64.29"/>
    <col customWidth="1" min="4" max="4" width="9.0"/>
    <col customWidth="1" min="5" max="5" width="12.29"/>
    <col customWidth="1" min="6" max="27" width="9.0"/>
  </cols>
  <sheetData>
    <row r="1" ht="19.5" customHeight="1">
      <c r="A1" s="1" t="str">
        <f>IFERROR(__xludf.DUMMYFUNCTION("GOOGLETRANSLATE(A2, ""zh_CN"", ""en"")"),"version number")</f>
        <v>version number</v>
      </c>
      <c r="B1" s="2" t="str">
        <f>IFERROR(__xludf.DUMMYFUNCTION("GOOGLETRANSLATE(B2, ""zh_CN"", ""en"")"),"Modify content")</f>
        <v>Modify content</v>
      </c>
      <c r="C1" s="3"/>
      <c r="D1" s="3" t="str">
        <f>IFERROR(__xludf.DUMMYFUNCTION("GOOGLETRANSLATE(D2, ""zh_CN"", ""en"")"),"Modifier")</f>
        <v>Modifier</v>
      </c>
      <c r="E1" s="4" t="str">
        <f>IFERROR(__xludf.DUMMYFUNCTION("GOOGLETRANSLATE(E2, ""zh_CN"", ""en"")"),"modification time")</f>
        <v>modification time</v>
      </c>
    </row>
    <row r="2" ht="19.5" customHeight="1">
      <c r="A2" s="5" t="s">
        <v>0</v>
      </c>
      <c r="B2" s="6" t="s">
        <v>1</v>
      </c>
      <c r="C2" s="7" t="s">
        <v>2</v>
      </c>
      <c r="D2" s="8" t="s">
        <v>3</v>
      </c>
      <c r="E2" s="9" t="s">
        <v>4</v>
      </c>
    </row>
    <row r="3" ht="19.5" customHeight="1">
      <c r="A3" s="10" t="s">
        <v>5</v>
      </c>
      <c r="B3" s="11" t="s">
        <v>6</v>
      </c>
      <c r="C3" s="12" t="str">
        <f>IFERROR(__xludf.DUMMYFUNCTION("GOOGLETRANSLATE(B3, ""zh_CN"", ""en"")"),"Organize and submit the first version.")</f>
        <v>Organize and submit the first version.</v>
      </c>
      <c r="D3" s="12"/>
      <c r="E3" s="10" t="s">
        <v>7</v>
      </c>
    </row>
    <row r="4" ht="19.5" customHeight="1">
      <c r="A4" s="10" t="s">
        <v>8</v>
      </c>
      <c r="B4" s="11" t="s">
        <v>9</v>
      </c>
      <c r="C4" s="12" t="str">
        <f>IFERROR(__xludf.DUMMYFUNCTION("GOOGLETRANSLATE(B4, ""zh_CN"", ""en"")"),"Revise some flash storage parameters and parameter range data types.")</f>
        <v>Revise some flash storage parameters and parameter range data types.</v>
      </c>
      <c r="D4" s="12"/>
      <c r="E4" s="10" t="s">
        <v>10</v>
      </c>
    </row>
    <row r="5" ht="19.5" customHeight="1">
      <c r="A5" s="10" t="s">
        <v>11</v>
      </c>
      <c r="B5" s="11" t="s">
        <v>12</v>
      </c>
      <c r="C5" s="12" t="str">
        <f>IFERROR(__xludf.DUMMYFUNCTION("GOOGLETRANSLATE(B5, ""zh_CN"", ""en"")"),"Revise some flash storage parameters and parameter naming.")</f>
        <v>Revise some flash storage parameters and parameter naming.</v>
      </c>
      <c r="D5" s="12"/>
      <c r="E5" s="10" t="s">
        <v>13</v>
      </c>
    </row>
    <row r="6" ht="19.5" customHeight="1">
      <c r="A6" s="10" t="s">
        <v>14</v>
      </c>
      <c r="B6" s="11" t="s">
        <v>15</v>
      </c>
      <c r="C6" s="12" t="str">
        <f>IFERROR(__xludf.DUMMYFUNCTION("GOOGLETRANSLATE(B6, ""zh_CN"", ""en"")"),"Collect all the communication information and parameters that need to be used, and classify them.")</f>
        <v>Collect all the communication information and parameters that need to be used, and classify them.</v>
      </c>
      <c r="D6" s="12"/>
      <c r="E6" s="10" t="s">
        <v>16</v>
      </c>
    </row>
    <row r="7" ht="19.5" customHeight="1">
      <c r="A7" s="10" t="s">
        <v>17</v>
      </c>
      <c r="B7" s="11" t="s">
        <v>18</v>
      </c>
      <c r="C7" s="12" t="str">
        <f>IFERROR(__xludf.DUMMYFUNCTION("GOOGLETRANSLATE(B7, ""zh_CN"", ""en"")"),"The number of bytes corresponding to the new address matches the function code")</f>
        <v>The number of bytes corresponding to the new address matches the function code</v>
      </c>
      <c r="D7" s="12"/>
      <c r="E7" s="10" t="s">
        <v>19</v>
      </c>
    </row>
    <row r="8" ht="19.5" customHeight="1">
      <c r="A8" s="13" t="s">
        <v>20</v>
      </c>
      <c r="B8" s="14" t="s">
        <v>21</v>
      </c>
      <c r="C8" s="12" t="str">
        <f>IFERROR(__xludf.DUMMYFUNCTION("GOOGLETRANSLATE(B8, ""zh_CN"", ""en"")"),"The unit of 0.1wh in real-time operation information 2 (PV + grid-connected power generation) is changed to 0.1kwh")</f>
        <v>The unit of 0.1wh in real-time operation information 2 (PV + grid-connected power generation) is changed to 0.1kwh</v>
      </c>
      <c r="D8" s="12"/>
      <c r="E8" s="13" t="s">
        <v>22</v>
      </c>
    </row>
    <row r="9" ht="19.5" customHeight="1">
      <c r="A9" s="15"/>
      <c r="B9" s="14" t="s">
        <v>23</v>
      </c>
      <c r="C9" s="12" t="str">
        <f>IFERROR(__xludf.DUMMYFUNCTION("GOOGLETRANSLATE(B9, ""zh_CN"", ""en"")"),"The unit of the battery's current charging capacity and battery's daily discharge capacity is changed from 0.1wh to 0.1kwh.")</f>
        <v>The unit of the battery's current charging capacity and battery's daily discharge capacity is changed from 0.1wh to 0.1kwh.</v>
      </c>
      <c r="D9" s="12"/>
      <c r="E9" s="15"/>
    </row>
    <row r="10" ht="19.5" customHeight="1">
      <c r="A10" s="15"/>
      <c r="B10" s="11" t="s">
        <v>24</v>
      </c>
      <c r="C10" s="12" t="str">
        <f>IFERROR(__xludf.DUMMYFUNCTION("GOOGLETRANSLATE(B10, ""zh_CN"", ""en"")"),"New PV input mode range: 2: No PV")</f>
        <v>New PV input mode range: 2: No PV</v>
      </c>
      <c r="D10" s="12"/>
      <c r="E10" s="15"/>
    </row>
    <row r="11" ht="19.5" customHeight="1">
      <c r="A11" s="15"/>
      <c r="B11" s="14" t="s">
        <v>25</v>
      </c>
      <c r="C11" s="12" t="str">
        <f>IFERROR(__xludf.DUMMYFUNCTION("GOOGLETRANSLATE(B11, ""zh_CN"", ""en"")"),"Change the positions of B5 and B6 in the running function enable remarks, modify B16 to Forbid discharge enable, and remove B17")</f>
        <v>Change the positions of B5 and B6 in the running function enable remarks, modify B16 to Forbid discharge enable, and remove B17</v>
      </c>
      <c r="D11" s="12"/>
      <c r="E11" s="15"/>
    </row>
    <row r="12" ht="19.5" customHeight="1">
      <c r="A12" s="16"/>
      <c r="B12" s="14" t="s">
        <v>26</v>
      </c>
      <c r="C12" s="12" t="str">
        <f>IFERROR(__xludf.DUMMYFUNCTION("GOOGLETRANSLATE(B12, ""zh_CN"", ""en"")"),"Modify and add active and reactive power control enable range content B3, B4, B5, B6, B7, B8")</f>
        <v>Modify and add active and reactive power control enable range content B3, B4, B5, B6, B7, B8</v>
      </c>
      <c r="D12" s="12"/>
      <c r="E12" s="16"/>
    </row>
    <row r="13" ht="19.5" customHeight="1">
      <c r="A13" s="10" t="s">
        <v>27</v>
      </c>
      <c r="B13" s="14" t="s">
        <v>28</v>
      </c>
      <c r="C13" s="12" t="str">
        <f>IFERROR(__xludf.DUMMYFUNCTION("GOOGLETRANSLATE(B13, ""zh_CN"", ""en"")"),"Added machine characteristics for platform identification type")</f>
        <v>Added machine characteristics for platform identification type</v>
      </c>
      <c r="D13" s="12"/>
      <c r="E13" s="10" t="s">
        <v>29</v>
      </c>
    </row>
    <row r="14" ht="19.5" customHeight="1">
      <c r="A14" s="10" t="s">
        <v>30</v>
      </c>
      <c r="B14" s="14" t="s">
        <v>31</v>
      </c>
      <c r="C14" s="12" t="str">
        <f>IFERROR(__xludf.DUMMYFUNCTION("GOOGLETRANSLATE(B14, ""zh_CN"", ""en"")"),"The total battery power unit is changed from 0.1V to 1W.")</f>
        <v>The total battery power unit is changed from 0.1V to 1W.</v>
      </c>
      <c r="D14" s="12"/>
      <c r="E14" s="17" t="s">
        <v>32</v>
      </c>
    </row>
    <row r="15" ht="19.5" customHeight="1">
      <c r="A15" s="13" t="s">
        <v>33</v>
      </c>
      <c r="B15" s="18" t="s">
        <v>34</v>
      </c>
      <c r="C15" s="12" t="str">
        <f>IFERROR(__xludf.DUMMYFUNCTION("GOOGLETRANSLATE(B15, ""zh_CN"", ""en"")"),"The rated apparent power unit 1w is modified to 1VA")</f>
        <v>The rated apparent power unit 1w is modified to 1VA</v>
      </c>
      <c r="D15" s="12"/>
      <c r="E15" s="13" t="s">
        <v>32</v>
      </c>
    </row>
    <row r="16" ht="19.5" customHeight="1">
      <c r="A16" s="15"/>
      <c r="B16" s="18" t="s">
        <v>35</v>
      </c>
      <c r="C16" s="12" t="str">
        <f>IFERROR(__xludf.DUMMYFUNCTION("GOOGLETRANSLATE(B16, ""zh_CN"", ""en"")"),"The total EPS reactive power unit VA is changed to Var")</f>
        <v>The total EPS reactive power unit VA is changed to Var</v>
      </c>
      <c r="D16" s="12"/>
      <c r="E16" s="15"/>
    </row>
    <row r="17" ht="19.5" customHeight="1">
      <c r="A17" s="15"/>
      <c r="B17" s="19" t="s">
        <v>36</v>
      </c>
      <c r="C17" s="12" t="str">
        <f>IFERROR(__xludf.DUMMYFUNCTION("GOOGLETRANSLATE(B17, ""zh_CN"", ""en"")"),"Added maximum AC output current unit 0.01A")</f>
        <v>Added maximum AC output current unit 0.01A</v>
      </c>
      <c r="D17" s="12"/>
      <c r="E17" s="15"/>
    </row>
    <row r="18" ht="19.5" customHeight="1">
      <c r="A18" s="15"/>
      <c r="B18" s="20" t="s">
        <v>37</v>
      </c>
      <c r="C18" s="12" t="str">
        <f>IFERROR(__xludf.DUMMYFUNCTION("GOOGLETRANSLATE(B18, ""zh_CN"", ""en"")"),"Added total grid-connected active power unit W")</f>
        <v>Added total grid-connected active power unit W</v>
      </c>
      <c r="D18" s="12"/>
      <c r="E18" s="15"/>
    </row>
    <row r="19" ht="19.5" customHeight="1">
      <c r="A19" s="15"/>
      <c r="B19" s="14" t="s">
        <v>38</v>
      </c>
      <c r="C19" s="12" t="str">
        <f>IFERROR(__xludf.DUMMYFUNCTION("GOOGLETRANSLATE(B19, ""zh_CN"", ""en"")"),"Added new total grid-connected reactive power unit Var")</f>
        <v>Added new total grid-connected reactive power unit Var</v>
      </c>
      <c r="D19" s="12"/>
      <c r="E19" s="15"/>
    </row>
    <row r="20" ht="19.5" customHeight="1">
      <c r="A20" s="15"/>
      <c r="B20" s="14" t="s">
        <v>39</v>
      </c>
      <c r="C20" s="12" t="str">
        <f>IFERROR(__xludf.DUMMYFUNCTION("GOOGLETRANSLATE(B20, ""zh_CN"", ""en"")"),"Added total grid-connected apparent power unit VA")</f>
        <v>Added total grid-connected apparent power unit VA</v>
      </c>
      <c r="D20" s="12"/>
      <c r="E20" s="15"/>
    </row>
    <row r="21" ht="19.5" customHeight="1">
      <c r="A21" s="15"/>
      <c r="B21" s="14" t="s">
        <v>40</v>
      </c>
      <c r="C21" s="12" t="str">
        <f>IFERROR(__xludf.DUMMYFUNCTION("GOOGLETRANSLATE(B21, ""zh_CN"", ""en"")"),"Added new total load active power unit W")</f>
        <v>Added new total load active power unit W</v>
      </c>
      <c r="D21" s="12"/>
      <c r="E21" s="15"/>
    </row>
    <row r="22" ht="19.5" customHeight="1">
      <c r="A22" s="15"/>
      <c r="B22" s="14" t="s">
        <v>41</v>
      </c>
      <c r="C22" s="12" t="str">
        <f>IFERROR(__xludf.DUMMYFUNCTION("GOOGLETRANSLATE(B22, ""zh_CN"", ""en"")"),"Added new total load reactive power unit Var")</f>
        <v>Added new total load reactive power unit Var</v>
      </c>
      <c r="D22" s="12"/>
      <c r="E22" s="15"/>
    </row>
    <row r="23" ht="19.5" customHeight="1">
      <c r="A23" s="15"/>
      <c r="B23" s="21" t="s">
        <v>42</v>
      </c>
      <c r="C23" s="12" t="str">
        <f>IFERROR(__xludf.DUMMYFUNCTION("GOOGLETRANSLATE(B23, ""zh_CN"", ""en"")"),"Added total load apparent power unit VA")</f>
        <v>Added total load apparent power unit VA</v>
      </c>
      <c r="D23" s="12"/>
      <c r="E23" s="15"/>
    </row>
    <row r="24" ht="19.5" customHeight="1">
      <c r="A24" s="15"/>
      <c r="B24" s="14" t="s">
        <v>43</v>
      </c>
      <c r="C24" s="12" t="str">
        <f>IFERROR(__xludf.DUMMYFUNCTION("GOOGLETRANSLATE(B24, ""zh_CN"", ""en"")"),"Added new PV total power unit W")</f>
        <v>Added new PV total power unit W</v>
      </c>
      <c r="D24" s="12"/>
      <c r="E24" s="15"/>
    </row>
    <row r="25" ht="19.5" customHeight="1">
      <c r="A25" s="15"/>
      <c r="B25" s="14" t="s">
        <v>44</v>
      </c>
      <c r="C25" s="12" t="str">
        <f>IFERROR(__xludf.DUMMYFUNCTION("GOOGLETRANSLATE(B25, ""zh_CN"", ""en"")"),"Added new R, S, T phase voltage DC component unit mV")</f>
        <v>Added new R, S, T phase voltage DC component unit mV</v>
      </c>
      <c r="D25" s="12"/>
      <c r="E25" s="15"/>
    </row>
    <row r="26" ht="19.5" customHeight="1">
      <c r="A26" s="15"/>
      <c r="B26" s="14" t="s">
        <v>45</v>
      </c>
      <c r="C26" s="12" t="str">
        <f>IFERROR(__xludf.DUMMYFUNCTION("GOOGLETRANSLATE(B26, ""zh_CN"", ""en"")"),"Added R, S, T phase GEN voltage unit 0.1V")</f>
        <v>Added R, S, T phase GEN voltage unit 0.1V</v>
      </c>
      <c r="D26" s="12"/>
      <c r="E26" s="15"/>
    </row>
    <row r="27" ht="19.5" customHeight="1">
      <c r="A27" s="15"/>
      <c r="B27" s="14" t="s">
        <v>46</v>
      </c>
      <c r="C27" s="12" t="str">
        <f>IFERROR(__xludf.DUMMYFUNCTION("GOOGLETRANSLATE(B27, ""zh_CN"", ""en"")"),"Added R, S, T phase GEN current unit 0.01A")</f>
        <v>Added R, S, T phase GEN current unit 0.01A</v>
      </c>
      <c r="D27" s="12"/>
      <c r="E27" s="15"/>
    </row>
    <row r="28" ht="19.5" customHeight="1">
      <c r="A28" s="15"/>
      <c r="B28" s="14" t="s">
        <v>47</v>
      </c>
      <c r="C28" s="12" t="str">
        <f>IFERROR(__xludf.DUMMYFUNCTION("GOOGLETRANSLATE(B28, ""zh_CN"", ""en"")"),"Added R, S, and T phase GEN active power unit W")</f>
        <v>Added R, S, and T phase GEN active power unit W</v>
      </c>
      <c r="D28" s="12"/>
      <c r="E28" s="15"/>
    </row>
    <row r="29" ht="19.5" customHeight="1">
      <c r="A29" s="15"/>
      <c r="B29" s="14" t="s">
        <v>48</v>
      </c>
      <c r="C29" s="12" t="str">
        <f>IFERROR(__xludf.DUMMYFUNCTION("GOOGLETRANSLATE(B29, ""zh_CN"", ""en"")"),"Added total GEN active power unit W")</f>
        <v>Added total GEN active power unit W</v>
      </c>
      <c r="D29" s="12"/>
      <c r="E29" s="15"/>
    </row>
    <row r="30" ht="19.5" customHeight="1">
      <c r="A30" s="15"/>
      <c r="B30" s="14" t="s">
        <v>49</v>
      </c>
      <c r="C30" s="12" t="str">
        <f>IFERROR(__xludf.DUMMYFUNCTION("GOOGLETRANSLATE(B30, ""zh_CN"", ""en"")"),"Added new total GEN reactive power unit Var")</f>
        <v>Added new total GEN reactive power unit Var</v>
      </c>
      <c r="D30" s="12"/>
      <c r="E30" s="15"/>
    </row>
    <row r="31" ht="19.5" customHeight="1">
      <c r="A31" s="15"/>
      <c r="B31" s="14" t="s">
        <v>50</v>
      </c>
      <c r="C31" s="12" t="str">
        <f>IFERROR(__xludf.DUMMYFUNCTION("GOOGLETRANSLATE(B31, ""zh_CN"", ""en"")"),"Added total GEN apparent power unit VA")</f>
        <v>Added total GEN apparent power unit VA</v>
      </c>
      <c r="D31" s="12"/>
      <c r="E31" s="15"/>
    </row>
    <row r="32" ht="19.5" customHeight="1">
      <c r="A32" s="15"/>
      <c r="B32" s="14" t="s">
        <v>51</v>
      </c>
      <c r="C32" s="12" t="str">
        <f>IFERROR(__xludf.DUMMYFUNCTION("GOOGLETRANSLATE(B32, ""zh_CN"", ""en"")"),"Added daily GEN power generation unit of 0.1kwh")</f>
        <v>Added daily GEN power generation unit of 0.1kwh</v>
      </c>
      <c r="D32" s="12"/>
      <c r="E32" s="15"/>
    </row>
    <row r="33" ht="19.5" customHeight="1">
      <c r="A33" s="15"/>
      <c r="B33" s="14" t="s">
        <v>52</v>
      </c>
      <c r="C33" s="12" t="str">
        <f>IFERROR(__xludf.DUMMYFUNCTION("GOOGLETRANSLATE(B33, ""zh_CN"", ""en"")"),"Added total EPS discharge unit 0.1kwh")</f>
        <v>Added total EPS discharge unit 0.1kwh</v>
      </c>
      <c r="D33" s="12"/>
      <c r="E33" s="15"/>
    </row>
    <row r="34" ht="19.5" customHeight="1">
      <c r="A34" s="15"/>
      <c r="B34" s="14" t="s">
        <v>53</v>
      </c>
      <c r="C34" s="12" t="str">
        <f>IFERROR(__xludf.DUMMYFUNCTION("GOOGLETRANSLATE(B34, ""zh_CN"", ""en"")"),"Added total EPS charging unit 0.1kwh")</f>
        <v>Added total EPS charging unit 0.1kwh</v>
      </c>
      <c r="D34" s="12"/>
      <c r="E34" s="15"/>
    </row>
    <row r="35" ht="19.5" customHeight="1">
      <c r="A35" s="15"/>
      <c r="B35" s="14" t="s">
        <v>54</v>
      </c>
      <c r="C35" s="12" t="str">
        <f>IFERROR(__xludf.DUMMYFUNCTION("GOOGLETRANSLATE(B35, ""zh_CN"", ""en"")"),"Added total GEN power generation unit 0.1kwh")</f>
        <v>Added total GEN power generation unit 0.1kwh</v>
      </c>
      <c r="D35" s="12"/>
      <c r="E35" s="15"/>
    </row>
    <row r="36" ht="19.5" customHeight="1">
      <c r="A36" s="16"/>
      <c r="B36" s="14" t="s">
        <v>55</v>
      </c>
      <c r="C36" s="12" t="str">
        <f>IFERROR(__xludf.DUMMYFUNCTION("GOOGLETRANSLATE(B36, ""zh_CN"", ""en"")"),"Added total battery charge and total battery discharge units of 0.1kwh")</f>
        <v>Added total battery charge and total battery discharge units of 0.1kwh</v>
      </c>
      <c r="D36" s="12"/>
      <c r="E36" s="16"/>
    </row>
    <row r="37" ht="15.75" customHeight="1">
      <c r="A37" s="10" t="s">
        <v>56</v>
      </c>
      <c r="B37" s="14" t="s">
        <v>57</v>
      </c>
      <c r="C37" s="12" t="str">
        <f>IFERROR(__xludf.DUMMYFUNCTION("GOOGLETRANSLATE(B37, ""zh_CN"", ""en"")"),"Modify the problem of machine characteristics description")</f>
        <v>Modify the problem of machine characteristics description</v>
      </c>
      <c r="D37" s="12"/>
      <c r="E37" s="10" t="s">
        <v>58</v>
      </c>
    </row>
    <row r="38" ht="15.75" customHeight="1">
      <c r="A38" s="13" t="s">
        <v>59</v>
      </c>
      <c r="B38" s="14" t="s">
        <v>60</v>
      </c>
      <c r="C38" s="12" t="str">
        <f>IFERROR(__xludf.DUMMYFUNCTION("GOOGLETRANSLATE(B38, ""zh_CN"", ""en"")"),"The rated apparent power is changed to the rated power, and the unit: 1VA is changed to 1W.")</f>
        <v>The rated apparent power is changed to the rated power, and the unit: 1VA is changed to 1W.</v>
      </c>
      <c r="D38" s="12"/>
      <c r="E38" s="13" t="s">
        <v>61</v>
      </c>
    </row>
    <row r="39" ht="15.75" customHeight="1">
      <c r="A39" s="15"/>
      <c r="B39" s="19" t="s">
        <v>62</v>
      </c>
      <c r="C39" s="12" t="str">
        <f>IFERROR(__xludf.DUMMYFUNCTION("GOOGLETRANSLATE(B39, ""zh_CN"", ""en"")"),"Added new parameters to read and write the data range and unit in 03-06-10")</f>
        <v>Added new parameters to read and write the data range and unit in 03-06-10</v>
      </c>
      <c r="D39" s="22"/>
      <c r="E39" s="15"/>
    </row>
    <row r="40" ht="15.75" customHeight="1">
      <c r="A40" s="16"/>
      <c r="B40" s="18" t="s">
        <v>63</v>
      </c>
      <c r="C40" s="12" t="str">
        <f>IFERROR(__xludf.DUMMYFUNCTION("GOOGLETRANSLATE(B40, ""zh_CN"", ""en"")"),"Add data range - country")</f>
        <v>Add data range - country</v>
      </c>
      <c r="D40" s="23"/>
      <c r="E40" s="16"/>
    </row>
    <row r="41" ht="15.75" customHeight="1">
      <c r="A41" s="24" t="s">
        <v>64</v>
      </c>
      <c r="B41" s="25" t="s">
        <v>65</v>
      </c>
      <c r="C41" s="12" t="str">
        <f>IFERROR(__xludf.DUMMYFUNCTION("GOOGLETRANSLATE(B41, ""zh_CN"", ""en"")"),"Data Range-Country Modification")</f>
        <v>Data Range-Country Modification</v>
      </c>
      <c r="D41" s="26"/>
      <c r="E41" s="24" t="s">
        <v>66</v>
      </c>
    </row>
    <row r="42" ht="15.75" customHeight="1">
      <c r="A42" s="24" t="s">
        <v>67</v>
      </c>
      <c r="B42" s="27" t="s">
        <v>68</v>
      </c>
      <c r="C42" s="12" t="str">
        <f>IFERROR(__xludf.DUMMYFUNCTION("GOOGLETRANSLATE(B42, ""zh_CN"", ""en"")"),"Motion function enable parameters are being set
   ""AC charge enable"" is changed to ""Timing AC charge enable""
   ""Forced charge enable"" is changed to ""Timing charge enable""
   ""Forced discharge enable"" is changed to ""Timing discharge enable""
 "&amp;"  ""Forbid discharge enable"" is changed to ""Timing Forbid discharge enable""")</f>
        <v>Motion function enable parameters are being set
   "AC charge enable" is changed to "Timing AC charge enable"
   "Forced charge enable" is changed to "Timing charge enable"
   "Forced discharge enable" is changed to "Timing discharge enable"
   "Forbid discharge enable" is changed to "Timing Forbid discharge enable"</v>
      </c>
      <c r="D42" s="26"/>
      <c r="E42" s="24" t="s">
        <v>69</v>
      </c>
    </row>
    <row r="43" ht="15.75" customHeight="1">
      <c r="A43" s="28" t="s">
        <v>70</v>
      </c>
      <c r="B43" s="23" t="s">
        <v>71</v>
      </c>
      <c r="C43" s="12" t="str">
        <f>IFERROR(__xludf.DUMMYFUNCTION("GOOGLETRANSLATE(B43, ""zh_CN"", ""en"")"),"""Charge and discharge power"" is changed to ""charge and discharge power command""")</f>
        <v>"Charge and discharge power" is changed to "charge and discharge power command"</v>
      </c>
      <c r="D43" s="29"/>
      <c r="E43" s="28" t="s">
        <v>72</v>
      </c>
    </row>
    <row r="44" ht="15.75" customHeight="1">
      <c r="A44" s="15"/>
      <c r="B44" s="22" t="s">
        <v>73</v>
      </c>
      <c r="C44" s="12" t="str">
        <f>IFERROR(__xludf.DUMMYFUNCTION("GOOGLETRANSLATE(B44, ""zh_CN"", ""en"")"),"""Maximum charging SOC"" is modified to ""AC charging maximum SOC""; ""SocMaxChg"" is modified to ""AcSocMaxChg""")</f>
        <v>"Maximum charging SOC" is modified to "AC charging maximum SOC"; "SocMaxChg" is modified to "AcSocMaxChg"</v>
      </c>
      <c r="D44" s="15"/>
      <c r="E44" s="15"/>
    </row>
    <row r="45" ht="15.75" customHeight="1">
      <c r="A45" s="15"/>
      <c r="B45" s="22" t="s">
        <v>74</v>
      </c>
      <c r="C45" s="12" t="str">
        <f>IFERROR(__xludf.DUMMYFUNCTION("GOOGLETRANSLATE(B45, ""zh_CN"", ""en"")"),"""Minimum discharge SOC"" is changed to ""forced discharge minimum SOC"";")</f>
        <v>"Minimum discharge SOC" is changed to "forced discharge minimum SOC";</v>
      </c>
      <c r="D45" s="15"/>
      <c r="E45" s="15"/>
    </row>
    <row r="46" ht="15.75" customHeight="1">
      <c r="A46" s="15"/>
      <c r="B46" s="19" t="s">
        <v>75</v>
      </c>
      <c r="C46" s="12" t="str">
        <f>IFERROR(__xludf.DUMMYFUNCTION("GOOGLETRANSLATE(B46, ""zh_CN"", ""en"")"),"Added protocol field ""forced charging maximum SOC""")</f>
        <v>Added protocol field "forced charging maximum SOC"</v>
      </c>
      <c r="D46" s="15"/>
      <c r="E46" s="15"/>
    </row>
    <row r="47" ht="15.75" customHeight="1">
      <c r="A47" s="16"/>
      <c r="B47" s="19" t="s">
        <v>76</v>
      </c>
      <c r="C47" s="12" t="str">
        <f>IFERROR(__xludf.DUMMYFUNCTION("GOOGLETRANSLATE(B47, ""zh_CN"", ""en"")"),"Added new agreement field ""lead-acid battery manufacturer""")</f>
        <v>Added new agreement field "lead-acid battery manufacturer"</v>
      </c>
      <c r="D47" s="16"/>
      <c r="E47" s="16"/>
    </row>
    <row r="48" ht="15.75" customHeight="1">
      <c r="A48" s="30"/>
      <c r="B48" s="31"/>
      <c r="C48" s="31"/>
      <c r="D48" s="31"/>
      <c r="E48" s="31"/>
    </row>
    <row r="49" ht="15.75" customHeight="1">
      <c r="A49" s="30"/>
      <c r="B49" s="31"/>
      <c r="C49" s="31"/>
      <c r="D49" s="31"/>
      <c r="E49" s="31"/>
    </row>
    <row r="50" ht="15.75" customHeight="1">
      <c r="A50" s="30"/>
      <c r="B50" s="31"/>
      <c r="C50" s="31"/>
      <c r="D50" s="31"/>
      <c r="E50" s="31"/>
    </row>
    <row r="51" ht="15.75" customHeight="1">
      <c r="A51" s="30"/>
      <c r="B51" s="31"/>
      <c r="C51" s="31"/>
      <c r="D51" s="31"/>
      <c r="E51" s="31"/>
    </row>
    <row r="52" ht="15.75" customHeight="1">
      <c r="A52" s="30"/>
      <c r="B52" s="31"/>
      <c r="C52" s="31"/>
      <c r="D52" s="31"/>
      <c r="E52" s="31"/>
    </row>
    <row r="53" ht="15.75" customHeight="1">
      <c r="A53" s="30"/>
      <c r="B53" s="31"/>
      <c r="C53" s="31"/>
      <c r="D53" s="31"/>
      <c r="E53" s="31"/>
    </row>
    <row r="54" ht="15.75" customHeight="1">
      <c r="A54" s="30"/>
      <c r="B54" s="31"/>
      <c r="C54" s="31"/>
      <c r="D54" s="31"/>
      <c r="E54" s="31"/>
    </row>
    <row r="55" ht="15.75" customHeight="1">
      <c r="A55" s="30"/>
      <c r="B55" s="31"/>
      <c r="C55" s="31"/>
      <c r="D55" s="31"/>
      <c r="E55" s="31"/>
    </row>
    <row r="56" ht="15.75" customHeight="1">
      <c r="A56" s="30"/>
      <c r="B56" s="31"/>
      <c r="C56" s="31"/>
      <c r="D56" s="31"/>
      <c r="E56" s="31"/>
    </row>
    <row r="57" ht="15.75" customHeight="1">
      <c r="A57" s="30"/>
      <c r="B57" s="31"/>
      <c r="C57" s="31"/>
      <c r="D57" s="31"/>
      <c r="E57" s="31"/>
    </row>
    <row r="58" ht="15.75" customHeight="1">
      <c r="A58" s="30"/>
      <c r="B58" s="31"/>
      <c r="C58" s="31"/>
      <c r="D58" s="31"/>
      <c r="E58" s="31"/>
    </row>
    <row r="59" ht="15.75" customHeight="1">
      <c r="A59" s="30"/>
      <c r="B59" s="31"/>
      <c r="C59" s="31"/>
      <c r="D59" s="31"/>
      <c r="E59" s="31"/>
    </row>
    <row r="60" ht="15.75" customHeight="1">
      <c r="A60" s="30"/>
      <c r="B60" s="31"/>
      <c r="C60" s="31"/>
      <c r="D60" s="31"/>
      <c r="E60" s="31"/>
    </row>
    <row r="61" ht="15.75" customHeight="1">
      <c r="A61" s="30"/>
      <c r="B61" s="31"/>
      <c r="C61" s="31"/>
      <c r="D61" s="31"/>
      <c r="E61" s="31"/>
    </row>
    <row r="62" ht="15.75" customHeight="1">
      <c r="A62" s="30"/>
      <c r="B62" s="31"/>
      <c r="C62" s="31"/>
      <c r="D62" s="31"/>
      <c r="E62" s="31"/>
    </row>
    <row r="63" ht="15.75" customHeight="1">
      <c r="A63" s="30"/>
      <c r="B63" s="31"/>
      <c r="C63" s="31"/>
      <c r="D63" s="31"/>
      <c r="E63" s="31"/>
    </row>
    <row r="64" ht="15.75" customHeight="1">
      <c r="A64" s="30"/>
      <c r="B64" s="31"/>
      <c r="C64" s="31"/>
      <c r="D64" s="31"/>
      <c r="E64" s="31"/>
    </row>
    <row r="65" ht="15.75" customHeight="1">
      <c r="A65" s="30"/>
      <c r="B65" s="31"/>
      <c r="C65" s="31"/>
      <c r="D65" s="31"/>
      <c r="E65" s="31"/>
    </row>
    <row r="66" ht="15.75" customHeight="1">
      <c r="A66" s="30"/>
      <c r="B66" s="31"/>
      <c r="C66" s="31"/>
      <c r="D66" s="31"/>
      <c r="E66" s="31"/>
    </row>
    <row r="67" ht="15.75" customHeight="1">
      <c r="A67" s="30"/>
      <c r="B67" s="31"/>
      <c r="C67" s="31"/>
      <c r="D67" s="31"/>
      <c r="E67" s="31"/>
    </row>
    <row r="68" ht="15.75" customHeight="1">
      <c r="A68" s="30"/>
      <c r="B68" s="31"/>
      <c r="C68" s="31"/>
      <c r="D68" s="31"/>
      <c r="E68" s="31"/>
    </row>
    <row r="69" ht="15.75" customHeight="1">
      <c r="A69" s="30"/>
      <c r="B69" s="31"/>
      <c r="C69" s="31"/>
      <c r="D69" s="31"/>
      <c r="E69" s="31"/>
    </row>
    <row r="70" ht="15.75" customHeight="1">
      <c r="A70" s="30"/>
      <c r="B70" s="31"/>
      <c r="C70" s="31"/>
      <c r="D70" s="31"/>
      <c r="E70" s="31"/>
    </row>
    <row r="71" ht="15.75" customHeight="1">
      <c r="A71" s="30"/>
      <c r="B71" s="31"/>
      <c r="C71" s="31"/>
      <c r="D71" s="31"/>
      <c r="E71" s="31"/>
    </row>
    <row r="72" ht="15.75" customHeight="1">
      <c r="A72" s="30"/>
      <c r="B72" s="31"/>
      <c r="C72" s="31"/>
      <c r="D72" s="31"/>
      <c r="E72" s="31"/>
    </row>
    <row r="73" ht="15.75" customHeight="1">
      <c r="A73" s="30"/>
      <c r="B73" s="31"/>
      <c r="C73" s="31"/>
      <c r="D73" s="31"/>
      <c r="E73" s="31"/>
    </row>
    <row r="74" ht="15.75" customHeight="1">
      <c r="A74" s="30"/>
      <c r="B74" s="31"/>
      <c r="C74" s="31"/>
      <c r="D74" s="31"/>
      <c r="E74" s="31"/>
    </row>
    <row r="75" ht="15.75" customHeight="1">
      <c r="A75" s="30"/>
      <c r="B75" s="31"/>
      <c r="C75" s="31"/>
      <c r="D75" s="31"/>
      <c r="E75" s="31"/>
    </row>
    <row r="76" ht="15.75" customHeight="1">
      <c r="A76" s="30"/>
      <c r="B76" s="31"/>
      <c r="C76" s="31"/>
      <c r="D76" s="31"/>
      <c r="E76" s="31"/>
    </row>
    <row r="77" ht="15.75" customHeight="1">
      <c r="A77" s="30"/>
      <c r="B77" s="31"/>
      <c r="C77" s="31"/>
      <c r="D77" s="31"/>
      <c r="E77" s="31"/>
    </row>
    <row r="78" ht="15.75" customHeight="1">
      <c r="A78" s="30"/>
      <c r="B78" s="31"/>
      <c r="C78" s="31"/>
      <c r="D78" s="31"/>
      <c r="E78" s="31"/>
    </row>
    <row r="79" ht="15.75" customHeight="1">
      <c r="A79" s="30"/>
      <c r="B79" s="31"/>
      <c r="C79" s="31"/>
      <c r="D79" s="31"/>
      <c r="E79" s="31"/>
    </row>
    <row r="80" ht="15.75" customHeight="1">
      <c r="A80" s="30"/>
      <c r="B80" s="31"/>
      <c r="C80" s="31"/>
      <c r="D80" s="31"/>
      <c r="E80" s="31"/>
    </row>
    <row r="81" ht="15.75" customHeight="1">
      <c r="A81" s="30"/>
      <c r="B81" s="31"/>
      <c r="C81" s="31"/>
      <c r="D81" s="31"/>
      <c r="E81" s="31"/>
    </row>
    <row r="82" ht="15.75" customHeight="1">
      <c r="A82" s="30"/>
      <c r="B82" s="31"/>
      <c r="C82" s="31"/>
      <c r="D82" s="31"/>
      <c r="E82" s="31"/>
    </row>
    <row r="83" ht="15.75" customHeight="1">
      <c r="A83" s="30"/>
      <c r="B83" s="31"/>
      <c r="C83" s="31"/>
      <c r="D83" s="31"/>
      <c r="E83" s="31"/>
    </row>
    <row r="84" ht="15.75" customHeight="1">
      <c r="A84" s="30"/>
      <c r="B84" s="31"/>
      <c r="C84" s="31"/>
      <c r="D84" s="31"/>
      <c r="E84" s="31"/>
    </row>
    <row r="85" ht="15.75" customHeight="1">
      <c r="A85" s="30"/>
      <c r="B85" s="31"/>
      <c r="C85" s="31"/>
      <c r="D85" s="31"/>
      <c r="E85" s="31"/>
    </row>
    <row r="86" ht="15.75" customHeight="1">
      <c r="A86" s="30"/>
      <c r="B86" s="31"/>
      <c r="C86" s="31"/>
      <c r="D86" s="31"/>
      <c r="E86" s="31"/>
    </row>
    <row r="87" ht="15.75" customHeight="1">
      <c r="A87" s="30"/>
      <c r="B87" s="31"/>
      <c r="C87" s="31"/>
      <c r="D87" s="31"/>
      <c r="E87" s="31"/>
    </row>
    <row r="88" ht="15.75" customHeight="1">
      <c r="A88" s="30"/>
      <c r="B88" s="31"/>
      <c r="C88" s="31"/>
      <c r="D88" s="31"/>
      <c r="E88" s="31"/>
    </row>
    <row r="89" ht="15.75" customHeight="1">
      <c r="A89" s="30"/>
      <c r="B89" s="31"/>
      <c r="C89" s="31"/>
      <c r="D89" s="31"/>
      <c r="E89" s="31"/>
    </row>
    <row r="90" ht="15.75" customHeight="1">
      <c r="A90" s="30"/>
      <c r="B90" s="31"/>
      <c r="C90" s="31"/>
      <c r="D90" s="31"/>
      <c r="E90" s="31"/>
    </row>
    <row r="91" ht="15.75" customHeight="1">
      <c r="A91" s="30"/>
      <c r="B91" s="31"/>
      <c r="C91" s="31"/>
      <c r="D91" s="31"/>
      <c r="E91" s="31"/>
    </row>
    <row r="92" ht="15.75" customHeight="1">
      <c r="A92" s="30"/>
      <c r="B92" s="31"/>
      <c r="C92" s="31"/>
      <c r="D92" s="31"/>
      <c r="E92" s="31"/>
    </row>
    <row r="93" ht="15.75" customHeight="1">
      <c r="A93" s="30"/>
      <c r="B93" s="31"/>
      <c r="C93" s="31"/>
      <c r="D93" s="31"/>
      <c r="E93" s="31"/>
    </row>
    <row r="94" ht="15.75" customHeight="1">
      <c r="A94" s="30"/>
      <c r="B94" s="31"/>
      <c r="C94" s="31"/>
      <c r="D94" s="31"/>
      <c r="E94" s="31"/>
    </row>
    <row r="95" ht="15.75" customHeight="1">
      <c r="A95" s="30"/>
      <c r="B95" s="31"/>
      <c r="C95" s="31"/>
      <c r="D95" s="31"/>
      <c r="E95" s="31"/>
    </row>
    <row r="96" ht="15.75" customHeight="1">
      <c r="A96" s="30"/>
      <c r="B96" s="31"/>
      <c r="C96" s="31"/>
      <c r="D96" s="31"/>
      <c r="E96" s="31"/>
    </row>
    <row r="97" ht="15.75" customHeight="1">
      <c r="A97" s="30"/>
      <c r="B97" s="31"/>
      <c r="C97" s="31"/>
      <c r="D97" s="31"/>
      <c r="E97" s="31"/>
    </row>
    <row r="98" ht="15.75" customHeight="1">
      <c r="A98" s="30"/>
      <c r="B98" s="31"/>
      <c r="C98" s="31"/>
      <c r="D98" s="31"/>
      <c r="E98" s="31"/>
    </row>
    <row r="99" ht="15.75" customHeight="1">
      <c r="A99" s="30"/>
      <c r="B99" s="31"/>
      <c r="C99" s="31"/>
      <c r="D99" s="31"/>
      <c r="E99" s="31"/>
    </row>
    <row r="100" ht="15.75" customHeight="1">
      <c r="A100" s="30"/>
      <c r="B100" s="31"/>
      <c r="C100" s="31"/>
      <c r="D100" s="31"/>
      <c r="E100" s="31"/>
    </row>
    <row r="101" ht="15.75" customHeight="1">
      <c r="A101" s="30"/>
      <c r="B101" s="31"/>
      <c r="C101" s="31"/>
      <c r="D101" s="31"/>
      <c r="E101" s="31"/>
    </row>
    <row r="102" ht="15.75" customHeight="1">
      <c r="A102" s="30"/>
      <c r="B102" s="31"/>
      <c r="C102" s="31"/>
      <c r="D102" s="31"/>
      <c r="E102" s="31"/>
    </row>
    <row r="103" ht="15.75" customHeight="1">
      <c r="A103" s="30"/>
      <c r="B103" s="31"/>
      <c r="C103" s="31"/>
      <c r="D103" s="31"/>
      <c r="E103" s="31"/>
    </row>
    <row r="104" ht="15.75" customHeight="1">
      <c r="A104" s="30"/>
      <c r="B104" s="31"/>
      <c r="C104" s="31"/>
      <c r="D104" s="31"/>
      <c r="E104" s="31"/>
    </row>
    <row r="105" ht="15.75" customHeight="1">
      <c r="A105" s="30"/>
      <c r="B105" s="31"/>
      <c r="C105" s="31"/>
      <c r="D105" s="31"/>
      <c r="E105" s="31"/>
    </row>
    <row r="106" ht="15.75" customHeight="1">
      <c r="A106" s="30"/>
      <c r="B106" s="31"/>
      <c r="C106" s="31"/>
      <c r="D106" s="31"/>
      <c r="E106" s="31"/>
    </row>
    <row r="107" ht="15.75" customHeight="1">
      <c r="A107" s="30"/>
      <c r="B107" s="31"/>
      <c r="C107" s="31"/>
      <c r="D107" s="31"/>
      <c r="E107" s="31"/>
    </row>
    <row r="108" ht="15.75" customHeight="1">
      <c r="A108" s="30"/>
      <c r="B108" s="31"/>
      <c r="C108" s="31"/>
      <c r="D108" s="31"/>
      <c r="E108" s="31"/>
    </row>
    <row r="109" ht="15.75" customHeight="1">
      <c r="A109" s="30"/>
      <c r="B109" s="31"/>
      <c r="C109" s="31"/>
      <c r="D109" s="31"/>
      <c r="E109" s="31"/>
    </row>
    <row r="110" ht="15.75" customHeight="1">
      <c r="A110" s="30"/>
      <c r="B110" s="31"/>
      <c r="C110" s="31"/>
      <c r="D110" s="31"/>
      <c r="E110" s="31"/>
    </row>
    <row r="111" ht="15.75" customHeight="1">
      <c r="A111" s="30"/>
      <c r="B111" s="31"/>
      <c r="C111" s="31"/>
      <c r="D111" s="31"/>
      <c r="E111" s="31"/>
    </row>
    <row r="112" ht="15.75" customHeight="1">
      <c r="A112" s="30"/>
      <c r="B112" s="31"/>
      <c r="C112" s="31"/>
      <c r="D112" s="31"/>
      <c r="E112" s="31"/>
    </row>
    <row r="113" ht="15.75" customHeight="1">
      <c r="A113" s="30"/>
      <c r="B113" s="31"/>
      <c r="C113" s="31"/>
      <c r="D113" s="31"/>
      <c r="E113" s="31"/>
    </row>
    <row r="114" ht="15.75" customHeight="1">
      <c r="A114" s="30"/>
      <c r="B114" s="31"/>
      <c r="C114" s="31"/>
      <c r="D114" s="31"/>
      <c r="E114" s="31"/>
    </row>
    <row r="115" ht="15.75" customHeight="1">
      <c r="A115" s="30"/>
      <c r="B115" s="31"/>
      <c r="C115" s="31"/>
      <c r="D115" s="31"/>
      <c r="E115" s="31"/>
    </row>
    <row r="116" ht="15.75" customHeight="1">
      <c r="A116" s="30"/>
      <c r="B116" s="31"/>
      <c r="C116" s="31"/>
      <c r="D116" s="31"/>
      <c r="E116" s="31"/>
    </row>
    <row r="117" ht="15.75" customHeight="1">
      <c r="A117" s="30"/>
      <c r="B117" s="31"/>
      <c r="C117" s="31"/>
      <c r="D117" s="31"/>
      <c r="E117" s="31"/>
    </row>
    <row r="118" ht="15.75" customHeight="1">
      <c r="A118" s="30"/>
      <c r="B118" s="31"/>
      <c r="C118" s="31"/>
      <c r="D118" s="31"/>
      <c r="E118" s="31"/>
    </row>
    <row r="119" ht="15.75" customHeight="1">
      <c r="A119" s="30"/>
      <c r="B119" s="31"/>
      <c r="C119" s="31"/>
      <c r="D119" s="31"/>
      <c r="E119" s="31"/>
    </row>
    <row r="120" ht="15.75" customHeight="1">
      <c r="A120" s="30"/>
      <c r="B120" s="31"/>
      <c r="C120" s="31"/>
      <c r="D120" s="31"/>
      <c r="E120" s="31"/>
    </row>
    <row r="121" ht="15.75" customHeight="1">
      <c r="A121" s="30"/>
      <c r="B121" s="31"/>
      <c r="C121" s="31"/>
      <c r="D121" s="31"/>
      <c r="E121" s="31"/>
    </row>
    <row r="122" ht="15.75" customHeight="1">
      <c r="A122" s="30"/>
      <c r="B122" s="31"/>
      <c r="C122" s="31"/>
      <c r="D122" s="31"/>
      <c r="E122" s="31"/>
    </row>
    <row r="123" ht="15.75" customHeight="1">
      <c r="A123" s="30"/>
      <c r="B123" s="31"/>
      <c r="C123" s="31"/>
      <c r="D123" s="31"/>
      <c r="E123" s="31"/>
    </row>
    <row r="124" ht="15.75" customHeight="1">
      <c r="A124" s="30"/>
      <c r="B124" s="31"/>
      <c r="C124" s="31"/>
      <c r="D124" s="31"/>
      <c r="E124" s="31"/>
    </row>
    <row r="125" ht="15.75" customHeight="1">
      <c r="A125" s="30"/>
      <c r="B125" s="31"/>
      <c r="C125" s="31"/>
      <c r="D125" s="31"/>
      <c r="E125" s="31"/>
    </row>
    <row r="126" ht="15.75" customHeight="1">
      <c r="A126" s="30"/>
      <c r="B126" s="31"/>
      <c r="C126" s="31"/>
      <c r="D126" s="31"/>
      <c r="E126" s="31"/>
    </row>
    <row r="127" ht="15.75" customHeight="1">
      <c r="A127" s="30"/>
      <c r="B127" s="31"/>
      <c r="C127" s="31"/>
      <c r="D127" s="31"/>
      <c r="E127" s="31"/>
    </row>
    <row r="128" ht="15.75" customHeight="1">
      <c r="A128" s="30"/>
      <c r="B128" s="31"/>
      <c r="C128" s="31"/>
      <c r="D128" s="31"/>
      <c r="E128" s="31"/>
    </row>
    <row r="129" ht="15.75" customHeight="1">
      <c r="A129" s="30"/>
      <c r="B129" s="31"/>
      <c r="C129" s="31"/>
      <c r="D129" s="31"/>
      <c r="E129" s="31"/>
    </row>
    <row r="130" ht="15.75" customHeight="1">
      <c r="A130" s="30"/>
      <c r="B130" s="31"/>
      <c r="C130" s="31"/>
      <c r="D130" s="31"/>
      <c r="E130" s="31"/>
    </row>
    <row r="131" ht="15.75" customHeight="1">
      <c r="A131" s="30"/>
      <c r="B131" s="31"/>
      <c r="C131" s="31"/>
      <c r="D131" s="31"/>
      <c r="E131" s="31"/>
    </row>
    <row r="132" ht="15.75" customHeight="1">
      <c r="A132" s="30"/>
      <c r="B132" s="31"/>
      <c r="C132" s="31"/>
      <c r="D132" s="31"/>
      <c r="E132" s="31"/>
    </row>
    <row r="133" ht="15.75" customHeight="1">
      <c r="A133" s="30"/>
      <c r="B133" s="31"/>
      <c r="C133" s="31"/>
      <c r="D133" s="31"/>
      <c r="E133" s="31"/>
    </row>
    <row r="134" ht="15.75" customHeight="1">
      <c r="A134" s="30"/>
      <c r="B134" s="31"/>
      <c r="C134" s="31"/>
      <c r="D134" s="31"/>
      <c r="E134" s="31"/>
    </row>
    <row r="135" ht="15.75" customHeight="1">
      <c r="A135" s="30"/>
      <c r="B135" s="31"/>
      <c r="C135" s="31"/>
      <c r="D135" s="31"/>
      <c r="E135" s="31"/>
    </row>
    <row r="136" ht="15.75" customHeight="1">
      <c r="A136" s="30"/>
      <c r="B136" s="31"/>
      <c r="C136" s="31"/>
      <c r="D136" s="31"/>
      <c r="E136" s="31"/>
    </row>
    <row r="137" ht="15.75" customHeight="1">
      <c r="A137" s="30"/>
      <c r="B137" s="31"/>
      <c r="C137" s="31"/>
      <c r="D137" s="31"/>
      <c r="E137" s="31"/>
    </row>
    <row r="138" ht="15.75" customHeight="1">
      <c r="A138" s="30"/>
      <c r="B138" s="31"/>
      <c r="C138" s="31"/>
      <c r="D138" s="31"/>
      <c r="E138" s="31"/>
    </row>
    <row r="139" ht="15.75" customHeight="1">
      <c r="A139" s="30"/>
      <c r="B139" s="31"/>
      <c r="C139" s="31"/>
      <c r="D139" s="31"/>
      <c r="E139" s="31"/>
    </row>
    <row r="140" ht="15.75" customHeight="1">
      <c r="A140" s="30"/>
      <c r="B140" s="31"/>
      <c r="C140" s="31"/>
      <c r="D140" s="31"/>
      <c r="E140" s="31"/>
    </row>
    <row r="141" ht="15.75" customHeight="1">
      <c r="A141" s="30"/>
      <c r="B141" s="31"/>
      <c r="C141" s="31"/>
      <c r="D141" s="31"/>
      <c r="E141" s="31"/>
    </row>
    <row r="142" ht="15.75" customHeight="1">
      <c r="A142" s="30"/>
      <c r="B142" s="31"/>
      <c r="C142" s="31"/>
      <c r="D142" s="31"/>
      <c r="E142" s="31"/>
    </row>
    <row r="143" ht="15.75" customHeight="1">
      <c r="A143" s="30"/>
      <c r="B143" s="31"/>
      <c r="C143" s="31"/>
      <c r="D143" s="31"/>
      <c r="E143" s="31"/>
    </row>
    <row r="144" ht="15.75" customHeight="1">
      <c r="A144" s="30"/>
      <c r="B144" s="31"/>
      <c r="C144" s="31"/>
      <c r="D144" s="31"/>
      <c r="E144" s="31"/>
    </row>
    <row r="145" ht="15.75" customHeight="1">
      <c r="A145" s="30"/>
      <c r="B145" s="31"/>
      <c r="C145" s="31"/>
      <c r="D145" s="31"/>
      <c r="E145" s="31"/>
    </row>
    <row r="146" ht="15.75" customHeight="1">
      <c r="A146" s="30"/>
      <c r="B146" s="31"/>
      <c r="C146" s="31"/>
      <c r="D146" s="31"/>
      <c r="E146" s="31"/>
    </row>
    <row r="147" ht="15.75" customHeight="1">
      <c r="A147" s="30"/>
      <c r="B147" s="31"/>
      <c r="C147" s="31"/>
      <c r="D147" s="31"/>
      <c r="E147" s="31"/>
    </row>
    <row r="148" ht="15.75" customHeight="1">
      <c r="A148" s="30"/>
      <c r="B148" s="31"/>
      <c r="C148" s="31"/>
      <c r="D148" s="31"/>
      <c r="E148" s="31"/>
    </row>
    <row r="149" ht="15.75" customHeight="1">
      <c r="A149" s="30"/>
      <c r="B149" s="31"/>
      <c r="C149" s="31"/>
      <c r="D149" s="31"/>
      <c r="E149" s="31"/>
    </row>
    <row r="150" ht="15.75" customHeight="1">
      <c r="A150" s="30"/>
      <c r="B150" s="31"/>
      <c r="C150" s="31"/>
      <c r="D150" s="31"/>
      <c r="E150" s="31"/>
    </row>
    <row r="151" ht="15.75" customHeight="1">
      <c r="A151" s="30"/>
      <c r="B151" s="31"/>
      <c r="C151" s="31"/>
      <c r="D151" s="31"/>
      <c r="E151" s="31"/>
    </row>
    <row r="152" ht="15.75" customHeight="1">
      <c r="A152" s="30"/>
      <c r="B152" s="31"/>
      <c r="C152" s="31"/>
      <c r="D152" s="31"/>
      <c r="E152" s="31"/>
    </row>
    <row r="153" ht="15.75" customHeight="1">
      <c r="A153" s="30"/>
      <c r="B153" s="31"/>
      <c r="C153" s="31"/>
      <c r="D153" s="31"/>
      <c r="E153" s="31"/>
    </row>
    <row r="154" ht="15.75" customHeight="1">
      <c r="A154" s="30"/>
      <c r="B154" s="31"/>
      <c r="C154" s="31"/>
      <c r="D154" s="31"/>
      <c r="E154" s="31"/>
    </row>
    <row r="155" ht="15.75" customHeight="1">
      <c r="A155" s="30"/>
      <c r="B155" s="31"/>
      <c r="C155" s="31"/>
      <c r="D155" s="31"/>
      <c r="E155" s="31"/>
    </row>
    <row r="156" ht="15.75" customHeight="1">
      <c r="A156" s="30"/>
      <c r="B156" s="31"/>
      <c r="C156" s="31"/>
      <c r="D156" s="31"/>
      <c r="E156" s="31"/>
    </row>
    <row r="157" ht="15.75" customHeight="1">
      <c r="A157" s="30"/>
      <c r="B157" s="31"/>
      <c r="C157" s="31"/>
      <c r="D157" s="31"/>
      <c r="E157" s="31"/>
    </row>
    <row r="158" ht="15.75" customHeight="1">
      <c r="A158" s="30"/>
      <c r="B158" s="31"/>
      <c r="C158" s="31"/>
      <c r="D158" s="31"/>
      <c r="E158" s="31"/>
    </row>
    <row r="159" ht="15.75" customHeight="1">
      <c r="A159" s="30"/>
      <c r="B159" s="31"/>
      <c r="C159" s="31"/>
      <c r="D159" s="31"/>
      <c r="E159" s="31"/>
    </row>
    <row r="160" ht="15.75" customHeight="1">
      <c r="A160" s="30"/>
      <c r="B160" s="31"/>
      <c r="C160" s="31"/>
      <c r="D160" s="31"/>
      <c r="E160" s="31"/>
    </row>
    <row r="161" ht="15.75" customHeight="1">
      <c r="A161" s="30"/>
      <c r="B161" s="31"/>
      <c r="C161" s="31"/>
      <c r="D161" s="31"/>
      <c r="E161" s="31"/>
    </row>
    <row r="162" ht="15.75" customHeight="1">
      <c r="A162" s="30"/>
      <c r="B162" s="31"/>
      <c r="C162" s="31"/>
      <c r="D162" s="31"/>
      <c r="E162" s="31"/>
    </row>
    <row r="163" ht="15.75" customHeight="1">
      <c r="A163" s="30"/>
      <c r="B163" s="31"/>
      <c r="C163" s="31"/>
      <c r="D163" s="31"/>
      <c r="E163" s="31"/>
    </row>
    <row r="164" ht="15.75" customHeight="1">
      <c r="A164" s="30"/>
      <c r="B164" s="31"/>
      <c r="C164" s="31"/>
      <c r="D164" s="31"/>
      <c r="E164" s="31"/>
    </row>
    <row r="165" ht="15.75" customHeight="1">
      <c r="A165" s="30"/>
      <c r="B165" s="31"/>
      <c r="C165" s="31"/>
      <c r="D165" s="31"/>
      <c r="E165" s="31"/>
    </row>
    <row r="166" ht="15.75" customHeight="1">
      <c r="A166" s="30"/>
      <c r="B166" s="31"/>
      <c r="C166" s="31"/>
      <c r="D166" s="31"/>
      <c r="E166" s="31"/>
    </row>
    <row r="167" ht="15.75" customHeight="1">
      <c r="A167" s="30"/>
      <c r="B167" s="31"/>
      <c r="C167" s="31"/>
      <c r="D167" s="31"/>
      <c r="E167" s="31"/>
    </row>
    <row r="168" ht="15.75" customHeight="1">
      <c r="A168" s="30"/>
      <c r="B168" s="31"/>
      <c r="C168" s="31"/>
      <c r="D168" s="31"/>
      <c r="E168" s="31"/>
    </row>
    <row r="169" ht="15.75" customHeight="1">
      <c r="A169" s="30"/>
      <c r="B169" s="31"/>
      <c r="C169" s="31"/>
      <c r="D169" s="31"/>
      <c r="E169" s="31"/>
    </row>
    <row r="170" ht="15.75" customHeight="1">
      <c r="A170" s="30"/>
      <c r="B170" s="31"/>
      <c r="C170" s="31"/>
      <c r="D170" s="31"/>
      <c r="E170" s="31"/>
    </row>
    <row r="171" ht="15.75" customHeight="1">
      <c r="A171" s="30"/>
      <c r="B171" s="31"/>
      <c r="C171" s="31"/>
      <c r="D171" s="31"/>
      <c r="E171" s="31"/>
    </row>
    <row r="172" ht="15.75" customHeight="1">
      <c r="A172" s="30"/>
      <c r="B172" s="31"/>
      <c r="C172" s="31"/>
      <c r="D172" s="31"/>
      <c r="E172" s="31"/>
    </row>
    <row r="173" ht="15.75" customHeight="1">
      <c r="A173" s="30"/>
      <c r="B173" s="31"/>
      <c r="C173" s="31"/>
      <c r="D173" s="31"/>
      <c r="E173" s="31"/>
    </row>
    <row r="174" ht="15.75" customHeight="1">
      <c r="A174" s="30"/>
      <c r="B174" s="31"/>
      <c r="C174" s="31"/>
      <c r="D174" s="31"/>
      <c r="E174" s="31"/>
    </row>
    <row r="175" ht="15.75" customHeight="1">
      <c r="A175" s="30"/>
      <c r="B175" s="31"/>
      <c r="C175" s="31"/>
      <c r="D175" s="31"/>
      <c r="E175" s="31"/>
    </row>
    <row r="176" ht="15.75" customHeight="1">
      <c r="A176" s="30"/>
      <c r="B176" s="31"/>
      <c r="C176" s="31"/>
      <c r="D176" s="31"/>
      <c r="E176" s="31"/>
    </row>
    <row r="177" ht="15.75" customHeight="1">
      <c r="A177" s="30"/>
      <c r="B177" s="31"/>
      <c r="C177" s="31"/>
      <c r="D177" s="31"/>
      <c r="E177" s="31"/>
    </row>
    <row r="178" ht="15.75" customHeight="1">
      <c r="A178" s="30"/>
      <c r="B178" s="31"/>
      <c r="C178" s="31"/>
      <c r="D178" s="31"/>
      <c r="E178" s="31"/>
    </row>
    <row r="179" ht="15.75" customHeight="1">
      <c r="A179" s="30"/>
      <c r="B179" s="31"/>
      <c r="C179" s="31"/>
      <c r="D179" s="31"/>
      <c r="E179" s="31"/>
    </row>
    <row r="180" ht="15.75" customHeight="1">
      <c r="A180" s="30"/>
      <c r="B180" s="31"/>
      <c r="C180" s="31"/>
      <c r="D180" s="31"/>
      <c r="E180" s="31"/>
    </row>
    <row r="181" ht="15.75" customHeight="1">
      <c r="A181" s="30"/>
      <c r="B181" s="31"/>
      <c r="C181" s="31"/>
      <c r="D181" s="31"/>
      <c r="E181" s="31"/>
    </row>
    <row r="182" ht="15.75" customHeight="1">
      <c r="A182" s="30"/>
      <c r="B182" s="31"/>
      <c r="C182" s="31"/>
      <c r="D182" s="31"/>
      <c r="E182" s="31"/>
    </row>
    <row r="183" ht="15.75" customHeight="1">
      <c r="A183" s="30"/>
      <c r="B183" s="31"/>
      <c r="C183" s="31"/>
      <c r="D183" s="31"/>
      <c r="E183" s="31"/>
    </row>
    <row r="184" ht="15.75" customHeight="1">
      <c r="A184" s="30"/>
      <c r="B184" s="31"/>
      <c r="C184" s="31"/>
      <c r="D184" s="31"/>
      <c r="E184" s="31"/>
    </row>
    <row r="185" ht="15.75" customHeight="1">
      <c r="A185" s="30"/>
      <c r="B185" s="31"/>
      <c r="C185" s="31"/>
      <c r="D185" s="31"/>
      <c r="E185" s="31"/>
    </row>
    <row r="186" ht="15.75" customHeight="1">
      <c r="A186" s="30"/>
      <c r="B186" s="31"/>
      <c r="C186" s="31"/>
      <c r="D186" s="31"/>
      <c r="E186" s="31"/>
    </row>
    <row r="187" ht="15.75" customHeight="1">
      <c r="A187" s="30"/>
      <c r="B187" s="31"/>
      <c r="C187" s="31"/>
      <c r="D187" s="31"/>
      <c r="E187" s="31"/>
    </row>
    <row r="188" ht="15.75" customHeight="1">
      <c r="A188" s="30"/>
      <c r="B188" s="31"/>
      <c r="C188" s="31"/>
      <c r="D188" s="31"/>
      <c r="E188" s="31"/>
    </row>
    <row r="189" ht="15.75" customHeight="1">
      <c r="A189" s="30"/>
      <c r="B189" s="31"/>
      <c r="C189" s="31"/>
      <c r="D189" s="31"/>
      <c r="E189" s="31"/>
    </row>
    <row r="190" ht="15.75" customHeight="1">
      <c r="A190" s="30"/>
      <c r="B190" s="31"/>
      <c r="C190" s="31"/>
      <c r="D190" s="31"/>
      <c r="E190" s="31"/>
    </row>
    <row r="191" ht="15.75" customHeight="1">
      <c r="A191" s="30"/>
      <c r="B191" s="31"/>
      <c r="C191" s="31"/>
      <c r="D191" s="31"/>
      <c r="E191" s="31"/>
    </row>
    <row r="192" ht="15.75" customHeight="1">
      <c r="A192" s="30"/>
      <c r="B192" s="31"/>
      <c r="C192" s="31"/>
      <c r="D192" s="31"/>
      <c r="E192" s="31"/>
    </row>
    <row r="193" ht="15.75" customHeight="1">
      <c r="A193" s="30"/>
      <c r="B193" s="31"/>
      <c r="C193" s="31"/>
      <c r="D193" s="31"/>
      <c r="E193" s="31"/>
    </row>
    <row r="194" ht="15.75" customHeight="1">
      <c r="A194" s="30"/>
      <c r="B194" s="31"/>
      <c r="C194" s="31"/>
      <c r="D194" s="31"/>
      <c r="E194" s="31"/>
    </row>
    <row r="195" ht="15.75" customHeight="1">
      <c r="A195" s="30"/>
      <c r="B195" s="31"/>
      <c r="C195" s="31"/>
      <c r="D195" s="31"/>
      <c r="E195" s="31"/>
    </row>
    <row r="196" ht="15.75" customHeight="1">
      <c r="A196" s="30"/>
      <c r="B196" s="31"/>
      <c r="C196" s="31"/>
      <c r="D196" s="31"/>
      <c r="E196" s="31"/>
    </row>
    <row r="197" ht="15.75" customHeight="1">
      <c r="A197" s="30"/>
      <c r="B197" s="31"/>
      <c r="C197" s="31"/>
      <c r="D197" s="31"/>
      <c r="E197" s="31"/>
    </row>
    <row r="198" ht="15.75" customHeight="1">
      <c r="A198" s="30"/>
      <c r="B198" s="31"/>
      <c r="C198" s="31"/>
      <c r="D198" s="31"/>
      <c r="E198" s="31"/>
    </row>
    <row r="199" ht="15.75" customHeight="1">
      <c r="A199" s="30"/>
      <c r="B199" s="31"/>
      <c r="C199" s="31"/>
      <c r="D199" s="31"/>
      <c r="E199" s="31"/>
    </row>
    <row r="200" ht="15.75" customHeight="1">
      <c r="A200" s="30"/>
      <c r="B200" s="31"/>
      <c r="C200" s="31"/>
      <c r="D200" s="31"/>
      <c r="E200" s="31"/>
    </row>
    <row r="201" ht="15.75" customHeight="1">
      <c r="A201" s="30"/>
      <c r="B201" s="31"/>
      <c r="C201" s="31"/>
      <c r="D201" s="31"/>
      <c r="E201" s="31"/>
    </row>
    <row r="202" ht="15.75" customHeight="1">
      <c r="A202" s="30"/>
      <c r="B202" s="31"/>
      <c r="C202" s="31"/>
      <c r="D202" s="31"/>
      <c r="E202" s="31"/>
    </row>
    <row r="203" ht="15.75" customHeight="1">
      <c r="A203" s="30"/>
      <c r="B203" s="31"/>
      <c r="C203" s="31"/>
      <c r="D203" s="31"/>
      <c r="E203" s="31"/>
    </row>
    <row r="204" ht="15.75" customHeight="1">
      <c r="A204" s="30"/>
      <c r="B204" s="31"/>
      <c r="C204" s="31"/>
      <c r="D204" s="31"/>
      <c r="E204" s="31"/>
    </row>
    <row r="205" ht="15.75" customHeight="1">
      <c r="A205" s="30"/>
      <c r="B205" s="31"/>
      <c r="C205" s="31"/>
      <c r="D205" s="31"/>
      <c r="E205" s="31"/>
    </row>
    <row r="206" ht="15.75" customHeight="1">
      <c r="A206" s="30"/>
      <c r="B206" s="31"/>
      <c r="C206" s="31"/>
      <c r="D206" s="31"/>
      <c r="E206" s="31"/>
    </row>
    <row r="207" ht="15.75" customHeight="1">
      <c r="A207" s="30"/>
      <c r="B207" s="31"/>
      <c r="C207" s="31"/>
      <c r="D207" s="31"/>
      <c r="E207" s="31"/>
    </row>
    <row r="208" ht="15.75" customHeight="1">
      <c r="A208" s="30"/>
      <c r="B208" s="31"/>
      <c r="C208" s="31"/>
      <c r="D208" s="31"/>
      <c r="E208" s="31"/>
    </row>
    <row r="209" ht="15.75" customHeight="1">
      <c r="A209" s="30"/>
      <c r="B209" s="31"/>
      <c r="C209" s="31"/>
      <c r="D209" s="31"/>
      <c r="E209" s="31"/>
    </row>
    <row r="210" ht="15.75" customHeight="1">
      <c r="A210" s="30"/>
      <c r="B210" s="31"/>
      <c r="C210" s="31"/>
      <c r="D210" s="31"/>
      <c r="E210" s="31"/>
    </row>
    <row r="211" ht="15.75" customHeight="1">
      <c r="A211" s="30"/>
      <c r="B211" s="31"/>
      <c r="C211" s="31"/>
      <c r="D211" s="31"/>
      <c r="E211" s="31"/>
    </row>
    <row r="212" ht="15.75" customHeight="1">
      <c r="A212" s="30"/>
      <c r="B212" s="31"/>
      <c r="C212" s="31"/>
      <c r="D212" s="31"/>
      <c r="E212" s="31"/>
    </row>
    <row r="213" ht="15.75" customHeight="1">
      <c r="A213" s="30"/>
      <c r="B213" s="31"/>
      <c r="C213" s="31"/>
      <c r="D213" s="31"/>
      <c r="E213" s="31"/>
    </row>
    <row r="214" ht="15.75" customHeight="1">
      <c r="A214" s="30"/>
      <c r="B214" s="31"/>
      <c r="C214" s="31"/>
      <c r="D214" s="31"/>
      <c r="E214" s="31"/>
    </row>
    <row r="215" ht="15.75" customHeight="1">
      <c r="A215" s="30"/>
      <c r="B215" s="31"/>
      <c r="C215" s="31"/>
      <c r="D215" s="31"/>
      <c r="E215" s="31"/>
    </row>
    <row r="216" ht="15.75" customHeight="1">
      <c r="A216" s="30"/>
      <c r="B216" s="31"/>
      <c r="C216" s="31"/>
      <c r="D216" s="31"/>
      <c r="E216" s="31"/>
    </row>
    <row r="217" ht="15.75" customHeight="1">
      <c r="A217" s="30"/>
      <c r="B217" s="31"/>
      <c r="C217" s="31"/>
      <c r="D217" s="31"/>
      <c r="E217" s="31"/>
    </row>
    <row r="218" ht="15.75" customHeight="1">
      <c r="A218" s="30"/>
      <c r="B218" s="31"/>
      <c r="C218" s="31"/>
      <c r="D218" s="31"/>
      <c r="E218" s="31"/>
    </row>
    <row r="219" ht="15.75" customHeight="1">
      <c r="A219" s="30"/>
      <c r="B219" s="31"/>
      <c r="C219" s="31"/>
      <c r="D219" s="31"/>
      <c r="E219" s="31"/>
    </row>
    <row r="220" ht="15.75" customHeight="1">
      <c r="A220" s="30"/>
      <c r="B220" s="31"/>
      <c r="C220" s="31"/>
      <c r="D220" s="31"/>
      <c r="E220" s="31"/>
    </row>
    <row r="221" ht="15.75" customHeight="1">
      <c r="A221" s="30"/>
      <c r="B221" s="31"/>
      <c r="C221" s="31"/>
      <c r="D221" s="31"/>
      <c r="E221" s="31"/>
    </row>
    <row r="222" ht="15.75" customHeight="1">
      <c r="A222" s="30"/>
      <c r="B222" s="31"/>
      <c r="C222" s="31"/>
      <c r="D222" s="31"/>
      <c r="E222" s="31"/>
    </row>
    <row r="223" ht="15.75" customHeight="1">
      <c r="A223" s="30"/>
      <c r="B223" s="31"/>
      <c r="C223" s="31"/>
      <c r="D223" s="31"/>
      <c r="E223" s="31"/>
    </row>
    <row r="224" ht="15.75" customHeight="1">
      <c r="A224" s="30"/>
      <c r="B224" s="31"/>
      <c r="C224" s="31"/>
      <c r="D224" s="31"/>
      <c r="E224" s="31"/>
    </row>
    <row r="225" ht="15.75" customHeight="1">
      <c r="A225" s="30"/>
      <c r="B225" s="31"/>
      <c r="C225" s="31"/>
      <c r="D225" s="31"/>
      <c r="E225" s="31"/>
    </row>
    <row r="226" ht="15.75" customHeight="1">
      <c r="A226" s="30"/>
      <c r="B226" s="31"/>
      <c r="C226" s="31"/>
      <c r="D226" s="31"/>
      <c r="E226" s="31"/>
    </row>
    <row r="227" ht="15.75" customHeight="1">
      <c r="A227" s="30"/>
      <c r="B227" s="31"/>
      <c r="C227" s="31"/>
      <c r="D227" s="31"/>
      <c r="E227" s="31"/>
    </row>
    <row r="228" ht="15.75" customHeight="1">
      <c r="A228" s="30"/>
      <c r="B228" s="31"/>
      <c r="C228" s="31"/>
      <c r="D228" s="31"/>
      <c r="E228" s="31"/>
    </row>
    <row r="229" ht="15.75" customHeight="1">
      <c r="A229" s="30"/>
      <c r="B229" s="31"/>
      <c r="C229" s="31"/>
      <c r="D229" s="31"/>
      <c r="E229" s="31"/>
    </row>
    <row r="230" ht="15.75" customHeight="1">
      <c r="A230" s="30"/>
      <c r="B230" s="31"/>
      <c r="C230" s="31"/>
      <c r="D230" s="31"/>
      <c r="E230" s="31"/>
    </row>
    <row r="231" ht="15.75" customHeight="1">
      <c r="A231" s="30"/>
      <c r="B231" s="31"/>
      <c r="C231" s="31"/>
      <c r="D231" s="31"/>
      <c r="E231" s="31"/>
    </row>
    <row r="232" ht="15.75" customHeight="1">
      <c r="A232" s="30"/>
      <c r="B232" s="31"/>
      <c r="C232" s="31"/>
      <c r="D232" s="31"/>
      <c r="E232" s="31"/>
    </row>
    <row r="233" ht="15.75" customHeight="1">
      <c r="A233" s="30"/>
      <c r="B233" s="31"/>
      <c r="C233" s="31"/>
      <c r="D233" s="31"/>
      <c r="E233" s="31"/>
    </row>
    <row r="234" ht="15.75" customHeight="1">
      <c r="A234" s="30"/>
      <c r="B234" s="31"/>
      <c r="C234" s="31"/>
      <c r="D234" s="31"/>
      <c r="E234" s="31"/>
    </row>
    <row r="235" ht="15.75" customHeight="1">
      <c r="A235" s="30"/>
      <c r="B235" s="31"/>
      <c r="C235" s="31"/>
      <c r="D235" s="31"/>
      <c r="E235" s="31"/>
    </row>
    <row r="236" ht="15.75" customHeight="1">
      <c r="A236" s="30"/>
      <c r="B236" s="31"/>
      <c r="C236" s="31"/>
      <c r="D236" s="31"/>
      <c r="E236" s="31"/>
    </row>
    <row r="237" ht="15.75" customHeight="1">
      <c r="A237" s="30"/>
      <c r="B237" s="31"/>
      <c r="C237" s="31"/>
      <c r="D237" s="31"/>
      <c r="E237" s="31"/>
    </row>
    <row r="238" ht="15.75" customHeight="1">
      <c r="A238" s="30"/>
      <c r="B238" s="31"/>
      <c r="C238" s="31"/>
      <c r="D238" s="31"/>
      <c r="E238" s="31"/>
    </row>
    <row r="239" ht="15.75" customHeight="1">
      <c r="A239" s="30"/>
      <c r="B239" s="31"/>
      <c r="C239" s="31"/>
      <c r="D239" s="31"/>
      <c r="E239" s="31"/>
    </row>
    <row r="240" ht="15.75" customHeight="1">
      <c r="A240" s="30"/>
      <c r="B240" s="31"/>
      <c r="C240" s="31"/>
      <c r="D240" s="31"/>
      <c r="E240" s="31"/>
    </row>
    <row r="241" ht="15.75" customHeight="1">
      <c r="A241" s="30"/>
      <c r="B241" s="31"/>
      <c r="C241" s="31"/>
      <c r="D241" s="31"/>
      <c r="E241" s="31"/>
    </row>
    <row r="242" ht="15.75" customHeight="1">
      <c r="A242" s="30"/>
      <c r="B242" s="31"/>
      <c r="C242" s="31"/>
      <c r="D242" s="31"/>
      <c r="E242" s="31"/>
    </row>
    <row r="243" ht="15.75" customHeight="1">
      <c r="A243" s="30"/>
      <c r="B243" s="31"/>
      <c r="C243" s="31"/>
      <c r="D243" s="31"/>
      <c r="E243" s="31"/>
    </row>
    <row r="244" ht="15.75" customHeight="1">
      <c r="A244" s="30"/>
      <c r="B244" s="31"/>
      <c r="C244" s="31"/>
      <c r="D244" s="31"/>
      <c r="E244" s="31"/>
    </row>
    <row r="245" ht="15.75" customHeight="1">
      <c r="A245" s="30"/>
      <c r="B245" s="31"/>
      <c r="C245" s="31"/>
      <c r="D245" s="31"/>
      <c r="E245" s="31"/>
    </row>
    <row r="246" ht="15.75" customHeight="1">
      <c r="A246" s="30"/>
      <c r="B246" s="31"/>
      <c r="C246" s="31"/>
      <c r="D246" s="31"/>
      <c r="E246" s="31"/>
    </row>
    <row r="247" ht="15.75" customHeight="1">
      <c r="A247" s="30"/>
      <c r="B247" s="31"/>
      <c r="C247" s="31"/>
      <c r="D247" s="31"/>
      <c r="E247" s="31"/>
    </row>
    <row r="248" ht="15.75" customHeight="1">
      <c r="A248" s="30"/>
      <c r="B248" s="31"/>
      <c r="C248" s="31"/>
      <c r="D248" s="31"/>
      <c r="E248" s="31"/>
    </row>
    <row r="249" ht="15.75" customHeight="1">
      <c r="A249" s="30"/>
      <c r="B249" s="31"/>
      <c r="C249" s="31"/>
      <c r="D249" s="31"/>
      <c r="E249" s="31"/>
    </row>
    <row r="250" ht="15.75" customHeight="1">
      <c r="A250" s="30"/>
      <c r="B250" s="31"/>
      <c r="C250" s="31"/>
      <c r="D250" s="31"/>
      <c r="E250" s="31"/>
    </row>
    <row r="251" ht="15.75" customHeight="1">
      <c r="A251" s="30"/>
      <c r="B251" s="31"/>
      <c r="C251" s="31"/>
      <c r="D251" s="31"/>
      <c r="E251" s="31"/>
    </row>
    <row r="252" ht="15.75" customHeight="1">
      <c r="A252" s="30"/>
      <c r="B252" s="31"/>
      <c r="C252" s="31"/>
      <c r="D252" s="31"/>
      <c r="E252" s="31"/>
    </row>
    <row r="253" ht="15.75" customHeight="1">
      <c r="A253" s="30"/>
      <c r="B253" s="31"/>
      <c r="C253" s="31"/>
      <c r="D253" s="31"/>
      <c r="E253" s="31"/>
    </row>
    <row r="254" ht="15.75" customHeight="1">
      <c r="A254" s="30"/>
      <c r="B254" s="31"/>
      <c r="C254" s="31"/>
      <c r="D254" s="31"/>
      <c r="E254" s="31"/>
    </row>
    <row r="255" ht="15.75" customHeight="1">
      <c r="A255" s="30"/>
      <c r="B255" s="31"/>
      <c r="C255" s="31"/>
      <c r="D255" s="31"/>
      <c r="E255" s="31"/>
    </row>
    <row r="256" ht="15.75" customHeight="1">
      <c r="A256" s="30"/>
      <c r="B256" s="31"/>
      <c r="C256" s="31"/>
      <c r="D256" s="31"/>
      <c r="E256" s="31"/>
    </row>
    <row r="257" ht="15.75" customHeight="1">
      <c r="A257" s="30"/>
      <c r="B257" s="31"/>
      <c r="C257" s="31"/>
      <c r="D257" s="31"/>
      <c r="E257" s="31"/>
    </row>
    <row r="258" ht="15.75" customHeight="1">
      <c r="A258" s="30"/>
      <c r="B258" s="31"/>
      <c r="C258" s="31"/>
      <c r="D258" s="31"/>
      <c r="E258" s="31"/>
    </row>
    <row r="259" ht="15.75" customHeight="1">
      <c r="A259" s="30"/>
      <c r="B259" s="31"/>
      <c r="C259" s="31"/>
      <c r="D259" s="31"/>
      <c r="E259" s="31"/>
    </row>
    <row r="260" ht="15.75" customHeight="1">
      <c r="A260" s="30"/>
      <c r="B260" s="31"/>
      <c r="C260" s="31"/>
      <c r="D260" s="31"/>
      <c r="E260" s="31"/>
    </row>
    <row r="261" ht="15.75" customHeight="1">
      <c r="A261" s="30"/>
      <c r="B261" s="31"/>
      <c r="C261" s="31"/>
      <c r="D261" s="31"/>
      <c r="E261" s="31"/>
    </row>
    <row r="262" ht="15.75" customHeight="1">
      <c r="A262" s="30"/>
      <c r="B262" s="31"/>
      <c r="C262" s="31"/>
      <c r="D262" s="31"/>
      <c r="E262" s="31"/>
    </row>
    <row r="263" ht="15.75" customHeight="1">
      <c r="A263" s="30"/>
      <c r="B263" s="31"/>
      <c r="C263" s="31"/>
      <c r="D263" s="31"/>
      <c r="E263" s="31"/>
    </row>
    <row r="264" ht="15.75" customHeight="1">
      <c r="A264" s="30"/>
      <c r="B264" s="31"/>
      <c r="C264" s="31"/>
      <c r="D264" s="31"/>
      <c r="E264" s="31"/>
    </row>
    <row r="265" ht="15.75" customHeight="1">
      <c r="A265" s="30"/>
      <c r="B265" s="31"/>
      <c r="C265" s="31"/>
      <c r="D265" s="31"/>
      <c r="E265" s="31"/>
    </row>
    <row r="266" ht="15.75" customHeight="1">
      <c r="A266" s="30"/>
      <c r="B266" s="31"/>
      <c r="C266" s="31"/>
      <c r="D266" s="31"/>
      <c r="E266" s="31"/>
    </row>
    <row r="267" ht="15.75" customHeight="1">
      <c r="A267" s="30"/>
      <c r="B267" s="31"/>
      <c r="C267" s="31"/>
      <c r="D267" s="31"/>
      <c r="E267" s="31"/>
    </row>
    <row r="268" ht="15.75" customHeight="1">
      <c r="A268" s="30"/>
      <c r="B268" s="31"/>
      <c r="C268" s="31"/>
      <c r="D268" s="31"/>
      <c r="E268" s="31"/>
    </row>
    <row r="269" ht="15.75" customHeight="1">
      <c r="A269" s="30"/>
      <c r="B269" s="31"/>
      <c r="C269" s="31"/>
      <c r="D269" s="31"/>
      <c r="E269" s="31"/>
    </row>
    <row r="270" ht="15.75" customHeight="1">
      <c r="A270" s="30"/>
      <c r="B270" s="31"/>
      <c r="C270" s="31"/>
      <c r="D270" s="31"/>
      <c r="E270" s="31"/>
    </row>
    <row r="271" ht="15.75" customHeight="1">
      <c r="A271" s="30"/>
      <c r="B271" s="31"/>
      <c r="C271" s="31"/>
      <c r="D271" s="31"/>
      <c r="E271" s="31"/>
    </row>
    <row r="272" ht="15.75" customHeight="1">
      <c r="A272" s="30"/>
      <c r="B272" s="31"/>
      <c r="C272" s="31"/>
      <c r="D272" s="31"/>
      <c r="E272" s="31"/>
    </row>
    <row r="273" ht="15.75" customHeight="1">
      <c r="A273" s="30"/>
      <c r="B273" s="31"/>
      <c r="C273" s="31"/>
      <c r="D273" s="31"/>
      <c r="E273" s="31"/>
    </row>
    <row r="274" ht="15.75" customHeight="1">
      <c r="A274" s="30"/>
      <c r="B274" s="31"/>
      <c r="C274" s="31"/>
      <c r="D274" s="31"/>
      <c r="E274" s="31"/>
    </row>
    <row r="275" ht="15.75" customHeight="1">
      <c r="A275" s="30"/>
      <c r="B275" s="31"/>
      <c r="C275" s="31"/>
      <c r="D275" s="31"/>
      <c r="E275" s="31"/>
    </row>
    <row r="276" ht="15.75" customHeight="1">
      <c r="A276" s="30"/>
      <c r="B276" s="31"/>
      <c r="C276" s="31"/>
      <c r="D276" s="31"/>
      <c r="E276" s="31"/>
    </row>
    <row r="277" ht="15.75" customHeight="1">
      <c r="A277" s="30"/>
      <c r="B277" s="31"/>
      <c r="C277" s="31"/>
      <c r="D277" s="31"/>
      <c r="E277" s="31"/>
    </row>
    <row r="278" ht="15.75" customHeight="1">
      <c r="A278" s="30"/>
      <c r="B278" s="31"/>
      <c r="C278" s="31"/>
      <c r="D278" s="31"/>
      <c r="E278" s="31"/>
    </row>
    <row r="279" ht="15.75" customHeight="1">
      <c r="A279" s="30"/>
      <c r="B279" s="31"/>
      <c r="C279" s="31"/>
      <c r="D279" s="31"/>
      <c r="E279" s="31"/>
    </row>
    <row r="280" ht="15.75" customHeight="1">
      <c r="A280" s="30"/>
      <c r="B280" s="31"/>
      <c r="C280" s="31"/>
      <c r="D280" s="31"/>
      <c r="E280" s="31"/>
    </row>
    <row r="281" ht="15.75" customHeight="1">
      <c r="A281" s="30"/>
      <c r="B281" s="31"/>
      <c r="C281" s="31"/>
      <c r="D281" s="31"/>
      <c r="E281" s="31"/>
    </row>
    <row r="282" ht="15.75" customHeight="1">
      <c r="A282" s="30"/>
      <c r="B282" s="31"/>
      <c r="C282" s="31"/>
      <c r="D282" s="31"/>
      <c r="E282" s="31"/>
    </row>
    <row r="283" ht="15.75" customHeight="1">
      <c r="A283" s="30"/>
      <c r="B283" s="31"/>
      <c r="C283" s="31"/>
      <c r="D283" s="31"/>
      <c r="E283" s="31"/>
    </row>
    <row r="284" ht="15.75" customHeight="1">
      <c r="A284" s="30"/>
      <c r="B284" s="31"/>
      <c r="C284" s="31"/>
      <c r="D284" s="31"/>
      <c r="E284" s="31"/>
    </row>
    <row r="285" ht="15.75" customHeight="1">
      <c r="A285" s="30"/>
      <c r="B285" s="31"/>
      <c r="C285" s="31"/>
      <c r="D285" s="31"/>
      <c r="E285" s="31"/>
    </row>
    <row r="286" ht="15.75" customHeight="1">
      <c r="A286" s="30"/>
      <c r="B286" s="31"/>
      <c r="C286" s="31"/>
      <c r="D286" s="31"/>
      <c r="E286" s="31"/>
    </row>
    <row r="287" ht="15.75" customHeight="1">
      <c r="A287" s="30"/>
      <c r="B287" s="31"/>
      <c r="C287" s="31"/>
      <c r="D287" s="31"/>
      <c r="E287" s="31"/>
    </row>
    <row r="288" ht="15.75" customHeight="1">
      <c r="A288" s="30"/>
      <c r="B288" s="31"/>
      <c r="C288" s="31"/>
      <c r="D288" s="31"/>
      <c r="E288" s="31"/>
    </row>
    <row r="289" ht="15.75" customHeight="1">
      <c r="A289" s="30"/>
      <c r="B289" s="31"/>
      <c r="C289" s="31"/>
      <c r="D289" s="31"/>
      <c r="E289" s="31"/>
    </row>
    <row r="290" ht="15.75" customHeight="1">
      <c r="A290" s="30"/>
      <c r="B290" s="31"/>
      <c r="C290" s="31"/>
      <c r="D290" s="31"/>
      <c r="E290" s="31"/>
    </row>
    <row r="291" ht="15.75" customHeight="1">
      <c r="A291" s="30"/>
      <c r="B291" s="31"/>
      <c r="C291" s="31"/>
      <c r="D291" s="31"/>
      <c r="E291" s="31"/>
    </row>
    <row r="292" ht="15.75" customHeight="1">
      <c r="A292" s="30"/>
      <c r="B292" s="31"/>
      <c r="C292" s="31"/>
      <c r="D292" s="31"/>
      <c r="E292" s="31"/>
    </row>
    <row r="293" ht="15.75" customHeight="1">
      <c r="A293" s="30"/>
      <c r="B293" s="31"/>
      <c r="C293" s="31"/>
      <c r="D293" s="31"/>
      <c r="E293" s="31"/>
    </row>
    <row r="294" ht="15.75" customHeight="1">
      <c r="A294" s="30"/>
      <c r="B294" s="31"/>
      <c r="C294" s="31"/>
      <c r="D294" s="31"/>
      <c r="E294" s="31"/>
    </row>
    <row r="295" ht="15.75" customHeight="1">
      <c r="A295" s="30"/>
      <c r="B295" s="31"/>
      <c r="C295" s="31"/>
      <c r="D295" s="31"/>
      <c r="E295" s="31"/>
    </row>
    <row r="296" ht="15.75" customHeight="1">
      <c r="A296" s="30"/>
      <c r="B296" s="31"/>
      <c r="C296" s="31"/>
      <c r="D296" s="31"/>
      <c r="E296" s="31"/>
    </row>
    <row r="297" ht="15.75" customHeight="1">
      <c r="A297" s="30"/>
      <c r="B297" s="31"/>
      <c r="C297" s="31"/>
      <c r="D297" s="31"/>
      <c r="E297" s="31"/>
    </row>
    <row r="298" ht="15.75" customHeight="1">
      <c r="A298" s="30"/>
      <c r="B298" s="31"/>
      <c r="C298" s="31"/>
      <c r="D298" s="31"/>
      <c r="E298" s="31"/>
    </row>
    <row r="299" ht="15.75" customHeight="1">
      <c r="A299" s="30"/>
      <c r="B299" s="31"/>
      <c r="C299" s="31"/>
      <c r="D299" s="31"/>
      <c r="E299" s="31"/>
    </row>
    <row r="300" ht="15.75" customHeight="1">
      <c r="A300" s="30"/>
      <c r="B300" s="31"/>
      <c r="C300" s="31"/>
      <c r="D300" s="31"/>
      <c r="E300" s="31"/>
    </row>
    <row r="301" ht="15.75" customHeight="1">
      <c r="A301" s="30"/>
      <c r="B301" s="31"/>
      <c r="C301" s="31"/>
      <c r="D301" s="31"/>
      <c r="E301" s="31"/>
    </row>
    <row r="302" ht="15.75" customHeight="1">
      <c r="A302" s="30"/>
      <c r="B302" s="31"/>
      <c r="C302" s="31"/>
      <c r="D302" s="31"/>
      <c r="E302" s="31"/>
    </row>
    <row r="303" ht="15.75" customHeight="1">
      <c r="A303" s="30"/>
      <c r="B303" s="31"/>
      <c r="C303" s="31"/>
      <c r="D303" s="31"/>
      <c r="E303" s="31"/>
    </row>
    <row r="304" ht="15.75" customHeight="1">
      <c r="A304" s="30"/>
      <c r="B304" s="31"/>
      <c r="C304" s="31"/>
      <c r="D304" s="31"/>
      <c r="E304" s="31"/>
    </row>
    <row r="305" ht="15.75" customHeight="1">
      <c r="A305" s="30"/>
      <c r="B305" s="31"/>
      <c r="C305" s="31"/>
      <c r="D305" s="31"/>
      <c r="E305" s="31"/>
    </row>
    <row r="306" ht="15.75" customHeight="1">
      <c r="A306" s="30"/>
      <c r="B306" s="31"/>
      <c r="C306" s="31"/>
      <c r="D306" s="31"/>
      <c r="E306" s="31"/>
    </row>
    <row r="307" ht="15.75" customHeight="1">
      <c r="A307" s="30"/>
      <c r="B307" s="31"/>
      <c r="C307" s="31"/>
      <c r="D307" s="31"/>
      <c r="E307" s="31"/>
    </row>
    <row r="308" ht="15.75" customHeight="1">
      <c r="A308" s="30"/>
      <c r="B308" s="31"/>
      <c r="C308" s="31"/>
      <c r="D308" s="31"/>
      <c r="E308" s="31"/>
    </row>
    <row r="309" ht="15.75" customHeight="1">
      <c r="A309" s="30"/>
      <c r="B309" s="31"/>
      <c r="C309" s="31"/>
      <c r="D309" s="31"/>
      <c r="E309" s="31"/>
    </row>
    <row r="310" ht="15.75" customHeight="1">
      <c r="A310" s="30"/>
      <c r="B310" s="31"/>
      <c r="C310" s="31"/>
      <c r="D310" s="31"/>
      <c r="E310" s="31"/>
    </row>
    <row r="311" ht="15.75" customHeight="1">
      <c r="A311" s="30"/>
      <c r="B311" s="31"/>
      <c r="C311" s="31"/>
      <c r="D311" s="31"/>
      <c r="E311" s="31"/>
    </row>
    <row r="312" ht="15.75" customHeight="1">
      <c r="A312" s="30"/>
      <c r="B312" s="31"/>
      <c r="C312" s="31"/>
      <c r="D312" s="31"/>
      <c r="E312" s="31"/>
    </row>
    <row r="313" ht="15.75" customHeight="1">
      <c r="A313" s="30"/>
      <c r="B313" s="31"/>
      <c r="C313" s="31"/>
      <c r="D313" s="31"/>
      <c r="E313" s="31"/>
    </row>
    <row r="314" ht="15.75" customHeight="1">
      <c r="A314" s="30"/>
      <c r="B314" s="31"/>
      <c r="C314" s="31"/>
      <c r="D314" s="31"/>
      <c r="E314" s="31"/>
    </row>
    <row r="315" ht="15.75" customHeight="1">
      <c r="A315" s="30"/>
      <c r="B315" s="31"/>
      <c r="C315" s="31"/>
      <c r="D315" s="31"/>
      <c r="E315" s="31"/>
    </row>
    <row r="316" ht="15.75" customHeight="1">
      <c r="A316" s="30"/>
      <c r="B316" s="31"/>
      <c r="C316" s="31"/>
      <c r="D316" s="31"/>
      <c r="E316" s="31"/>
    </row>
    <row r="317" ht="15.75" customHeight="1">
      <c r="A317" s="30"/>
      <c r="B317" s="31"/>
      <c r="C317" s="31"/>
      <c r="D317" s="31"/>
      <c r="E317" s="31"/>
    </row>
    <row r="318" ht="15.75" customHeight="1">
      <c r="A318" s="30"/>
      <c r="B318" s="31"/>
      <c r="C318" s="31"/>
      <c r="D318" s="31"/>
      <c r="E318" s="31"/>
    </row>
    <row r="319" ht="15.75" customHeight="1">
      <c r="A319" s="30"/>
      <c r="B319" s="31"/>
      <c r="C319" s="31"/>
      <c r="D319" s="31"/>
      <c r="E319" s="31"/>
    </row>
    <row r="320" ht="15.75" customHeight="1">
      <c r="A320" s="30"/>
      <c r="B320" s="31"/>
      <c r="C320" s="31"/>
      <c r="D320" s="31"/>
      <c r="E320" s="31"/>
    </row>
    <row r="321" ht="15.75" customHeight="1">
      <c r="A321" s="30"/>
      <c r="B321" s="31"/>
      <c r="C321" s="31"/>
      <c r="D321" s="31"/>
      <c r="E321" s="31"/>
    </row>
    <row r="322" ht="15.75" customHeight="1">
      <c r="A322" s="30"/>
      <c r="B322" s="31"/>
      <c r="C322" s="31"/>
      <c r="D322" s="31"/>
      <c r="E322" s="31"/>
    </row>
    <row r="323" ht="15.75" customHeight="1">
      <c r="A323" s="30"/>
      <c r="B323" s="31"/>
      <c r="C323" s="31"/>
      <c r="D323" s="31"/>
      <c r="E323" s="31"/>
    </row>
    <row r="324" ht="15.75" customHeight="1">
      <c r="A324" s="30"/>
      <c r="B324" s="31"/>
      <c r="C324" s="31"/>
      <c r="D324" s="31"/>
      <c r="E324" s="31"/>
    </row>
    <row r="325" ht="15.75" customHeight="1">
      <c r="A325" s="30"/>
      <c r="B325" s="31"/>
      <c r="C325" s="31"/>
      <c r="D325" s="31"/>
      <c r="E325" s="31"/>
    </row>
    <row r="326" ht="15.75" customHeight="1">
      <c r="A326" s="30"/>
      <c r="B326" s="31"/>
      <c r="C326" s="31"/>
      <c r="D326" s="31"/>
      <c r="E326" s="31"/>
    </row>
    <row r="327" ht="15.75" customHeight="1">
      <c r="A327" s="30"/>
      <c r="B327" s="31"/>
      <c r="C327" s="31"/>
      <c r="D327" s="31"/>
      <c r="E327" s="31"/>
    </row>
    <row r="328" ht="15.75" customHeight="1">
      <c r="A328" s="30"/>
      <c r="B328" s="31"/>
      <c r="C328" s="31"/>
      <c r="D328" s="31"/>
      <c r="E328" s="31"/>
    </row>
    <row r="329" ht="15.75" customHeight="1">
      <c r="A329" s="30"/>
      <c r="B329" s="31"/>
      <c r="C329" s="31"/>
      <c r="D329" s="31"/>
      <c r="E329" s="31"/>
    </row>
    <row r="330" ht="15.75" customHeight="1">
      <c r="A330" s="30"/>
      <c r="B330" s="31"/>
      <c r="C330" s="31"/>
      <c r="D330" s="31"/>
      <c r="E330" s="31"/>
    </row>
    <row r="331" ht="15.75" customHeight="1">
      <c r="A331" s="30"/>
      <c r="B331" s="31"/>
      <c r="C331" s="31"/>
      <c r="D331" s="31"/>
      <c r="E331" s="31"/>
    </row>
    <row r="332" ht="15.75" customHeight="1">
      <c r="A332" s="30"/>
      <c r="B332" s="31"/>
      <c r="C332" s="31"/>
      <c r="D332" s="31"/>
      <c r="E332" s="31"/>
    </row>
    <row r="333" ht="15.75" customHeight="1">
      <c r="A333" s="30"/>
      <c r="B333" s="31"/>
      <c r="C333" s="31"/>
      <c r="D333" s="31"/>
      <c r="E333" s="31"/>
    </row>
    <row r="334" ht="15.75" customHeight="1">
      <c r="A334" s="30"/>
      <c r="B334" s="31"/>
      <c r="C334" s="31"/>
      <c r="D334" s="31"/>
      <c r="E334" s="31"/>
    </row>
    <row r="335" ht="15.75" customHeight="1">
      <c r="A335" s="30"/>
      <c r="B335" s="31"/>
      <c r="C335" s="31"/>
      <c r="D335" s="31"/>
      <c r="E335" s="31"/>
    </row>
    <row r="336" ht="15.75" customHeight="1">
      <c r="A336" s="30"/>
      <c r="B336" s="31"/>
      <c r="C336" s="31"/>
      <c r="D336" s="31"/>
      <c r="E336" s="31"/>
    </row>
    <row r="337" ht="15.75" customHeight="1">
      <c r="A337" s="30"/>
      <c r="B337" s="31"/>
      <c r="C337" s="31"/>
      <c r="D337" s="31"/>
      <c r="E337" s="31"/>
    </row>
    <row r="338" ht="15.75" customHeight="1">
      <c r="A338" s="30"/>
      <c r="B338" s="31"/>
      <c r="C338" s="31"/>
      <c r="D338" s="31"/>
      <c r="E338" s="31"/>
    </row>
    <row r="339" ht="15.75" customHeight="1">
      <c r="A339" s="30"/>
      <c r="B339" s="31"/>
      <c r="C339" s="31"/>
      <c r="D339" s="31"/>
      <c r="E339" s="31"/>
    </row>
    <row r="340" ht="15.75" customHeight="1">
      <c r="A340" s="30"/>
      <c r="B340" s="31"/>
      <c r="C340" s="31"/>
      <c r="D340" s="31"/>
      <c r="E340" s="31"/>
    </row>
    <row r="341" ht="15.75" customHeight="1">
      <c r="A341" s="30"/>
      <c r="B341" s="31"/>
      <c r="C341" s="31"/>
      <c r="D341" s="31"/>
      <c r="E341" s="31"/>
    </row>
    <row r="342" ht="15.75" customHeight="1">
      <c r="A342" s="30"/>
      <c r="B342" s="31"/>
      <c r="C342" s="31"/>
      <c r="D342" s="31"/>
      <c r="E342" s="31"/>
    </row>
    <row r="343" ht="15.75" customHeight="1">
      <c r="A343" s="30"/>
      <c r="B343" s="31"/>
      <c r="C343" s="31"/>
      <c r="D343" s="31"/>
      <c r="E343" s="31"/>
    </row>
    <row r="344" ht="15.75" customHeight="1">
      <c r="A344" s="30"/>
      <c r="B344" s="31"/>
      <c r="C344" s="31"/>
      <c r="D344" s="31"/>
      <c r="E344" s="31"/>
    </row>
    <row r="345" ht="15.75" customHeight="1">
      <c r="A345" s="30"/>
      <c r="B345" s="31"/>
      <c r="C345" s="31"/>
      <c r="D345" s="31"/>
      <c r="E345" s="31"/>
    </row>
    <row r="346" ht="15.75" customHeight="1">
      <c r="A346" s="30"/>
      <c r="B346" s="31"/>
      <c r="C346" s="31"/>
      <c r="D346" s="31"/>
      <c r="E346" s="31"/>
    </row>
    <row r="347" ht="15.75" customHeight="1">
      <c r="A347" s="30"/>
      <c r="B347" s="31"/>
      <c r="C347" s="31"/>
      <c r="D347" s="31"/>
      <c r="E347" s="31"/>
    </row>
    <row r="348" ht="15.75" customHeight="1">
      <c r="A348" s="30"/>
      <c r="B348" s="31"/>
      <c r="C348" s="31"/>
      <c r="D348" s="31"/>
      <c r="E348" s="31"/>
    </row>
    <row r="349" ht="15.75" customHeight="1">
      <c r="A349" s="30"/>
      <c r="B349" s="31"/>
      <c r="C349" s="31"/>
      <c r="D349" s="31"/>
      <c r="E349" s="31"/>
    </row>
    <row r="350" ht="15.75" customHeight="1">
      <c r="A350" s="30"/>
      <c r="B350" s="31"/>
      <c r="C350" s="31"/>
      <c r="D350" s="31"/>
      <c r="E350" s="31"/>
    </row>
    <row r="351" ht="15.75" customHeight="1">
      <c r="A351" s="30"/>
      <c r="B351" s="31"/>
      <c r="C351" s="31"/>
      <c r="D351" s="31"/>
      <c r="E351" s="31"/>
    </row>
    <row r="352" ht="15.75" customHeight="1">
      <c r="A352" s="30"/>
      <c r="B352" s="31"/>
      <c r="C352" s="31"/>
      <c r="D352" s="31"/>
      <c r="E352" s="31"/>
    </row>
    <row r="353" ht="15.75" customHeight="1">
      <c r="A353" s="30"/>
      <c r="B353" s="31"/>
      <c r="C353" s="31"/>
      <c r="D353" s="31"/>
      <c r="E353" s="31"/>
    </row>
    <row r="354" ht="15.75" customHeight="1">
      <c r="A354" s="30"/>
      <c r="B354" s="31"/>
      <c r="C354" s="31"/>
      <c r="D354" s="31"/>
      <c r="E354" s="31"/>
    </row>
    <row r="355" ht="15.75" customHeight="1">
      <c r="A355" s="30"/>
      <c r="B355" s="31"/>
      <c r="C355" s="31"/>
      <c r="D355" s="31"/>
      <c r="E355" s="31"/>
    </row>
    <row r="356" ht="15.75" customHeight="1">
      <c r="A356" s="30"/>
      <c r="B356" s="31"/>
      <c r="C356" s="31"/>
      <c r="D356" s="31"/>
      <c r="E356" s="31"/>
    </row>
    <row r="357" ht="15.75" customHeight="1">
      <c r="A357" s="30"/>
      <c r="B357" s="31"/>
      <c r="C357" s="31"/>
      <c r="D357" s="31"/>
      <c r="E357" s="31"/>
    </row>
    <row r="358" ht="15.75" customHeight="1">
      <c r="A358" s="30"/>
      <c r="B358" s="31"/>
      <c r="C358" s="31"/>
      <c r="D358" s="31"/>
      <c r="E358" s="31"/>
    </row>
    <row r="359" ht="15.75" customHeight="1">
      <c r="A359" s="30"/>
      <c r="B359" s="31"/>
      <c r="C359" s="31"/>
      <c r="D359" s="31"/>
      <c r="E359" s="31"/>
    </row>
    <row r="360" ht="15.75" customHeight="1">
      <c r="A360" s="30"/>
      <c r="B360" s="31"/>
      <c r="C360" s="31"/>
      <c r="D360" s="31"/>
      <c r="E360" s="31"/>
    </row>
    <row r="361" ht="15.75" customHeight="1">
      <c r="A361" s="30"/>
      <c r="B361" s="31"/>
      <c r="C361" s="31"/>
      <c r="D361" s="31"/>
      <c r="E361" s="31"/>
    </row>
    <row r="362" ht="15.75" customHeight="1">
      <c r="A362" s="30"/>
      <c r="B362" s="31"/>
      <c r="C362" s="31"/>
      <c r="D362" s="31"/>
      <c r="E362" s="31"/>
    </row>
    <row r="363" ht="15.75" customHeight="1">
      <c r="A363" s="30"/>
      <c r="B363" s="31"/>
      <c r="C363" s="31"/>
      <c r="D363" s="31"/>
      <c r="E363" s="31"/>
    </row>
    <row r="364" ht="15.75" customHeight="1">
      <c r="A364" s="30"/>
      <c r="B364" s="31"/>
      <c r="C364" s="31"/>
      <c r="D364" s="31"/>
      <c r="E364" s="31"/>
    </row>
    <row r="365" ht="15.75" customHeight="1">
      <c r="A365" s="30"/>
      <c r="B365" s="31"/>
      <c r="C365" s="31"/>
      <c r="D365" s="31"/>
      <c r="E365" s="31"/>
    </row>
    <row r="366" ht="15.75" customHeight="1">
      <c r="A366" s="30"/>
      <c r="B366" s="31"/>
      <c r="C366" s="31"/>
      <c r="D366" s="31"/>
      <c r="E366" s="31"/>
    </row>
    <row r="367" ht="15.75" customHeight="1">
      <c r="A367" s="30"/>
      <c r="B367" s="31"/>
      <c r="C367" s="31"/>
      <c r="D367" s="31"/>
      <c r="E367" s="31"/>
    </row>
    <row r="368" ht="15.75" customHeight="1">
      <c r="A368" s="30"/>
      <c r="B368" s="31"/>
      <c r="C368" s="31"/>
      <c r="D368" s="31"/>
      <c r="E368" s="31"/>
    </row>
    <row r="369" ht="15.75" customHeight="1">
      <c r="A369" s="30"/>
      <c r="B369" s="31"/>
      <c r="C369" s="31"/>
      <c r="D369" s="31"/>
      <c r="E369" s="31"/>
    </row>
    <row r="370" ht="15.75" customHeight="1">
      <c r="A370" s="30"/>
      <c r="B370" s="31"/>
      <c r="C370" s="31"/>
      <c r="D370" s="31"/>
      <c r="E370" s="31"/>
    </row>
    <row r="371" ht="15.75" customHeight="1">
      <c r="A371" s="30"/>
      <c r="B371" s="31"/>
      <c r="C371" s="31"/>
      <c r="D371" s="31"/>
      <c r="E371" s="31"/>
    </row>
    <row r="372" ht="15.75" customHeight="1">
      <c r="A372" s="30"/>
      <c r="B372" s="31"/>
      <c r="C372" s="31"/>
      <c r="D372" s="31"/>
      <c r="E372" s="31"/>
    </row>
    <row r="373" ht="15.75" customHeight="1">
      <c r="A373" s="30"/>
      <c r="B373" s="31"/>
      <c r="C373" s="31"/>
      <c r="D373" s="31"/>
      <c r="E373" s="31"/>
    </row>
    <row r="374" ht="15.75" customHeight="1">
      <c r="A374" s="30"/>
      <c r="B374" s="31"/>
      <c r="C374" s="31"/>
      <c r="D374" s="31"/>
      <c r="E374" s="31"/>
    </row>
    <row r="375" ht="15.75" customHeight="1">
      <c r="A375" s="30"/>
      <c r="B375" s="31"/>
      <c r="C375" s="31"/>
      <c r="D375" s="31"/>
      <c r="E375" s="31"/>
    </row>
    <row r="376" ht="15.75" customHeight="1">
      <c r="A376" s="30"/>
      <c r="B376" s="31"/>
      <c r="C376" s="31"/>
      <c r="D376" s="31"/>
      <c r="E376" s="31"/>
    </row>
    <row r="377" ht="15.75" customHeight="1">
      <c r="A377" s="30"/>
      <c r="B377" s="31"/>
      <c r="C377" s="31"/>
      <c r="D377" s="31"/>
      <c r="E377" s="31"/>
    </row>
    <row r="378" ht="15.75" customHeight="1">
      <c r="A378" s="30"/>
      <c r="B378" s="31"/>
      <c r="C378" s="31"/>
      <c r="D378" s="31"/>
      <c r="E378" s="31"/>
    </row>
    <row r="379" ht="15.75" customHeight="1">
      <c r="A379" s="30"/>
      <c r="B379" s="31"/>
      <c r="C379" s="31"/>
      <c r="D379" s="31"/>
      <c r="E379" s="31"/>
    </row>
    <row r="380" ht="15.75" customHeight="1">
      <c r="A380" s="30"/>
      <c r="B380" s="31"/>
      <c r="C380" s="31"/>
      <c r="D380" s="31"/>
      <c r="E380" s="31"/>
    </row>
    <row r="381" ht="15.75" customHeight="1">
      <c r="A381" s="30"/>
      <c r="B381" s="31"/>
      <c r="C381" s="31"/>
      <c r="D381" s="31"/>
      <c r="E381" s="31"/>
    </row>
    <row r="382" ht="15.75" customHeight="1">
      <c r="A382" s="30"/>
      <c r="B382" s="31"/>
      <c r="C382" s="31"/>
      <c r="D382" s="31"/>
      <c r="E382" s="31"/>
    </row>
    <row r="383" ht="15.75" customHeight="1">
      <c r="A383" s="30"/>
      <c r="B383" s="31"/>
      <c r="C383" s="31"/>
      <c r="D383" s="31"/>
      <c r="E383" s="31"/>
    </row>
    <row r="384" ht="15.75" customHeight="1">
      <c r="A384" s="30"/>
      <c r="B384" s="31"/>
      <c r="C384" s="31"/>
      <c r="D384" s="31"/>
      <c r="E384" s="31"/>
    </row>
    <row r="385" ht="15.75" customHeight="1">
      <c r="A385" s="30"/>
      <c r="B385" s="31"/>
      <c r="C385" s="31"/>
      <c r="D385" s="31"/>
      <c r="E385" s="31"/>
    </row>
    <row r="386" ht="15.75" customHeight="1">
      <c r="A386" s="30"/>
      <c r="B386" s="31"/>
      <c r="C386" s="31"/>
      <c r="D386" s="31"/>
      <c r="E386" s="31"/>
    </row>
    <row r="387" ht="15.75" customHeight="1">
      <c r="A387" s="30"/>
      <c r="B387" s="31"/>
      <c r="C387" s="31"/>
      <c r="D387" s="31"/>
      <c r="E387" s="31"/>
    </row>
    <row r="388" ht="15.75" customHeight="1">
      <c r="A388" s="30"/>
      <c r="B388" s="31"/>
      <c r="C388" s="31"/>
      <c r="D388" s="31"/>
      <c r="E388" s="31"/>
    </row>
    <row r="389" ht="15.75" customHeight="1">
      <c r="A389" s="30"/>
      <c r="B389" s="31"/>
      <c r="C389" s="31"/>
      <c r="D389" s="31"/>
      <c r="E389" s="31"/>
    </row>
    <row r="390" ht="15.75" customHeight="1">
      <c r="A390" s="30"/>
      <c r="B390" s="31"/>
      <c r="C390" s="31"/>
      <c r="D390" s="31"/>
      <c r="E390" s="31"/>
    </row>
    <row r="391" ht="15.75" customHeight="1">
      <c r="A391" s="30"/>
      <c r="B391" s="31"/>
      <c r="C391" s="31"/>
      <c r="D391" s="31"/>
      <c r="E391" s="31"/>
    </row>
    <row r="392" ht="15.75" customHeight="1">
      <c r="A392" s="30"/>
      <c r="B392" s="31"/>
      <c r="C392" s="31"/>
      <c r="D392" s="31"/>
      <c r="E392" s="31"/>
    </row>
    <row r="393" ht="15.75" customHeight="1">
      <c r="A393" s="30"/>
      <c r="B393" s="31"/>
      <c r="C393" s="31"/>
      <c r="D393" s="31"/>
      <c r="E393" s="31"/>
    </row>
    <row r="394" ht="15.75" customHeight="1">
      <c r="A394" s="30"/>
      <c r="B394" s="31"/>
      <c r="C394" s="31"/>
      <c r="D394" s="31"/>
      <c r="E394" s="31"/>
    </row>
    <row r="395" ht="15.75" customHeight="1">
      <c r="A395" s="30"/>
      <c r="B395" s="31"/>
      <c r="C395" s="31"/>
      <c r="D395" s="31"/>
      <c r="E395" s="31"/>
    </row>
    <row r="396" ht="15.75" customHeight="1">
      <c r="A396" s="30"/>
      <c r="B396" s="31"/>
      <c r="C396" s="31"/>
      <c r="D396" s="31"/>
      <c r="E396" s="31"/>
    </row>
    <row r="397" ht="15.75" customHeight="1">
      <c r="A397" s="30"/>
      <c r="B397" s="31"/>
      <c r="C397" s="31"/>
      <c r="D397" s="31"/>
      <c r="E397" s="31"/>
    </row>
    <row r="398" ht="15.75" customHeight="1">
      <c r="A398" s="30"/>
      <c r="B398" s="31"/>
      <c r="C398" s="31"/>
      <c r="D398" s="31"/>
      <c r="E398" s="31"/>
    </row>
    <row r="399" ht="15.75" customHeight="1">
      <c r="A399" s="30"/>
      <c r="B399" s="31"/>
      <c r="C399" s="31"/>
      <c r="D399" s="31"/>
      <c r="E399" s="31"/>
    </row>
    <row r="400" ht="15.75" customHeight="1">
      <c r="A400" s="30"/>
      <c r="B400" s="31"/>
      <c r="C400" s="31"/>
      <c r="D400" s="31"/>
      <c r="E400" s="31"/>
    </row>
    <row r="401" ht="15.75" customHeight="1">
      <c r="A401" s="30"/>
      <c r="B401" s="31"/>
      <c r="C401" s="31"/>
      <c r="D401" s="31"/>
      <c r="E401" s="31"/>
    </row>
    <row r="402" ht="15.75" customHeight="1">
      <c r="A402" s="30"/>
      <c r="B402" s="31"/>
      <c r="C402" s="31"/>
      <c r="D402" s="31"/>
      <c r="E402" s="31"/>
    </row>
    <row r="403" ht="15.75" customHeight="1">
      <c r="A403" s="30"/>
      <c r="B403" s="31"/>
      <c r="C403" s="31"/>
      <c r="D403" s="31"/>
      <c r="E403" s="31"/>
    </row>
    <row r="404" ht="15.75" customHeight="1">
      <c r="A404" s="30"/>
      <c r="B404" s="31"/>
      <c r="C404" s="31"/>
      <c r="D404" s="31"/>
      <c r="E404" s="31"/>
    </row>
    <row r="405" ht="15.75" customHeight="1">
      <c r="A405" s="30"/>
      <c r="B405" s="31"/>
      <c r="C405" s="31"/>
      <c r="D405" s="31"/>
      <c r="E405" s="31"/>
    </row>
    <row r="406" ht="15.75" customHeight="1">
      <c r="A406" s="30"/>
      <c r="B406" s="31"/>
      <c r="C406" s="31"/>
      <c r="D406" s="31"/>
      <c r="E406" s="31"/>
    </row>
    <row r="407" ht="15.75" customHeight="1">
      <c r="A407" s="30"/>
      <c r="B407" s="31"/>
      <c r="C407" s="31"/>
      <c r="D407" s="31"/>
      <c r="E407" s="31"/>
    </row>
    <row r="408" ht="15.75" customHeight="1">
      <c r="A408" s="30"/>
      <c r="B408" s="31"/>
      <c r="C408" s="31"/>
      <c r="D408" s="31"/>
      <c r="E408" s="31"/>
    </row>
    <row r="409" ht="15.75" customHeight="1">
      <c r="A409" s="30"/>
      <c r="B409" s="31"/>
      <c r="C409" s="31"/>
      <c r="D409" s="31"/>
      <c r="E409" s="31"/>
    </row>
    <row r="410" ht="15.75" customHeight="1">
      <c r="A410" s="30"/>
      <c r="B410" s="31"/>
      <c r="C410" s="31"/>
      <c r="D410" s="31"/>
      <c r="E410" s="31"/>
    </row>
    <row r="411" ht="15.75" customHeight="1">
      <c r="A411" s="30"/>
      <c r="B411" s="31"/>
      <c r="C411" s="31"/>
      <c r="D411" s="31"/>
      <c r="E411" s="31"/>
    </row>
    <row r="412" ht="15.75" customHeight="1">
      <c r="A412" s="30"/>
      <c r="B412" s="31"/>
      <c r="C412" s="31"/>
      <c r="D412" s="31"/>
      <c r="E412" s="31"/>
    </row>
    <row r="413" ht="15.75" customHeight="1">
      <c r="A413" s="30"/>
      <c r="B413" s="31"/>
      <c r="C413" s="31"/>
      <c r="D413" s="31"/>
      <c r="E413" s="31"/>
    </row>
    <row r="414" ht="15.75" customHeight="1">
      <c r="A414" s="30"/>
      <c r="B414" s="31"/>
      <c r="C414" s="31"/>
      <c r="D414" s="31"/>
      <c r="E414" s="31"/>
    </row>
    <row r="415" ht="15.75" customHeight="1">
      <c r="A415" s="30"/>
      <c r="B415" s="31"/>
      <c r="C415" s="31"/>
      <c r="D415" s="31"/>
      <c r="E415" s="31"/>
    </row>
    <row r="416" ht="15.75" customHeight="1">
      <c r="A416" s="30"/>
      <c r="B416" s="31"/>
      <c r="C416" s="31"/>
      <c r="D416" s="31"/>
      <c r="E416" s="31"/>
    </row>
    <row r="417" ht="15.75" customHeight="1">
      <c r="A417" s="30"/>
      <c r="B417" s="31"/>
      <c r="C417" s="31"/>
      <c r="D417" s="31"/>
      <c r="E417" s="31"/>
    </row>
    <row r="418" ht="15.75" customHeight="1">
      <c r="A418" s="30"/>
      <c r="B418" s="31"/>
      <c r="C418" s="31"/>
      <c r="D418" s="31"/>
      <c r="E418" s="31"/>
    </row>
    <row r="419" ht="15.75" customHeight="1">
      <c r="A419" s="30"/>
      <c r="B419" s="31"/>
      <c r="C419" s="31"/>
      <c r="D419" s="31"/>
      <c r="E419" s="31"/>
    </row>
    <row r="420" ht="15.75" customHeight="1">
      <c r="A420" s="30"/>
      <c r="B420" s="31"/>
      <c r="C420" s="31"/>
      <c r="D420" s="31"/>
      <c r="E420" s="31"/>
    </row>
    <row r="421" ht="15.75" customHeight="1">
      <c r="A421" s="30"/>
      <c r="B421" s="31"/>
      <c r="C421" s="31"/>
      <c r="D421" s="31"/>
      <c r="E421" s="31"/>
    </row>
    <row r="422" ht="15.75" customHeight="1">
      <c r="A422" s="30"/>
      <c r="B422" s="31"/>
      <c r="C422" s="31"/>
      <c r="D422" s="31"/>
      <c r="E422" s="31"/>
    </row>
    <row r="423" ht="15.75" customHeight="1">
      <c r="A423" s="30"/>
      <c r="B423" s="31"/>
      <c r="C423" s="31"/>
      <c r="D423" s="31"/>
      <c r="E423" s="31"/>
    </row>
    <row r="424" ht="15.75" customHeight="1">
      <c r="A424" s="30"/>
      <c r="B424" s="31"/>
      <c r="C424" s="31"/>
      <c r="D424" s="31"/>
      <c r="E424" s="31"/>
    </row>
    <row r="425" ht="15.75" customHeight="1">
      <c r="A425" s="30"/>
      <c r="B425" s="31"/>
      <c r="C425" s="31"/>
      <c r="D425" s="31"/>
      <c r="E425" s="31"/>
    </row>
    <row r="426" ht="15.75" customHeight="1">
      <c r="A426" s="30"/>
      <c r="B426" s="31"/>
      <c r="C426" s="31"/>
      <c r="D426" s="31"/>
      <c r="E426" s="31"/>
    </row>
    <row r="427" ht="15.75" customHeight="1">
      <c r="A427" s="30"/>
      <c r="B427" s="31"/>
      <c r="C427" s="31"/>
      <c r="D427" s="31"/>
      <c r="E427" s="31"/>
    </row>
    <row r="428" ht="15.75" customHeight="1">
      <c r="A428" s="30"/>
      <c r="B428" s="31"/>
      <c r="C428" s="31"/>
      <c r="D428" s="31"/>
      <c r="E428" s="31"/>
    </row>
    <row r="429" ht="15.75" customHeight="1">
      <c r="A429" s="30"/>
      <c r="B429" s="31"/>
      <c r="C429" s="31"/>
      <c r="D429" s="31"/>
      <c r="E429" s="31"/>
    </row>
    <row r="430" ht="15.75" customHeight="1">
      <c r="A430" s="30"/>
      <c r="B430" s="31"/>
      <c r="C430" s="31"/>
      <c r="D430" s="31"/>
      <c r="E430" s="31"/>
    </row>
    <row r="431" ht="15.75" customHeight="1">
      <c r="A431" s="30"/>
      <c r="B431" s="31"/>
      <c r="C431" s="31"/>
      <c r="D431" s="31"/>
      <c r="E431" s="31"/>
    </row>
    <row r="432" ht="15.75" customHeight="1">
      <c r="A432" s="30"/>
      <c r="B432" s="31"/>
      <c r="C432" s="31"/>
      <c r="D432" s="31"/>
      <c r="E432" s="31"/>
    </row>
    <row r="433" ht="15.75" customHeight="1">
      <c r="A433" s="30"/>
      <c r="B433" s="31"/>
      <c r="C433" s="31"/>
      <c r="D433" s="31"/>
      <c r="E433" s="31"/>
    </row>
    <row r="434" ht="15.75" customHeight="1">
      <c r="A434" s="30"/>
      <c r="B434" s="31"/>
      <c r="C434" s="31"/>
      <c r="D434" s="31"/>
      <c r="E434" s="31"/>
    </row>
    <row r="435" ht="15.75" customHeight="1">
      <c r="A435" s="30"/>
      <c r="B435" s="31"/>
      <c r="C435" s="31"/>
      <c r="D435" s="31"/>
      <c r="E435" s="31"/>
    </row>
    <row r="436" ht="15.75" customHeight="1">
      <c r="A436" s="30"/>
      <c r="B436" s="31"/>
      <c r="C436" s="31"/>
      <c r="D436" s="31"/>
      <c r="E436" s="31"/>
    </row>
    <row r="437" ht="15.75" customHeight="1">
      <c r="A437" s="30"/>
      <c r="B437" s="31"/>
      <c r="C437" s="31"/>
      <c r="D437" s="31"/>
      <c r="E437" s="31"/>
    </row>
    <row r="438" ht="15.75" customHeight="1">
      <c r="A438" s="30"/>
      <c r="B438" s="31"/>
      <c r="C438" s="31"/>
      <c r="D438" s="31"/>
      <c r="E438" s="31"/>
    </row>
    <row r="439" ht="15.75" customHeight="1">
      <c r="A439" s="30"/>
      <c r="B439" s="31"/>
      <c r="C439" s="31"/>
      <c r="D439" s="31"/>
      <c r="E439" s="31"/>
    </row>
    <row r="440" ht="15.75" customHeight="1">
      <c r="A440" s="30"/>
      <c r="B440" s="31"/>
      <c r="C440" s="31"/>
      <c r="D440" s="31"/>
      <c r="E440" s="31"/>
    </row>
    <row r="441" ht="15.75" customHeight="1">
      <c r="A441" s="30"/>
      <c r="B441" s="31"/>
      <c r="C441" s="31"/>
      <c r="D441" s="31"/>
      <c r="E441" s="31"/>
    </row>
    <row r="442" ht="15.75" customHeight="1">
      <c r="A442" s="30"/>
      <c r="B442" s="31"/>
      <c r="C442" s="31"/>
      <c r="D442" s="31"/>
      <c r="E442" s="31"/>
    </row>
    <row r="443" ht="15.75" customHeight="1">
      <c r="A443" s="30"/>
      <c r="B443" s="31"/>
      <c r="C443" s="31"/>
      <c r="D443" s="31"/>
      <c r="E443" s="31"/>
    </row>
    <row r="444" ht="15.75" customHeight="1">
      <c r="A444" s="30"/>
      <c r="B444" s="31"/>
      <c r="C444" s="31"/>
      <c r="D444" s="31"/>
      <c r="E444" s="31"/>
    </row>
    <row r="445" ht="15.75" customHeight="1">
      <c r="A445" s="30"/>
      <c r="B445" s="31"/>
      <c r="C445" s="31"/>
      <c r="D445" s="31"/>
      <c r="E445" s="31"/>
    </row>
    <row r="446" ht="15.75" customHeight="1">
      <c r="A446" s="30"/>
      <c r="B446" s="31"/>
      <c r="C446" s="31"/>
      <c r="D446" s="31"/>
      <c r="E446" s="31"/>
    </row>
    <row r="447" ht="15.75" customHeight="1">
      <c r="A447" s="30"/>
      <c r="B447" s="31"/>
      <c r="C447" s="31"/>
      <c r="D447" s="31"/>
      <c r="E447" s="31"/>
    </row>
    <row r="448" ht="15.75" customHeight="1">
      <c r="A448" s="30"/>
      <c r="B448" s="31"/>
      <c r="C448" s="31"/>
      <c r="D448" s="31"/>
      <c r="E448" s="31"/>
    </row>
    <row r="449" ht="15.75" customHeight="1">
      <c r="A449" s="30"/>
      <c r="B449" s="31"/>
      <c r="C449" s="31"/>
      <c r="D449" s="31"/>
      <c r="E449" s="31"/>
    </row>
    <row r="450" ht="15.75" customHeight="1">
      <c r="A450" s="30"/>
      <c r="B450" s="31"/>
      <c r="C450" s="31"/>
      <c r="D450" s="31"/>
      <c r="E450" s="31"/>
    </row>
    <row r="451" ht="15.75" customHeight="1">
      <c r="A451" s="30"/>
      <c r="B451" s="31"/>
      <c r="C451" s="31"/>
      <c r="D451" s="31"/>
      <c r="E451" s="31"/>
    </row>
    <row r="452" ht="15.75" customHeight="1">
      <c r="A452" s="30"/>
      <c r="B452" s="31"/>
      <c r="C452" s="31"/>
      <c r="D452" s="31"/>
      <c r="E452" s="31"/>
    </row>
    <row r="453" ht="15.75" customHeight="1">
      <c r="A453" s="30"/>
      <c r="B453" s="31"/>
      <c r="C453" s="31"/>
      <c r="D453" s="31"/>
      <c r="E453" s="31"/>
    </row>
    <row r="454" ht="15.75" customHeight="1">
      <c r="A454" s="30"/>
      <c r="B454" s="31"/>
      <c r="C454" s="31"/>
      <c r="D454" s="31"/>
      <c r="E454" s="31"/>
    </row>
    <row r="455" ht="15.75" customHeight="1">
      <c r="A455" s="30"/>
      <c r="B455" s="31"/>
      <c r="C455" s="31"/>
      <c r="D455" s="31"/>
      <c r="E455" s="31"/>
    </row>
    <row r="456" ht="15.75" customHeight="1">
      <c r="A456" s="30"/>
      <c r="B456" s="31"/>
      <c r="C456" s="31"/>
      <c r="D456" s="31"/>
      <c r="E456" s="31"/>
    </row>
    <row r="457" ht="15.75" customHeight="1">
      <c r="A457" s="30"/>
      <c r="B457" s="31"/>
      <c r="C457" s="31"/>
      <c r="D457" s="31"/>
      <c r="E457" s="31"/>
    </row>
    <row r="458" ht="15.75" customHeight="1">
      <c r="A458" s="30"/>
      <c r="B458" s="31"/>
      <c r="C458" s="31"/>
      <c r="D458" s="31"/>
      <c r="E458" s="31"/>
    </row>
    <row r="459" ht="15.75" customHeight="1">
      <c r="A459" s="30"/>
      <c r="B459" s="31"/>
      <c r="C459" s="31"/>
      <c r="D459" s="31"/>
      <c r="E459" s="31"/>
    </row>
    <row r="460" ht="15.75" customHeight="1">
      <c r="A460" s="30"/>
      <c r="B460" s="31"/>
      <c r="C460" s="31"/>
      <c r="D460" s="31"/>
      <c r="E460" s="31"/>
    </row>
    <row r="461" ht="15.75" customHeight="1">
      <c r="A461" s="30"/>
      <c r="B461" s="31"/>
      <c r="C461" s="31"/>
      <c r="D461" s="31"/>
      <c r="E461" s="31"/>
    </row>
    <row r="462" ht="15.75" customHeight="1">
      <c r="A462" s="30"/>
      <c r="B462" s="31"/>
      <c r="C462" s="31"/>
      <c r="D462" s="31"/>
      <c r="E462" s="31"/>
    </row>
    <row r="463" ht="15.75" customHeight="1">
      <c r="A463" s="30"/>
      <c r="B463" s="31"/>
      <c r="C463" s="31"/>
      <c r="D463" s="31"/>
      <c r="E463" s="31"/>
    </row>
    <row r="464" ht="15.75" customHeight="1">
      <c r="A464" s="30"/>
      <c r="B464" s="31"/>
      <c r="C464" s="31"/>
      <c r="D464" s="31"/>
      <c r="E464" s="31"/>
    </row>
    <row r="465" ht="15.75" customHeight="1">
      <c r="A465" s="30"/>
      <c r="B465" s="31"/>
      <c r="C465" s="31"/>
      <c r="D465" s="31"/>
      <c r="E465" s="31"/>
    </row>
    <row r="466" ht="15.75" customHeight="1">
      <c r="A466" s="30"/>
      <c r="B466" s="31"/>
      <c r="C466" s="31"/>
      <c r="D466" s="31"/>
      <c r="E466" s="31"/>
    </row>
    <row r="467" ht="15.75" customHeight="1">
      <c r="A467" s="30"/>
      <c r="B467" s="31"/>
      <c r="C467" s="31"/>
      <c r="D467" s="31"/>
      <c r="E467" s="31"/>
    </row>
    <row r="468" ht="15.75" customHeight="1">
      <c r="A468" s="30"/>
      <c r="B468" s="31"/>
      <c r="C468" s="31"/>
      <c r="D468" s="31"/>
      <c r="E468" s="31"/>
    </row>
    <row r="469" ht="15.75" customHeight="1">
      <c r="A469" s="30"/>
      <c r="B469" s="31"/>
      <c r="C469" s="31"/>
      <c r="D469" s="31"/>
      <c r="E469" s="31"/>
    </row>
    <row r="470" ht="15.75" customHeight="1">
      <c r="A470" s="30"/>
      <c r="B470" s="31"/>
      <c r="C470" s="31"/>
      <c r="D470" s="31"/>
      <c r="E470" s="31"/>
    </row>
    <row r="471" ht="15.75" customHeight="1">
      <c r="A471" s="30"/>
      <c r="B471" s="31"/>
      <c r="C471" s="31"/>
      <c r="D471" s="31"/>
      <c r="E471" s="31"/>
    </row>
    <row r="472" ht="15.75" customHeight="1">
      <c r="A472" s="30"/>
      <c r="B472" s="31"/>
      <c r="C472" s="31"/>
      <c r="D472" s="31"/>
      <c r="E472" s="31"/>
    </row>
    <row r="473" ht="15.75" customHeight="1">
      <c r="A473" s="30"/>
      <c r="B473" s="31"/>
      <c r="C473" s="31"/>
      <c r="D473" s="31"/>
      <c r="E473" s="31"/>
    </row>
    <row r="474" ht="15.75" customHeight="1">
      <c r="A474" s="30"/>
      <c r="B474" s="31"/>
      <c r="C474" s="31"/>
      <c r="D474" s="31"/>
      <c r="E474" s="31"/>
    </row>
    <row r="475" ht="15.75" customHeight="1">
      <c r="A475" s="30"/>
      <c r="B475" s="31"/>
      <c r="C475" s="31"/>
      <c r="D475" s="31"/>
      <c r="E475" s="31"/>
    </row>
    <row r="476" ht="15.75" customHeight="1">
      <c r="A476" s="30"/>
      <c r="B476" s="31"/>
      <c r="C476" s="31"/>
      <c r="D476" s="31"/>
      <c r="E476" s="31"/>
    </row>
    <row r="477" ht="15.75" customHeight="1">
      <c r="A477" s="30"/>
      <c r="B477" s="31"/>
      <c r="C477" s="31"/>
      <c r="D477" s="31"/>
      <c r="E477" s="31"/>
    </row>
    <row r="478" ht="15.75" customHeight="1">
      <c r="A478" s="30"/>
      <c r="B478" s="31"/>
      <c r="C478" s="31"/>
      <c r="D478" s="31"/>
      <c r="E478" s="31"/>
    </row>
    <row r="479" ht="15.75" customHeight="1">
      <c r="A479" s="30"/>
      <c r="B479" s="31"/>
      <c r="C479" s="31"/>
      <c r="D479" s="31"/>
      <c r="E479" s="31"/>
    </row>
    <row r="480" ht="15.75" customHeight="1">
      <c r="A480" s="30"/>
      <c r="B480" s="31"/>
      <c r="C480" s="31"/>
      <c r="D480" s="31"/>
      <c r="E480" s="31"/>
    </row>
    <row r="481" ht="15.75" customHeight="1">
      <c r="A481" s="30"/>
      <c r="B481" s="31"/>
      <c r="C481" s="31"/>
      <c r="D481" s="31"/>
      <c r="E481" s="31"/>
    </row>
    <row r="482" ht="15.75" customHeight="1">
      <c r="A482" s="30"/>
      <c r="B482" s="31"/>
      <c r="C482" s="31"/>
      <c r="D482" s="31"/>
      <c r="E482" s="31"/>
    </row>
    <row r="483" ht="15.75" customHeight="1">
      <c r="A483" s="30"/>
      <c r="B483" s="31"/>
      <c r="C483" s="31"/>
      <c r="D483" s="31"/>
      <c r="E483" s="31"/>
    </row>
    <row r="484" ht="15.75" customHeight="1">
      <c r="A484" s="30"/>
      <c r="B484" s="31"/>
      <c r="C484" s="31"/>
      <c r="D484" s="31"/>
      <c r="E484" s="31"/>
    </row>
    <row r="485" ht="15.75" customHeight="1">
      <c r="A485" s="30"/>
      <c r="B485" s="31"/>
      <c r="C485" s="31"/>
      <c r="D485" s="31"/>
      <c r="E485" s="31"/>
    </row>
    <row r="486" ht="15.75" customHeight="1">
      <c r="A486" s="30"/>
      <c r="B486" s="31"/>
      <c r="C486" s="31"/>
      <c r="D486" s="31"/>
      <c r="E486" s="31"/>
    </row>
    <row r="487" ht="15.75" customHeight="1">
      <c r="A487" s="30"/>
      <c r="B487" s="31"/>
      <c r="C487" s="31"/>
      <c r="D487" s="31"/>
      <c r="E487" s="31"/>
    </row>
    <row r="488" ht="15.75" customHeight="1">
      <c r="A488" s="30"/>
      <c r="B488" s="31"/>
      <c r="C488" s="31"/>
      <c r="D488" s="31"/>
      <c r="E488" s="31"/>
    </row>
    <row r="489" ht="15.75" customHeight="1">
      <c r="A489" s="30"/>
      <c r="B489" s="31"/>
      <c r="C489" s="31"/>
      <c r="D489" s="31"/>
      <c r="E489" s="31"/>
    </row>
    <row r="490" ht="15.75" customHeight="1">
      <c r="A490" s="30"/>
      <c r="B490" s="31"/>
      <c r="C490" s="31"/>
      <c r="D490" s="31"/>
      <c r="E490" s="31"/>
    </row>
    <row r="491" ht="15.75" customHeight="1">
      <c r="A491" s="30"/>
      <c r="B491" s="31"/>
      <c r="C491" s="31"/>
      <c r="D491" s="31"/>
      <c r="E491" s="31"/>
    </row>
    <row r="492" ht="15.75" customHeight="1">
      <c r="A492" s="30"/>
      <c r="B492" s="31"/>
      <c r="C492" s="31"/>
      <c r="D492" s="31"/>
      <c r="E492" s="31"/>
    </row>
    <row r="493" ht="15.75" customHeight="1">
      <c r="A493" s="30"/>
      <c r="B493" s="31"/>
      <c r="C493" s="31"/>
      <c r="D493" s="31"/>
      <c r="E493" s="31"/>
    </row>
    <row r="494" ht="15.75" customHeight="1">
      <c r="A494" s="30"/>
      <c r="B494" s="31"/>
      <c r="C494" s="31"/>
      <c r="D494" s="31"/>
      <c r="E494" s="31"/>
    </row>
    <row r="495" ht="15.75" customHeight="1">
      <c r="A495" s="30"/>
      <c r="B495" s="31"/>
      <c r="C495" s="31"/>
      <c r="D495" s="31"/>
      <c r="E495" s="31"/>
    </row>
    <row r="496" ht="15.75" customHeight="1">
      <c r="A496" s="30"/>
      <c r="B496" s="31"/>
      <c r="C496" s="31"/>
      <c r="D496" s="31"/>
      <c r="E496" s="31"/>
    </row>
    <row r="497" ht="15.75" customHeight="1">
      <c r="A497" s="30"/>
      <c r="B497" s="31"/>
      <c r="C497" s="31"/>
      <c r="D497" s="31"/>
      <c r="E497" s="31"/>
    </row>
    <row r="498" ht="15.75" customHeight="1">
      <c r="A498" s="30"/>
      <c r="B498" s="31"/>
      <c r="C498" s="31"/>
      <c r="D498" s="31"/>
      <c r="E498" s="31"/>
    </row>
    <row r="499" ht="15.75" customHeight="1">
      <c r="A499" s="30"/>
      <c r="B499" s="31"/>
      <c r="C499" s="31"/>
      <c r="D499" s="31"/>
      <c r="E499" s="31"/>
    </row>
    <row r="500" ht="15.75" customHeight="1">
      <c r="A500" s="30"/>
      <c r="B500" s="31"/>
      <c r="C500" s="31"/>
      <c r="D500" s="31"/>
      <c r="E500" s="31"/>
    </row>
    <row r="501" ht="15.75" customHeight="1">
      <c r="A501" s="30"/>
      <c r="B501" s="31"/>
      <c r="C501" s="31"/>
      <c r="D501" s="31"/>
      <c r="E501" s="31"/>
    </row>
    <row r="502" ht="15.75" customHeight="1">
      <c r="A502" s="30"/>
      <c r="B502" s="31"/>
      <c r="C502" s="31"/>
      <c r="D502" s="31"/>
      <c r="E502" s="31"/>
    </row>
    <row r="503" ht="15.75" customHeight="1">
      <c r="A503" s="30"/>
      <c r="B503" s="31"/>
      <c r="C503" s="31"/>
      <c r="D503" s="31"/>
      <c r="E503" s="31"/>
    </row>
    <row r="504" ht="15.75" customHeight="1">
      <c r="A504" s="30"/>
      <c r="B504" s="31"/>
      <c r="C504" s="31"/>
      <c r="D504" s="31"/>
      <c r="E504" s="31"/>
    </row>
    <row r="505" ht="15.75" customHeight="1">
      <c r="A505" s="30"/>
      <c r="B505" s="31"/>
      <c r="C505" s="31"/>
      <c r="D505" s="31"/>
      <c r="E505" s="31"/>
    </row>
    <row r="506" ht="15.75" customHeight="1">
      <c r="A506" s="30"/>
      <c r="B506" s="31"/>
      <c r="C506" s="31"/>
      <c r="D506" s="31"/>
      <c r="E506" s="31"/>
    </row>
    <row r="507" ht="15.75" customHeight="1">
      <c r="A507" s="30"/>
      <c r="B507" s="31"/>
      <c r="C507" s="31"/>
      <c r="D507" s="31"/>
      <c r="E507" s="31"/>
    </row>
    <row r="508" ht="15.75" customHeight="1">
      <c r="A508" s="30"/>
      <c r="B508" s="31"/>
      <c r="C508" s="31"/>
      <c r="D508" s="31"/>
      <c r="E508" s="31"/>
    </row>
    <row r="509" ht="15.75" customHeight="1">
      <c r="A509" s="30"/>
      <c r="B509" s="31"/>
      <c r="C509" s="31"/>
      <c r="D509" s="31"/>
      <c r="E509" s="31"/>
    </row>
    <row r="510" ht="15.75" customHeight="1">
      <c r="A510" s="30"/>
      <c r="B510" s="31"/>
      <c r="C510" s="31"/>
      <c r="D510" s="31"/>
      <c r="E510" s="31"/>
    </row>
    <row r="511" ht="15.75" customHeight="1">
      <c r="A511" s="30"/>
      <c r="B511" s="31"/>
      <c r="C511" s="31"/>
      <c r="D511" s="31"/>
      <c r="E511" s="31"/>
    </row>
    <row r="512" ht="15.75" customHeight="1">
      <c r="A512" s="30"/>
      <c r="B512" s="31"/>
      <c r="C512" s="31"/>
      <c r="D512" s="31"/>
      <c r="E512" s="31"/>
    </row>
    <row r="513" ht="15.75" customHeight="1">
      <c r="A513" s="30"/>
      <c r="B513" s="31"/>
      <c r="C513" s="31"/>
      <c r="D513" s="31"/>
      <c r="E513" s="31"/>
    </row>
    <row r="514" ht="15.75" customHeight="1">
      <c r="A514" s="30"/>
      <c r="B514" s="31"/>
      <c r="C514" s="31"/>
      <c r="D514" s="31"/>
      <c r="E514" s="31"/>
    </row>
    <row r="515" ht="15.75" customHeight="1">
      <c r="A515" s="30"/>
      <c r="B515" s="31"/>
      <c r="C515" s="31"/>
      <c r="D515" s="31"/>
      <c r="E515" s="31"/>
    </row>
    <row r="516" ht="15.75" customHeight="1">
      <c r="A516" s="30"/>
      <c r="B516" s="31"/>
      <c r="C516" s="31"/>
      <c r="D516" s="31"/>
      <c r="E516" s="31"/>
    </row>
    <row r="517" ht="15.75" customHeight="1">
      <c r="A517" s="30"/>
      <c r="B517" s="31"/>
      <c r="C517" s="31"/>
      <c r="D517" s="31"/>
      <c r="E517" s="31"/>
    </row>
    <row r="518" ht="15.75" customHeight="1">
      <c r="A518" s="30"/>
      <c r="B518" s="31"/>
      <c r="C518" s="31"/>
      <c r="D518" s="31"/>
      <c r="E518" s="31"/>
    </row>
    <row r="519" ht="15.75" customHeight="1">
      <c r="A519" s="30"/>
      <c r="B519" s="31"/>
      <c r="C519" s="31"/>
      <c r="D519" s="31"/>
      <c r="E519" s="31"/>
    </row>
    <row r="520" ht="15.75" customHeight="1">
      <c r="A520" s="30"/>
      <c r="B520" s="31"/>
      <c r="C520" s="31"/>
      <c r="D520" s="31"/>
      <c r="E520" s="31"/>
    </row>
    <row r="521" ht="15.75" customHeight="1">
      <c r="A521" s="30"/>
      <c r="B521" s="31"/>
      <c r="C521" s="31"/>
      <c r="D521" s="31"/>
      <c r="E521" s="31"/>
    </row>
    <row r="522" ht="15.75" customHeight="1">
      <c r="A522" s="30"/>
      <c r="B522" s="31"/>
      <c r="C522" s="31"/>
      <c r="D522" s="31"/>
      <c r="E522" s="31"/>
    </row>
    <row r="523" ht="15.75" customHeight="1">
      <c r="A523" s="30"/>
      <c r="B523" s="31"/>
      <c r="C523" s="31"/>
      <c r="D523" s="31"/>
      <c r="E523" s="31"/>
    </row>
    <row r="524" ht="15.75" customHeight="1">
      <c r="A524" s="30"/>
      <c r="B524" s="31"/>
      <c r="C524" s="31"/>
      <c r="D524" s="31"/>
      <c r="E524" s="31"/>
    </row>
    <row r="525" ht="15.75" customHeight="1">
      <c r="A525" s="30"/>
      <c r="B525" s="31"/>
      <c r="C525" s="31"/>
      <c r="D525" s="31"/>
      <c r="E525" s="31"/>
    </row>
    <row r="526" ht="15.75" customHeight="1">
      <c r="A526" s="30"/>
      <c r="B526" s="31"/>
      <c r="C526" s="31"/>
      <c r="D526" s="31"/>
      <c r="E526" s="31"/>
    </row>
    <row r="527" ht="15.75" customHeight="1">
      <c r="A527" s="30"/>
      <c r="B527" s="31"/>
      <c r="C527" s="31"/>
      <c r="D527" s="31"/>
      <c r="E527" s="31"/>
    </row>
    <row r="528" ht="15.75" customHeight="1">
      <c r="A528" s="30"/>
      <c r="B528" s="31"/>
      <c r="C528" s="31"/>
      <c r="D528" s="31"/>
      <c r="E528" s="31"/>
    </row>
    <row r="529" ht="15.75" customHeight="1">
      <c r="A529" s="30"/>
      <c r="B529" s="31"/>
      <c r="C529" s="31"/>
      <c r="D529" s="31"/>
      <c r="E529" s="31"/>
    </row>
    <row r="530" ht="15.75" customHeight="1">
      <c r="A530" s="30"/>
      <c r="B530" s="31"/>
      <c r="C530" s="31"/>
      <c r="D530" s="31"/>
      <c r="E530" s="31"/>
    </row>
    <row r="531" ht="15.75" customHeight="1">
      <c r="A531" s="30"/>
      <c r="B531" s="31"/>
      <c r="C531" s="31"/>
      <c r="D531" s="31"/>
      <c r="E531" s="31"/>
    </row>
    <row r="532" ht="15.75" customHeight="1">
      <c r="A532" s="30"/>
      <c r="B532" s="31"/>
      <c r="C532" s="31"/>
      <c r="D532" s="31"/>
      <c r="E532" s="31"/>
    </row>
    <row r="533" ht="15.75" customHeight="1">
      <c r="A533" s="30"/>
      <c r="B533" s="31"/>
      <c r="C533" s="31"/>
      <c r="D533" s="31"/>
      <c r="E533" s="31"/>
    </row>
    <row r="534" ht="15.75" customHeight="1">
      <c r="A534" s="30"/>
      <c r="B534" s="31"/>
      <c r="C534" s="31"/>
      <c r="D534" s="31"/>
      <c r="E534" s="31"/>
    </row>
    <row r="535" ht="15.75" customHeight="1">
      <c r="A535" s="30"/>
      <c r="B535" s="31"/>
      <c r="C535" s="31"/>
      <c r="D535" s="31"/>
      <c r="E535" s="31"/>
    </row>
    <row r="536" ht="15.75" customHeight="1">
      <c r="A536" s="30"/>
      <c r="B536" s="31"/>
      <c r="C536" s="31"/>
      <c r="D536" s="31"/>
      <c r="E536" s="31"/>
    </row>
    <row r="537" ht="15.75" customHeight="1">
      <c r="A537" s="30"/>
      <c r="B537" s="31"/>
      <c r="C537" s="31"/>
      <c r="D537" s="31"/>
      <c r="E537" s="31"/>
    </row>
    <row r="538" ht="15.75" customHeight="1">
      <c r="A538" s="30"/>
      <c r="B538" s="31"/>
      <c r="C538" s="31"/>
      <c r="D538" s="31"/>
      <c r="E538" s="31"/>
    </row>
    <row r="539" ht="15.75" customHeight="1">
      <c r="A539" s="30"/>
      <c r="B539" s="31"/>
      <c r="C539" s="31"/>
      <c r="D539" s="31"/>
      <c r="E539" s="31"/>
    </row>
    <row r="540" ht="15.75" customHeight="1">
      <c r="A540" s="30"/>
      <c r="B540" s="31"/>
      <c r="C540" s="31"/>
      <c r="D540" s="31"/>
      <c r="E540" s="31"/>
    </row>
    <row r="541" ht="15.75" customHeight="1">
      <c r="A541" s="30"/>
      <c r="B541" s="31"/>
      <c r="C541" s="31"/>
      <c r="D541" s="31"/>
      <c r="E541" s="31"/>
    </row>
    <row r="542" ht="15.75" customHeight="1">
      <c r="A542" s="30"/>
      <c r="B542" s="31"/>
      <c r="C542" s="31"/>
      <c r="D542" s="31"/>
      <c r="E542" s="31"/>
    </row>
    <row r="543" ht="15.75" customHeight="1">
      <c r="A543" s="30"/>
      <c r="B543" s="31"/>
      <c r="C543" s="31"/>
      <c r="D543" s="31"/>
      <c r="E543" s="31"/>
    </row>
    <row r="544" ht="15.75" customHeight="1">
      <c r="A544" s="30"/>
      <c r="B544" s="31"/>
      <c r="C544" s="31"/>
      <c r="D544" s="31"/>
      <c r="E544" s="31"/>
    </row>
    <row r="545" ht="15.75" customHeight="1">
      <c r="A545" s="30"/>
      <c r="B545" s="31"/>
      <c r="C545" s="31"/>
      <c r="D545" s="31"/>
      <c r="E545" s="31"/>
    </row>
    <row r="546" ht="15.75" customHeight="1">
      <c r="A546" s="30"/>
      <c r="B546" s="31"/>
      <c r="C546" s="31"/>
      <c r="D546" s="31"/>
      <c r="E546" s="31"/>
    </row>
    <row r="547" ht="15.75" customHeight="1">
      <c r="A547" s="30"/>
      <c r="B547" s="31"/>
      <c r="C547" s="31"/>
      <c r="D547" s="31"/>
      <c r="E547" s="31"/>
    </row>
    <row r="548" ht="15.75" customHeight="1">
      <c r="A548" s="30"/>
      <c r="B548" s="31"/>
      <c r="C548" s="31"/>
      <c r="D548" s="31"/>
      <c r="E548" s="31"/>
    </row>
    <row r="549" ht="15.75" customHeight="1">
      <c r="A549" s="30"/>
      <c r="B549" s="31"/>
      <c r="C549" s="31"/>
      <c r="D549" s="31"/>
      <c r="E549" s="31"/>
    </row>
    <row r="550" ht="15.75" customHeight="1">
      <c r="A550" s="30"/>
      <c r="B550" s="31"/>
      <c r="C550" s="31"/>
      <c r="D550" s="31"/>
      <c r="E550" s="31"/>
    </row>
    <row r="551" ht="15.75" customHeight="1">
      <c r="A551" s="30"/>
      <c r="B551" s="31"/>
      <c r="C551" s="31"/>
      <c r="D551" s="31"/>
      <c r="E551" s="31"/>
    </row>
    <row r="552" ht="15.75" customHeight="1">
      <c r="A552" s="30"/>
      <c r="B552" s="31"/>
      <c r="C552" s="31"/>
      <c r="D552" s="31"/>
      <c r="E552" s="31"/>
    </row>
    <row r="553" ht="15.75" customHeight="1">
      <c r="A553" s="30"/>
      <c r="B553" s="31"/>
      <c r="C553" s="31"/>
      <c r="D553" s="31"/>
      <c r="E553" s="31"/>
    </row>
    <row r="554" ht="15.75" customHeight="1">
      <c r="A554" s="30"/>
      <c r="B554" s="31"/>
      <c r="C554" s="31"/>
      <c r="D554" s="31"/>
      <c r="E554" s="31"/>
    </row>
    <row r="555" ht="15.75" customHeight="1">
      <c r="A555" s="30"/>
      <c r="B555" s="31"/>
      <c r="C555" s="31"/>
      <c r="D555" s="31"/>
      <c r="E555" s="31"/>
    </row>
    <row r="556" ht="15.75" customHeight="1">
      <c r="A556" s="30"/>
      <c r="B556" s="31"/>
      <c r="C556" s="31"/>
      <c r="D556" s="31"/>
      <c r="E556" s="31"/>
    </row>
    <row r="557" ht="15.75" customHeight="1">
      <c r="A557" s="30"/>
      <c r="B557" s="31"/>
      <c r="C557" s="31"/>
      <c r="D557" s="31"/>
      <c r="E557" s="31"/>
    </row>
    <row r="558" ht="15.75" customHeight="1">
      <c r="A558" s="30"/>
      <c r="B558" s="31"/>
      <c r="C558" s="31"/>
      <c r="D558" s="31"/>
      <c r="E558" s="31"/>
    </row>
    <row r="559" ht="15.75" customHeight="1">
      <c r="A559" s="30"/>
      <c r="B559" s="31"/>
      <c r="C559" s="31"/>
      <c r="D559" s="31"/>
      <c r="E559" s="31"/>
    </row>
    <row r="560" ht="15.75" customHeight="1">
      <c r="A560" s="30"/>
      <c r="B560" s="31"/>
      <c r="C560" s="31"/>
      <c r="D560" s="31"/>
      <c r="E560" s="31"/>
    </row>
    <row r="561" ht="15.75" customHeight="1">
      <c r="A561" s="30"/>
      <c r="B561" s="31"/>
      <c r="C561" s="31"/>
      <c r="D561" s="31"/>
      <c r="E561" s="31"/>
    </row>
    <row r="562" ht="15.75" customHeight="1">
      <c r="A562" s="30"/>
      <c r="B562" s="31"/>
      <c r="C562" s="31"/>
      <c r="D562" s="31"/>
      <c r="E562" s="31"/>
    </row>
    <row r="563" ht="15.75" customHeight="1">
      <c r="A563" s="30"/>
      <c r="B563" s="31"/>
      <c r="C563" s="31"/>
      <c r="D563" s="31"/>
      <c r="E563" s="31"/>
    </row>
    <row r="564" ht="15.75" customHeight="1">
      <c r="A564" s="30"/>
      <c r="B564" s="31"/>
      <c r="C564" s="31"/>
      <c r="D564" s="31"/>
      <c r="E564" s="31"/>
    </row>
    <row r="565" ht="15.75" customHeight="1">
      <c r="A565" s="30"/>
      <c r="B565" s="31"/>
      <c r="C565" s="31"/>
      <c r="D565" s="31"/>
      <c r="E565" s="31"/>
    </row>
    <row r="566" ht="15.75" customHeight="1">
      <c r="A566" s="30"/>
      <c r="B566" s="31"/>
      <c r="C566" s="31"/>
      <c r="D566" s="31"/>
      <c r="E566" s="31"/>
    </row>
    <row r="567" ht="15.75" customHeight="1">
      <c r="A567" s="30"/>
      <c r="B567" s="31"/>
      <c r="C567" s="31"/>
      <c r="D567" s="31"/>
      <c r="E567" s="31"/>
    </row>
    <row r="568" ht="15.75" customHeight="1">
      <c r="A568" s="30"/>
      <c r="B568" s="31"/>
      <c r="C568" s="31"/>
      <c r="D568" s="31"/>
      <c r="E568" s="31"/>
    </row>
    <row r="569" ht="15.75" customHeight="1">
      <c r="A569" s="30"/>
      <c r="B569" s="31"/>
      <c r="C569" s="31"/>
      <c r="D569" s="31"/>
      <c r="E569" s="31"/>
    </row>
    <row r="570" ht="15.75" customHeight="1">
      <c r="A570" s="30"/>
      <c r="B570" s="31"/>
      <c r="C570" s="31"/>
      <c r="D570" s="31"/>
      <c r="E570" s="31"/>
    </row>
    <row r="571" ht="15.75" customHeight="1">
      <c r="A571" s="30"/>
      <c r="B571" s="31"/>
      <c r="C571" s="31"/>
      <c r="D571" s="31"/>
      <c r="E571" s="31"/>
    </row>
    <row r="572" ht="15.75" customHeight="1">
      <c r="A572" s="30"/>
      <c r="B572" s="31"/>
      <c r="C572" s="31"/>
      <c r="D572" s="31"/>
      <c r="E572" s="31"/>
    </row>
    <row r="573" ht="15.75" customHeight="1">
      <c r="A573" s="30"/>
      <c r="B573" s="31"/>
      <c r="C573" s="31"/>
      <c r="D573" s="31"/>
      <c r="E573" s="31"/>
    </row>
    <row r="574" ht="15.75" customHeight="1">
      <c r="A574" s="30"/>
      <c r="B574" s="31"/>
      <c r="C574" s="31"/>
      <c r="D574" s="31"/>
      <c r="E574" s="31"/>
    </row>
    <row r="575" ht="15.75" customHeight="1">
      <c r="A575" s="30"/>
      <c r="B575" s="31"/>
      <c r="C575" s="31"/>
      <c r="D575" s="31"/>
      <c r="E575" s="31"/>
    </row>
    <row r="576" ht="15.75" customHeight="1">
      <c r="A576" s="30"/>
      <c r="B576" s="31"/>
      <c r="C576" s="31"/>
      <c r="D576" s="31"/>
      <c r="E576" s="31"/>
    </row>
    <row r="577" ht="15.75" customHeight="1">
      <c r="A577" s="30"/>
      <c r="B577" s="31"/>
      <c r="C577" s="31"/>
      <c r="D577" s="31"/>
      <c r="E577" s="31"/>
    </row>
    <row r="578" ht="15.75" customHeight="1">
      <c r="A578" s="30"/>
      <c r="B578" s="31"/>
      <c r="C578" s="31"/>
      <c r="D578" s="31"/>
      <c r="E578" s="31"/>
    </row>
    <row r="579" ht="15.75" customHeight="1">
      <c r="A579" s="30"/>
      <c r="B579" s="31"/>
      <c r="C579" s="31"/>
      <c r="D579" s="31"/>
      <c r="E579" s="31"/>
    </row>
    <row r="580" ht="15.75" customHeight="1">
      <c r="A580" s="30"/>
      <c r="B580" s="31"/>
      <c r="C580" s="31"/>
      <c r="D580" s="31"/>
      <c r="E580" s="31"/>
    </row>
    <row r="581" ht="15.75" customHeight="1">
      <c r="A581" s="30"/>
      <c r="B581" s="31"/>
      <c r="C581" s="31"/>
      <c r="D581" s="31"/>
      <c r="E581" s="31"/>
    </row>
    <row r="582" ht="15.75" customHeight="1">
      <c r="A582" s="30"/>
      <c r="B582" s="31"/>
      <c r="C582" s="31"/>
      <c r="D582" s="31"/>
      <c r="E582" s="31"/>
    </row>
    <row r="583" ht="15.75" customHeight="1">
      <c r="A583" s="30"/>
      <c r="B583" s="31"/>
      <c r="C583" s="31"/>
      <c r="D583" s="31"/>
      <c r="E583" s="31"/>
    </row>
    <row r="584" ht="15.75" customHeight="1">
      <c r="A584" s="30"/>
      <c r="B584" s="31"/>
      <c r="C584" s="31"/>
      <c r="D584" s="31"/>
      <c r="E584" s="31"/>
    </row>
    <row r="585" ht="15.75" customHeight="1">
      <c r="A585" s="30"/>
      <c r="B585" s="31"/>
      <c r="C585" s="31"/>
      <c r="D585" s="31"/>
      <c r="E585" s="31"/>
    </row>
    <row r="586" ht="15.75" customHeight="1">
      <c r="A586" s="30"/>
      <c r="B586" s="31"/>
      <c r="C586" s="31"/>
      <c r="D586" s="31"/>
      <c r="E586" s="31"/>
    </row>
    <row r="587" ht="15.75" customHeight="1">
      <c r="A587" s="30"/>
      <c r="B587" s="31"/>
      <c r="C587" s="31"/>
      <c r="D587" s="31"/>
      <c r="E587" s="31"/>
    </row>
    <row r="588" ht="15.75" customHeight="1">
      <c r="A588" s="30"/>
      <c r="B588" s="31"/>
      <c r="C588" s="31"/>
      <c r="D588" s="31"/>
      <c r="E588" s="31"/>
    </row>
    <row r="589" ht="15.75" customHeight="1">
      <c r="A589" s="30"/>
      <c r="B589" s="31"/>
      <c r="C589" s="31"/>
      <c r="D589" s="31"/>
      <c r="E589" s="31"/>
    </row>
    <row r="590" ht="15.75" customHeight="1">
      <c r="A590" s="30"/>
      <c r="B590" s="31"/>
      <c r="C590" s="31"/>
      <c r="D590" s="31"/>
      <c r="E590" s="31"/>
    </row>
    <row r="591" ht="15.75" customHeight="1">
      <c r="A591" s="30"/>
      <c r="B591" s="31"/>
      <c r="C591" s="31"/>
      <c r="D591" s="31"/>
      <c r="E591" s="31"/>
    </row>
    <row r="592" ht="15.75" customHeight="1">
      <c r="A592" s="30"/>
      <c r="B592" s="31"/>
      <c r="C592" s="31"/>
      <c r="D592" s="31"/>
      <c r="E592" s="31"/>
    </row>
    <row r="593" ht="15.75" customHeight="1">
      <c r="A593" s="30"/>
      <c r="B593" s="31"/>
      <c r="C593" s="31"/>
      <c r="D593" s="31"/>
      <c r="E593" s="31"/>
    </row>
    <row r="594" ht="15.75" customHeight="1">
      <c r="A594" s="30"/>
      <c r="B594" s="31"/>
      <c r="C594" s="31"/>
      <c r="D594" s="31"/>
      <c r="E594" s="31"/>
    </row>
    <row r="595" ht="15.75" customHeight="1">
      <c r="A595" s="30"/>
      <c r="B595" s="31"/>
      <c r="C595" s="31"/>
      <c r="D595" s="31"/>
      <c r="E595" s="31"/>
    </row>
    <row r="596" ht="15.75" customHeight="1">
      <c r="A596" s="30"/>
      <c r="B596" s="31"/>
      <c r="C596" s="31"/>
      <c r="D596" s="31"/>
      <c r="E596" s="31"/>
    </row>
    <row r="597" ht="15.75" customHeight="1">
      <c r="A597" s="30"/>
      <c r="B597" s="31"/>
      <c r="C597" s="31"/>
      <c r="D597" s="31"/>
      <c r="E597" s="31"/>
    </row>
    <row r="598" ht="15.75" customHeight="1">
      <c r="A598" s="30"/>
      <c r="B598" s="31"/>
      <c r="C598" s="31"/>
      <c r="D598" s="31"/>
      <c r="E598" s="31"/>
    </row>
    <row r="599" ht="15.75" customHeight="1">
      <c r="A599" s="30"/>
      <c r="B599" s="31"/>
      <c r="C599" s="31"/>
      <c r="D599" s="31"/>
      <c r="E599" s="31"/>
    </row>
    <row r="600" ht="15.75" customHeight="1">
      <c r="A600" s="30"/>
      <c r="B600" s="31"/>
      <c r="C600" s="31"/>
      <c r="D600" s="31"/>
      <c r="E600" s="31"/>
    </row>
    <row r="601" ht="15.75" customHeight="1">
      <c r="A601" s="30"/>
      <c r="B601" s="31"/>
      <c r="C601" s="31"/>
      <c r="D601" s="31"/>
      <c r="E601" s="31"/>
    </row>
    <row r="602" ht="15.75" customHeight="1">
      <c r="A602" s="30"/>
      <c r="B602" s="31"/>
      <c r="C602" s="31"/>
      <c r="D602" s="31"/>
      <c r="E602" s="31"/>
    </row>
    <row r="603" ht="15.75" customHeight="1">
      <c r="A603" s="30"/>
      <c r="B603" s="31"/>
      <c r="C603" s="31"/>
      <c r="D603" s="31"/>
      <c r="E603" s="31"/>
    </row>
    <row r="604" ht="15.75" customHeight="1">
      <c r="A604" s="30"/>
      <c r="B604" s="31"/>
      <c r="C604" s="31"/>
      <c r="D604" s="31"/>
      <c r="E604" s="31"/>
    </row>
    <row r="605" ht="15.75" customHeight="1">
      <c r="A605" s="30"/>
      <c r="B605" s="31"/>
      <c r="C605" s="31"/>
      <c r="D605" s="31"/>
      <c r="E605" s="31"/>
    </row>
    <row r="606" ht="15.75" customHeight="1">
      <c r="A606" s="30"/>
      <c r="B606" s="31"/>
      <c r="C606" s="31"/>
      <c r="D606" s="31"/>
      <c r="E606" s="31"/>
    </row>
    <row r="607" ht="15.75" customHeight="1">
      <c r="A607" s="30"/>
      <c r="B607" s="31"/>
      <c r="C607" s="31"/>
      <c r="D607" s="31"/>
      <c r="E607" s="31"/>
    </row>
    <row r="608" ht="15.75" customHeight="1">
      <c r="A608" s="30"/>
      <c r="B608" s="31"/>
      <c r="C608" s="31"/>
      <c r="D608" s="31"/>
      <c r="E608" s="31"/>
    </row>
    <row r="609" ht="15.75" customHeight="1">
      <c r="A609" s="30"/>
      <c r="B609" s="31"/>
      <c r="C609" s="31"/>
      <c r="D609" s="31"/>
      <c r="E609" s="31"/>
    </row>
    <row r="610" ht="15.75" customHeight="1">
      <c r="A610" s="30"/>
      <c r="B610" s="31"/>
      <c r="C610" s="31"/>
      <c r="D610" s="31"/>
      <c r="E610" s="31"/>
    </row>
    <row r="611" ht="15.75" customHeight="1">
      <c r="A611" s="30"/>
      <c r="B611" s="31"/>
      <c r="C611" s="31"/>
      <c r="D611" s="31"/>
      <c r="E611" s="31"/>
    </row>
    <row r="612" ht="15.75" customHeight="1">
      <c r="A612" s="30"/>
      <c r="B612" s="31"/>
      <c r="C612" s="31"/>
      <c r="D612" s="31"/>
      <c r="E612" s="31"/>
    </row>
    <row r="613" ht="15.75" customHeight="1">
      <c r="A613" s="30"/>
      <c r="B613" s="31"/>
      <c r="C613" s="31"/>
      <c r="D613" s="31"/>
      <c r="E613" s="31"/>
    </row>
    <row r="614" ht="15.75" customHeight="1">
      <c r="A614" s="30"/>
      <c r="B614" s="31"/>
      <c r="C614" s="31"/>
      <c r="D614" s="31"/>
      <c r="E614" s="31"/>
    </row>
    <row r="615" ht="15.75" customHeight="1">
      <c r="A615" s="30"/>
      <c r="B615" s="31"/>
      <c r="C615" s="31"/>
      <c r="D615" s="31"/>
      <c r="E615" s="31"/>
    </row>
    <row r="616" ht="15.75" customHeight="1">
      <c r="A616" s="30"/>
      <c r="B616" s="31"/>
      <c r="C616" s="31"/>
      <c r="D616" s="31"/>
      <c r="E616" s="31"/>
    </row>
    <row r="617" ht="15.75" customHeight="1">
      <c r="A617" s="30"/>
      <c r="B617" s="31"/>
      <c r="C617" s="31"/>
      <c r="D617" s="31"/>
      <c r="E617" s="31"/>
    </row>
    <row r="618" ht="15.75" customHeight="1">
      <c r="A618" s="30"/>
      <c r="B618" s="31"/>
      <c r="C618" s="31"/>
      <c r="D618" s="31"/>
      <c r="E618" s="31"/>
    </row>
    <row r="619" ht="15.75" customHeight="1">
      <c r="A619" s="30"/>
      <c r="B619" s="31"/>
      <c r="C619" s="31"/>
      <c r="D619" s="31"/>
      <c r="E619" s="31"/>
    </row>
    <row r="620" ht="15.75" customHeight="1">
      <c r="A620" s="30"/>
      <c r="B620" s="31"/>
      <c r="C620" s="31"/>
      <c r="D620" s="31"/>
      <c r="E620" s="31"/>
    </row>
    <row r="621" ht="15.75" customHeight="1">
      <c r="A621" s="30"/>
      <c r="B621" s="31"/>
      <c r="C621" s="31"/>
      <c r="D621" s="31"/>
      <c r="E621" s="31"/>
    </row>
    <row r="622" ht="15.75" customHeight="1">
      <c r="A622" s="30"/>
      <c r="B622" s="31"/>
      <c r="C622" s="31"/>
      <c r="D622" s="31"/>
      <c r="E622" s="31"/>
    </row>
    <row r="623" ht="15.75" customHeight="1">
      <c r="A623" s="30"/>
      <c r="B623" s="31"/>
      <c r="C623" s="31"/>
      <c r="D623" s="31"/>
      <c r="E623" s="31"/>
    </row>
    <row r="624" ht="15.75" customHeight="1">
      <c r="A624" s="30"/>
      <c r="B624" s="31"/>
      <c r="C624" s="31"/>
      <c r="D624" s="31"/>
      <c r="E624" s="31"/>
    </row>
    <row r="625" ht="15.75" customHeight="1">
      <c r="A625" s="30"/>
      <c r="B625" s="31"/>
      <c r="C625" s="31"/>
      <c r="D625" s="31"/>
      <c r="E625" s="31"/>
    </row>
    <row r="626" ht="15.75" customHeight="1">
      <c r="A626" s="30"/>
      <c r="B626" s="31"/>
      <c r="C626" s="31"/>
      <c r="D626" s="31"/>
      <c r="E626" s="31"/>
    </row>
    <row r="627" ht="15.75" customHeight="1">
      <c r="A627" s="30"/>
      <c r="B627" s="31"/>
      <c r="C627" s="31"/>
      <c r="D627" s="31"/>
      <c r="E627" s="31"/>
    </row>
    <row r="628" ht="15.75" customHeight="1">
      <c r="A628" s="30"/>
      <c r="B628" s="31"/>
      <c r="C628" s="31"/>
      <c r="D628" s="31"/>
      <c r="E628" s="31"/>
    </row>
    <row r="629" ht="15.75" customHeight="1">
      <c r="A629" s="30"/>
      <c r="B629" s="31"/>
      <c r="C629" s="31"/>
      <c r="D629" s="31"/>
      <c r="E629" s="31"/>
    </row>
    <row r="630" ht="15.75" customHeight="1">
      <c r="A630" s="30"/>
      <c r="B630" s="31"/>
      <c r="C630" s="31"/>
      <c r="D630" s="31"/>
      <c r="E630" s="31"/>
    </row>
    <row r="631" ht="15.75" customHeight="1">
      <c r="A631" s="30"/>
      <c r="B631" s="31"/>
      <c r="C631" s="31"/>
      <c r="D631" s="31"/>
      <c r="E631" s="31"/>
    </row>
    <row r="632" ht="15.75" customHeight="1">
      <c r="A632" s="30"/>
      <c r="B632" s="31"/>
      <c r="C632" s="31"/>
      <c r="D632" s="31"/>
      <c r="E632" s="31"/>
    </row>
    <row r="633" ht="15.75" customHeight="1">
      <c r="A633" s="30"/>
      <c r="B633" s="31"/>
      <c r="C633" s="31"/>
      <c r="D633" s="31"/>
      <c r="E633" s="31"/>
    </row>
    <row r="634" ht="15.75" customHeight="1">
      <c r="A634" s="30"/>
      <c r="B634" s="31"/>
      <c r="C634" s="31"/>
      <c r="D634" s="31"/>
      <c r="E634" s="31"/>
    </row>
    <row r="635" ht="15.75" customHeight="1">
      <c r="A635" s="30"/>
      <c r="B635" s="31"/>
      <c r="C635" s="31"/>
      <c r="D635" s="31"/>
      <c r="E635" s="31"/>
    </row>
    <row r="636" ht="15.75" customHeight="1">
      <c r="A636" s="30"/>
      <c r="B636" s="31"/>
      <c r="C636" s="31"/>
      <c r="D636" s="31"/>
      <c r="E636" s="31"/>
    </row>
    <row r="637" ht="15.75" customHeight="1">
      <c r="A637" s="30"/>
      <c r="B637" s="31"/>
      <c r="C637" s="31"/>
      <c r="D637" s="31"/>
      <c r="E637" s="31"/>
    </row>
    <row r="638" ht="15.75" customHeight="1">
      <c r="A638" s="30"/>
      <c r="B638" s="31"/>
      <c r="C638" s="31"/>
      <c r="D638" s="31"/>
      <c r="E638" s="31"/>
    </row>
    <row r="639" ht="15.75" customHeight="1">
      <c r="A639" s="30"/>
      <c r="B639" s="31"/>
      <c r="C639" s="31"/>
      <c r="D639" s="31"/>
      <c r="E639" s="31"/>
    </row>
    <row r="640" ht="15.75" customHeight="1">
      <c r="A640" s="30"/>
      <c r="B640" s="31"/>
      <c r="C640" s="31"/>
      <c r="D640" s="31"/>
      <c r="E640" s="31"/>
    </row>
    <row r="641" ht="15.75" customHeight="1">
      <c r="A641" s="30"/>
      <c r="B641" s="31"/>
      <c r="C641" s="31"/>
      <c r="D641" s="31"/>
      <c r="E641" s="31"/>
    </row>
    <row r="642" ht="15.75" customHeight="1">
      <c r="A642" s="30"/>
      <c r="B642" s="31"/>
      <c r="C642" s="31"/>
      <c r="D642" s="31"/>
      <c r="E642" s="31"/>
    </row>
    <row r="643" ht="15.75" customHeight="1">
      <c r="A643" s="30"/>
      <c r="B643" s="31"/>
      <c r="C643" s="31"/>
      <c r="D643" s="31"/>
      <c r="E643" s="31"/>
    </row>
    <row r="644" ht="15.75" customHeight="1">
      <c r="A644" s="30"/>
      <c r="B644" s="31"/>
      <c r="C644" s="31"/>
      <c r="D644" s="31"/>
      <c r="E644" s="31"/>
    </row>
    <row r="645" ht="15.75" customHeight="1">
      <c r="A645" s="30"/>
      <c r="B645" s="31"/>
      <c r="C645" s="31"/>
      <c r="D645" s="31"/>
      <c r="E645" s="31"/>
    </row>
    <row r="646" ht="15.75" customHeight="1">
      <c r="A646" s="30"/>
      <c r="B646" s="31"/>
      <c r="C646" s="31"/>
      <c r="D646" s="31"/>
      <c r="E646" s="31"/>
    </row>
    <row r="647" ht="15.75" customHeight="1">
      <c r="A647" s="30"/>
      <c r="B647" s="31"/>
      <c r="C647" s="31"/>
      <c r="D647" s="31"/>
      <c r="E647" s="31"/>
    </row>
    <row r="648" ht="15.75" customHeight="1">
      <c r="A648" s="30"/>
      <c r="B648" s="31"/>
      <c r="C648" s="31"/>
      <c r="D648" s="31"/>
      <c r="E648" s="31"/>
    </row>
    <row r="649" ht="15.75" customHeight="1">
      <c r="A649" s="30"/>
      <c r="B649" s="31"/>
      <c r="C649" s="31"/>
      <c r="D649" s="31"/>
      <c r="E649" s="31"/>
    </row>
    <row r="650" ht="15.75" customHeight="1">
      <c r="A650" s="30"/>
      <c r="B650" s="31"/>
      <c r="C650" s="31"/>
      <c r="D650" s="31"/>
      <c r="E650" s="31"/>
    </row>
    <row r="651" ht="15.75" customHeight="1">
      <c r="A651" s="30"/>
      <c r="B651" s="31"/>
      <c r="C651" s="31"/>
      <c r="D651" s="31"/>
      <c r="E651" s="31"/>
    </row>
    <row r="652" ht="15.75" customHeight="1">
      <c r="A652" s="30"/>
      <c r="B652" s="31"/>
      <c r="C652" s="31"/>
      <c r="D652" s="31"/>
      <c r="E652" s="31"/>
    </row>
    <row r="653" ht="15.75" customHeight="1">
      <c r="A653" s="30"/>
      <c r="B653" s="31"/>
      <c r="C653" s="31"/>
      <c r="D653" s="31"/>
      <c r="E653" s="31"/>
    </row>
    <row r="654" ht="15.75" customHeight="1">
      <c r="A654" s="30"/>
      <c r="B654" s="31"/>
      <c r="C654" s="31"/>
      <c r="D654" s="31"/>
      <c r="E654" s="31"/>
    </row>
    <row r="655" ht="15.75" customHeight="1">
      <c r="A655" s="30"/>
      <c r="B655" s="31"/>
      <c r="C655" s="31"/>
      <c r="D655" s="31"/>
      <c r="E655" s="31"/>
    </row>
    <row r="656" ht="15.75" customHeight="1">
      <c r="A656" s="30"/>
      <c r="B656" s="31"/>
      <c r="C656" s="31"/>
      <c r="D656" s="31"/>
      <c r="E656" s="31"/>
    </row>
    <row r="657" ht="15.75" customHeight="1">
      <c r="A657" s="30"/>
      <c r="B657" s="31"/>
      <c r="C657" s="31"/>
      <c r="D657" s="31"/>
      <c r="E657" s="31"/>
    </row>
    <row r="658" ht="15.75" customHeight="1">
      <c r="A658" s="30"/>
      <c r="B658" s="31"/>
      <c r="C658" s="31"/>
      <c r="D658" s="31"/>
      <c r="E658" s="31"/>
    </row>
    <row r="659" ht="15.75" customHeight="1">
      <c r="A659" s="30"/>
      <c r="B659" s="31"/>
      <c r="C659" s="31"/>
      <c r="D659" s="31"/>
      <c r="E659" s="31"/>
    </row>
    <row r="660" ht="15.75" customHeight="1">
      <c r="A660" s="30"/>
      <c r="B660" s="31"/>
      <c r="C660" s="31"/>
      <c r="D660" s="31"/>
      <c r="E660" s="31"/>
    </row>
    <row r="661" ht="15.75" customHeight="1">
      <c r="A661" s="30"/>
      <c r="B661" s="31"/>
      <c r="C661" s="31"/>
      <c r="D661" s="31"/>
      <c r="E661" s="31"/>
    </row>
    <row r="662" ht="15.75" customHeight="1">
      <c r="A662" s="30"/>
      <c r="B662" s="31"/>
      <c r="C662" s="31"/>
      <c r="D662" s="31"/>
      <c r="E662" s="31"/>
    </row>
    <row r="663" ht="15.75" customHeight="1">
      <c r="A663" s="30"/>
      <c r="B663" s="31"/>
      <c r="C663" s="31"/>
      <c r="D663" s="31"/>
      <c r="E663" s="31"/>
    </row>
    <row r="664" ht="15.75" customHeight="1">
      <c r="A664" s="30"/>
      <c r="B664" s="31"/>
      <c r="C664" s="31"/>
      <c r="D664" s="31"/>
      <c r="E664" s="31"/>
    </row>
    <row r="665" ht="15.75" customHeight="1">
      <c r="A665" s="30"/>
      <c r="B665" s="31"/>
      <c r="C665" s="31"/>
      <c r="D665" s="31"/>
      <c r="E665" s="31"/>
    </row>
    <row r="666" ht="15.75" customHeight="1">
      <c r="A666" s="30"/>
      <c r="B666" s="31"/>
      <c r="C666" s="31"/>
      <c r="D666" s="31"/>
      <c r="E666" s="31"/>
    </row>
    <row r="667" ht="15.75" customHeight="1">
      <c r="A667" s="30"/>
      <c r="B667" s="31"/>
      <c r="C667" s="31"/>
      <c r="D667" s="31"/>
      <c r="E667" s="31"/>
    </row>
    <row r="668" ht="15.75" customHeight="1">
      <c r="A668" s="30"/>
      <c r="B668" s="31"/>
      <c r="C668" s="31"/>
      <c r="D668" s="31"/>
      <c r="E668" s="31"/>
    </row>
    <row r="669" ht="15.75" customHeight="1">
      <c r="A669" s="30"/>
      <c r="B669" s="31"/>
      <c r="C669" s="31"/>
      <c r="D669" s="31"/>
      <c r="E669" s="31"/>
    </row>
    <row r="670" ht="15.75" customHeight="1">
      <c r="A670" s="30"/>
      <c r="B670" s="31"/>
      <c r="C670" s="31"/>
      <c r="D670" s="31"/>
      <c r="E670" s="31"/>
    </row>
    <row r="671" ht="15.75" customHeight="1">
      <c r="A671" s="30"/>
      <c r="B671" s="31"/>
      <c r="C671" s="31"/>
      <c r="D671" s="31"/>
      <c r="E671" s="31"/>
    </row>
    <row r="672" ht="15.75" customHeight="1">
      <c r="A672" s="30"/>
      <c r="B672" s="31"/>
      <c r="C672" s="31"/>
      <c r="D672" s="31"/>
      <c r="E672" s="31"/>
    </row>
    <row r="673" ht="15.75" customHeight="1">
      <c r="A673" s="30"/>
      <c r="B673" s="31"/>
      <c r="C673" s="31"/>
      <c r="D673" s="31"/>
      <c r="E673" s="31"/>
    </row>
    <row r="674" ht="15.75" customHeight="1">
      <c r="A674" s="30"/>
      <c r="B674" s="31"/>
      <c r="C674" s="31"/>
      <c r="D674" s="31"/>
      <c r="E674" s="31"/>
    </row>
    <row r="675" ht="15.75" customHeight="1">
      <c r="A675" s="30"/>
      <c r="B675" s="31"/>
      <c r="C675" s="31"/>
      <c r="D675" s="31"/>
      <c r="E675" s="31"/>
    </row>
    <row r="676" ht="15.75" customHeight="1">
      <c r="A676" s="30"/>
      <c r="B676" s="31"/>
      <c r="C676" s="31"/>
      <c r="D676" s="31"/>
      <c r="E676" s="31"/>
    </row>
    <row r="677" ht="15.75" customHeight="1">
      <c r="A677" s="30"/>
      <c r="B677" s="31"/>
      <c r="C677" s="31"/>
      <c r="D677" s="31"/>
      <c r="E677" s="31"/>
    </row>
    <row r="678" ht="15.75" customHeight="1">
      <c r="A678" s="30"/>
      <c r="B678" s="31"/>
      <c r="C678" s="31"/>
      <c r="D678" s="31"/>
      <c r="E678" s="31"/>
    </row>
    <row r="679" ht="15.75" customHeight="1">
      <c r="A679" s="30"/>
      <c r="B679" s="31"/>
      <c r="C679" s="31"/>
      <c r="D679" s="31"/>
      <c r="E679" s="31"/>
    </row>
    <row r="680" ht="15.75" customHeight="1">
      <c r="A680" s="30"/>
      <c r="B680" s="31"/>
      <c r="C680" s="31"/>
      <c r="D680" s="31"/>
      <c r="E680" s="31"/>
    </row>
    <row r="681" ht="15.75" customHeight="1">
      <c r="A681" s="30"/>
      <c r="B681" s="31"/>
      <c r="C681" s="31"/>
      <c r="D681" s="31"/>
      <c r="E681" s="31"/>
    </row>
    <row r="682" ht="15.75" customHeight="1">
      <c r="A682" s="30"/>
      <c r="B682" s="31"/>
      <c r="C682" s="31"/>
      <c r="D682" s="31"/>
      <c r="E682" s="31"/>
    </row>
    <row r="683" ht="15.75" customHeight="1">
      <c r="A683" s="30"/>
      <c r="B683" s="31"/>
      <c r="C683" s="31"/>
      <c r="D683" s="31"/>
      <c r="E683" s="31"/>
    </row>
    <row r="684" ht="15.75" customHeight="1">
      <c r="A684" s="30"/>
      <c r="B684" s="31"/>
      <c r="C684" s="31"/>
      <c r="D684" s="31"/>
      <c r="E684" s="31"/>
    </row>
    <row r="685" ht="15.75" customHeight="1">
      <c r="A685" s="30"/>
      <c r="B685" s="31"/>
      <c r="C685" s="31"/>
      <c r="D685" s="31"/>
      <c r="E685" s="31"/>
    </row>
    <row r="686" ht="15.75" customHeight="1">
      <c r="A686" s="30"/>
      <c r="B686" s="31"/>
      <c r="C686" s="31"/>
      <c r="D686" s="31"/>
      <c r="E686" s="31"/>
    </row>
    <row r="687" ht="15.75" customHeight="1">
      <c r="A687" s="30"/>
      <c r="B687" s="31"/>
      <c r="C687" s="31"/>
      <c r="D687" s="31"/>
      <c r="E687" s="31"/>
    </row>
    <row r="688" ht="15.75" customHeight="1">
      <c r="A688" s="30"/>
      <c r="B688" s="31"/>
      <c r="C688" s="31"/>
      <c r="D688" s="31"/>
      <c r="E688" s="31"/>
    </row>
    <row r="689" ht="15.75" customHeight="1">
      <c r="A689" s="30"/>
      <c r="B689" s="31"/>
      <c r="C689" s="31"/>
      <c r="D689" s="31"/>
      <c r="E689" s="31"/>
    </row>
    <row r="690" ht="15.75" customHeight="1">
      <c r="A690" s="30"/>
      <c r="B690" s="31"/>
      <c r="C690" s="31"/>
      <c r="D690" s="31"/>
      <c r="E690" s="31"/>
    </row>
    <row r="691" ht="15.75" customHeight="1">
      <c r="A691" s="30"/>
      <c r="B691" s="31"/>
      <c r="C691" s="31"/>
      <c r="D691" s="31"/>
      <c r="E691" s="31"/>
    </row>
    <row r="692" ht="15.75" customHeight="1">
      <c r="A692" s="30"/>
      <c r="B692" s="31"/>
      <c r="C692" s="31"/>
      <c r="D692" s="31"/>
      <c r="E692" s="31"/>
    </row>
    <row r="693" ht="15.75" customHeight="1">
      <c r="A693" s="30"/>
      <c r="B693" s="31"/>
      <c r="C693" s="31"/>
      <c r="D693" s="31"/>
      <c r="E693" s="31"/>
    </row>
    <row r="694" ht="15.75" customHeight="1">
      <c r="A694" s="30"/>
      <c r="B694" s="31"/>
      <c r="C694" s="31"/>
      <c r="D694" s="31"/>
      <c r="E694" s="31"/>
    </row>
    <row r="695" ht="15.75" customHeight="1">
      <c r="A695" s="30"/>
      <c r="B695" s="31"/>
      <c r="C695" s="31"/>
      <c r="D695" s="31"/>
      <c r="E695" s="31"/>
    </row>
    <row r="696" ht="15.75" customHeight="1">
      <c r="A696" s="30"/>
      <c r="B696" s="31"/>
      <c r="C696" s="31"/>
      <c r="D696" s="31"/>
      <c r="E696" s="31"/>
    </row>
    <row r="697" ht="15.75" customHeight="1">
      <c r="A697" s="30"/>
      <c r="B697" s="31"/>
      <c r="C697" s="31"/>
      <c r="D697" s="31"/>
      <c r="E697" s="31"/>
    </row>
    <row r="698" ht="15.75" customHeight="1">
      <c r="A698" s="30"/>
      <c r="B698" s="31"/>
      <c r="C698" s="31"/>
      <c r="D698" s="31"/>
      <c r="E698" s="31"/>
    </row>
    <row r="699" ht="15.75" customHeight="1">
      <c r="A699" s="30"/>
      <c r="B699" s="31"/>
      <c r="C699" s="31"/>
      <c r="D699" s="31"/>
      <c r="E699" s="31"/>
    </row>
    <row r="700" ht="15.75" customHeight="1">
      <c r="A700" s="30"/>
      <c r="B700" s="31"/>
      <c r="C700" s="31"/>
      <c r="D700" s="31"/>
      <c r="E700" s="31"/>
    </row>
    <row r="701" ht="15.75" customHeight="1">
      <c r="A701" s="30"/>
      <c r="B701" s="31"/>
      <c r="C701" s="31"/>
      <c r="D701" s="31"/>
      <c r="E701" s="31"/>
    </row>
    <row r="702" ht="15.75" customHeight="1">
      <c r="A702" s="30"/>
      <c r="B702" s="31"/>
      <c r="C702" s="31"/>
      <c r="D702" s="31"/>
      <c r="E702" s="31"/>
    </row>
    <row r="703" ht="15.75" customHeight="1">
      <c r="A703" s="30"/>
      <c r="B703" s="31"/>
      <c r="C703" s="31"/>
      <c r="D703" s="31"/>
      <c r="E703" s="31"/>
    </row>
    <row r="704" ht="15.75" customHeight="1">
      <c r="A704" s="30"/>
      <c r="B704" s="31"/>
      <c r="C704" s="31"/>
      <c r="D704" s="31"/>
      <c r="E704" s="31"/>
    </row>
    <row r="705" ht="15.75" customHeight="1">
      <c r="A705" s="30"/>
      <c r="B705" s="31"/>
      <c r="C705" s="31"/>
      <c r="D705" s="31"/>
      <c r="E705" s="31"/>
    </row>
    <row r="706" ht="15.75" customHeight="1">
      <c r="A706" s="30"/>
      <c r="B706" s="31"/>
      <c r="C706" s="31"/>
      <c r="D706" s="31"/>
      <c r="E706" s="31"/>
    </row>
    <row r="707" ht="15.75" customHeight="1">
      <c r="A707" s="30"/>
      <c r="B707" s="31"/>
      <c r="C707" s="31"/>
      <c r="D707" s="31"/>
      <c r="E707" s="31"/>
    </row>
    <row r="708" ht="15.75" customHeight="1">
      <c r="A708" s="30"/>
      <c r="B708" s="31"/>
      <c r="C708" s="31"/>
      <c r="D708" s="31"/>
      <c r="E708" s="31"/>
    </row>
    <row r="709" ht="15.75" customHeight="1">
      <c r="A709" s="30"/>
      <c r="B709" s="31"/>
      <c r="C709" s="31"/>
      <c r="D709" s="31"/>
      <c r="E709" s="31"/>
    </row>
    <row r="710" ht="15.75" customHeight="1">
      <c r="A710" s="30"/>
      <c r="B710" s="31"/>
      <c r="C710" s="31"/>
      <c r="D710" s="31"/>
      <c r="E710" s="31"/>
    </row>
    <row r="711" ht="15.75" customHeight="1">
      <c r="A711" s="30"/>
      <c r="B711" s="31"/>
      <c r="C711" s="31"/>
      <c r="D711" s="31"/>
      <c r="E711" s="31"/>
    </row>
    <row r="712" ht="15.75" customHeight="1">
      <c r="A712" s="30"/>
      <c r="B712" s="31"/>
      <c r="C712" s="31"/>
      <c r="D712" s="31"/>
      <c r="E712" s="31"/>
    </row>
    <row r="713" ht="15.75" customHeight="1">
      <c r="A713" s="30"/>
      <c r="B713" s="31"/>
      <c r="C713" s="31"/>
      <c r="D713" s="31"/>
      <c r="E713" s="31"/>
    </row>
    <row r="714" ht="15.75" customHeight="1">
      <c r="A714" s="30"/>
      <c r="B714" s="31"/>
      <c r="C714" s="31"/>
      <c r="D714" s="31"/>
      <c r="E714" s="31"/>
    </row>
    <row r="715" ht="15.75" customHeight="1">
      <c r="A715" s="30"/>
      <c r="B715" s="31"/>
      <c r="C715" s="31"/>
      <c r="D715" s="31"/>
      <c r="E715" s="31"/>
    </row>
    <row r="716" ht="15.75" customHeight="1">
      <c r="A716" s="30"/>
      <c r="B716" s="31"/>
      <c r="C716" s="31"/>
      <c r="D716" s="31"/>
      <c r="E716" s="31"/>
    </row>
    <row r="717" ht="15.75" customHeight="1">
      <c r="A717" s="30"/>
      <c r="B717" s="31"/>
      <c r="C717" s="31"/>
      <c r="D717" s="31"/>
      <c r="E717" s="31"/>
    </row>
    <row r="718" ht="15.75" customHeight="1">
      <c r="A718" s="30"/>
      <c r="B718" s="31"/>
      <c r="C718" s="31"/>
      <c r="D718" s="31"/>
      <c r="E718" s="31"/>
    </row>
    <row r="719" ht="15.75" customHeight="1">
      <c r="A719" s="30"/>
      <c r="B719" s="31"/>
      <c r="C719" s="31"/>
      <c r="D719" s="31"/>
      <c r="E719" s="31"/>
    </row>
    <row r="720" ht="15.75" customHeight="1">
      <c r="A720" s="30"/>
      <c r="B720" s="31"/>
      <c r="C720" s="31"/>
      <c r="D720" s="31"/>
      <c r="E720" s="31"/>
    </row>
    <row r="721" ht="15.75" customHeight="1">
      <c r="A721" s="30"/>
      <c r="B721" s="31"/>
      <c r="C721" s="31"/>
      <c r="D721" s="31"/>
      <c r="E721" s="31"/>
    </row>
    <row r="722" ht="15.75" customHeight="1">
      <c r="A722" s="30"/>
      <c r="B722" s="31"/>
      <c r="C722" s="31"/>
      <c r="D722" s="31"/>
      <c r="E722" s="31"/>
    </row>
    <row r="723" ht="15.75" customHeight="1">
      <c r="A723" s="30"/>
      <c r="B723" s="31"/>
      <c r="C723" s="31"/>
      <c r="D723" s="31"/>
      <c r="E723" s="31"/>
    </row>
    <row r="724" ht="15.75" customHeight="1">
      <c r="A724" s="30"/>
      <c r="B724" s="31"/>
      <c r="C724" s="31"/>
      <c r="D724" s="31"/>
      <c r="E724" s="31"/>
    </row>
    <row r="725" ht="15.75" customHeight="1">
      <c r="A725" s="30"/>
      <c r="B725" s="31"/>
      <c r="C725" s="31"/>
      <c r="D725" s="31"/>
      <c r="E725" s="31"/>
    </row>
    <row r="726" ht="15.75" customHeight="1">
      <c r="A726" s="30"/>
      <c r="B726" s="31"/>
      <c r="C726" s="31"/>
      <c r="D726" s="31"/>
      <c r="E726" s="31"/>
    </row>
    <row r="727" ht="15.75" customHeight="1">
      <c r="A727" s="30"/>
      <c r="B727" s="31"/>
      <c r="C727" s="31"/>
      <c r="D727" s="31"/>
      <c r="E727" s="31"/>
    </row>
    <row r="728" ht="15.75" customHeight="1">
      <c r="A728" s="30"/>
      <c r="B728" s="31"/>
      <c r="C728" s="31"/>
      <c r="D728" s="31"/>
      <c r="E728" s="31"/>
    </row>
    <row r="729" ht="15.75" customHeight="1">
      <c r="A729" s="30"/>
      <c r="B729" s="31"/>
      <c r="C729" s="31"/>
      <c r="D729" s="31"/>
      <c r="E729" s="31"/>
    </row>
    <row r="730" ht="15.75" customHeight="1">
      <c r="A730" s="30"/>
      <c r="B730" s="31"/>
      <c r="C730" s="31"/>
      <c r="D730" s="31"/>
      <c r="E730" s="31"/>
    </row>
    <row r="731" ht="15.75" customHeight="1">
      <c r="A731" s="30"/>
      <c r="B731" s="31"/>
      <c r="C731" s="31"/>
      <c r="D731" s="31"/>
      <c r="E731" s="31"/>
    </row>
    <row r="732" ht="15.75" customHeight="1">
      <c r="A732" s="30"/>
      <c r="B732" s="31"/>
      <c r="C732" s="31"/>
      <c r="D732" s="31"/>
      <c r="E732" s="31"/>
    </row>
    <row r="733" ht="15.75" customHeight="1">
      <c r="A733" s="30"/>
      <c r="B733" s="31"/>
      <c r="C733" s="31"/>
      <c r="D733" s="31"/>
      <c r="E733" s="31"/>
    </row>
    <row r="734" ht="15.75" customHeight="1">
      <c r="A734" s="30"/>
      <c r="B734" s="31"/>
      <c r="C734" s="31"/>
      <c r="D734" s="31"/>
      <c r="E734" s="31"/>
    </row>
    <row r="735" ht="15.75" customHeight="1">
      <c r="A735" s="30"/>
      <c r="B735" s="31"/>
      <c r="C735" s="31"/>
      <c r="D735" s="31"/>
      <c r="E735" s="31"/>
    </row>
    <row r="736" ht="15.75" customHeight="1">
      <c r="A736" s="30"/>
      <c r="B736" s="31"/>
      <c r="C736" s="31"/>
      <c r="D736" s="31"/>
      <c r="E736" s="31"/>
    </row>
    <row r="737" ht="15.75" customHeight="1">
      <c r="A737" s="30"/>
      <c r="B737" s="31"/>
      <c r="C737" s="31"/>
      <c r="D737" s="31"/>
      <c r="E737" s="31"/>
    </row>
    <row r="738" ht="15.75" customHeight="1">
      <c r="A738" s="30"/>
      <c r="B738" s="31"/>
      <c r="C738" s="31"/>
      <c r="D738" s="31"/>
      <c r="E738" s="31"/>
    </row>
    <row r="739" ht="15.75" customHeight="1">
      <c r="A739" s="30"/>
      <c r="B739" s="31"/>
      <c r="C739" s="31"/>
      <c r="D739" s="31"/>
      <c r="E739" s="31"/>
    </row>
    <row r="740" ht="15.75" customHeight="1">
      <c r="A740" s="30"/>
      <c r="B740" s="31"/>
      <c r="C740" s="31"/>
      <c r="D740" s="31"/>
      <c r="E740" s="31"/>
    </row>
    <row r="741" ht="15.75" customHeight="1">
      <c r="A741" s="30"/>
      <c r="B741" s="31"/>
      <c r="C741" s="31"/>
      <c r="D741" s="31"/>
      <c r="E741" s="31"/>
    </row>
    <row r="742" ht="15.75" customHeight="1">
      <c r="A742" s="30"/>
      <c r="B742" s="31"/>
      <c r="C742" s="31"/>
      <c r="D742" s="31"/>
      <c r="E742" s="31"/>
    </row>
    <row r="743" ht="15.75" customHeight="1">
      <c r="A743" s="30"/>
      <c r="B743" s="31"/>
      <c r="C743" s="31"/>
      <c r="D743" s="31"/>
      <c r="E743" s="31"/>
    </row>
    <row r="744" ht="15.75" customHeight="1">
      <c r="A744" s="30"/>
      <c r="B744" s="31"/>
      <c r="C744" s="31"/>
      <c r="D744" s="31"/>
      <c r="E744" s="31"/>
    </row>
    <row r="745" ht="15.75" customHeight="1">
      <c r="A745" s="30"/>
      <c r="B745" s="31"/>
      <c r="C745" s="31"/>
      <c r="D745" s="31"/>
      <c r="E745" s="31"/>
    </row>
    <row r="746" ht="15.75" customHeight="1">
      <c r="A746" s="30"/>
      <c r="B746" s="31"/>
      <c r="C746" s="31"/>
      <c r="D746" s="31"/>
      <c r="E746" s="31"/>
    </row>
    <row r="747" ht="15.75" customHeight="1">
      <c r="A747" s="30"/>
      <c r="B747" s="31"/>
      <c r="C747" s="31"/>
      <c r="D747" s="31"/>
      <c r="E747" s="31"/>
    </row>
    <row r="748" ht="15.75" customHeight="1">
      <c r="A748" s="30"/>
      <c r="B748" s="31"/>
      <c r="C748" s="31"/>
      <c r="D748" s="31"/>
      <c r="E748" s="31"/>
    </row>
    <row r="749" ht="15.75" customHeight="1">
      <c r="A749" s="30"/>
      <c r="B749" s="31"/>
      <c r="C749" s="31"/>
      <c r="D749" s="31"/>
      <c r="E749" s="31"/>
    </row>
    <row r="750" ht="15.75" customHeight="1">
      <c r="A750" s="30"/>
      <c r="B750" s="31"/>
      <c r="C750" s="31"/>
      <c r="D750" s="31"/>
      <c r="E750" s="31"/>
    </row>
    <row r="751" ht="15.75" customHeight="1">
      <c r="A751" s="30"/>
      <c r="B751" s="31"/>
      <c r="C751" s="31"/>
      <c r="D751" s="31"/>
      <c r="E751" s="31"/>
    </row>
    <row r="752" ht="15.75" customHeight="1">
      <c r="A752" s="30"/>
      <c r="B752" s="31"/>
      <c r="C752" s="31"/>
      <c r="D752" s="31"/>
      <c r="E752" s="31"/>
    </row>
    <row r="753" ht="15.75" customHeight="1">
      <c r="A753" s="30"/>
      <c r="B753" s="31"/>
      <c r="C753" s="31"/>
      <c r="D753" s="31"/>
      <c r="E753" s="31"/>
    </row>
    <row r="754" ht="15.75" customHeight="1">
      <c r="A754" s="30"/>
      <c r="B754" s="31"/>
      <c r="C754" s="31"/>
      <c r="D754" s="31"/>
      <c r="E754" s="31"/>
    </row>
    <row r="755" ht="15.75" customHeight="1">
      <c r="A755" s="30"/>
      <c r="B755" s="31"/>
      <c r="C755" s="31"/>
      <c r="D755" s="31"/>
      <c r="E755" s="31"/>
    </row>
    <row r="756" ht="15.75" customHeight="1">
      <c r="A756" s="30"/>
      <c r="B756" s="31"/>
      <c r="C756" s="31"/>
      <c r="D756" s="31"/>
      <c r="E756" s="31"/>
    </row>
    <row r="757" ht="15.75" customHeight="1">
      <c r="A757" s="30"/>
      <c r="B757" s="31"/>
      <c r="C757" s="31"/>
      <c r="D757" s="31"/>
      <c r="E757" s="31"/>
    </row>
    <row r="758" ht="15.75" customHeight="1">
      <c r="A758" s="30"/>
      <c r="B758" s="31"/>
      <c r="C758" s="31"/>
      <c r="D758" s="31"/>
      <c r="E758" s="31"/>
    </row>
    <row r="759" ht="15.75" customHeight="1">
      <c r="A759" s="30"/>
      <c r="B759" s="31"/>
      <c r="C759" s="31"/>
      <c r="D759" s="31"/>
      <c r="E759" s="31"/>
    </row>
    <row r="760" ht="15.75" customHeight="1">
      <c r="A760" s="30"/>
      <c r="B760" s="31"/>
      <c r="C760" s="31"/>
      <c r="D760" s="31"/>
      <c r="E760" s="31"/>
    </row>
    <row r="761" ht="15.75" customHeight="1">
      <c r="A761" s="30"/>
      <c r="B761" s="31"/>
      <c r="C761" s="31"/>
      <c r="D761" s="31"/>
      <c r="E761" s="31"/>
    </row>
    <row r="762" ht="15.75" customHeight="1">
      <c r="A762" s="30"/>
      <c r="B762" s="31"/>
      <c r="C762" s="31"/>
      <c r="D762" s="31"/>
      <c r="E762" s="31"/>
    </row>
    <row r="763" ht="15.75" customHeight="1">
      <c r="A763" s="30"/>
      <c r="B763" s="31"/>
      <c r="C763" s="31"/>
      <c r="D763" s="31"/>
      <c r="E763" s="31"/>
    </row>
    <row r="764" ht="15.75" customHeight="1">
      <c r="A764" s="30"/>
      <c r="B764" s="31"/>
      <c r="C764" s="31"/>
      <c r="D764" s="31"/>
      <c r="E764" s="31"/>
    </row>
    <row r="765" ht="15.75" customHeight="1">
      <c r="A765" s="30"/>
      <c r="B765" s="31"/>
      <c r="C765" s="31"/>
      <c r="D765" s="31"/>
      <c r="E765" s="31"/>
    </row>
    <row r="766" ht="15.75" customHeight="1">
      <c r="A766" s="30"/>
      <c r="B766" s="31"/>
      <c r="C766" s="31"/>
      <c r="D766" s="31"/>
      <c r="E766" s="31"/>
    </row>
    <row r="767" ht="15.75" customHeight="1">
      <c r="A767" s="30"/>
      <c r="B767" s="31"/>
      <c r="C767" s="31"/>
      <c r="D767" s="31"/>
      <c r="E767" s="31"/>
    </row>
    <row r="768" ht="15.75" customHeight="1">
      <c r="A768" s="30"/>
      <c r="B768" s="31"/>
      <c r="C768" s="31"/>
      <c r="D768" s="31"/>
      <c r="E768" s="31"/>
    </row>
    <row r="769" ht="15.75" customHeight="1">
      <c r="A769" s="30"/>
      <c r="B769" s="31"/>
      <c r="C769" s="31"/>
      <c r="D769" s="31"/>
      <c r="E769" s="31"/>
    </row>
    <row r="770" ht="15.75" customHeight="1">
      <c r="A770" s="30"/>
      <c r="B770" s="31"/>
      <c r="C770" s="31"/>
      <c r="D770" s="31"/>
      <c r="E770" s="31"/>
    </row>
    <row r="771" ht="15.75" customHeight="1">
      <c r="A771" s="30"/>
      <c r="B771" s="31"/>
      <c r="C771" s="31"/>
      <c r="D771" s="31"/>
      <c r="E771" s="31"/>
    </row>
    <row r="772" ht="15.75" customHeight="1">
      <c r="A772" s="30"/>
      <c r="B772" s="31"/>
      <c r="C772" s="31"/>
      <c r="D772" s="31"/>
      <c r="E772" s="31"/>
    </row>
    <row r="773" ht="15.75" customHeight="1">
      <c r="A773" s="30"/>
      <c r="B773" s="31"/>
      <c r="C773" s="31"/>
      <c r="D773" s="31"/>
      <c r="E773" s="31"/>
    </row>
    <row r="774" ht="15.75" customHeight="1">
      <c r="A774" s="30"/>
      <c r="B774" s="31"/>
      <c r="C774" s="31"/>
      <c r="D774" s="31"/>
      <c r="E774" s="31"/>
    </row>
    <row r="775" ht="15.75" customHeight="1">
      <c r="A775" s="30"/>
      <c r="B775" s="31"/>
      <c r="C775" s="31"/>
      <c r="D775" s="31"/>
      <c r="E775" s="31"/>
    </row>
    <row r="776" ht="15.75" customHeight="1">
      <c r="A776" s="30"/>
      <c r="B776" s="31"/>
      <c r="C776" s="31"/>
      <c r="D776" s="31"/>
      <c r="E776" s="31"/>
    </row>
    <row r="777" ht="15.75" customHeight="1">
      <c r="A777" s="30"/>
      <c r="B777" s="31"/>
      <c r="C777" s="31"/>
      <c r="D777" s="31"/>
      <c r="E777" s="31"/>
    </row>
    <row r="778" ht="15.75" customHeight="1">
      <c r="A778" s="30"/>
      <c r="B778" s="31"/>
      <c r="C778" s="31"/>
      <c r="D778" s="31"/>
      <c r="E778" s="31"/>
    </row>
    <row r="779" ht="15.75" customHeight="1">
      <c r="A779" s="30"/>
      <c r="B779" s="31"/>
      <c r="C779" s="31"/>
      <c r="D779" s="31"/>
      <c r="E779" s="31"/>
    </row>
    <row r="780" ht="15.75" customHeight="1">
      <c r="A780" s="30"/>
      <c r="B780" s="31"/>
      <c r="C780" s="31"/>
      <c r="D780" s="31"/>
      <c r="E780" s="31"/>
    </row>
    <row r="781" ht="15.75" customHeight="1">
      <c r="A781" s="30"/>
      <c r="B781" s="31"/>
      <c r="C781" s="31"/>
      <c r="D781" s="31"/>
      <c r="E781" s="31"/>
    </row>
    <row r="782" ht="15.75" customHeight="1">
      <c r="A782" s="30"/>
      <c r="B782" s="31"/>
      <c r="C782" s="31"/>
      <c r="D782" s="31"/>
      <c r="E782" s="31"/>
    </row>
    <row r="783" ht="15.75" customHeight="1">
      <c r="A783" s="30"/>
      <c r="B783" s="31"/>
      <c r="C783" s="31"/>
      <c r="D783" s="31"/>
      <c r="E783" s="31"/>
    </row>
    <row r="784" ht="15.75" customHeight="1">
      <c r="A784" s="30"/>
      <c r="B784" s="31"/>
      <c r="C784" s="31"/>
      <c r="D784" s="31"/>
      <c r="E784" s="31"/>
    </row>
    <row r="785" ht="15.75" customHeight="1">
      <c r="A785" s="30"/>
      <c r="B785" s="31"/>
      <c r="C785" s="31"/>
      <c r="D785" s="31"/>
      <c r="E785" s="31"/>
    </row>
    <row r="786" ht="15.75" customHeight="1">
      <c r="A786" s="30"/>
      <c r="B786" s="31"/>
      <c r="C786" s="31"/>
      <c r="D786" s="31"/>
      <c r="E786" s="31"/>
    </row>
    <row r="787" ht="15.75" customHeight="1">
      <c r="A787" s="30"/>
      <c r="B787" s="31"/>
      <c r="C787" s="31"/>
      <c r="D787" s="31"/>
      <c r="E787" s="31"/>
    </row>
    <row r="788" ht="15.75" customHeight="1">
      <c r="A788" s="30"/>
      <c r="B788" s="31"/>
      <c r="C788" s="31"/>
      <c r="D788" s="31"/>
      <c r="E788" s="31"/>
    </row>
    <row r="789" ht="15.75" customHeight="1">
      <c r="A789" s="30"/>
      <c r="B789" s="31"/>
      <c r="C789" s="31"/>
      <c r="D789" s="31"/>
      <c r="E789" s="31"/>
    </row>
    <row r="790" ht="15.75" customHeight="1">
      <c r="A790" s="30"/>
      <c r="B790" s="31"/>
      <c r="C790" s="31"/>
      <c r="D790" s="31"/>
      <c r="E790" s="31"/>
    </row>
    <row r="791" ht="15.75" customHeight="1">
      <c r="A791" s="30"/>
      <c r="B791" s="31"/>
      <c r="C791" s="31"/>
      <c r="D791" s="31"/>
      <c r="E791" s="31"/>
    </row>
    <row r="792" ht="15.75" customHeight="1">
      <c r="A792" s="30"/>
      <c r="B792" s="31"/>
      <c r="C792" s="31"/>
      <c r="D792" s="31"/>
      <c r="E792" s="31"/>
    </row>
    <row r="793" ht="15.75" customHeight="1">
      <c r="A793" s="30"/>
      <c r="B793" s="31"/>
      <c r="C793" s="31"/>
      <c r="D793" s="31"/>
      <c r="E793" s="31"/>
    </row>
    <row r="794" ht="15.75" customHeight="1">
      <c r="A794" s="30"/>
      <c r="B794" s="31"/>
      <c r="C794" s="31"/>
      <c r="D794" s="31"/>
      <c r="E794" s="31"/>
    </row>
    <row r="795" ht="15.75" customHeight="1">
      <c r="A795" s="30"/>
      <c r="B795" s="31"/>
      <c r="C795" s="31"/>
      <c r="D795" s="31"/>
      <c r="E795" s="31"/>
    </row>
    <row r="796" ht="15.75" customHeight="1">
      <c r="A796" s="30"/>
      <c r="B796" s="31"/>
      <c r="C796" s="31"/>
      <c r="D796" s="31"/>
      <c r="E796" s="31"/>
    </row>
    <row r="797" ht="15.75" customHeight="1">
      <c r="A797" s="30"/>
      <c r="B797" s="31"/>
      <c r="C797" s="31"/>
      <c r="D797" s="31"/>
      <c r="E797" s="31"/>
    </row>
    <row r="798" ht="15.75" customHeight="1">
      <c r="A798" s="30"/>
      <c r="B798" s="31"/>
      <c r="C798" s="31"/>
      <c r="D798" s="31"/>
      <c r="E798" s="31"/>
    </row>
    <row r="799" ht="15.75" customHeight="1">
      <c r="A799" s="30"/>
      <c r="B799" s="31"/>
      <c r="C799" s="31"/>
      <c r="D799" s="31"/>
      <c r="E799" s="31"/>
    </row>
    <row r="800" ht="15.75" customHeight="1">
      <c r="A800" s="30"/>
      <c r="B800" s="31"/>
      <c r="C800" s="31"/>
      <c r="D800" s="31"/>
      <c r="E800" s="31"/>
    </row>
    <row r="801" ht="15.75" customHeight="1">
      <c r="A801" s="30"/>
      <c r="B801" s="31"/>
      <c r="C801" s="31"/>
      <c r="D801" s="31"/>
      <c r="E801" s="31"/>
    </row>
    <row r="802" ht="15.75" customHeight="1">
      <c r="A802" s="30"/>
      <c r="B802" s="31"/>
      <c r="C802" s="31"/>
      <c r="D802" s="31"/>
      <c r="E802" s="31"/>
    </row>
    <row r="803" ht="15.75" customHeight="1">
      <c r="A803" s="30"/>
      <c r="B803" s="31"/>
      <c r="C803" s="31"/>
      <c r="D803" s="31"/>
      <c r="E803" s="31"/>
    </row>
    <row r="804" ht="15.75" customHeight="1">
      <c r="A804" s="30"/>
      <c r="B804" s="31"/>
      <c r="C804" s="31"/>
      <c r="D804" s="31"/>
      <c r="E804" s="31"/>
    </row>
    <row r="805" ht="15.75" customHeight="1">
      <c r="A805" s="30"/>
      <c r="B805" s="31"/>
      <c r="C805" s="31"/>
      <c r="D805" s="31"/>
      <c r="E805" s="31"/>
    </row>
    <row r="806" ht="15.75" customHeight="1">
      <c r="A806" s="30"/>
      <c r="B806" s="31"/>
      <c r="C806" s="31"/>
      <c r="D806" s="31"/>
      <c r="E806" s="31"/>
    </row>
    <row r="807" ht="15.75" customHeight="1">
      <c r="A807" s="30"/>
      <c r="B807" s="31"/>
      <c r="C807" s="31"/>
      <c r="D807" s="31"/>
      <c r="E807" s="31"/>
    </row>
    <row r="808" ht="15.75" customHeight="1">
      <c r="A808" s="30"/>
      <c r="B808" s="31"/>
      <c r="C808" s="31"/>
      <c r="D808" s="31"/>
      <c r="E808" s="31"/>
    </row>
    <row r="809" ht="15.75" customHeight="1">
      <c r="A809" s="30"/>
      <c r="B809" s="31"/>
      <c r="C809" s="31"/>
      <c r="D809" s="31"/>
      <c r="E809" s="31"/>
    </row>
    <row r="810" ht="15.75" customHeight="1">
      <c r="A810" s="30"/>
      <c r="B810" s="31"/>
      <c r="C810" s="31"/>
      <c r="D810" s="31"/>
      <c r="E810" s="31"/>
    </row>
    <row r="811" ht="15.75" customHeight="1">
      <c r="A811" s="30"/>
      <c r="B811" s="31"/>
      <c r="C811" s="31"/>
      <c r="D811" s="31"/>
      <c r="E811" s="31"/>
    </row>
    <row r="812" ht="15.75" customHeight="1">
      <c r="A812" s="30"/>
      <c r="B812" s="31"/>
      <c r="C812" s="31"/>
      <c r="D812" s="31"/>
      <c r="E812" s="31"/>
    </row>
    <row r="813" ht="15.75" customHeight="1">
      <c r="A813" s="30"/>
      <c r="B813" s="31"/>
      <c r="C813" s="31"/>
      <c r="D813" s="31"/>
      <c r="E813" s="31"/>
    </row>
    <row r="814" ht="15.75" customHeight="1">
      <c r="A814" s="30"/>
      <c r="B814" s="31"/>
      <c r="C814" s="31"/>
      <c r="D814" s="31"/>
      <c r="E814" s="31"/>
    </row>
    <row r="815" ht="15.75" customHeight="1">
      <c r="A815" s="30"/>
      <c r="B815" s="31"/>
      <c r="C815" s="31"/>
      <c r="D815" s="31"/>
      <c r="E815" s="31"/>
    </row>
    <row r="816" ht="15.75" customHeight="1">
      <c r="A816" s="30"/>
      <c r="B816" s="31"/>
      <c r="C816" s="31"/>
      <c r="D816" s="31"/>
      <c r="E816" s="31"/>
    </row>
    <row r="817" ht="15.75" customHeight="1">
      <c r="A817" s="30"/>
      <c r="B817" s="31"/>
      <c r="C817" s="31"/>
      <c r="D817" s="31"/>
      <c r="E817" s="31"/>
    </row>
    <row r="818" ht="15.75" customHeight="1">
      <c r="A818" s="30"/>
      <c r="B818" s="31"/>
      <c r="C818" s="31"/>
      <c r="D818" s="31"/>
      <c r="E818" s="31"/>
    </row>
    <row r="819" ht="15.75" customHeight="1">
      <c r="A819" s="30"/>
      <c r="B819" s="31"/>
      <c r="C819" s="31"/>
      <c r="D819" s="31"/>
      <c r="E819" s="31"/>
    </row>
    <row r="820" ht="15.75" customHeight="1">
      <c r="A820" s="30"/>
      <c r="B820" s="31"/>
      <c r="C820" s="31"/>
      <c r="D820" s="31"/>
      <c r="E820" s="31"/>
    </row>
    <row r="821" ht="15.75" customHeight="1">
      <c r="A821" s="30"/>
      <c r="B821" s="31"/>
      <c r="C821" s="31"/>
      <c r="D821" s="31"/>
      <c r="E821" s="31"/>
    </row>
    <row r="822" ht="15.75" customHeight="1">
      <c r="A822" s="30"/>
      <c r="B822" s="31"/>
      <c r="C822" s="31"/>
      <c r="D822" s="31"/>
      <c r="E822" s="31"/>
    </row>
    <row r="823" ht="15.75" customHeight="1">
      <c r="A823" s="30"/>
      <c r="B823" s="31"/>
      <c r="C823" s="31"/>
      <c r="D823" s="31"/>
      <c r="E823" s="31"/>
    </row>
    <row r="824" ht="15.75" customHeight="1">
      <c r="A824" s="30"/>
      <c r="B824" s="31"/>
      <c r="C824" s="31"/>
      <c r="D824" s="31"/>
      <c r="E824" s="31"/>
    </row>
    <row r="825" ht="15.75" customHeight="1">
      <c r="A825" s="30"/>
      <c r="B825" s="31"/>
      <c r="C825" s="31"/>
      <c r="D825" s="31"/>
      <c r="E825" s="31"/>
    </row>
    <row r="826" ht="15.75" customHeight="1">
      <c r="A826" s="30"/>
      <c r="B826" s="31"/>
      <c r="C826" s="31"/>
      <c r="D826" s="31"/>
      <c r="E826" s="31"/>
    </row>
    <row r="827" ht="15.75" customHeight="1">
      <c r="A827" s="30"/>
      <c r="B827" s="31"/>
      <c r="C827" s="31"/>
      <c r="D827" s="31"/>
      <c r="E827" s="31"/>
    </row>
    <row r="828" ht="15.75" customHeight="1">
      <c r="A828" s="30"/>
      <c r="B828" s="31"/>
      <c r="C828" s="31"/>
      <c r="D828" s="31"/>
      <c r="E828" s="31"/>
    </row>
    <row r="829" ht="15.75" customHeight="1">
      <c r="A829" s="30"/>
      <c r="B829" s="31"/>
      <c r="C829" s="31"/>
      <c r="D829" s="31"/>
      <c r="E829" s="31"/>
    </row>
    <row r="830" ht="15.75" customHeight="1">
      <c r="A830" s="30"/>
      <c r="B830" s="31"/>
      <c r="C830" s="31"/>
      <c r="D830" s="31"/>
      <c r="E830" s="31"/>
    </row>
    <row r="831" ht="15.75" customHeight="1">
      <c r="A831" s="30"/>
      <c r="B831" s="31"/>
      <c r="C831" s="31"/>
      <c r="D831" s="31"/>
      <c r="E831" s="31"/>
    </row>
    <row r="832" ht="15.75" customHeight="1">
      <c r="A832" s="30"/>
      <c r="B832" s="31"/>
      <c r="C832" s="31"/>
      <c r="D832" s="31"/>
      <c r="E832" s="31"/>
    </row>
    <row r="833" ht="15.75" customHeight="1">
      <c r="A833" s="30"/>
      <c r="B833" s="31"/>
      <c r="C833" s="31"/>
      <c r="D833" s="31"/>
      <c r="E833" s="31"/>
    </row>
    <row r="834" ht="15.75" customHeight="1">
      <c r="A834" s="30"/>
      <c r="B834" s="31"/>
      <c r="C834" s="31"/>
      <c r="D834" s="31"/>
      <c r="E834" s="31"/>
    </row>
    <row r="835" ht="15.75" customHeight="1">
      <c r="A835" s="30"/>
      <c r="B835" s="31"/>
      <c r="C835" s="31"/>
      <c r="D835" s="31"/>
      <c r="E835" s="31"/>
    </row>
    <row r="836" ht="15.75" customHeight="1">
      <c r="A836" s="30"/>
      <c r="B836" s="31"/>
      <c r="C836" s="31"/>
      <c r="D836" s="31"/>
      <c r="E836" s="31"/>
    </row>
    <row r="837" ht="15.75" customHeight="1">
      <c r="A837" s="30"/>
      <c r="B837" s="31"/>
      <c r="C837" s="31"/>
      <c r="D837" s="31"/>
      <c r="E837" s="31"/>
    </row>
    <row r="838" ht="15.75" customHeight="1">
      <c r="A838" s="30"/>
      <c r="B838" s="31"/>
      <c r="C838" s="31"/>
      <c r="D838" s="31"/>
      <c r="E838" s="31"/>
    </row>
    <row r="839" ht="15.75" customHeight="1">
      <c r="A839" s="30"/>
      <c r="B839" s="31"/>
      <c r="C839" s="31"/>
      <c r="D839" s="31"/>
      <c r="E839" s="31"/>
    </row>
    <row r="840" ht="15.75" customHeight="1">
      <c r="A840" s="30"/>
      <c r="B840" s="31"/>
      <c r="C840" s="31"/>
      <c r="D840" s="31"/>
      <c r="E840" s="31"/>
    </row>
    <row r="841" ht="15.75" customHeight="1">
      <c r="A841" s="30"/>
      <c r="B841" s="31"/>
      <c r="C841" s="31"/>
      <c r="D841" s="31"/>
      <c r="E841" s="31"/>
    </row>
    <row r="842" ht="15.75" customHeight="1">
      <c r="A842" s="30"/>
      <c r="B842" s="31"/>
      <c r="C842" s="31"/>
      <c r="D842" s="31"/>
      <c r="E842" s="31"/>
    </row>
    <row r="843" ht="15.75" customHeight="1">
      <c r="A843" s="30"/>
      <c r="B843" s="31"/>
      <c r="C843" s="31"/>
      <c r="D843" s="31"/>
      <c r="E843" s="31"/>
    </row>
    <row r="844" ht="15.75" customHeight="1">
      <c r="A844" s="30"/>
      <c r="B844" s="31"/>
      <c r="C844" s="31"/>
      <c r="D844" s="31"/>
      <c r="E844" s="31"/>
    </row>
    <row r="845" ht="15.75" customHeight="1">
      <c r="A845" s="30"/>
      <c r="B845" s="31"/>
      <c r="C845" s="31"/>
      <c r="D845" s="31"/>
      <c r="E845" s="31"/>
    </row>
    <row r="846" ht="15.75" customHeight="1">
      <c r="A846" s="30"/>
      <c r="B846" s="31"/>
      <c r="C846" s="31"/>
      <c r="D846" s="31"/>
      <c r="E846" s="31"/>
    </row>
    <row r="847" ht="15.75" customHeight="1">
      <c r="A847" s="30"/>
      <c r="B847" s="31"/>
      <c r="C847" s="31"/>
      <c r="D847" s="31"/>
      <c r="E847" s="31"/>
    </row>
    <row r="848" ht="15.75" customHeight="1">
      <c r="A848" s="30"/>
      <c r="B848" s="31"/>
      <c r="C848" s="31"/>
      <c r="D848" s="31"/>
      <c r="E848" s="31"/>
    </row>
    <row r="849" ht="15.75" customHeight="1">
      <c r="A849" s="30"/>
      <c r="B849" s="31"/>
      <c r="C849" s="31"/>
      <c r="D849" s="31"/>
      <c r="E849" s="31"/>
    </row>
    <row r="850" ht="15.75" customHeight="1">
      <c r="A850" s="30"/>
      <c r="B850" s="31"/>
      <c r="C850" s="31"/>
      <c r="D850" s="31"/>
      <c r="E850" s="31"/>
    </row>
    <row r="851" ht="15.75" customHeight="1">
      <c r="A851" s="30"/>
      <c r="B851" s="31"/>
      <c r="C851" s="31"/>
      <c r="D851" s="31"/>
      <c r="E851" s="31"/>
    </row>
    <row r="852" ht="15.75" customHeight="1">
      <c r="A852" s="30"/>
      <c r="B852" s="31"/>
      <c r="C852" s="31"/>
      <c r="D852" s="31"/>
      <c r="E852" s="31"/>
    </row>
    <row r="853" ht="15.75" customHeight="1">
      <c r="A853" s="30"/>
      <c r="B853" s="31"/>
      <c r="C853" s="31"/>
      <c r="D853" s="31"/>
      <c r="E853" s="31"/>
    </row>
    <row r="854" ht="15.75" customHeight="1">
      <c r="A854" s="30"/>
      <c r="B854" s="31"/>
      <c r="C854" s="31"/>
      <c r="D854" s="31"/>
      <c r="E854" s="31"/>
    </row>
    <row r="855" ht="15.75" customHeight="1">
      <c r="A855" s="30"/>
      <c r="B855" s="31"/>
      <c r="C855" s="31"/>
      <c r="D855" s="31"/>
      <c r="E855" s="31"/>
    </row>
    <row r="856" ht="15.75" customHeight="1">
      <c r="A856" s="30"/>
      <c r="B856" s="31"/>
      <c r="C856" s="31"/>
      <c r="D856" s="31"/>
      <c r="E856" s="31"/>
    </row>
    <row r="857" ht="15.75" customHeight="1">
      <c r="A857" s="30"/>
      <c r="B857" s="31"/>
      <c r="C857" s="31"/>
      <c r="D857" s="31"/>
      <c r="E857" s="31"/>
    </row>
    <row r="858" ht="15.75" customHeight="1">
      <c r="A858" s="30"/>
      <c r="B858" s="31"/>
      <c r="C858" s="31"/>
      <c r="D858" s="31"/>
      <c r="E858" s="31"/>
    </row>
    <row r="859" ht="15.75" customHeight="1">
      <c r="A859" s="30"/>
      <c r="B859" s="31"/>
      <c r="C859" s="31"/>
      <c r="D859" s="31"/>
      <c r="E859" s="31"/>
    </row>
    <row r="860" ht="15.75" customHeight="1">
      <c r="A860" s="30"/>
      <c r="B860" s="31"/>
      <c r="C860" s="31"/>
      <c r="D860" s="31"/>
      <c r="E860" s="31"/>
    </row>
    <row r="861" ht="15.75" customHeight="1">
      <c r="A861" s="30"/>
      <c r="B861" s="31"/>
      <c r="C861" s="31"/>
      <c r="D861" s="31"/>
      <c r="E861" s="31"/>
    </row>
    <row r="862" ht="15.75" customHeight="1">
      <c r="A862" s="30"/>
      <c r="B862" s="31"/>
      <c r="C862" s="31"/>
      <c r="D862" s="31"/>
      <c r="E862" s="31"/>
    </row>
    <row r="863" ht="15.75" customHeight="1">
      <c r="A863" s="30"/>
      <c r="B863" s="31"/>
      <c r="C863" s="31"/>
      <c r="D863" s="31"/>
      <c r="E863" s="31"/>
    </row>
    <row r="864" ht="15.75" customHeight="1">
      <c r="A864" s="30"/>
      <c r="B864" s="31"/>
      <c r="C864" s="31"/>
      <c r="D864" s="31"/>
      <c r="E864" s="31"/>
    </row>
    <row r="865" ht="15.75" customHeight="1">
      <c r="A865" s="30"/>
      <c r="B865" s="31"/>
      <c r="C865" s="31"/>
      <c r="D865" s="31"/>
      <c r="E865" s="31"/>
    </row>
    <row r="866" ht="15.75" customHeight="1">
      <c r="A866" s="30"/>
      <c r="B866" s="31"/>
      <c r="C866" s="31"/>
      <c r="D866" s="31"/>
      <c r="E866" s="31"/>
    </row>
    <row r="867" ht="15.75" customHeight="1">
      <c r="A867" s="30"/>
      <c r="B867" s="31"/>
      <c r="C867" s="31"/>
      <c r="D867" s="31"/>
      <c r="E867" s="31"/>
    </row>
    <row r="868" ht="15.75" customHeight="1">
      <c r="A868" s="30"/>
      <c r="B868" s="31"/>
      <c r="C868" s="31"/>
      <c r="D868" s="31"/>
      <c r="E868" s="31"/>
    </row>
    <row r="869" ht="15.75" customHeight="1">
      <c r="A869" s="30"/>
      <c r="B869" s="31"/>
      <c r="C869" s="31"/>
      <c r="D869" s="31"/>
      <c r="E869" s="31"/>
    </row>
    <row r="870" ht="15.75" customHeight="1">
      <c r="A870" s="30"/>
      <c r="B870" s="31"/>
      <c r="C870" s="31"/>
      <c r="D870" s="31"/>
      <c r="E870" s="31"/>
    </row>
    <row r="871" ht="15.75" customHeight="1">
      <c r="A871" s="30"/>
      <c r="B871" s="31"/>
      <c r="C871" s="31"/>
      <c r="D871" s="31"/>
      <c r="E871" s="31"/>
    </row>
    <row r="872" ht="15.75" customHeight="1">
      <c r="A872" s="30"/>
      <c r="B872" s="31"/>
      <c r="C872" s="31"/>
      <c r="D872" s="31"/>
      <c r="E872" s="31"/>
    </row>
    <row r="873" ht="15.75" customHeight="1">
      <c r="A873" s="30"/>
      <c r="B873" s="31"/>
      <c r="C873" s="31"/>
      <c r="D873" s="31"/>
      <c r="E873" s="31"/>
    </row>
    <row r="874" ht="15.75" customHeight="1">
      <c r="A874" s="30"/>
      <c r="B874" s="31"/>
      <c r="C874" s="31"/>
      <c r="D874" s="31"/>
      <c r="E874" s="31"/>
    </row>
    <row r="875" ht="15.75" customHeight="1">
      <c r="A875" s="30"/>
      <c r="B875" s="31"/>
      <c r="C875" s="31"/>
      <c r="D875" s="31"/>
      <c r="E875" s="31"/>
    </row>
    <row r="876" ht="15.75" customHeight="1">
      <c r="A876" s="30"/>
      <c r="B876" s="31"/>
      <c r="C876" s="31"/>
      <c r="D876" s="31"/>
      <c r="E876" s="31"/>
    </row>
    <row r="877" ht="15.75" customHeight="1">
      <c r="A877" s="30"/>
      <c r="B877" s="31"/>
      <c r="C877" s="31"/>
      <c r="D877" s="31"/>
      <c r="E877" s="31"/>
    </row>
    <row r="878" ht="15.75" customHeight="1">
      <c r="A878" s="30"/>
      <c r="B878" s="31"/>
      <c r="C878" s="31"/>
      <c r="D878" s="31"/>
      <c r="E878" s="31"/>
    </row>
    <row r="879" ht="15.75" customHeight="1">
      <c r="A879" s="30"/>
      <c r="B879" s="31"/>
      <c r="C879" s="31"/>
      <c r="D879" s="31"/>
      <c r="E879" s="31"/>
    </row>
    <row r="880" ht="15.75" customHeight="1">
      <c r="A880" s="30"/>
      <c r="B880" s="31"/>
      <c r="C880" s="31"/>
      <c r="D880" s="31"/>
      <c r="E880" s="31"/>
    </row>
    <row r="881" ht="15.75" customHeight="1">
      <c r="A881" s="30"/>
      <c r="B881" s="31"/>
      <c r="C881" s="31"/>
      <c r="D881" s="31"/>
      <c r="E881" s="31"/>
    </row>
    <row r="882" ht="15.75" customHeight="1">
      <c r="A882" s="30"/>
      <c r="B882" s="31"/>
      <c r="C882" s="31"/>
      <c r="D882" s="31"/>
      <c r="E882" s="31"/>
    </row>
    <row r="883" ht="15.75" customHeight="1">
      <c r="A883" s="30"/>
      <c r="B883" s="31"/>
      <c r="C883" s="31"/>
      <c r="D883" s="31"/>
      <c r="E883" s="31"/>
    </row>
    <row r="884" ht="15.75" customHeight="1">
      <c r="A884" s="30"/>
      <c r="B884" s="31"/>
      <c r="C884" s="31"/>
      <c r="D884" s="31"/>
      <c r="E884" s="31"/>
    </row>
    <row r="885" ht="15.75" customHeight="1">
      <c r="A885" s="30"/>
      <c r="B885" s="31"/>
      <c r="C885" s="31"/>
      <c r="D885" s="31"/>
      <c r="E885" s="31"/>
    </row>
    <row r="886" ht="15.75" customHeight="1">
      <c r="A886" s="30"/>
      <c r="B886" s="31"/>
      <c r="C886" s="31"/>
      <c r="D886" s="31"/>
      <c r="E886" s="31"/>
    </row>
    <row r="887" ht="15.75" customHeight="1">
      <c r="A887" s="30"/>
      <c r="B887" s="31"/>
      <c r="C887" s="31"/>
      <c r="D887" s="31"/>
      <c r="E887" s="31"/>
    </row>
    <row r="888" ht="15.75" customHeight="1">
      <c r="A888" s="30"/>
      <c r="B888" s="31"/>
      <c r="C888" s="31"/>
      <c r="D888" s="31"/>
      <c r="E888" s="31"/>
    </row>
    <row r="889" ht="15.75" customHeight="1">
      <c r="A889" s="30"/>
      <c r="B889" s="31"/>
      <c r="C889" s="31"/>
      <c r="D889" s="31"/>
      <c r="E889" s="31"/>
    </row>
    <row r="890" ht="15.75" customHeight="1">
      <c r="A890" s="30"/>
      <c r="B890" s="31"/>
      <c r="C890" s="31"/>
      <c r="D890" s="31"/>
      <c r="E890" s="31"/>
    </row>
    <row r="891" ht="15.75" customHeight="1">
      <c r="A891" s="30"/>
      <c r="B891" s="31"/>
      <c r="C891" s="31"/>
      <c r="D891" s="31"/>
      <c r="E891" s="31"/>
    </row>
    <row r="892" ht="15.75" customHeight="1">
      <c r="A892" s="30"/>
      <c r="B892" s="31"/>
      <c r="C892" s="31"/>
      <c r="D892" s="31"/>
      <c r="E892" s="31"/>
    </row>
    <row r="893" ht="15.75" customHeight="1">
      <c r="A893" s="30"/>
      <c r="B893" s="31"/>
      <c r="C893" s="31"/>
      <c r="D893" s="31"/>
      <c r="E893" s="31"/>
    </row>
    <row r="894" ht="15.75" customHeight="1">
      <c r="A894" s="30"/>
      <c r="B894" s="31"/>
      <c r="C894" s="31"/>
      <c r="D894" s="31"/>
      <c r="E894" s="31"/>
    </row>
    <row r="895" ht="15.75" customHeight="1">
      <c r="A895" s="30"/>
      <c r="B895" s="31"/>
      <c r="C895" s="31"/>
      <c r="D895" s="31"/>
      <c r="E895" s="31"/>
    </row>
    <row r="896" ht="15.75" customHeight="1">
      <c r="A896" s="30"/>
      <c r="B896" s="31"/>
      <c r="C896" s="31"/>
      <c r="D896" s="31"/>
      <c r="E896" s="31"/>
    </row>
    <row r="897" ht="15.75" customHeight="1">
      <c r="A897" s="30"/>
      <c r="B897" s="31"/>
      <c r="C897" s="31"/>
      <c r="D897" s="31"/>
      <c r="E897" s="31"/>
    </row>
    <row r="898" ht="15.75" customHeight="1">
      <c r="A898" s="30"/>
      <c r="B898" s="31"/>
      <c r="C898" s="31"/>
      <c r="D898" s="31"/>
      <c r="E898" s="31"/>
    </row>
    <row r="899" ht="15.75" customHeight="1">
      <c r="A899" s="30"/>
      <c r="B899" s="31"/>
      <c r="C899" s="31"/>
      <c r="D899" s="31"/>
      <c r="E899" s="31"/>
    </row>
    <row r="900" ht="15.75" customHeight="1">
      <c r="A900" s="30"/>
      <c r="B900" s="31"/>
      <c r="C900" s="31"/>
      <c r="D900" s="31"/>
      <c r="E900" s="31"/>
    </row>
    <row r="901" ht="15.75" customHeight="1">
      <c r="A901" s="30"/>
      <c r="B901" s="31"/>
      <c r="C901" s="31"/>
      <c r="D901" s="31"/>
      <c r="E901" s="31"/>
    </row>
    <row r="902" ht="15.75" customHeight="1">
      <c r="A902" s="30"/>
      <c r="B902" s="31"/>
      <c r="C902" s="31"/>
      <c r="D902" s="31"/>
      <c r="E902" s="31"/>
    </row>
    <row r="903" ht="15.75" customHeight="1">
      <c r="A903" s="30"/>
      <c r="B903" s="31"/>
      <c r="C903" s="31"/>
      <c r="D903" s="31"/>
      <c r="E903" s="31"/>
    </row>
    <row r="904" ht="15.75" customHeight="1">
      <c r="A904" s="30"/>
      <c r="B904" s="31"/>
      <c r="C904" s="31"/>
      <c r="D904" s="31"/>
      <c r="E904" s="31"/>
    </row>
    <row r="905" ht="15.75" customHeight="1">
      <c r="A905" s="30"/>
      <c r="B905" s="31"/>
      <c r="C905" s="31"/>
      <c r="D905" s="31"/>
      <c r="E905" s="31"/>
    </row>
    <row r="906" ht="15.75" customHeight="1">
      <c r="A906" s="30"/>
      <c r="B906" s="31"/>
      <c r="C906" s="31"/>
      <c r="D906" s="31"/>
      <c r="E906" s="31"/>
    </row>
    <row r="907" ht="15.75" customHeight="1">
      <c r="A907" s="30"/>
      <c r="B907" s="31"/>
      <c r="C907" s="31"/>
      <c r="D907" s="31"/>
      <c r="E907" s="31"/>
    </row>
    <row r="908" ht="15.75" customHeight="1">
      <c r="A908" s="30"/>
      <c r="B908" s="31"/>
      <c r="C908" s="31"/>
      <c r="D908" s="31"/>
      <c r="E908" s="31"/>
    </row>
    <row r="909" ht="15.75" customHeight="1">
      <c r="A909" s="30"/>
      <c r="B909" s="31"/>
      <c r="C909" s="31"/>
      <c r="D909" s="31"/>
      <c r="E909" s="31"/>
    </row>
    <row r="910" ht="15.75" customHeight="1">
      <c r="A910" s="30"/>
      <c r="B910" s="31"/>
      <c r="C910" s="31"/>
      <c r="D910" s="31"/>
      <c r="E910" s="31"/>
    </row>
    <row r="911" ht="15.75" customHeight="1">
      <c r="A911" s="30"/>
      <c r="B911" s="31"/>
      <c r="C911" s="31"/>
      <c r="D911" s="31"/>
      <c r="E911" s="31"/>
    </row>
    <row r="912" ht="15.75" customHeight="1">
      <c r="A912" s="30"/>
      <c r="B912" s="31"/>
      <c r="C912" s="31"/>
      <c r="D912" s="31"/>
      <c r="E912" s="31"/>
    </row>
    <row r="913" ht="15.75" customHeight="1">
      <c r="A913" s="30"/>
      <c r="B913" s="31"/>
      <c r="C913" s="31"/>
      <c r="D913" s="31"/>
      <c r="E913" s="31"/>
    </row>
    <row r="914" ht="15.75" customHeight="1">
      <c r="A914" s="30"/>
      <c r="B914" s="31"/>
      <c r="C914" s="31"/>
      <c r="D914" s="31"/>
      <c r="E914" s="31"/>
    </row>
    <row r="915" ht="15.75" customHeight="1">
      <c r="A915" s="30"/>
      <c r="B915" s="31"/>
      <c r="C915" s="31"/>
      <c r="D915" s="31"/>
      <c r="E915" s="31"/>
    </row>
    <row r="916" ht="15.75" customHeight="1">
      <c r="A916" s="30"/>
      <c r="B916" s="31"/>
      <c r="C916" s="31"/>
      <c r="D916" s="31"/>
      <c r="E916" s="31"/>
    </row>
    <row r="917" ht="15.75" customHeight="1">
      <c r="A917" s="30"/>
      <c r="B917" s="31"/>
      <c r="C917" s="31"/>
      <c r="D917" s="31"/>
      <c r="E917" s="31"/>
    </row>
    <row r="918" ht="15.75" customHeight="1">
      <c r="A918" s="30"/>
      <c r="B918" s="31"/>
      <c r="C918" s="31"/>
      <c r="D918" s="31"/>
      <c r="E918" s="31"/>
    </row>
    <row r="919" ht="15.75" customHeight="1">
      <c r="A919" s="30"/>
      <c r="B919" s="31"/>
      <c r="C919" s="31"/>
      <c r="D919" s="31"/>
      <c r="E919" s="31"/>
    </row>
    <row r="920" ht="15.75" customHeight="1">
      <c r="A920" s="30"/>
      <c r="B920" s="31"/>
      <c r="C920" s="31"/>
      <c r="D920" s="31"/>
      <c r="E920" s="31"/>
    </row>
    <row r="921" ht="15.75" customHeight="1">
      <c r="A921" s="30"/>
      <c r="B921" s="31"/>
      <c r="C921" s="31"/>
      <c r="D921" s="31"/>
      <c r="E921" s="31"/>
    </row>
    <row r="922" ht="15.75" customHeight="1">
      <c r="A922" s="30"/>
      <c r="B922" s="31"/>
      <c r="C922" s="31"/>
      <c r="D922" s="31"/>
      <c r="E922" s="31"/>
    </row>
    <row r="923" ht="15.75" customHeight="1">
      <c r="A923" s="30"/>
      <c r="B923" s="31"/>
      <c r="C923" s="31"/>
      <c r="D923" s="31"/>
      <c r="E923" s="31"/>
    </row>
    <row r="924" ht="15.75" customHeight="1">
      <c r="A924" s="30"/>
      <c r="B924" s="31"/>
      <c r="C924" s="31"/>
      <c r="D924" s="31"/>
      <c r="E924" s="31"/>
    </row>
    <row r="925" ht="15.75" customHeight="1">
      <c r="A925" s="30"/>
      <c r="B925" s="31"/>
      <c r="C925" s="31"/>
      <c r="D925" s="31"/>
      <c r="E925" s="31"/>
    </row>
    <row r="926" ht="15.75" customHeight="1">
      <c r="A926" s="30"/>
      <c r="B926" s="31"/>
      <c r="C926" s="31"/>
      <c r="D926" s="31"/>
      <c r="E926" s="31"/>
    </row>
    <row r="927" ht="15.75" customHeight="1">
      <c r="A927" s="30"/>
      <c r="B927" s="31"/>
      <c r="C927" s="31"/>
      <c r="D927" s="31"/>
      <c r="E927" s="31"/>
    </row>
    <row r="928" ht="15.75" customHeight="1">
      <c r="A928" s="30"/>
      <c r="B928" s="31"/>
      <c r="C928" s="31"/>
      <c r="D928" s="31"/>
      <c r="E928" s="31"/>
    </row>
    <row r="929" ht="15.75" customHeight="1">
      <c r="A929" s="30"/>
      <c r="B929" s="31"/>
      <c r="C929" s="31"/>
      <c r="D929" s="31"/>
      <c r="E929" s="31"/>
    </row>
    <row r="930" ht="15.75" customHeight="1">
      <c r="A930" s="30"/>
      <c r="B930" s="31"/>
      <c r="C930" s="31"/>
      <c r="D930" s="31"/>
      <c r="E930" s="31"/>
    </row>
    <row r="931" ht="15.75" customHeight="1">
      <c r="A931" s="30"/>
      <c r="B931" s="31"/>
      <c r="C931" s="31"/>
      <c r="D931" s="31"/>
      <c r="E931" s="31"/>
    </row>
    <row r="932" ht="15.75" customHeight="1">
      <c r="A932" s="30"/>
      <c r="B932" s="31"/>
      <c r="C932" s="31"/>
      <c r="D932" s="31"/>
      <c r="E932" s="31"/>
    </row>
    <row r="933" ht="15.75" customHeight="1">
      <c r="A933" s="30"/>
      <c r="B933" s="31"/>
      <c r="C933" s="31"/>
      <c r="D933" s="31"/>
      <c r="E933" s="31"/>
    </row>
    <row r="934" ht="15.75" customHeight="1">
      <c r="A934" s="30"/>
      <c r="B934" s="31"/>
      <c r="C934" s="31"/>
      <c r="D934" s="31"/>
      <c r="E934" s="31"/>
    </row>
    <row r="935" ht="15.75" customHeight="1">
      <c r="A935" s="30"/>
      <c r="B935" s="31"/>
      <c r="C935" s="31"/>
      <c r="D935" s="31"/>
      <c r="E935" s="31"/>
    </row>
    <row r="936" ht="15.75" customHeight="1">
      <c r="A936" s="30"/>
      <c r="B936" s="31"/>
      <c r="C936" s="31"/>
      <c r="D936" s="31"/>
      <c r="E936" s="31"/>
    </row>
    <row r="937" ht="15.75" customHeight="1">
      <c r="A937" s="30"/>
      <c r="B937" s="31"/>
      <c r="C937" s="31"/>
      <c r="D937" s="31"/>
      <c r="E937" s="31"/>
    </row>
    <row r="938" ht="15.75" customHeight="1">
      <c r="A938" s="30"/>
      <c r="B938" s="31"/>
      <c r="C938" s="31"/>
      <c r="D938" s="31"/>
      <c r="E938" s="31"/>
    </row>
    <row r="939" ht="15.75" customHeight="1">
      <c r="A939" s="30"/>
      <c r="B939" s="31"/>
      <c r="C939" s="31"/>
      <c r="D939" s="31"/>
      <c r="E939" s="31"/>
    </row>
    <row r="940" ht="15.75" customHeight="1">
      <c r="A940" s="30"/>
      <c r="B940" s="31"/>
      <c r="C940" s="31"/>
      <c r="D940" s="31"/>
      <c r="E940" s="31"/>
    </row>
    <row r="941" ht="15.75" customHeight="1">
      <c r="A941" s="30"/>
      <c r="B941" s="31"/>
      <c r="C941" s="31"/>
      <c r="D941" s="31"/>
      <c r="E941" s="31"/>
    </row>
    <row r="942" ht="15.75" customHeight="1">
      <c r="A942" s="30"/>
      <c r="B942" s="31"/>
      <c r="C942" s="31"/>
      <c r="D942" s="31"/>
      <c r="E942" s="31"/>
    </row>
    <row r="943" ht="15.75" customHeight="1">
      <c r="A943" s="30"/>
      <c r="B943" s="31"/>
      <c r="C943" s="31"/>
      <c r="D943" s="31"/>
      <c r="E943" s="31"/>
    </row>
    <row r="944" ht="15.75" customHeight="1">
      <c r="A944" s="30"/>
      <c r="B944" s="31"/>
      <c r="C944" s="31"/>
      <c r="D944" s="31"/>
      <c r="E944" s="31"/>
    </row>
    <row r="945" ht="15.75" customHeight="1">
      <c r="A945" s="30"/>
      <c r="B945" s="31"/>
      <c r="C945" s="31"/>
      <c r="D945" s="31"/>
      <c r="E945" s="31"/>
    </row>
    <row r="946" ht="15.75" customHeight="1">
      <c r="A946" s="30"/>
      <c r="B946" s="31"/>
      <c r="C946" s="31"/>
      <c r="D946" s="31"/>
      <c r="E946" s="31"/>
    </row>
    <row r="947" ht="15.75" customHeight="1">
      <c r="A947" s="30"/>
      <c r="B947" s="31"/>
      <c r="C947" s="31"/>
      <c r="D947" s="31"/>
      <c r="E947" s="31"/>
    </row>
    <row r="948" ht="15.75" customHeight="1">
      <c r="A948" s="30"/>
      <c r="B948" s="31"/>
      <c r="C948" s="31"/>
      <c r="D948" s="31"/>
      <c r="E948" s="31"/>
    </row>
    <row r="949" ht="15.75" customHeight="1">
      <c r="A949" s="30"/>
      <c r="B949" s="31"/>
      <c r="C949" s="31"/>
      <c r="D949" s="31"/>
      <c r="E949" s="31"/>
    </row>
    <row r="950" ht="15.75" customHeight="1">
      <c r="A950" s="30"/>
      <c r="B950" s="31"/>
      <c r="C950" s="31"/>
      <c r="D950" s="31"/>
      <c r="E950" s="31"/>
    </row>
    <row r="951" ht="15.75" customHeight="1">
      <c r="A951" s="30"/>
      <c r="B951" s="31"/>
      <c r="C951" s="31"/>
      <c r="D951" s="31"/>
      <c r="E951" s="31"/>
    </row>
    <row r="952" ht="15.75" customHeight="1">
      <c r="A952" s="30"/>
      <c r="B952" s="31"/>
      <c r="C952" s="31"/>
      <c r="D952" s="31"/>
      <c r="E952" s="31"/>
    </row>
    <row r="953" ht="15.75" customHeight="1">
      <c r="A953" s="30"/>
      <c r="B953" s="31"/>
      <c r="C953" s="31"/>
      <c r="D953" s="31"/>
      <c r="E953" s="31"/>
    </row>
    <row r="954" ht="15.75" customHeight="1">
      <c r="A954" s="30"/>
      <c r="B954" s="31"/>
      <c r="C954" s="31"/>
      <c r="D954" s="31"/>
      <c r="E954" s="31"/>
    </row>
    <row r="955" ht="15.75" customHeight="1">
      <c r="A955" s="30"/>
      <c r="B955" s="31"/>
      <c r="C955" s="31"/>
      <c r="D955" s="31"/>
      <c r="E955" s="31"/>
    </row>
    <row r="956" ht="15.75" customHeight="1">
      <c r="A956" s="30"/>
      <c r="B956" s="31"/>
      <c r="C956" s="31"/>
      <c r="D956" s="31"/>
      <c r="E956" s="31"/>
    </row>
    <row r="957" ht="15.75" customHeight="1">
      <c r="A957" s="30"/>
      <c r="B957" s="31"/>
      <c r="C957" s="31"/>
      <c r="D957" s="31"/>
      <c r="E957" s="31"/>
    </row>
    <row r="958" ht="15.75" customHeight="1">
      <c r="A958" s="30"/>
      <c r="B958" s="31"/>
      <c r="C958" s="31"/>
      <c r="D958" s="31"/>
      <c r="E958" s="31"/>
    </row>
    <row r="959" ht="15.75" customHeight="1">
      <c r="A959" s="30"/>
      <c r="B959" s="31"/>
      <c r="C959" s="31"/>
      <c r="D959" s="31"/>
      <c r="E959" s="31"/>
    </row>
    <row r="960" ht="15.75" customHeight="1">
      <c r="A960" s="30"/>
      <c r="B960" s="31"/>
      <c r="C960" s="31"/>
      <c r="D960" s="31"/>
      <c r="E960" s="31"/>
    </row>
    <row r="961" ht="15.75" customHeight="1">
      <c r="A961" s="30"/>
      <c r="B961" s="31"/>
      <c r="C961" s="31"/>
      <c r="D961" s="31"/>
      <c r="E961" s="31"/>
    </row>
    <row r="962" ht="15.75" customHeight="1">
      <c r="A962" s="30"/>
      <c r="B962" s="31"/>
      <c r="C962" s="31"/>
      <c r="D962" s="31"/>
      <c r="E962" s="31"/>
    </row>
    <row r="963" ht="15.75" customHeight="1">
      <c r="A963" s="30"/>
      <c r="B963" s="31"/>
      <c r="C963" s="31"/>
      <c r="D963" s="31"/>
      <c r="E963" s="31"/>
    </row>
    <row r="964" ht="15.75" customHeight="1">
      <c r="A964" s="30"/>
      <c r="B964" s="31"/>
      <c r="C964" s="31"/>
      <c r="D964" s="31"/>
      <c r="E964" s="31"/>
    </row>
    <row r="965" ht="15.75" customHeight="1">
      <c r="A965" s="30"/>
      <c r="B965" s="31"/>
      <c r="C965" s="31"/>
      <c r="D965" s="31"/>
      <c r="E965" s="31"/>
    </row>
    <row r="966" ht="15.75" customHeight="1">
      <c r="A966" s="30"/>
      <c r="B966" s="31"/>
      <c r="C966" s="31"/>
      <c r="D966" s="31"/>
      <c r="E966" s="31"/>
    </row>
    <row r="967" ht="15.75" customHeight="1">
      <c r="A967" s="30"/>
      <c r="B967" s="31"/>
      <c r="C967" s="31"/>
      <c r="D967" s="31"/>
      <c r="E967" s="31"/>
    </row>
    <row r="968" ht="15.75" customHeight="1">
      <c r="A968" s="30"/>
      <c r="B968" s="31"/>
      <c r="C968" s="31"/>
      <c r="D968" s="31"/>
      <c r="E968" s="31"/>
    </row>
    <row r="969" ht="15.75" customHeight="1">
      <c r="A969" s="30"/>
      <c r="B969" s="31"/>
      <c r="C969" s="31"/>
      <c r="D969" s="31"/>
      <c r="E969" s="31"/>
    </row>
    <row r="970" ht="15.75" customHeight="1">
      <c r="A970" s="30"/>
      <c r="B970" s="31"/>
      <c r="C970" s="31"/>
      <c r="D970" s="31"/>
      <c r="E970" s="31"/>
    </row>
    <row r="971" ht="15.75" customHeight="1">
      <c r="A971" s="30"/>
      <c r="B971" s="31"/>
      <c r="C971" s="31"/>
      <c r="D971" s="31"/>
      <c r="E971" s="31"/>
    </row>
    <row r="972" ht="15.75" customHeight="1">
      <c r="A972" s="30"/>
      <c r="B972" s="31"/>
      <c r="C972" s="31"/>
      <c r="D972" s="31"/>
      <c r="E972" s="31"/>
    </row>
    <row r="973" ht="15.75" customHeight="1">
      <c r="A973" s="30"/>
      <c r="B973" s="31"/>
      <c r="C973" s="31"/>
      <c r="D973" s="31"/>
      <c r="E973" s="31"/>
    </row>
    <row r="974" ht="15.75" customHeight="1">
      <c r="A974" s="30"/>
      <c r="B974" s="31"/>
      <c r="C974" s="31"/>
      <c r="D974" s="31"/>
      <c r="E974" s="31"/>
    </row>
    <row r="975" ht="15.75" customHeight="1">
      <c r="A975" s="30"/>
      <c r="B975" s="31"/>
      <c r="C975" s="31"/>
      <c r="D975" s="31"/>
      <c r="E975" s="31"/>
    </row>
    <row r="976" ht="15.75" customHeight="1">
      <c r="A976" s="30"/>
      <c r="B976" s="31"/>
      <c r="C976" s="31"/>
      <c r="D976" s="31"/>
      <c r="E976" s="31"/>
    </row>
    <row r="977" ht="15.75" customHeight="1">
      <c r="A977" s="30"/>
      <c r="B977" s="31"/>
      <c r="C977" s="31"/>
      <c r="D977" s="31"/>
      <c r="E977" s="31"/>
    </row>
    <row r="978" ht="15.75" customHeight="1">
      <c r="A978" s="30"/>
      <c r="B978" s="31"/>
      <c r="C978" s="31"/>
      <c r="D978" s="31"/>
      <c r="E978" s="31"/>
    </row>
    <row r="979" ht="15.75" customHeight="1">
      <c r="A979" s="30"/>
      <c r="B979" s="31"/>
      <c r="C979" s="31"/>
      <c r="D979" s="31"/>
      <c r="E979" s="31"/>
    </row>
    <row r="980" ht="15.75" customHeight="1">
      <c r="A980" s="30"/>
      <c r="B980" s="31"/>
      <c r="C980" s="31"/>
      <c r="D980" s="31"/>
      <c r="E980" s="31"/>
    </row>
    <row r="981" ht="15.75" customHeight="1">
      <c r="A981" s="30"/>
      <c r="B981" s="31"/>
      <c r="C981" s="31"/>
      <c r="D981" s="31"/>
      <c r="E981" s="31"/>
    </row>
    <row r="982" ht="15.75" customHeight="1">
      <c r="A982" s="30"/>
      <c r="B982" s="31"/>
      <c r="C982" s="31"/>
      <c r="D982" s="31"/>
      <c r="E982" s="31"/>
    </row>
    <row r="983" ht="15.75" customHeight="1">
      <c r="A983" s="30"/>
      <c r="B983" s="31"/>
      <c r="C983" s="31"/>
      <c r="D983" s="31"/>
      <c r="E983" s="31"/>
    </row>
    <row r="984" ht="15.75" customHeight="1">
      <c r="A984" s="30"/>
      <c r="B984" s="31"/>
      <c r="C984" s="31"/>
      <c r="D984" s="31"/>
      <c r="E984" s="31"/>
    </row>
    <row r="985" ht="15.75" customHeight="1">
      <c r="A985" s="30"/>
      <c r="B985" s="31"/>
      <c r="C985" s="31"/>
      <c r="D985" s="31"/>
      <c r="E985" s="31"/>
    </row>
    <row r="986" ht="15.75" customHeight="1">
      <c r="A986" s="30"/>
      <c r="B986" s="31"/>
      <c r="C986" s="31"/>
      <c r="D986" s="31"/>
      <c r="E986" s="31"/>
    </row>
    <row r="987" ht="15.75" customHeight="1">
      <c r="A987" s="30"/>
      <c r="B987" s="31"/>
      <c r="C987" s="31"/>
      <c r="D987" s="31"/>
      <c r="E987" s="31"/>
    </row>
    <row r="988" ht="15.75" customHeight="1">
      <c r="A988" s="30"/>
      <c r="B988" s="31"/>
      <c r="C988" s="31"/>
      <c r="D988" s="31"/>
      <c r="E988" s="31"/>
    </row>
    <row r="989" ht="15.75" customHeight="1">
      <c r="A989" s="30"/>
      <c r="B989" s="31"/>
      <c r="C989" s="31"/>
      <c r="D989" s="31"/>
      <c r="E989" s="31"/>
    </row>
    <row r="990" ht="15.75" customHeight="1">
      <c r="A990" s="30"/>
      <c r="B990" s="31"/>
      <c r="C990" s="31"/>
      <c r="D990" s="31"/>
      <c r="E990" s="31"/>
    </row>
    <row r="991" ht="15.75" customHeight="1">
      <c r="A991" s="30"/>
      <c r="B991" s="31"/>
      <c r="C991" s="31"/>
      <c r="D991" s="31"/>
      <c r="E991" s="31"/>
    </row>
    <row r="992" ht="15.75" customHeight="1">
      <c r="A992" s="30"/>
      <c r="B992" s="31"/>
      <c r="C992" s="31"/>
      <c r="D992" s="31"/>
      <c r="E992" s="31"/>
    </row>
    <row r="993" ht="15.75" customHeight="1">
      <c r="A993" s="30"/>
      <c r="B993" s="31"/>
      <c r="C993" s="31"/>
      <c r="D993" s="31"/>
      <c r="E993" s="31"/>
    </row>
    <row r="994" ht="15.75" customHeight="1">
      <c r="A994" s="30"/>
      <c r="B994" s="31"/>
      <c r="C994" s="31"/>
      <c r="D994" s="31"/>
      <c r="E994" s="31"/>
    </row>
    <row r="995" ht="15.75" customHeight="1">
      <c r="A995" s="30"/>
      <c r="B995" s="31"/>
      <c r="C995" s="31"/>
      <c r="D995" s="31"/>
      <c r="E995" s="31"/>
    </row>
    <row r="996" ht="15.75" customHeight="1">
      <c r="A996" s="30"/>
      <c r="B996" s="31"/>
      <c r="C996" s="31"/>
      <c r="D996" s="31"/>
      <c r="E996" s="31"/>
    </row>
    <row r="997" ht="15.75" customHeight="1">
      <c r="A997" s="30"/>
      <c r="B997" s="31"/>
      <c r="C997" s="31"/>
      <c r="D997" s="31"/>
      <c r="E997" s="31"/>
    </row>
    <row r="998" ht="15.75" customHeight="1">
      <c r="A998" s="30"/>
      <c r="B998" s="31"/>
      <c r="C998" s="31"/>
      <c r="D998" s="31"/>
      <c r="E998" s="31"/>
    </row>
    <row r="999" ht="15.75" customHeight="1">
      <c r="A999" s="30"/>
      <c r="B999" s="31"/>
      <c r="C999" s="31"/>
      <c r="D999" s="31"/>
      <c r="E999" s="31"/>
    </row>
    <row r="1000" ht="15.75" customHeight="1">
      <c r="A1000" s="30"/>
      <c r="B1000" s="31"/>
      <c r="C1000" s="31"/>
      <c r="D1000" s="31"/>
      <c r="E1000" s="31"/>
    </row>
    <row r="1001" ht="15.75" customHeight="1">
      <c r="A1001" s="30"/>
      <c r="B1001" s="31"/>
      <c r="C1001" s="31"/>
      <c r="D1001" s="31"/>
      <c r="E1001" s="31"/>
    </row>
  </sheetData>
  <mergeCells count="9">
    <mergeCell ref="D43:D47"/>
    <mergeCell ref="E43:E47"/>
    <mergeCell ref="A8:A12"/>
    <mergeCell ref="E8:E12"/>
    <mergeCell ref="A15:A36"/>
    <mergeCell ref="E15:E36"/>
    <mergeCell ref="A38:A40"/>
    <mergeCell ref="E38:E40"/>
    <mergeCell ref="A43:A4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29"/>
    <col customWidth="1" min="2" max="2" width="26.71"/>
    <col customWidth="1" min="3" max="3" width="18.43"/>
    <col customWidth="1" min="4" max="4" width="12.0"/>
    <col customWidth="1" min="5" max="6" width="12.43"/>
    <col customWidth="1" min="7" max="7" width="23.86"/>
    <col customWidth="1" min="8" max="8" width="10.71"/>
    <col customWidth="1" min="9" max="9" width="18.71"/>
    <col customWidth="1" min="10" max="10" width="63.86"/>
    <col customWidth="1" min="11" max="11" width="12.71"/>
    <col customWidth="1" min="12" max="12" width="23.86"/>
    <col customWidth="1" min="13" max="13" width="38.43"/>
    <col customWidth="1" min="14" max="14" width="6.14"/>
    <col customWidth="1" min="15" max="16" width="5.71"/>
    <col customWidth="1" min="17" max="17" width="6.14"/>
    <col customWidth="1" min="18" max="29" width="9.0"/>
  </cols>
  <sheetData>
    <row r="1" ht="15.75" customHeight="1">
      <c r="A1" s="32" t="str">
        <f>IFERROR(__xludf.DUMMYFUNCTION("GOOGLETRANSLATE(A2, ""zh_CN"", ""en"")"),"name")</f>
        <v>name</v>
      </c>
      <c r="B1" s="33"/>
      <c r="C1" s="33" t="str">
        <f>IFERROR(__xludf.DUMMYFUNCTION("GOOGLETRANSLATE(C2, ""zh_CN"", ""en"")"),"English")</f>
        <v>English</v>
      </c>
      <c r="D1" s="33" t="str">
        <f>IFERROR(__xludf.DUMMYFUNCTION("GOOGLETRANSLATE(D2, ""zh_CN"", ""en"")"),"address")</f>
        <v>address</v>
      </c>
      <c r="E1" s="33" t="str">
        <f>IFERROR(__xludf.DUMMYFUNCTION("GOOGLETRANSLATE(E2, ""zh_CN"", ""en"")"),"data type")</f>
        <v>data type</v>
      </c>
      <c r="F1" s="33" t="str">
        <f>IFERROR(__xludf.DUMMYFUNCTION("GOOGLETRANSLATE(F2, ""zh_CN"", ""en"")"),"Number of bytes")</f>
        <v>Number of bytes</v>
      </c>
      <c r="G1" s="34" t="str">
        <f>IFERROR(__xludf.DUMMYFUNCTION("GOOGLETRANSLATE(G2, ""zh_CN"", ""en"")"),"data range")</f>
        <v>data range</v>
      </c>
      <c r="H1" s="34" t="str">
        <f>IFERROR(__xludf.DUMMYFUNCTION("GOOGLETRANSLATE(H2, ""zh_CN"", ""en"")"),"unit")</f>
        <v>unit</v>
      </c>
      <c r="I1" s="34" t="str">
        <f>IFERROR(__xludf.DUMMYFUNCTION("GOOGLETRANSLATE(I2, ""zh_CN"", ""en"")"),"Remark")</f>
        <v>Remark</v>
      </c>
      <c r="J1" s="34"/>
      <c r="K1" s="34" t="str">
        <f>IFERROR(__xludf.DUMMYFUNCTION("GOOGLETRANSLATE(K2, ""zh_CN"", ""en"")"),"Whether to store")</f>
        <v>Whether to store</v>
      </c>
      <c r="L1" s="34" t="str">
        <f>IFERROR(__xludf.DUMMYFUNCTION("GOOGLETRANSLATE(L2, ""zh_CN"", ""en"")"),"Revise")</f>
        <v>Revise</v>
      </c>
      <c r="M1" s="35"/>
      <c r="N1" s="36"/>
      <c r="O1" s="36"/>
      <c r="P1" s="36"/>
      <c r="Q1" s="36"/>
    </row>
    <row r="2" ht="15.75" customHeight="1">
      <c r="A2" s="37" t="s">
        <v>77</v>
      </c>
      <c r="B2" s="38"/>
      <c r="C2" s="38" t="s">
        <v>78</v>
      </c>
      <c r="D2" s="38" t="s">
        <v>79</v>
      </c>
      <c r="E2" s="38" t="s">
        <v>80</v>
      </c>
      <c r="F2" s="38" t="s">
        <v>81</v>
      </c>
      <c r="G2" s="39" t="s">
        <v>82</v>
      </c>
      <c r="H2" s="39" t="s">
        <v>83</v>
      </c>
      <c r="I2" s="39" t="s">
        <v>84</v>
      </c>
      <c r="J2" s="39"/>
      <c r="K2" s="39" t="s">
        <v>85</v>
      </c>
      <c r="L2" s="39" t="s">
        <v>86</v>
      </c>
      <c r="M2" s="40"/>
      <c r="N2" s="41" t="s">
        <v>87</v>
      </c>
      <c r="O2" s="41" t="s">
        <v>88</v>
      </c>
      <c r="P2" s="41" t="s">
        <v>89</v>
      </c>
      <c r="Q2" s="41" t="s">
        <v>90</v>
      </c>
    </row>
    <row r="3" ht="29.25" customHeight="1">
      <c r="A3" s="42" t="s">
        <v>91</v>
      </c>
      <c r="B3" s="43"/>
      <c r="C3" s="43"/>
      <c r="D3" s="43"/>
      <c r="E3" s="43"/>
      <c r="F3" s="43"/>
      <c r="G3" s="43"/>
      <c r="H3" s="43"/>
      <c r="I3" s="44"/>
      <c r="J3" s="45"/>
      <c r="K3" s="45" t="s">
        <v>92</v>
      </c>
      <c r="L3" s="46"/>
      <c r="M3" s="40"/>
      <c r="N3" s="47" t="s">
        <v>93</v>
      </c>
      <c r="O3" s="43"/>
      <c r="P3" s="43"/>
      <c r="Q3" s="44"/>
    </row>
    <row r="4" ht="15.75" customHeight="1">
      <c r="A4" s="48" t="s">
        <v>94</v>
      </c>
      <c r="B4" s="49" t="str">
        <f>IFERROR(__xludf.DUMMYFUNCTION("GOOGLETRANSLATE(A4, ""zh_CN"", ""en"")"),"Model name")</f>
        <v>Model name</v>
      </c>
      <c r="C4" s="49" t="s">
        <v>95</v>
      </c>
      <c r="D4" s="50" t="s">
        <v>96</v>
      </c>
      <c r="E4" s="51" t="s">
        <v>97</v>
      </c>
      <c r="F4" s="52">
        <v>12.0</v>
      </c>
      <c r="G4" s="48"/>
      <c r="H4" s="49"/>
      <c r="I4" s="48"/>
      <c r="J4" s="22"/>
      <c r="K4" s="22"/>
      <c r="L4" s="53" t="s">
        <v>98</v>
      </c>
      <c r="M4" s="54" t="str">
        <f>IFERROR(__xludf.DUMMYFUNCTION("GOOGLETRANSLATE(L4, ""zh_CN"", ""en"")"),"U16 and U16 writing should be unified.")</f>
        <v>U16 and U16 writing should be unified.</v>
      </c>
      <c r="N4" s="55" t="s">
        <v>99</v>
      </c>
      <c r="O4" s="55" t="s">
        <v>100</v>
      </c>
      <c r="P4" s="55" t="s">
        <v>99</v>
      </c>
      <c r="Q4" s="55" t="s">
        <v>99</v>
      </c>
    </row>
    <row r="5" ht="15.75" customHeight="1">
      <c r="A5" s="51" t="s">
        <v>101</v>
      </c>
      <c r="B5" s="49" t="str">
        <f>IFERROR(__xludf.DUMMYFUNCTION("GOOGLETRANSLATE(A5, ""zh_CN"", ""en"")"),"Machine type")</f>
        <v>Machine type</v>
      </c>
      <c r="C5" s="51" t="s">
        <v>102</v>
      </c>
      <c r="D5" s="50" t="s">
        <v>103</v>
      </c>
      <c r="E5" s="51" t="s">
        <v>104</v>
      </c>
      <c r="F5" s="52">
        <v>2.0</v>
      </c>
      <c r="G5" s="51"/>
      <c r="H5" s="51"/>
      <c r="I5" s="51" t="s">
        <v>105</v>
      </c>
      <c r="J5" s="11" t="str">
        <f>IFERROR(__xludf.DUMMYFUNCTION("GOOGLETRANSLATE(I5, ""zh_CN"", ""en"")"),"0-99 single camera
100-199 Three cameras
200-299 Single-phase energy storage (including split-phase energy storage)
300-399 Three-phase energy storage")</f>
        <v>0-99 single camera
100-199 Three cameras
200-299 Single-phase energy storage (including split-phase energy storage)
300-399 Three-phase energy storage</v>
      </c>
      <c r="K5" s="22"/>
      <c r="L5" s="53"/>
      <c r="M5" s="54"/>
      <c r="N5" s="55" t="s">
        <v>99</v>
      </c>
      <c r="O5" s="55" t="s">
        <v>106</v>
      </c>
      <c r="P5" s="55" t="s">
        <v>99</v>
      </c>
      <c r="Q5" s="55" t="s">
        <v>99</v>
      </c>
    </row>
    <row r="6" ht="15.75" customHeight="1">
      <c r="A6" s="56" t="s">
        <v>107</v>
      </c>
      <c r="B6" s="49" t="str">
        <f>IFERROR(__xludf.DUMMYFUNCTION("GOOGLETRANSLATE(A6, ""zh_CN"", ""en"")"),"Rated power")</f>
        <v>Rated power</v>
      </c>
      <c r="C6" s="57" t="s">
        <v>108</v>
      </c>
      <c r="D6" s="58" t="s">
        <v>109</v>
      </c>
      <c r="E6" s="59" t="s">
        <v>110</v>
      </c>
      <c r="F6" s="60">
        <v>4.0</v>
      </c>
      <c r="G6" s="57"/>
      <c r="H6" s="59" t="s">
        <v>111</v>
      </c>
      <c r="I6" s="57"/>
      <c r="J6" s="61"/>
      <c r="K6" s="61"/>
      <c r="L6" s="62" t="s">
        <v>112</v>
      </c>
      <c r="M6" s="63" t="str">
        <f>IFERROR(__xludf.DUMMYFUNCTION("GOOGLETRANSLATE(L6, ""zh_CN"", ""en"")"),"1. 1w is modified to 1VA;
2. The rated apparent power is changed to the rated power, and the unit: 1VA is changed to 1W.")</f>
        <v>1. 1w is modified to 1VA;
2. The rated apparent power is changed to the rated power, and the unit: 1VA is changed to 1W.</v>
      </c>
      <c r="N6" s="64" t="s">
        <v>99</v>
      </c>
      <c r="O6" s="64" t="s">
        <v>113</v>
      </c>
      <c r="P6" s="64" t="s">
        <v>99</v>
      </c>
      <c r="Q6" s="64" t="s">
        <v>99</v>
      </c>
      <c r="R6" s="65"/>
      <c r="S6" s="66"/>
      <c r="T6" s="66"/>
      <c r="U6" s="66"/>
      <c r="V6" s="66"/>
      <c r="W6" s="66"/>
      <c r="X6" s="66"/>
      <c r="Y6" s="66"/>
      <c r="Z6" s="66"/>
      <c r="AA6" s="66"/>
      <c r="AB6" s="66"/>
      <c r="AC6" s="66"/>
    </row>
    <row r="7" ht="15.75" customHeight="1">
      <c r="A7" s="51" t="s">
        <v>114</v>
      </c>
      <c r="B7" s="49" t="str">
        <f>IFERROR(__xludf.DUMMYFUNCTION("GOOGLETRANSLATE(A7, ""zh_CN"", ""en"")"),"Rated output reactive power")</f>
        <v>Rated output reactive power</v>
      </c>
      <c r="C7" s="48" t="s">
        <v>115</v>
      </c>
      <c r="D7" s="50" t="s">
        <v>116</v>
      </c>
      <c r="E7" s="49" t="s">
        <v>110</v>
      </c>
      <c r="F7" s="67">
        <v>4.0</v>
      </c>
      <c r="G7" s="48"/>
      <c r="H7" s="49" t="s">
        <v>117</v>
      </c>
      <c r="I7" s="48"/>
      <c r="J7" s="22"/>
      <c r="K7" s="22"/>
      <c r="L7" s="53"/>
      <c r="M7" s="54"/>
      <c r="N7" s="55" t="s">
        <v>99</v>
      </c>
      <c r="O7" s="55" t="s">
        <v>118</v>
      </c>
      <c r="P7" s="55" t="s">
        <v>99</v>
      </c>
      <c r="Q7" s="55" t="s">
        <v>99</v>
      </c>
    </row>
    <row r="8" ht="15.75" customHeight="1">
      <c r="A8" s="51" t="s">
        <v>119</v>
      </c>
      <c r="B8" s="49" t="str">
        <f>IFERROR(__xludf.DUMMYFUNCTION("GOOGLETRANSLATE(A8, ""zh_CN"", ""en"")"),"Hardware version name")</f>
        <v>Hardware version name</v>
      </c>
      <c r="C8" s="51" t="s">
        <v>120</v>
      </c>
      <c r="D8" s="50" t="s">
        <v>121</v>
      </c>
      <c r="E8" s="51" t="s">
        <v>122</v>
      </c>
      <c r="F8" s="52">
        <v>8.0</v>
      </c>
      <c r="G8" s="51" t="s">
        <v>123</v>
      </c>
      <c r="H8" s="51"/>
      <c r="I8" s="51"/>
      <c r="J8" s="22"/>
      <c r="K8" s="22"/>
      <c r="L8" s="53"/>
      <c r="M8" s="54"/>
      <c r="N8" s="55" t="s">
        <v>99</v>
      </c>
      <c r="O8" s="55" t="s">
        <v>124</v>
      </c>
      <c r="P8" s="55" t="s">
        <v>99</v>
      </c>
      <c r="Q8" s="55" t="s">
        <v>99</v>
      </c>
    </row>
    <row r="9" ht="15.75" customHeight="1">
      <c r="A9" s="51" t="s">
        <v>125</v>
      </c>
      <c r="B9" s="49" t="str">
        <f>IFERROR(__xludf.DUMMYFUNCTION("GOOGLETRANSLATE(A9, ""zh_CN"", ""en"")"),"Hardware version number")</f>
        <v>Hardware version number</v>
      </c>
      <c r="C9" s="51" t="s">
        <v>126</v>
      </c>
      <c r="D9" s="50" t="s">
        <v>127</v>
      </c>
      <c r="E9" s="51" t="s">
        <v>104</v>
      </c>
      <c r="F9" s="52">
        <v>2.0</v>
      </c>
      <c r="G9" s="51"/>
      <c r="H9" s="51"/>
      <c r="I9" s="51"/>
      <c r="J9" s="22"/>
      <c r="K9" s="22"/>
      <c r="L9" s="53"/>
      <c r="M9" s="54"/>
      <c r="N9" s="55" t="s">
        <v>99</v>
      </c>
      <c r="O9" s="55" t="s">
        <v>128</v>
      </c>
      <c r="P9" s="55" t="s">
        <v>99</v>
      </c>
      <c r="Q9" s="55" t="s">
        <v>99</v>
      </c>
    </row>
    <row r="10" ht="15.75" customHeight="1">
      <c r="A10" s="51" t="s">
        <v>129</v>
      </c>
      <c r="B10" s="49" t="str">
        <f>IFERROR(__xludf.DUMMYFUNCTION("GOOGLETRANSLATE(A10, ""zh_CN"", ""en"")"),"Protocol name")</f>
        <v>Protocol name</v>
      </c>
      <c r="C10" s="51" t="s">
        <v>130</v>
      </c>
      <c r="D10" s="50" t="s">
        <v>131</v>
      </c>
      <c r="E10" s="51" t="s">
        <v>122</v>
      </c>
      <c r="F10" s="52">
        <v>8.0</v>
      </c>
      <c r="G10" s="51" t="s">
        <v>123</v>
      </c>
      <c r="H10" s="51"/>
      <c r="I10" s="51" t="s">
        <v>132</v>
      </c>
      <c r="J10" s="22"/>
      <c r="K10" s="22"/>
      <c r="L10" s="53"/>
      <c r="M10" s="54"/>
      <c r="N10" s="55" t="s">
        <v>99</v>
      </c>
      <c r="O10" s="55" t="s">
        <v>133</v>
      </c>
      <c r="P10" s="55" t="s">
        <v>99</v>
      </c>
      <c r="Q10" s="55" t="s">
        <v>99</v>
      </c>
    </row>
    <row r="11" ht="15.75" customHeight="1">
      <c r="A11" s="51" t="s">
        <v>134</v>
      </c>
      <c r="B11" s="49" t="str">
        <f>IFERROR(__xludf.DUMMYFUNCTION("GOOGLETRANSLATE(A11, ""zh_CN"", ""en"")"),"Protocol version number")</f>
        <v>Protocol version number</v>
      </c>
      <c r="C11" s="51" t="s">
        <v>135</v>
      </c>
      <c r="D11" s="50" t="s">
        <v>136</v>
      </c>
      <c r="E11" s="51" t="s">
        <v>104</v>
      </c>
      <c r="F11" s="52">
        <v>2.0</v>
      </c>
      <c r="G11" s="51"/>
      <c r="H11" s="51"/>
      <c r="I11" s="51" t="s">
        <v>137</v>
      </c>
      <c r="J11" s="22"/>
      <c r="K11" s="22"/>
      <c r="L11" s="53" t="s">
        <v>138</v>
      </c>
      <c r="M11" s="54" t="str">
        <f>IFERROR(__xludf.DUMMYFUNCTION("GOOGLETRANSLATE(L11, ""zh_CN"", ""en"")"),"Start from 1")</f>
        <v>Start from 1</v>
      </c>
      <c r="N11" s="55" t="s">
        <v>99</v>
      </c>
      <c r="O11" s="55" t="s">
        <v>139</v>
      </c>
      <c r="P11" s="55" t="s">
        <v>99</v>
      </c>
      <c r="Q11" s="55" t="s">
        <v>99</v>
      </c>
    </row>
    <row r="12" ht="15.75" customHeight="1">
      <c r="A12" s="51" t="s">
        <v>140</v>
      </c>
      <c r="B12" s="49" t="str">
        <f>IFERROR(__xludf.DUMMYFUNCTION("GOOGLETRANSLATE(A12, ""zh_CN"", ""en"")"),"Main DSP software name")</f>
        <v>Main DSP software name</v>
      </c>
      <c r="C12" s="51" t="s">
        <v>141</v>
      </c>
      <c r="D12" s="50" t="s">
        <v>142</v>
      </c>
      <c r="E12" s="51" t="s">
        <v>122</v>
      </c>
      <c r="F12" s="52">
        <v>8.0</v>
      </c>
      <c r="G12" s="51" t="s">
        <v>123</v>
      </c>
      <c r="H12" s="51"/>
      <c r="I12" s="51"/>
      <c r="J12" s="22"/>
      <c r="K12" s="22"/>
      <c r="L12" s="46"/>
      <c r="M12" s="54"/>
      <c r="N12" s="55" t="s">
        <v>99</v>
      </c>
      <c r="O12" s="55" t="s">
        <v>143</v>
      </c>
      <c r="P12" s="55" t="s">
        <v>99</v>
      </c>
      <c r="Q12" s="55" t="s">
        <v>99</v>
      </c>
    </row>
    <row r="13" ht="15.75" customHeight="1">
      <c r="A13" s="51" t="s">
        <v>144</v>
      </c>
      <c r="B13" s="49" t="str">
        <f>IFERROR(__xludf.DUMMYFUNCTION("GOOGLETRANSLATE(A13, ""zh_CN"", ""en"")"),"Main DSP software version number")</f>
        <v>Main DSP software version number</v>
      </c>
      <c r="C13" s="51" t="s">
        <v>145</v>
      </c>
      <c r="D13" s="50" t="s">
        <v>146</v>
      </c>
      <c r="E13" s="51" t="s">
        <v>104</v>
      </c>
      <c r="F13" s="52">
        <v>2.0</v>
      </c>
      <c r="G13" s="51"/>
      <c r="H13" s="51"/>
      <c r="I13" s="51" t="s">
        <v>137</v>
      </c>
      <c r="J13" s="22"/>
      <c r="K13" s="22"/>
      <c r="L13" s="46"/>
      <c r="M13" s="54"/>
      <c r="N13" s="55" t="s">
        <v>99</v>
      </c>
      <c r="O13" s="55" t="s">
        <v>147</v>
      </c>
      <c r="P13" s="55" t="s">
        <v>99</v>
      </c>
      <c r="Q13" s="55" t="s">
        <v>99</v>
      </c>
    </row>
    <row r="14" ht="15.75" customHeight="1">
      <c r="A14" s="51" t="s">
        <v>148</v>
      </c>
      <c r="B14" s="49" t="str">
        <f>IFERROR(__xludf.DUMMYFUNCTION("GOOGLETRANSLATE(A14, ""zh_CN"", ""en"")"),"Secondary DSP software name")</f>
        <v>Secondary DSP software name</v>
      </c>
      <c r="C14" s="51" t="s">
        <v>149</v>
      </c>
      <c r="D14" s="50" t="s">
        <v>150</v>
      </c>
      <c r="E14" s="51" t="s">
        <v>122</v>
      </c>
      <c r="F14" s="52">
        <v>8.0</v>
      </c>
      <c r="G14" s="51" t="s">
        <v>123</v>
      </c>
      <c r="H14" s="51"/>
      <c r="I14" s="51"/>
      <c r="J14" s="22"/>
      <c r="K14" s="22"/>
      <c r="L14" s="46"/>
      <c r="M14" s="54"/>
      <c r="N14" s="55" t="s">
        <v>99</v>
      </c>
      <c r="O14" s="55" t="s">
        <v>151</v>
      </c>
      <c r="P14" s="55" t="s">
        <v>99</v>
      </c>
      <c r="Q14" s="55" t="s">
        <v>99</v>
      </c>
    </row>
    <row r="15" ht="15.75" customHeight="1">
      <c r="A15" s="51" t="s">
        <v>152</v>
      </c>
      <c r="B15" s="49" t="str">
        <f>IFERROR(__xludf.DUMMYFUNCTION("GOOGLETRANSLATE(A15, ""zh_CN"", ""en"")"),"Secondary DSP software version number")</f>
        <v>Secondary DSP software version number</v>
      </c>
      <c r="C15" s="51" t="s">
        <v>153</v>
      </c>
      <c r="D15" s="50" t="s">
        <v>154</v>
      </c>
      <c r="E15" s="51" t="s">
        <v>104</v>
      </c>
      <c r="F15" s="52">
        <v>2.0</v>
      </c>
      <c r="G15" s="51"/>
      <c r="H15" s="51"/>
      <c r="I15" s="51" t="s">
        <v>137</v>
      </c>
      <c r="J15" s="22"/>
      <c r="K15" s="22"/>
      <c r="L15" s="46"/>
      <c r="M15" s="54"/>
      <c r="N15" s="55" t="s">
        <v>99</v>
      </c>
      <c r="O15" s="55" t="s">
        <v>155</v>
      </c>
      <c r="P15" s="55" t="s">
        <v>99</v>
      </c>
      <c r="Q15" s="55" t="s">
        <v>99</v>
      </c>
    </row>
    <row r="16" ht="15.75" customHeight="1">
      <c r="A16" s="51" t="s">
        <v>156</v>
      </c>
      <c r="B16" s="49" t="str">
        <f>IFERROR(__xludf.DUMMYFUNCTION("GOOGLETRANSLATE(A16, ""zh_CN"", ""en"")"),"HMI software version name")</f>
        <v>HMI software version name</v>
      </c>
      <c r="C16" s="51" t="s">
        <v>157</v>
      </c>
      <c r="D16" s="50" t="s">
        <v>158</v>
      </c>
      <c r="E16" s="51" t="s">
        <v>122</v>
      </c>
      <c r="F16" s="52">
        <v>8.0</v>
      </c>
      <c r="G16" s="51" t="s">
        <v>123</v>
      </c>
      <c r="H16" s="51"/>
      <c r="I16" s="51"/>
      <c r="J16" s="22"/>
      <c r="K16" s="22"/>
      <c r="L16" s="46"/>
      <c r="M16" s="54"/>
      <c r="N16" s="55" t="s">
        <v>99</v>
      </c>
      <c r="O16" s="55" t="s">
        <v>159</v>
      </c>
      <c r="P16" s="55" t="s">
        <v>99</v>
      </c>
      <c r="Q16" s="55" t="s">
        <v>99</v>
      </c>
      <c r="R16" s="68"/>
      <c r="S16" s="68"/>
      <c r="T16" s="68"/>
      <c r="U16" s="68"/>
      <c r="V16" s="68"/>
      <c r="W16" s="68"/>
      <c r="X16" s="68"/>
      <c r="Y16" s="68"/>
      <c r="Z16" s="68"/>
      <c r="AA16" s="68"/>
      <c r="AB16" s="68"/>
      <c r="AC16" s="68"/>
    </row>
    <row r="17" ht="15.75" customHeight="1">
      <c r="A17" s="51" t="s">
        <v>160</v>
      </c>
      <c r="B17" s="49" t="str">
        <f>IFERROR(__xludf.DUMMYFUNCTION("GOOGLETRANSLATE(A17, ""zh_CN"", ""en"")"),"HMI software version number")</f>
        <v>HMI software version number</v>
      </c>
      <c r="C17" s="51" t="s">
        <v>161</v>
      </c>
      <c r="D17" s="50" t="s">
        <v>162</v>
      </c>
      <c r="E17" s="51" t="s">
        <v>104</v>
      </c>
      <c r="F17" s="52">
        <v>2.0</v>
      </c>
      <c r="G17" s="51"/>
      <c r="H17" s="51"/>
      <c r="I17" s="51" t="s">
        <v>137</v>
      </c>
      <c r="J17" s="22"/>
      <c r="K17" s="22"/>
      <c r="L17" s="46"/>
      <c r="M17" s="54"/>
      <c r="N17" s="55" t="s">
        <v>99</v>
      </c>
      <c r="O17" s="55" t="s">
        <v>163</v>
      </c>
      <c r="P17" s="55" t="s">
        <v>99</v>
      </c>
      <c r="Q17" s="55" t="s">
        <v>99</v>
      </c>
      <c r="R17" s="68"/>
      <c r="S17" s="68"/>
      <c r="T17" s="68"/>
      <c r="U17" s="68"/>
      <c r="V17" s="68"/>
      <c r="W17" s="68"/>
      <c r="X17" s="68"/>
      <c r="Y17" s="68"/>
      <c r="Z17" s="68"/>
      <c r="AA17" s="68"/>
      <c r="AB17" s="68"/>
      <c r="AC17" s="68"/>
    </row>
    <row r="18" ht="15.75" customHeight="1">
      <c r="A18" s="51" t="s">
        <v>164</v>
      </c>
      <c r="B18" s="49" t="str">
        <f>IFERROR(__xludf.DUMMYFUNCTION("GOOGLETRANSLATE(A18, ""zh_CN"", ""en"")"),"CPLD software version name")</f>
        <v>CPLD software version name</v>
      </c>
      <c r="C18" s="51" t="s">
        <v>165</v>
      </c>
      <c r="D18" s="50" t="s">
        <v>166</v>
      </c>
      <c r="E18" s="51" t="s">
        <v>122</v>
      </c>
      <c r="F18" s="52">
        <v>8.0</v>
      </c>
      <c r="G18" s="51" t="s">
        <v>123</v>
      </c>
      <c r="H18" s="51"/>
      <c r="I18" s="51"/>
      <c r="J18" s="22"/>
      <c r="K18" s="22"/>
      <c r="L18" s="46"/>
      <c r="M18" s="54"/>
      <c r="N18" s="55" t="s">
        <v>99</v>
      </c>
      <c r="O18" s="55" t="s">
        <v>167</v>
      </c>
      <c r="P18" s="55" t="s">
        <v>99</v>
      </c>
      <c r="Q18" s="55" t="s">
        <v>99</v>
      </c>
      <c r="R18" s="68"/>
      <c r="S18" s="68"/>
      <c r="T18" s="68"/>
      <c r="U18" s="68"/>
      <c r="V18" s="68"/>
      <c r="W18" s="68"/>
      <c r="X18" s="68"/>
      <c r="Y18" s="68"/>
      <c r="Z18" s="68"/>
      <c r="AA18" s="68"/>
      <c r="AB18" s="68"/>
      <c r="AC18" s="68"/>
    </row>
    <row r="19" ht="15.75" customHeight="1">
      <c r="A19" s="51" t="s">
        <v>168</v>
      </c>
      <c r="B19" s="49" t="str">
        <f>IFERROR(__xludf.DUMMYFUNCTION("GOOGLETRANSLATE(A19, ""zh_CN"", ""en"")"),"CPLD software version number")</f>
        <v>CPLD software version number</v>
      </c>
      <c r="C19" s="51" t="s">
        <v>169</v>
      </c>
      <c r="D19" s="50" t="s">
        <v>170</v>
      </c>
      <c r="E19" s="51" t="s">
        <v>104</v>
      </c>
      <c r="F19" s="52">
        <v>2.0</v>
      </c>
      <c r="G19" s="51"/>
      <c r="H19" s="51"/>
      <c r="I19" s="51" t="s">
        <v>137</v>
      </c>
      <c r="J19" s="22"/>
      <c r="K19" s="22"/>
      <c r="L19" s="46"/>
      <c r="M19" s="54"/>
      <c r="N19" s="55" t="s">
        <v>99</v>
      </c>
      <c r="O19" s="55" t="s">
        <v>171</v>
      </c>
      <c r="P19" s="55" t="s">
        <v>99</v>
      </c>
      <c r="Q19" s="55" t="s">
        <v>99</v>
      </c>
    </row>
    <row r="20" ht="15.75" customHeight="1">
      <c r="A20" s="48" t="s">
        <v>172</v>
      </c>
      <c r="B20" s="49" t="str">
        <f>IFERROR(__xludf.DUMMYFUNCTION("GOOGLETRANSLATE(A20, ""zh_CN"", ""en"")"),"InverterSN")</f>
        <v>InverterSN</v>
      </c>
      <c r="C20" s="48" t="s">
        <v>173</v>
      </c>
      <c r="D20" s="69">
        <v>41.0</v>
      </c>
      <c r="E20" s="51" t="s">
        <v>104</v>
      </c>
      <c r="F20" s="52">
        <v>2.0</v>
      </c>
      <c r="G20" s="48" t="s">
        <v>123</v>
      </c>
      <c r="H20" s="48"/>
      <c r="I20" s="48"/>
      <c r="J20" s="22"/>
      <c r="K20" s="22"/>
      <c r="L20" s="70"/>
      <c r="M20" s="54"/>
      <c r="N20" s="55" t="s">
        <v>99</v>
      </c>
      <c r="O20" s="55" t="s">
        <v>174</v>
      </c>
      <c r="P20" s="55" t="s">
        <v>99</v>
      </c>
      <c r="Q20" s="55" t="s">
        <v>99</v>
      </c>
    </row>
    <row r="21" ht="15.75" customHeight="1">
      <c r="A21" s="48"/>
      <c r="B21" s="48"/>
      <c r="C21" s="48" t="s">
        <v>175</v>
      </c>
      <c r="D21" s="71">
        <v>42.0</v>
      </c>
      <c r="E21" s="51" t="s">
        <v>104</v>
      </c>
      <c r="F21" s="52">
        <v>2.0</v>
      </c>
      <c r="G21" s="48" t="s">
        <v>123</v>
      </c>
      <c r="H21" s="48"/>
      <c r="I21" s="48"/>
      <c r="J21" s="22"/>
      <c r="K21" s="22"/>
      <c r="L21" s="70"/>
      <c r="M21" s="54"/>
      <c r="N21" s="55" t="s">
        <v>99</v>
      </c>
      <c r="O21" s="55" t="s">
        <v>176</v>
      </c>
      <c r="P21" s="55" t="s">
        <v>99</v>
      </c>
      <c r="Q21" s="55" t="s">
        <v>99</v>
      </c>
    </row>
    <row r="22" ht="15.75" customHeight="1">
      <c r="A22" s="48"/>
      <c r="B22" s="48"/>
      <c r="C22" s="48" t="s">
        <v>177</v>
      </c>
      <c r="D22" s="48">
        <v>43.0</v>
      </c>
      <c r="E22" s="51" t="s">
        <v>104</v>
      </c>
      <c r="F22" s="52">
        <v>2.0</v>
      </c>
      <c r="G22" s="48" t="s">
        <v>123</v>
      </c>
      <c r="H22" s="48"/>
      <c r="I22" s="48"/>
      <c r="J22" s="22"/>
      <c r="K22" s="22"/>
      <c r="L22" s="70"/>
      <c r="M22" s="54"/>
      <c r="N22" s="55" t="s">
        <v>99</v>
      </c>
      <c r="O22" s="55" t="s">
        <v>178</v>
      </c>
      <c r="P22" s="55" t="s">
        <v>99</v>
      </c>
      <c r="Q22" s="55" t="s">
        <v>99</v>
      </c>
    </row>
    <row r="23" ht="15.75" customHeight="1">
      <c r="A23" s="48"/>
      <c r="B23" s="48"/>
      <c r="C23" s="48" t="s">
        <v>179</v>
      </c>
      <c r="D23" s="48">
        <v>44.0</v>
      </c>
      <c r="E23" s="51" t="s">
        <v>104</v>
      </c>
      <c r="F23" s="52">
        <v>2.0</v>
      </c>
      <c r="G23" s="48" t="s">
        <v>123</v>
      </c>
      <c r="H23" s="48"/>
      <c r="I23" s="48"/>
      <c r="J23" s="22"/>
      <c r="K23" s="22"/>
      <c r="L23" s="70"/>
      <c r="M23" s="54"/>
      <c r="N23" s="55" t="s">
        <v>99</v>
      </c>
      <c r="O23" s="55" t="s">
        <v>180</v>
      </c>
      <c r="P23" s="55" t="s">
        <v>99</v>
      </c>
      <c r="Q23" s="55" t="s">
        <v>99</v>
      </c>
    </row>
    <row r="24" ht="15.75" customHeight="1">
      <c r="A24" s="48"/>
      <c r="B24" s="48"/>
      <c r="C24" s="48" t="s">
        <v>181</v>
      </c>
      <c r="D24" s="48">
        <v>45.0</v>
      </c>
      <c r="E24" s="51" t="s">
        <v>104</v>
      </c>
      <c r="F24" s="52">
        <v>2.0</v>
      </c>
      <c r="G24" s="48" t="s">
        <v>123</v>
      </c>
      <c r="H24" s="48"/>
      <c r="I24" s="48"/>
      <c r="J24" s="22"/>
      <c r="K24" s="22"/>
      <c r="L24" s="70"/>
      <c r="M24" s="54"/>
      <c r="N24" s="55" t="s">
        <v>99</v>
      </c>
      <c r="O24" s="55" t="s">
        <v>182</v>
      </c>
      <c r="P24" s="55" t="s">
        <v>99</v>
      </c>
      <c r="Q24" s="55" t="s">
        <v>99</v>
      </c>
    </row>
    <row r="25" ht="15.75" customHeight="1">
      <c r="A25" s="48"/>
      <c r="B25" s="72"/>
      <c r="C25" s="72" t="s">
        <v>183</v>
      </c>
      <c r="D25" s="48">
        <v>46.0</v>
      </c>
      <c r="E25" s="51" t="s">
        <v>104</v>
      </c>
      <c r="F25" s="52">
        <v>2.0</v>
      </c>
      <c r="G25" s="48" t="s">
        <v>123</v>
      </c>
      <c r="H25" s="48"/>
      <c r="I25" s="48"/>
      <c r="J25" s="22"/>
      <c r="K25" s="22"/>
      <c r="L25" s="70"/>
      <c r="M25" s="54"/>
      <c r="N25" s="55" t="s">
        <v>99</v>
      </c>
      <c r="O25" s="55" t="s">
        <v>184</v>
      </c>
      <c r="P25" s="55" t="s">
        <v>99</v>
      </c>
      <c r="Q25" s="55" t="s">
        <v>99</v>
      </c>
    </row>
    <row r="26" ht="15.75" customHeight="1">
      <c r="A26" s="48"/>
      <c r="B26" s="48"/>
      <c r="C26" s="48" t="s">
        <v>185</v>
      </c>
      <c r="D26" s="48">
        <v>47.0</v>
      </c>
      <c r="E26" s="51" t="s">
        <v>104</v>
      </c>
      <c r="F26" s="52">
        <v>2.0</v>
      </c>
      <c r="G26" s="48" t="s">
        <v>123</v>
      </c>
      <c r="H26" s="48"/>
      <c r="I26" s="48"/>
      <c r="J26" s="22"/>
      <c r="K26" s="22"/>
      <c r="L26" s="70"/>
      <c r="M26" s="54"/>
      <c r="N26" s="55" t="s">
        <v>99</v>
      </c>
      <c r="O26" s="55" t="s">
        <v>186</v>
      </c>
      <c r="P26" s="55" t="s">
        <v>99</v>
      </c>
      <c r="Q26" s="55" t="s">
        <v>99</v>
      </c>
    </row>
    <row r="27" ht="15.75" customHeight="1">
      <c r="A27" s="48"/>
      <c r="B27" s="48"/>
      <c r="C27" s="48" t="s">
        <v>187</v>
      </c>
      <c r="D27" s="48">
        <v>48.0</v>
      </c>
      <c r="E27" s="51" t="s">
        <v>104</v>
      </c>
      <c r="F27" s="52">
        <v>2.0</v>
      </c>
      <c r="G27" s="48" t="s">
        <v>123</v>
      </c>
      <c r="H27" s="48"/>
      <c r="I27" s="48"/>
      <c r="J27" s="22"/>
      <c r="K27" s="22"/>
      <c r="L27" s="70"/>
      <c r="M27" s="54"/>
      <c r="N27" s="55" t="s">
        <v>99</v>
      </c>
      <c r="O27" s="55" t="s">
        <v>188</v>
      </c>
      <c r="P27" s="55" t="s">
        <v>99</v>
      </c>
      <c r="Q27" s="55" t="s">
        <v>99</v>
      </c>
    </row>
    <row r="28" ht="15.75" customHeight="1">
      <c r="A28" s="48" t="s">
        <v>189</v>
      </c>
      <c r="B28" s="48" t="str">
        <f>IFERROR(__xludf.DUMMYFUNCTION("GOOGLETRANSLATE(A28, ""zh_CN"", ""en"")"),"nation")</f>
        <v>nation</v>
      </c>
      <c r="C28" s="48" t="s">
        <v>190</v>
      </c>
      <c r="D28" s="50" t="s">
        <v>191</v>
      </c>
      <c r="E28" s="51" t="s">
        <v>104</v>
      </c>
      <c r="F28" s="52">
        <v>2.0</v>
      </c>
      <c r="G28" s="73" t="s">
        <v>192</v>
      </c>
      <c r="H28" s="48"/>
      <c r="I28" s="48"/>
      <c r="J28" s="22"/>
      <c r="K28" s="22"/>
      <c r="L28" s="70"/>
      <c r="M28" s="54"/>
      <c r="N28" s="55" t="s">
        <v>99</v>
      </c>
      <c r="O28" s="55" t="s">
        <v>193</v>
      </c>
      <c r="P28" s="55" t="s">
        <v>99</v>
      </c>
      <c r="Q28" s="55" t="s">
        <v>99</v>
      </c>
    </row>
    <row r="29" ht="15.75" customHeight="1">
      <c r="A29" s="74" t="s">
        <v>194</v>
      </c>
      <c r="B29" s="72" t="str">
        <f>IFERROR(__xludf.DUMMYFUNCTION("GOOGLETRANSLATE(A29, ""zh_CN"", ""en"")"),"Maximum AC output current")</f>
        <v>Maximum AC output current</v>
      </c>
      <c r="C29" s="72" t="s">
        <v>195</v>
      </c>
      <c r="D29" s="75" t="s">
        <v>196</v>
      </c>
      <c r="E29" s="76" t="s">
        <v>110</v>
      </c>
      <c r="F29" s="77">
        <v>4.0</v>
      </c>
      <c r="G29" s="72"/>
      <c r="H29" s="72" t="s">
        <v>197</v>
      </c>
      <c r="I29" s="72"/>
      <c r="J29" s="78"/>
      <c r="K29" s="78"/>
      <c r="L29" s="79" t="s">
        <v>198</v>
      </c>
      <c r="M29" s="80" t="str">
        <f>IFERROR(__xludf.DUMMYFUNCTION("GOOGLETRANSLATE(L29, ""zh_CN"", ""en"")"),"New unit 0.01A")</f>
        <v>New unit 0.01A</v>
      </c>
      <c r="N29" s="81" t="s">
        <v>99</v>
      </c>
      <c r="O29" s="81" t="s">
        <v>199</v>
      </c>
      <c r="P29" s="81" t="s">
        <v>99</v>
      </c>
      <c r="Q29" s="81" t="s">
        <v>99</v>
      </c>
      <c r="R29" s="82"/>
      <c r="S29" s="82"/>
      <c r="T29" s="82"/>
      <c r="U29" s="82"/>
      <c r="V29" s="82"/>
      <c r="W29" s="82"/>
      <c r="X29" s="82"/>
      <c r="Y29" s="82"/>
      <c r="Z29" s="82"/>
      <c r="AA29" s="82"/>
      <c r="AB29" s="82"/>
      <c r="AC29" s="82"/>
    </row>
    <row r="30" ht="130.5" customHeight="1">
      <c r="A30" s="74" t="s">
        <v>200</v>
      </c>
      <c r="B30" s="72" t="str">
        <f>IFERROR(__xludf.DUMMYFUNCTION("GOOGLETRANSLATE(A30, ""zh_CN"", ""en"")"),"Machine characteristics")</f>
        <v>Machine characteristics</v>
      </c>
      <c r="C30" s="72" t="s">
        <v>201</v>
      </c>
      <c r="D30" s="83" t="s">
        <v>202</v>
      </c>
      <c r="E30" s="76" t="s">
        <v>110</v>
      </c>
      <c r="F30" s="77">
        <v>4.0</v>
      </c>
      <c r="G30" s="72"/>
      <c r="H30" s="72"/>
      <c r="I30" s="72" t="s">
        <v>203</v>
      </c>
      <c r="J30" s="84" t="str">
        <f>IFERROR(__xludf.DUMMYFUNCTION("GOOGLETRANSLATE(I30, ""zh_CN"", ""en"")"),"B0-B2: 0 represents grid-connected machine, 1 represents low-voltage energy storage, 2 represents high-voltage energy storage;
B3-B5: 0 represents single phase, 1 represents split phase, 2 represents three phases;
B6-B9: Number of PV boost channels, 0 rep"&amp;"resents 1 channel, 1 represents 2 channels, N represents N+ channels;
B10: 0 means no generator, 1 means there is a generator;
B11-B31: reserved;")</f>
        <v>B0-B2: 0 represents grid-connected machine, 1 represents low-voltage energy storage, 2 represents high-voltage energy storage;
B3-B5: 0 represents single phase, 1 represents split phase, 2 represents three phases;
B6-B9: Number of PV boost channels, 0 represents 1 channel, 1 represents 2 channels, N represents N+ channels;
B10: 0 means no generator, 1 means there is a generator;
B11-B31: reserved;</v>
      </c>
      <c r="K30" s="78"/>
      <c r="L30" s="79" t="s">
        <v>204</v>
      </c>
      <c r="M30" s="80" t="str">
        <f>IFERROR(__xludf.DUMMYFUNCTION("GOOGLETRANSLATE(L30, ""zh_CN"", ""en"")"),"Added 21.05.12 for platform identification
B1-B31 changed to B11-B31")</f>
        <v>Added 21.05.12 for platform identification
B1-B31 changed to B11-B31</v>
      </c>
      <c r="N30" s="81" t="s">
        <v>99</v>
      </c>
      <c r="O30" s="81" t="s">
        <v>205</v>
      </c>
      <c r="P30" s="81" t="s">
        <v>99</v>
      </c>
      <c r="Q30" s="81" t="s">
        <v>99</v>
      </c>
      <c r="R30" s="82"/>
      <c r="S30" s="82"/>
      <c r="T30" s="82"/>
      <c r="U30" s="82"/>
      <c r="V30" s="82"/>
      <c r="W30" s="82"/>
      <c r="X30" s="82"/>
      <c r="Y30" s="82"/>
      <c r="Z30" s="82"/>
      <c r="AA30" s="82"/>
      <c r="AB30" s="82"/>
      <c r="AC30" s="82"/>
    </row>
    <row r="31" ht="15.75" customHeight="1">
      <c r="A31" s="85" t="s">
        <v>206</v>
      </c>
      <c r="B31" s="86" t="str">
        <f>IFERROR(__xludf.DUMMYFUNCTION("GOOGLETRANSLATE(A31, ""zh_CN"", ""en"")"),"reserved")</f>
        <v>reserved</v>
      </c>
      <c r="C31" s="86" t="s">
        <v>207</v>
      </c>
      <c r="D31" s="87" t="s">
        <v>208</v>
      </c>
      <c r="E31" s="87"/>
      <c r="F31" s="88"/>
      <c r="G31" s="89"/>
      <c r="H31" s="87"/>
      <c r="I31" s="87"/>
      <c r="J31" s="22"/>
      <c r="K31" s="22"/>
      <c r="L31" s="46"/>
      <c r="M31" s="54"/>
      <c r="N31" s="55" t="s">
        <v>99</v>
      </c>
      <c r="O31" s="55" t="s">
        <v>209</v>
      </c>
      <c r="P31" s="55" t="s">
        <v>99</v>
      </c>
      <c r="Q31" s="55" t="s">
        <v>99</v>
      </c>
    </row>
    <row r="32" ht="15.75" customHeight="1">
      <c r="A32" s="90" t="s">
        <v>210</v>
      </c>
      <c r="B32" s="43"/>
      <c r="C32" s="43"/>
      <c r="D32" s="43"/>
      <c r="E32" s="43"/>
      <c r="F32" s="43"/>
      <c r="G32" s="43"/>
      <c r="H32" s="43"/>
      <c r="I32" s="44"/>
      <c r="J32" s="22"/>
      <c r="K32" s="22"/>
      <c r="L32" s="46"/>
      <c r="M32" s="54"/>
      <c r="N32" s="55" t="s">
        <v>99</v>
      </c>
      <c r="O32" s="55" t="s">
        <v>211</v>
      </c>
      <c r="P32" s="55" t="s">
        <v>99</v>
      </c>
      <c r="Q32" s="55" t="s">
        <v>99</v>
      </c>
    </row>
    <row r="33" ht="15.75" customHeight="1">
      <c r="A33" s="91" t="s">
        <v>212</v>
      </c>
      <c r="B33" s="91" t="str">
        <f>IFERROR(__xludf.DUMMYFUNCTION("GOOGLETRANSLATE(A33, ""zh_CN"", ""en"")"),"bus voltage")</f>
        <v>bus voltage</v>
      </c>
      <c r="C33" s="91" t="s">
        <v>213</v>
      </c>
      <c r="D33" s="92" t="s">
        <v>214</v>
      </c>
      <c r="E33" s="91" t="s">
        <v>104</v>
      </c>
      <c r="F33" s="93">
        <v>2.0</v>
      </c>
      <c r="G33" s="91"/>
      <c r="H33" s="91" t="s">
        <v>215</v>
      </c>
      <c r="I33" s="94" t="s">
        <v>216</v>
      </c>
      <c r="J33" s="95" t="str">
        <f>IFERROR(__xludf.DUMMYFUNCTION("GOOGLETRANSLATE(I33, ""zh_CN"", ""en"")"),"If it is a single phase, only the R-phase voltage and R-phase electrical current are valid;
If there are two phases, only R and S phase voltages and R and S phase electrical currents are valid;
If the three-phase four-wire system is used, it means: ""X-ph"&amp;"ase voltage"";
If it is a three-phase three-wire system, it means: ""x-x line voltage"".
Positive means the inverter sends power to the grid, negative means the inverter draws power from the grid.")</f>
        <v>If it is a single phase, only the R-phase voltage and R-phase electrical current are valid;
If there are two phases, only R and S phase voltages and R and S phase electrical currents are valid;
If the three-phase four-wire system is used, it means: "X-phase voltage";
If it is a three-phase three-wire system, it means: "x-x line voltage".
Positive means the inverter sends power to the grid, negative means the inverter draws power from the grid.</v>
      </c>
      <c r="K33" s="22"/>
      <c r="L33" s="46"/>
      <c r="M33" s="54"/>
      <c r="N33" s="55" t="s">
        <v>99</v>
      </c>
      <c r="O33" s="55" t="s">
        <v>217</v>
      </c>
      <c r="P33" s="55" t="s">
        <v>99</v>
      </c>
      <c r="Q33" s="55" t="s">
        <v>99</v>
      </c>
    </row>
    <row r="34" ht="15.75" customHeight="1">
      <c r="A34" s="91" t="s">
        <v>218</v>
      </c>
      <c r="B34" s="91" t="str">
        <f>IFERROR(__xludf.DUMMYFUNCTION("GOOGLETRANSLATE(A34, ""zh_CN"", ""en"")"),"Negative bus voltage")</f>
        <v>Negative bus voltage</v>
      </c>
      <c r="C34" s="91" t="s">
        <v>219</v>
      </c>
      <c r="D34" s="92" t="s">
        <v>220</v>
      </c>
      <c r="E34" s="91" t="s">
        <v>104</v>
      </c>
      <c r="F34" s="93">
        <v>2.0</v>
      </c>
      <c r="G34" s="91"/>
      <c r="H34" s="91" t="s">
        <v>215</v>
      </c>
      <c r="I34" s="15"/>
      <c r="J34" s="15"/>
      <c r="K34" s="22"/>
      <c r="L34" s="46"/>
      <c r="M34" s="54"/>
      <c r="N34" s="55" t="s">
        <v>99</v>
      </c>
      <c r="O34" s="55" t="s">
        <v>221</v>
      </c>
      <c r="P34" s="55" t="s">
        <v>99</v>
      </c>
      <c r="Q34" s="55" t="s">
        <v>99</v>
      </c>
    </row>
    <row r="35" ht="15.75" customHeight="1">
      <c r="A35" s="91" t="s">
        <v>222</v>
      </c>
      <c r="B35" s="91" t="str">
        <f>IFERROR(__xludf.DUMMYFUNCTION("GOOGLETRANSLATE(A35, ""zh_CN"", ""en"")"),"Insulation resistance value")</f>
        <v>Insulation resistance value</v>
      </c>
      <c r="C35" s="91" t="s">
        <v>223</v>
      </c>
      <c r="D35" s="92" t="s">
        <v>224</v>
      </c>
      <c r="E35" s="91" t="s">
        <v>104</v>
      </c>
      <c r="F35" s="93">
        <v>2.0</v>
      </c>
      <c r="G35" s="91"/>
      <c r="H35" s="91" t="s">
        <v>225</v>
      </c>
      <c r="I35" s="15"/>
      <c r="J35" s="15"/>
      <c r="K35" s="22"/>
      <c r="L35" s="46"/>
      <c r="M35" s="54"/>
      <c r="N35" s="55" t="s">
        <v>99</v>
      </c>
      <c r="O35" s="55" t="s">
        <v>226</v>
      </c>
      <c r="P35" s="55" t="s">
        <v>99</v>
      </c>
      <c r="Q35" s="55" t="s">
        <v>99</v>
      </c>
    </row>
    <row r="36" ht="15.75" customHeight="1">
      <c r="A36" s="91" t="s">
        <v>227</v>
      </c>
      <c r="B36" s="91" t="str">
        <f>IFERROR(__xludf.DUMMYFUNCTION("GOOGLETRANSLATE(A36, ""zh_CN"", ""en"")"),"Leakage current effective value")</f>
        <v>Leakage current effective value</v>
      </c>
      <c r="C36" s="91" t="s">
        <v>228</v>
      </c>
      <c r="D36" s="92" t="s">
        <v>229</v>
      </c>
      <c r="E36" s="91" t="s">
        <v>104</v>
      </c>
      <c r="F36" s="93">
        <v>2.0</v>
      </c>
      <c r="G36" s="91"/>
      <c r="H36" s="91" t="s">
        <v>230</v>
      </c>
      <c r="I36" s="15"/>
      <c r="J36" s="15"/>
      <c r="K36" s="22"/>
      <c r="L36" s="46"/>
      <c r="M36" s="54"/>
      <c r="N36" s="55" t="s">
        <v>99</v>
      </c>
      <c r="O36" s="55" t="s">
        <v>231</v>
      </c>
      <c r="P36" s="55" t="s">
        <v>99</v>
      </c>
      <c r="Q36" s="55" t="s">
        <v>99</v>
      </c>
    </row>
    <row r="37" ht="15.75" customHeight="1">
      <c r="A37" s="91" t="s">
        <v>232</v>
      </c>
      <c r="B37" s="91" t="str">
        <f>IFERROR(__xludf.DUMMYFUNCTION("GOOGLETRANSLATE(A37, ""zh_CN"", ""en"")"),"R phase DC component")</f>
        <v>R phase DC component</v>
      </c>
      <c r="C37" s="91" t="s">
        <v>233</v>
      </c>
      <c r="D37" s="92" t="s">
        <v>234</v>
      </c>
      <c r="E37" s="91" t="s">
        <v>235</v>
      </c>
      <c r="F37" s="93">
        <v>2.0</v>
      </c>
      <c r="G37" s="91"/>
      <c r="H37" s="91" t="s">
        <v>230</v>
      </c>
      <c r="I37" s="15"/>
      <c r="J37" s="15"/>
      <c r="K37" s="22"/>
      <c r="L37" s="46"/>
      <c r="M37" s="54"/>
      <c r="N37" s="55" t="s">
        <v>99</v>
      </c>
      <c r="O37" s="55" t="s">
        <v>236</v>
      </c>
      <c r="P37" s="55" t="s">
        <v>99</v>
      </c>
      <c r="Q37" s="55" t="s">
        <v>99</v>
      </c>
    </row>
    <row r="38" ht="15.75" customHeight="1">
      <c r="A38" s="91" t="s">
        <v>237</v>
      </c>
      <c r="B38" s="91" t="str">
        <f>IFERROR(__xludf.DUMMYFUNCTION("GOOGLETRANSLATE(A38, ""zh_CN"", ""en"")"),"S phase DC component")</f>
        <v>S phase DC component</v>
      </c>
      <c r="C38" s="91" t="s">
        <v>238</v>
      </c>
      <c r="D38" s="92" t="s">
        <v>239</v>
      </c>
      <c r="E38" s="91" t="s">
        <v>235</v>
      </c>
      <c r="F38" s="93">
        <v>2.0</v>
      </c>
      <c r="G38" s="91"/>
      <c r="H38" s="91" t="s">
        <v>230</v>
      </c>
      <c r="I38" s="15"/>
      <c r="J38" s="15"/>
      <c r="K38" s="22"/>
      <c r="L38" s="46"/>
      <c r="M38" s="54"/>
      <c r="N38" s="55" t="s">
        <v>99</v>
      </c>
      <c r="O38" s="55" t="s">
        <v>240</v>
      </c>
      <c r="P38" s="55" t="s">
        <v>99</v>
      </c>
      <c r="Q38" s="55" t="s">
        <v>99</v>
      </c>
    </row>
    <row r="39" ht="15.75" customHeight="1">
      <c r="A39" s="91" t="s">
        <v>241</v>
      </c>
      <c r="B39" s="91" t="str">
        <f>IFERROR(__xludf.DUMMYFUNCTION("GOOGLETRANSLATE(A39, ""zh_CN"", ""en"")"),"T phase DC component")</f>
        <v>T phase DC component</v>
      </c>
      <c r="C39" s="91" t="s">
        <v>242</v>
      </c>
      <c r="D39" s="92" t="s">
        <v>243</v>
      </c>
      <c r="E39" s="91" t="s">
        <v>235</v>
      </c>
      <c r="F39" s="93">
        <v>2.0</v>
      </c>
      <c r="G39" s="91"/>
      <c r="H39" s="91" t="s">
        <v>230</v>
      </c>
      <c r="I39" s="15"/>
      <c r="J39" s="15"/>
      <c r="K39" s="22"/>
      <c r="L39" s="46"/>
      <c r="M39" s="54"/>
      <c r="N39" s="55" t="s">
        <v>99</v>
      </c>
      <c r="O39" s="55" t="s">
        <v>244</v>
      </c>
      <c r="P39" s="55" t="s">
        <v>99</v>
      </c>
      <c r="Q39" s="55" t="s">
        <v>99</v>
      </c>
    </row>
    <row r="40" ht="15.75" customHeight="1">
      <c r="A40" s="91" t="s">
        <v>245</v>
      </c>
      <c r="B40" s="91" t="str">
        <f>IFERROR(__xludf.DUMMYFUNCTION("GOOGLETRANSLATE(A40, ""zh_CN"", ""en"")"),"R phase grid voltage")</f>
        <v>R phase grid voltage</v>
      </c>
      <c r="C40" s="91" t="s">
        <v>246</v>
      </c>
      <c r="D40" s="92" t="s">
        <v>247</v>
      </c>
      <c r="E40" s="91" t="s">
        <v>104</v>
      </c>
      <c r="F40" s="93">
        <v>2.0</v>
      </c>
      <c r="G40" s="91"/>
      <c r="H40" s="91" t="s">
        <v>215</v>
      </c>
      <c r="I40" s="15"/>
      <c r="J40" s="15"/>
      <c r="K40" s="22"/>
      <c r="L40" s="46"/>
      <c r="M40" s="54"/>
      <c r="N40" s="55" t="s">
        <v>99</v>
      </c>
      <c r="O40" s="55" t="s">
        <v>248</v>
      </c>
      <c r="P40" s="55" t="s">
        <v>99</v>
      </c>
      <c r="Q40" s="55" t="s">
        <v>99</v>
      </c>
    </row>
    <row r="41" ht="15.75" customHeight="1">
      <c r="A41" s="91" t="s">
        <v>249</v>
      </c>
      <c r="B41" s="91" t="str">
        <f>IFERROR(__xludf.DUMMYFUNCTION("GOOGLETRANSLATE(A41, ""zh_CN"", ""en"")"),"S phase grid voltage")</f>
        <v>S phase grid voltage</v>
      </c>
      <c r="C41" s="91" t="s">
        <v>250</v>
      </c>
      <c r="D41" s="92" t="s">
        <v>251</v>
      </c>
      <c r="E41" s="91" t="s">
        <v>104</v>
      </c>
      <c r="F41" s="93">
        <v>2.0</v>
      </c>
      <c r="G41" s="91"/>
      <c r="H41" s="91" t="s">
        <v>215</v>
      </c>
      <c r="I41" s="15"/>
      <c r="J41" s="15"/>
      <c r="K41" s="22"/>
      <c r="L41" s="46"/>
      <c r="M41" s="54"/>
      <c r="N41" s="55" t="s">
        <v>99</v>
      </c>
      <c r="O41" s="55" t="s">
        <v>252</v>
      </c>
      <c r="P41" s="55" t="s">
        <v>99</v>
      </c>
      <c r="Q41" s="55" t="s">
        <v>99</v>
      </c>
    </row>
    <row r="42" ht="15.75" customHeight="1">
      <c r="A42" s="91" t="s">
        <v>253</v>
      </c>
      <c r="B42" s="91" t="str">
        <f>IFERROR(__xludf.DUMMYFUNCTION("GOOGLETRANSLATE(A42, ""zh_CN"", ""en"")"),"T phase grid voltage")</f>
        <v>T phase grid voltage</v>
      </c>
      <c r="C42" s="91" t="s">
        <v>254</v>
      </c>
      <c r="D42" s="92" t="s">
        <v>255</v>
      </c>
      <c r="E42" s="91" t="s">
        <v>104</v>
      </c>
      <c r="F42" s="93">
        <v>2.0</v>
      </c>
      <c r="G42" s="91"/>
      <c r="H42" s="91" t="s">
        <v>215</v>
      </c>
      <c r="I42" s="15"/>
      <c r="J42" s="15"/>
      <c r="K42" s="22"/>
      <c r="L42" s="46"/>
      <c r="M42" s="54"/>
      <c r="N42" s="55" t="s">
        <v>99</v>
      </c>
      <c r="O42" s="55" t="s">
        <v>256</v>
      </c>
      <c r="P42" s="55" t="s">
        <v>99</v>
      </c>
      <c r="Q42" s="55" t="s">
        <v>99</v>
      </c>
    </row>
    <row r="43" ht="15.75" customHeight="1">
      <c r="A43" s="91" t="s">
        <v>257</v>
      </c>
      <c r="B43" s="91" t="str">
        <f>IFERROR(__xludf.DUMMYFUNCTION("GOOGLETRANSLATE(A43, ""zh_CN"", ""en"")"),"R phase inverter current")</f>
        <v>R phase inverter current</v>
      </c>
      <c r="C43" s="91" t="s">
        <v>258</v>
      </c>
      <c r="D43" s="92" t="s">
        <v>259</v>
      </c>
      <c r="E43" s="91" t="s">
        <v>235</v>
      </c>
      <c r="F43" s="93">
        <v>2.0</v>
      </c>
      <c r="G43" s="91"/>
      <c r="H43" s="91" t="s">
        <v>197</v>
      </c>
      <c r="I43" s="15"/>
      <c r="J43" s="15"/>
      <c r="K43" s="22"/>
      <c r="L43" s="46"/>
      <c r="M43" s="54"/>
      <c r="N43" s="55" t="s">
        <v>99</v>
      </c>
      <c r="O43" s="55" t="s">
        <v>260</v>
      </c>
      <c r="P43" s="55" t="s">
        <v>99</v>
      </c>
      <c r="Q43" s="55" t="s">
        <v>99</v>
      </c>
    </row>
    <row r="44" ht="15.75" customHeight="1">
      <c r="A44" s="91" t="s">
        <v>261</v>
      </c>
      <c r="B44" s="91" t="str">
        <f>IFERROR(__xludf.DUMMYFUNCTION("GOOGLETRANSLATE(A44, ""zh_CN"", ""en"")"),"S phase inverter current")</f>
        <v>S phase inverter current</v>
      </c>
      <c r="C44" s="91" t="s">
        <v>262</v>
      </c>
      <c r="D44" s="92" t="s">
        <v>263</v>
      </c>
      <c r="E44" s="91" t="s">
        <v>235</v>
      </c>
      <c r="F44" s="93">
        <v>2.0</v>
      </c>
      <c r="G44" s="91"/>
      <c r="H44" s="91" t="s">
        <v>197</v>
      </c>
      <c r="I44" s="15"/>
      <c r="J44" s="15"/>
      <c r="K44" s="22"/>
      <c r="L44" s="46"/>
      <c r="M44" s="54"/>
      <c r="N44" s="55" t="s">
        <v>99</v>
      </c>
      <c r="O44" s="55" t="s">
        <v>264</v>
      </c>
      <c r="P44" s="55" t="s">
        <v>99</v>
      </c>
      <c r="Q44" s="55" t="s">
        <v>99</v>
      </c>
    </row>
    <row r="45" ht="15.75" customHeight="1">
      <c r="A45" s="91" t="s">
        <v>265</v>
      </c>
      <c r="B45" s="91" t="str">
        <f>IFERROR(__xludf.DUMMYFUNCTION("GOOGLETRANSLATE(A45, ""zh_CN"", ""en"")"),"T phase inverter current")</f>
        <v>T phase inverter current</v>
      </c>
      <c r="C45" s="91" t="s">
        <v>266</v>
      </c>
      <c r="D45" s="92" t="s">
        <v>267</v>
      </c>
      <c r="E45" s="91" t="s">
        <v>235</v>
      </c>
      <c r="F45" s="93">
        <v>2.0</v>
      </c>
      <c r="G45" s="91"/>
      <c r="H45" s="91" t="s">
        <v>197</v>
      </c>
      <c r="I45" s="15"/>
      <c r="J45" s="15"/>
      <c r="K45" s="22"/>
      <c r="L45" s="46"/>
      <c r="M45" s="54"/>
      <c r="N45" s="55" t="s">
        <v>99</v>
      </c>
      <c r="O45" s="55" t="s">
        <v>268</v>
      </c>
      <c r="P45" s="55" t="s">
        <v>99</v>
      </c>
      <c r="Q45" s="55" t="s">
        <v>99</v>
      </c>
    </row>
    <row r="46" ht="15.75" customHeight="1">
      <c r="A46" s="91" t="s">
        <v>269</v>
      </c>
      <c r="B46" s="91" t="str">
        <f>IFERROR(__xludf.DUMMYFUNCTION("GOOGLETRANSLATE(A46, ""zh_CN"", ""en"")"),"R phase grid frequency")</f>
        <v>R phase grid frequency</v>
      </c>
      <c r="C46" s="91" t="s">
        <v>270</v>
      </c>
      <c r="D46" s="92" t="s">
        <v>271</v>
      </c>
      <c r="E46" s="91" t="s">
        <v>104</v>
      </c>
      <c r="F46" s="93">
        <v>2.0</v>
      </c>
      <c r="G46" s="91"/>
      <c r="H46" s="91" t="s">
        <v>272</v>
      </c>
      <c r="I46" s="15"/>
      <c r="J46" s="15"/>
      <c r="K46" s="22"/>
      <c r="L46" s="46"/>
      <c r="M46" s="54"/>
      <c r="N46" s="55" t="s">
        <v>99</v>
      </c>
      <c r="O46" s="55" t="s">
        <v>273</v>
      </c>
      <c r="P46" s="55" t="s">
        <v>99</v>
      </c>
      <c r="Q46" s="55" t="s">
        <v>99</v>
      </c>
    </row>
    <row r="47" ht="15.75" customHeight="1">
      <c r="A47" s="91" t="s">
        <v>274</v>
      </c>
      <c r="B47" s="91" t="str">
        <f>IFERROR(__xludf.DUMMYFUNCTION("GOOGLETRANSLATE(A47, ""zh_CN"", ""en"")"),"S phase grid frequency")</f>
        <v>S phase grid frequency</v>
      </c>
      <c r="C47" s="91" t="s">
        <v>275</v>
      </c>
      <c r="D47" s="92" t="s">
        <v>276</v>
      </c>
      <c r="E47" s="91" t="s">
        <v>104</v>
      </c>
      <c r="F47" s="93">
        <v>2.0</v>
      </c>
      <c r="G47" s="91"/>
      <c r="H47" s="91" t="s">
        <v>272</v>
      </c>
      <c r="I47" s="15"/>
      <c r="J47" s="15"/>
      <c r="K47" s="22"/>
      <c r="L47" s="46"/>
      <c r="M47" s="54"/>
      <c r="N47" s="55" t="s">
        <v>99</v>
      </c>
      <c r="O47" s="55" t="s">
        <v>277</v>
      </c>
      <c r="P47" s="55" t="s">
        <v>99</v>
      </c>
      <c r="Q47" s="55" t="s">
        <v>99</v>
      </c>
    </row>
    <row r="48" ht="15.75" customHeight="1">
      <c r="A48" s="91" t="s">
        <v>278</v>
      </c>
      <c r="B48" s="91" t="str">
        <f>IFERROR(__xludf.DUMMYFUNCTION("GOOGLETRANSLATE(A48, ""zh_CN"", ""en"")"),"T phase grid frequency")</f>
        <v>T phase grid frequency</v>
      </c>
      <c r="C48" s="91" t="s">
        <v>279</v>
      </c>
      <c r="D48" s="92" t="s">
        <v>280</v>
      </c>
      <c r="E48" s="91" t="s">
        <v>104</v>
      </c>
      <c r="F48" s="93">
        <v>2.0</v>
      </c>
      <c r="G48" s="91"/>
      <c r="H48" s="91" t="s">
        <v>272</v>
      </c>
      <c r="I48" s="15"/>
      <c r="J48" s="15"/>
      <c r="K48" s="22"/>
      <c r="L48" s="46"/>
      <c r="M48" s="54"/>
      <c r="N48" s="55" t="s">
        <v>99</v>
      </c>
      <c r="O48" s="55" t="s">
        <v>281</v>
      </c>
      <c r="P48" s="55" t="s">
        <v>99</v>
      </c>
      <c r="Q48" s="55" t="s">
        <v>99</v>
      </c>
    </row>
    <row r="49" ht="15.75" customHeight="1">
      <c r="A49" s="91" t="s">
        <v>282</v>
      </c>
      <c r="B49" s="91" t="str">
        <f>IFERROR(__xludf.DUMMYFUNCTION("GOOGLETRANSLATE(A49, ""zh_CN"", ""en"")"),"Phase A active power")</f>
        <v>Phase A active power</v>
      </c>
      <c r="C49" s="91" t="s">
        <v>283</v>
      </c>
      <c r="D49" s="92" t="s">
        <v>284</v>
      </c>
      <c r="E49" s="91" t="s">
        <v>285</v>
      </c>
      <c r="F49" s="93">
        <v>4.0</v>
      </c>
      <c r="G49" s="91"/>
      <c r="H49" s="91" t="s">
        <v>286</v>
      </c>
      <c r="I49" s="15"/>
      <c r="J49" s="15"/>
      <c r="K49" s="22"/>
      <c r="L49" s="46"/>
      <c r="M49" s="54"/>
      <c r="N49" s="55" t="s">
        <v>99</v>
      </c>
      <c r="O49" s="55" t="s">
        <v>287</v>
      </c>
      <c r="P49" s="55" t="s">
        <v>99</v>
      </c>
      <c r="Q49" s="55" t="s">
        <v>99</v>
      </c>
    </row>
    <row r="50" ht="15.75" customHeight="1">
      <c r="A50" s="91" t="s">
        <v>288</v>
      </c>
      <c r="B50" s="91" t="str">
        <f>IFERROR(__xludf.DUMMYFUNCTION("GOOGLETRANSLATE(A50, ""zh_CN"", ""en"")"),"B phase active power")</f>
        <v>B phase active power</v>
      </c>
      <c r="C50" s="91" t="s">
        <v>289</v>
      </c>
      <c r="D50" s="92" t="s">
        <v>290</v>
      </c>
      <c r="E50" s="91" t="s">
        <v>285</v>
      </c>
      <c r="F50" s="93">
        <v>4.0</v>
      </c>
      <c r="G50" s="91"/>
      <c r="H50" s="91" t="s">
        <v>286</v>
      </c>
      <c r="I50" s="15"/>
      <c r="J50" s="15"/>
      <c r="K50" s="22"/>
      <c r="L50" s="46"/>
      <c r="M50" s="54"/>
      <c r="N50" s="55" t="s">
        <v>99</v>
      </c>
      <c r="O50" s="55" t="s">
        <v>291</v>
      </c>
      <c r="P50" s="55" t="s">
        <v>99</v>
      </c>
      <c r="Q50" s="55" t="s">
        <v>99</v>
      </c>
    </row>
    <row r="51" ht="15.75" customHeight="1">
      <c r="A51" s="91" t="s">
        <v>292</v>
      </c>
      <c r="B51" s="91" t="str">
        <f>IFERROR(__xludf.DUMMYFUNCTION("GOOGLETRANSLATE(A51, ""zh_CN"", ""en"")"),"C phase active power")</f>
        <v>C phase active power</v>
      </c>
      <c r="C51" s="91" t="s">
        <v>293</v>
      </c>
      <c r="D51" s="96" t="s">
        <v>294</v>
      </c>
      <c r="E51" s="91" t="s">
        <v>285</v>
      </c>
      <c r="F51" s="93">
        <v>4.0</v>
      </c>
      <c r="G51" s="91"/>
      <c r="H51" s="91" t="s">
        <v>286</v>
      </c>
      <c r="I51" s="16"/>
      <c r="J51" s="16"/>
      <c r="K51" s="22"/>
      <c r="L51" s="46"/>
      <c r="M51" s="54"/>
      <c r="N51" s="55" t="s">
        <v>99</v>
      </c>
      <c r="O51" s="55" t="s">
        <v>295</v>
      </c>
      <c r="P51" s="55" t="s">
        <v>99</v>
      </c>
      <c r="Q51" s="55" t="s">
        <v>99</v>
      </c>
    </row>
    <row r="52" ht="15.75" customHeight="1">
      <c r="A52" s="91" t="s">
        <v>296</v>
      </c>
      <c r="B52" s="91" t="str">
        <f>IFERROR(__xludf.DUMMYFUNCTION("GOOGLETRANSLATE(A52, ""zh_CN"", ""en"")"),"total active power")</f>
        <v>total active power</v>
      </c>
      <c r="C52" s="91" t="s">
        <v>297</v>
      </c>
      <c r="D52" s="92" t="s">
        <v>298</v>
      </c>
      <c r="E52" s="91" t="s">
        <v>285</v>
      </c>
      <c r="F52" s="93">
        <v>4.0</v>
      </c>
      <c r="G52" s="91"/>
      <c r="H52" s="91" t="s">
        <v>286</v>
      </c>
      <c r="I52" s="91"/>
      <c r="J52" s="22"/>
      <c r="K52" s="22"/>
      <c r="L52" s="46"/>
      <c r="M52" s="54"/>
      <c r="N52" s="55" t="s">
        <v>99</v>
      </c>
      <c r="O52" s="55" t="s">
        <v>299</v>
      </c>
      <c r="P52" s="55" t="s">
        <v>99</v>
      </c>
      <c r="Q52" s="55" t="s">
        <v>99</v>
      </c>
    </row>
    <row r="53" ht="15.75" customHeight="1">
      <c r="A53" s="91" t="s">
        <v>300</v>
      </c>
      <c r="B53" s="91" t="str">
        <f>IFERROR(__xludf.DUMMYFUNCTION("GOOGLETRANSLATE(A53, ""zh_CN"", ""en"")"),"total reactive power")</f>
        <v>total reactive power</v>
      </c>
      <c r="C53" s="91" t="s">
        <v>301</v>
      </c>
      <c r="D53" s="92" t="s">
        <v>302</v>
      </c>
      <c r="E53" s="91" t="s">
        <v>285</v>
      </c>
      <c r="F53" s="93">
        <v>4.0</v>
      </c>
      <c r="G53" s="91"/>
      <c r="H53" s="91" t="s">
        <v>286</v>
      </c>
      <c r="I53" s="91"/>
      <c r="J53" s="22"/>
      <c r="K53" s="22"/>
      <c r="L53" s="46"/>
      <c r="M53" s="54"/>
      <c r="N53" s="55" t="s">
        <v>99</v>
      </c>
      <c r="O53" s="55" t="s">
        <v>303</v>
      </c>
      <c r="P53" s="55" t="s">
        <v>99</v>
      </c>
      <c r="Q53" s="55" t="s">
        <v>99</v>
      </c>
    </row>
    <row r="54" ht="15.75" customHeight="1">
      <c r="A54" s="91" t="s">
        <v>304</v>
      </c>
      <c r="B54" s="91" t="str">
        <f>IFERROR(__xludf.DUMMYFUNCTION("GOOGLETRANSLATE(A54, ""zh_CN"", ""en"")"),"Total power factor")</f>
        <v>Total power factor</v>
      </c>
      <c r="C54" s="91" t="s">
        <v>305</v>
      </c>
      <c r="D54" s="92" t="s">
        <v>306</v>
      </c>
      <c r="E54" s="91" t="s">
        <v>235</v>
      </c>
      <c r="F54" s="93">
        <v>2.0</v>
      </c>
      <c r="G54" s="91"/>
      <c r="H54" s="91">
        <v>0.001</v>
      </c>
      <c r="I54" s="91"/>
      <c r="J54" s="22"/>
      <c r="K54" s="22"/>
      <c r="L54" s="46"/>
      <c r="M54" s="54"/>
      <c r="N54" s="55" t="s">
        <v>99</v>
      </c>
      <c r="O54" s="55" t="s">
        <v>307</v>
      </c>
      <c r="P54" s="55" t="s">
        <v>99</v>
      </c>
      <c r="Q54" s="55" t="s">
        <v>99</v>
      </c>
    </row>
    <row r="55" ht="15.75" customHeight="1">
      <c r="A55" s="91" t="s">
        <v>308</v>
      </c>
      <c r="B55" s="91" t="str">
        <f>IFERROR(__xludf.DUMMYFUNCTION("GOOGLETRANSLATE(A55, ""zh_CN"", ""en"")"),"total apparent power")</f>
        <v>total apparent power</v>
      </c>
      <c r="C55" s="91" t="s">
        <v>309</v>
      </c>
      <c r="D55" s="92" t="s">
        <v>310</v>
      </c>
      <c r="E55" s="91" t="s">
        <v>110</v>
      </c>
      <c r="F55" s="93">
        <v>4.0</v>
      </c>
      <c r="G55" s="91"/>
      <c r="H55" s="91" t="s">
        <v>311</v>
      </c>
      <c r="I55" s="91"/>
      <c r="J55" s="22"/>
      <c r="K55" s="22"/>
      <c r="L55" s="46"/>
      <c r="M55" s="54"/>
      <c r="N55" s="55" t="s">
        <v>99</v>
      </c>
      <c r="O55" s="55" t="s">
        <v>312</v>
      </c>
      <c r="P55" s="55" t="s">
        <v>99</v>
      </c>
      <c r="Q55" s="55" t="s">
        <v>99</v>
      </c>
    </row>
    <row r="56" ht="15.75" customHeight="1">
      <c r="A56" s="91" t="s">
        <v>313</v>
      </c>
      <c r="B56" s="91" t="str">
        <f>IFERROR(__xludf.DUMMYFUNCTION("GOOGLETRANSLATE(A56, ""zh_CN"", ""en"")"),"R-phase grid-connected power (meter)")</f>
        <v>R-phase grid-connected power (meter)</v>
      </c>
      <c r="C56" s="91" t="s">
        <v>314</v>
      </c>
      <c r="D56" s="92" t="s">
        <v>315</v>
      </c>
      <c r="E56" s="91" t="s">
        <v>285</v>
      </c>
      <c r="F56" s="93">
        <v>4.0</v>
      </c>
      <c r="G56" s="91"/>
      <c r="H56" s="91" t="s">
        <v>286</v>
      </c>
      <c r="I56" s="94" t="s">
        <v>316</v>
      </c>
      <c r="J56" s="95" t="str">
        <f>IFERROR(__xludf.DUMMYFUNCTION("GOOGLETRANSLATE(I56, ""zh_CN"", ""en"")"),"Positive means the inverter sends power to the grid, negative means the inverter draws power from the grid.")</f>
        <v>Positive means the inverter sends power to the grid, negative means the inverter draws power from the grid.</v>
      </c>
      <c r="K56" s="22"/>
      <c r="L56" s="46"/>
      <c r="M56" s="54"/>
      <c r="N56" s="55" t="s">
        <v>99</v>
      </c>
      <c r="O56" s="55" t="s">
        <v>317</v>
      </c>
      <c r="P56" s="55" t="s">
        <v>99</v>
      </c>
      <c r="Q56" s="55" t="s">
        <v>99</v>
      </c>
    </row>
    <row r="57" ht="15.75" customHeight="1">
      <c r="A57" s="91" t="s">
        <v>318</v>
      </c>
      <c r="B57" s="91" t="str">
        <f>IFERROR(__xludf.DUMMYFUNCTION("GOOGLETRANSLATE(A57, ""zh_CN"", ""en"")"),"S-phase grid-connected power (meter)")</f>
        <v>S-phase grid-connected power (meter)</v>
      </c>
      <c r="C57" s="91" t="s">
        <v>319</v>
      </c>
      <c r="D57" s="92" t="s">
        <v>320</v>
      </c>
      <c r="E57" s="91" t="s">
        <v>285</v>
      </c>
      <c r="F57" s="93">
        <v>4.0</v>
      </c>
      <c r="G57" s="91"/>
      <c r="H57" s="91" t="s">
        <v>286</v>
      </c>
      <c r="I57" s="15"/>
      <c r="J57" s="15"/>
      <c r="K57" s="22"/>
      <c r="L57" s="46"/>
      <c r="M57" s="54"/>
      <c r="N57" s="55" t="s">
        <v>99</v>
      </c>
      <c r="O57" s="55" t="s">
        <v>321</v>
      </c>
      <c r="P57" s="55" t="s">
        <v>99</v>
      </c>
      <c r="Q57" s="55" t="s">
        <v>99</v>
      </c>
    </row>
    <row r="58" ht="15.75" customHeight="1">
      <c r="A58" s="91" t="s">
        <v>322</v>
      </c>
      <c r="B58" s="91" t="str">
        <f>IFERROR(__xludf.DUMMYFUNCTION("GOOGLETRANSLATE(A58, ""zh_CN"", ""en"")"),"T-phase grid-connected power (meter)")</f>
        <v>T-phase grid-connected power (meter)</v>
      </c>
      <c r="C58" s="91" t="s">
        <v>323</v>
      </c>
      <c r="D58" s="92" t="s">
        <v>324</v>
      </c>
      <c r="E58" s="91" t="s">
        <v>285</v>
      </c>
      <c r="F58" s="93">
        <v>4.0</v>
      </c>
      <c r="G58" s="91"/>
      <c r="H58" s="91" t="s">
        <v>286</v>
      </c>
      <c r="I58" s="16"/>
      <c r="J58" s="16"/>
      <c r="K58" s="22"/>
      <c r="L58" s="46"/>
      <c r="M58" s="54"/>
      <c r="N58" s="55" t="s">
        <v>99</v>
      </c>
      <c r="O58" s="55" t="s">
        <v>325</v>
      </c>
      <c r="P58" s="55" t="s">
        <v>99</v>
      </c>
      <c r="Q58" s="55" t="s">
        <v>99</v>
      </c>
    </row>
    <row r="59" ht="15.75" customHeight="1">
      <c r="A59" s="97" t="s">
        <v>326</v>
      </c>
      <c r="B59" s="98" t="str">
        <f>IFERROR(__xludf.DUMMYFUNCTION("GOOGLETRANSLATE(A59, ""zh_CN"", ""en"")"),"Total grid-connected active power")</f>
        <v>Total grid-connected active power</v>
      </c>
      <c r="C59" s="98" t="s">
        <v>327</v>
      </c>
      <c r="D59" s="96" t="s">
        <v>328</v>
      </c>
      <c r="E59" s="98" t="s">
        <v>285</v>
      </c>
      <c r="F59" s="99">
        <v>4.0</v>
      </c>
      <c r="G59" s="98"/>
      <c r="H59" s="98" t="s">
        <v>286</v>
      </c>
      <c r="I59" s="98"/>
      <c r="J59" s="100"/>
      <c r="K59" s="100"/>
      <c r="L59" s="101" t="s">
        <v>329</v>
      </c>
      <c r="M59" s="102" t="str">
        <f>IFERROR(__xludf.DUMMYFUNCTION("GOOGLETRANSLATE(L59, ""zh_CN"", ""en"")"),"Added unit W")</f>
        <v>Added unit W</v>
      </c>
      <c r="N59" s="103" t="s">
        <v>99</v>
      </c>
      <c r="O59" s="103" t="s">
        <v>330</v>
      </c>
      <c r="P59" s="103" t="s">
        <v>99</v>
      </c>
      <c r="Q59" s="103" t="s">
        <v>99</v>
      </c>
      <c r="R59" s="104"/>
      <c r="S59" s="104"/>
      <c r="T59" s="104"/>
      <c r="U59" s="104"/>
      <c r="V59" s="104"/>
      <c r="W59" s="104"/>
      <c r="X59" s="104"/>
      <c r="Y59" s="104"/>
      <c r="Z59" s="104"/>
      <c r="AA59" s="104"/>
      <c r="AB59" s="104"/>
      <c r="AC59" s="104"/>
    </row>
    <row r="60" ht="15.75" customHeight="1">
      <c r="A60" s="98" t="s">
        <v>331</v>
      </c>
      <c r="B60" s="98" t="str">
        <f>IFERROR(__xludf.DUMMYFUNCTION("GOOGLETRANSLATE(A60, ""zh_CN"", ""en"")"),"Total grid-connected reactive power")</f>
        <v>Total grid-connected reactive power</v>
      </c>
      <c r="C60" s="98" t="s">
        <v>332</v>
      </c>
      <c r="D60" s="96" t="s">
        <v>333</v>
      </c>
      <c r="E60" s="98" t="s">
        <v>285</v>
      </c>
      <c r="F60" s="99">
        <v>4.0</v>
      </c>
      <c r="G60" s="98"/>
      <c r="H60" s="105" t="s">
        <v>334</v>
      </c>
      <c r="I60" s="98"/>
      <c r="J60" s="100"/>
      <c r="K60" s="100"/>
      <c r="L60" s="101" t="s">
        <v>335</v>
      </c>
      <c r="M60" s="102" t="str">
        <f>IFERROR(__xludf.DUMMYFUNCTION("GOOGLETRANSLATE(L60, ""zh_CN"", ""en"")"),"Add new unit Var")</f>
        <v>Add new unit Var</v>
      </c>
      <c r="N60" s="103" t="s">
        <v>99</v>
      </c>
      <c r="O60" s="103" t="s">
        <v>336</v>
      </c>
      <c r="P60" s="103" t="s">
        <v>99</v>
      </c>
      <c r="Q60" s="103" t="s">
        <v>99</v>
      </c>
      <c r="R60" s="104"/>
      <c r="S60" s="104"/>
      <c r="T60" s="104"/>
      <c r="U60" s="104"/>
      <c r="V60" s="104"/>
      <c r="W60" s="104"/>
      <c r="X60" s="104"/>
      <c r="Y60" s="104"/>
      <c r="Z60" s="104"/>
      <c r="AA60" s="104"/>
      <c r="AB60" s="104"/>
      <c r="AC60" s="104"/>
    </row>
    <row r="61" ht="15.75" customHeight="1">
      <c r="A61" s="97" t="s">
        <v>337</v>
      </c>
      <c r="B61" s="98" t="str">
        <f>IFERROR(__xludf.DUMMYFUNCTION("GOOGLETRANSLATE(A61, ""zh_CN"", ""en"")"),"Total grid-connected apparent power")</f>
        <v>Total grid-connected apparent power</v>
      </c>
      <c r="C61" s="98" t="s">
        <v>338</v>
      </c>
      <c r="D61" s="96" t="s">
        <v>339</v>
      </c>
      <c r="E61" s="98" t="s">
        <v>110</v>
      </c>
      <c r="F61" s="99">
        <v>4.0</v>
      </c>
      <c r="G61" s="98"/>
      <c r="H61" s="98" t="s">
        <v>311</v>
      </c>
      <c r="I61" s="98"/>
      <c r="J61" s="100"/>
      <c r="K61" s="100"/>
      <c r="L61" s="101" t="s">
        <v>340</v>
      </c>
      <c r="M61" s="102" t="str">
        <f>IFERROR(__xludf.DUMMYFUNCTION("GOOGLETRANSLATE(L61, ""zh_CN"", ""en"")"),"Add new unit VA")</f>
        <v>Add new unit VA</v>
      </c>
      <c r="N61" s="103" t="s">
        <v>99</v>
      </c>
      <c r="O61" s="103" t="s">
        <v>341</v>
      </c>
      <c r="P61" s="103" t="s">
        <v>99</v>
      </c>
      <c r="Q61" s="103" t="s">
        <v>99</v>
      </c>
      <c r="R61" s="104"/>
      <c r="S61" s="104"/>
      <c r="T61" s="104"/>
      <c r="U61" s="104"/>
      <c r="V61" s="104"/>
      <c r="W61" s="104"/>
      <c r="X61" s="104"/>
      <c r="Y61" s="104"/>
      <c r="Z61" s="104"/>
      <c r="AA61" s="104"/>
      <c r="AB61" s="104"/>
      <c r="AC61" s="104"/>
    </row>
    <row r="62" ht="15.75" customHeight="1">
      <c r="A62" s="91" t="s">
        <v>342</v>
      </c>
      <c r="B62" s="91" t="str">
        <f>IFERROR(__xludf.DUMMYFUNCTION("GOOGLETRANSLATE(A62, ""zh_CN"", ""en"")"),"R phase load active power")</f>
        <v>R phase load active power</v>
      </c>
      <c r="C62" s="91" t="s">
        <v>343</v>
      </c>
      <c r="D62" s="92" t="s">
        <v>344</v>
      </c>
      <c r="E62" s="91" t="s">
        <v>285</v>
      </c>
      <c r="F62" s="93">
        <v>4.0</v>
      </c>
      <c r="G62" s="91"/>
      <c r="H62" s="91" t="s">
        <v>286</v>
      </c>
      <c r="I62" s="91"/>
      <c r="J62" s="22"/>
      <c r="K62" s="22"/>
      <c r="L62" s="53"/>
      <c r="M62" s="54"/>
      <c r="N62" s="55" t="s">
        <v>99</v>
      </c>
      <c r="O62" s="55" t="s">
        <v>345</v>
      </c>
      <c r="P62" s="55" t="s">
        <v>99</v>
      </c>
      <c r="Q62" s="55" t="s">
        <v>99</v>
      </c>
    </row>
    <row r="63" ht="15.75" customHeight="1">
      <c r="A63" s="91" t="s">
        <v>346</v>
      </c>
      <c r="B63" s="91" t="str">
        <f>IFERROR(__xludf.DUMMYFUNCTION("GOOGLETRANSLATE(A63, ""zh_CN"", ""en"")"),"S phase load active power")</f>
        <v>S phase load active power</v>
      </c>
      <c r="C63" s="91" t="s">
        <v>347</v>
      </c>
      <c r="D63" s="92" t="s">
        <v>348</v>
      </c>
      <c r="E63" s="91" t="s">
        <v>285</v>
      </c>
      <c r="F63" s="93">
        <v>4.0</v>
      </c>
      <c r="G63" s="91"/>
      <c r="H63" s="91" t="s">
        <v>286</v>
      </c>
      <c r="I63" s="91"/>
      <c r="J63" s="22"/>
      <c r="K63" s="22"/>
      <c r="L63" s="53"/>
      <c r="M63" s="54"/>
      <c r="N63" s="55" t="s">
        <v>99</v>
      </c>
      <c r="O63" s="55" t="s">
        <v>349</v>
      </c>
      <c r="P63" s="55" t="s">
        <v>99</v>
      </c>
      <c r="Q63" s="55" t="s">
        <v>99</v>
      </c>
    </row>
    <row r="64" ht="15.75" customHeight="1">
      <c r="A64" s="91" t="s">
        <v>350</v>
      </c>
      <c r="B64" s="91" t="str">
        <f>IFERROR(__xludf.DUMMYFUNCTION("GOOGLETRANSLATE(A64, ""zh_CN"", ""en"")"),"T phase load active power")</f>
        <v>T phase load active power</v>
      </c>
      <c r="C64" s="91" t="s">
        <v>351</v>
      </c>
      <c r="D64" s="92" t="s">
        <v>352</v>
      </c>
      <c r="E64" s="91" t="s">
        <v>285</v>
      </c>
      <c r="F64" s="93">
        <v>4.0</v>
      </c>
      <c r="G64" s="91"/>
      <c r="H64" s="91" t="s">
        <v>286</v>
      </c>
      <c r="I64" s="91"/>
      <c r="J64" s="22"/>
      <c r="K64" s="22"/>
      <c r="L64" s="53"/>
      <c r="M64" s="54"/>
      <c r="N64" s="55" t="s">
        <v>99</v>
      </c>
      <c r="O64" s="55" t="s">
        <v>353</v>
      </c>
      <c r="P64" s="55" t="s">
        <v>99</v>
      </c>
      <c r="Q64" s="55" t="s">
        <v>99</v>
      </c>
    </row>
    <row r="65" ht="15.75" customHeight="1">
      <c r="A65" s="98" t="s">
        <v>354</v>
      </c>
      <c r="B65" s="98" t="str">
        <f>IFERROR(__xludf.DUMMYFUNCTION("GOOGLETRANSLATE(A65, ""zh_CN"", ""en"")"),"Total load active power")</f>
        <v>Total load active power</v>
      </c>
      <c r="C65" s="98" t="s">
        <v>355</v>
      </c>
      <c r="D65" s="96" t="s">
        <v>356</v>
      </c>
      <c r="E65" s="98" t="s">
        <v>285</v>
      </c>
      <c r="F65" s="99">
        <v>4.0</v>
      </c>
      <c r="G65" s="98"/>
      <c r="H65" s="98" t="s">
        <v>286</v>
      </c>
      <c r="I65" s="98"/>
      <c r="J65" s="100"/>
      <c r="K65" s="100"/>
      <c r="L65" s="101" t="s">
        <v>357</v>
      </c>
      <c r="M65" s="102" t="str">
        <f>IFERROR(__xludf.DUMMYFUNCTION("GOOGLETRANSLATE(L65, ""zh_CN"", ""en"")"),"Added unit W")</f>
        <v>Added unit W</v>
      </c>
      <c r="N65" s="103" t="s">
        <v>99</v>
      </c>
      <c r="O65" s="103" t="s">
        <v>358</v>
      </c>
      <c r="P65" s="103" t="s">
        <v>99</v>
      </c>
      <c r="Q65" s="103" t="s">
        <v>99</v>
      </c>
      <c r="R65" s="104"/>
      <c r="S65" s="104"/>
      <c r="T65" s="104"/>
      <c r="U65" s="104"/>
      <c r="V65" s="104"/>
      <c r="W65" s="104"/>
      <c r="X65" s="104"/>
      <c r="Y65" s="104"/>
      <c r="Z65" s="104"/>
      <c r="AA65" s="104"/>
      <c r="AB65" s="104"/>
      <c r="AC65" s="104"/>
    </row>
    <row r="66" ht="15.75" customHeight="1">
      <c r="A66" s="98" t="s">
        <v>359</v>
      </c>
      <c r="B66" s="98" t="str">
        <f>IFERROR(__xludf.DUMMYFUNCTION("GOOGLETRANSLATE(A66, ""zh_CN"", ""en"")"),"Total load reactive power")</f>
        <v>Total load reactive power</v>
      </c>
      <c r="C66" s="98" t="s">
        <v>360</v>
      </c>
      <c r="D66" s="96" t="s">
        <v>361</v>
      </c>
      <c r="E66" s="98" t="s">
        <v>285</v>
      </c>
      <c r="F66" s="99">
        <v>4.0</v>
      </c>
      <c r="G66" s="98"/>
      <c r="H66" s="105" t="s">
        <v>334</v>
      </c>
      <c r="I66" s="98"/>
      <c r="J66" s="100"/>
      <c r="K66" s="100"/>
      <c r="L66" s="101" t="s">
        <v>362</v>
      </c>
      <c r="M66" s="102" t="str">
        <f>IFERROR(__xludf.DUMMYFUNCTION("GOOGLETRANSLATE(L66, ""zh_CN"", ""en"")"),"Add new unit Var")</f>
        <v>Add new unit Var</v>
      </c>
      <c r="N66" s="103" t="s">
        <v>99</v>
      </c>
      <c r="O66" s="103" t="s">
        <v>363</v>
      </c>
      <c r="P66" s="103" t="s">
        <v>99</v>
      </c>
      <c r="Q66" s="103" t="s">
        <v>99</v>
      </c>
      <c r="R66" s="104"/>
      <c r="S66" s="104"/>
      <c r="T66" s="104"/>
      <c r="U66" s="104"/>
      <c r="V66" s="104"/>
      <c r="W66" s="104"/>
      <c r="X66" s="104"/>
      <c r="Y66" s="104"/>
      <c r="Z66" s="104"/>
      <c r="AA66" s="104"/>
      <c r="AB66" s="104"/>
      <c r="AC66" s="104"/>
    </row>
    <row r="67" ht="15.75" customHeight="1">
      <c r="A67" s="98" t="s">
        <v>364</v>
      </c>
      <c r="B67" s="98" t="str">
        <f>IFERROR(__xludf.DUMMYFUNCTION("GOOGLETRANSLATE(A67, ""zh_CN"", ""en"")"),"Total load apparent power")</f>
        <v>Total load apparent power</v>
      </c>
      <c r="C67" s="98" t="s">
        <v>365</v>
      </c>
      <c r="D67" s="96" t="s">
        <v>366</v>
      </c>
      <c r="E67" s="98" t="s">
        <v>110</v>
      </c>
      <c r="F67" s="99">
        <v>4.0</v>
      </c>
      <c r="G67" s="98"/>
      <c r="H67" s="105" t="s">
        <v>311</v>
      </c>
      <c r="I67" s="98"/>
      <c r="J67" s="100"/>
      <c r="K67" s="100"/>
      <c r="L67" s="101" t="s">
        <v>367</v>
      </c>
      <c r="M67" s="102" t="str">
        <f>IFERROR(__xludf.DUMMYFUNCTION("GOOGLETRANSLATE(L67, ""zh_CN"", ""en"")"),"Add new unit VA")</f>
        <v>Add new unit VA</v>
      </c>
      <c r="N67" s="103" t="s">
        <v>99</v>
      </c>
      <c r="O67" s="103" t="s">
        <v>368</v>
      </c>
      <c r="P67" s="103" t="s">
        <v>99</v>
      </c>
      <c r="Q67" s="103" t="s">
        <v>99</v>
      </c>
      <c r="R67" s="104"/>
      <c r="S67" s="104"/>
      <c r="T67" s="104"/>
      <c r="U67" s="104"/>
      <c r="V67" s="104"/>
      <c r="W67" s="104"/>
      <c r="X67" s="104"/>
      <c r="Y67" s="104"/>
      <c r="Z67" s="104"/>
      <c r="AA67" s="104"/>
      <c r="AB67" s="104"/>
      <c r="AC67" s="104"/>
    </row>
    <row r="68" ht="15.75" customHeight="1">
      <c r="A68" s="98" t="s">
        <v>369</v>
      </c>
      <c r="B68" s="98" t="str">
        <f>IFERROR(__xludf.DUMMYFUNCTION("GOOGLETRANSLATE(A68, ""zh_CN"", ""en"")"),"PV total power")</f>
        <v>PV total power</v>
      </c>
      <c r="C68" s="98" t="s">
        <v>370</v>
      </c>
      <c r="D68" s="96" t="s">
        <v>371</v>
      </c>
      <c r="E68" s="98" t="s">
        <v>110</v>
      </c>
      <c r="F68" s="99">
        <v>4.0</v>
      </c>
      <c r="G68" s="98"/>
      <c r="H68" s="105" t="s">
        <v>286</v>
      </c>
      <c r="I68" s="98"/>
      <c r="J68" s="100"/>
      <c r="K68" s="100"/>
      <c r="L68" s="101" t="s">
        <v>372</v>
      </c>
      <c r="M68" s="102" t="str">
        <f>IFERROR(__xludf.DUMMYFUNCTION("GOOGLETRANSLATE(L68, ""zh_CN"", ""en"")"),"Added unit W")</f>
        <v>Added unit W</v>
      </c>
      <c r="N68" s="103" t="s">
        <v>99</v>
      </c>
      <c r="O68" s="103" t="s">
        <v>373</v>
      </c>
      <c r="P68" s="103" t="s">
        <v>99</v>
      </c>
      <c r="Q68" s="103" t="s">
        <v>99</v>
      </c>
      <c r="R68" s="104"/>
      <c r="S68" s="104"/>
      <c r="T68" s="104"/>
      <c r="U68" s="104"/>
      <c r="V68" s="104"/>
      <c r="W68" s="104"/>
      <c r="X68" s="104"/>
      <c r="Y68" s="104"/>
      <c r="Z68" s="104"/>
      <c r="AA68" s="104"/>
      <c r="AB68" s="104"/>
      <c r="AC68" s="104"/>
    </row>
    <row r="69" ht="15.75" customHeight="1">
      <c r="A69" s="91" t="s">
        <v>374</v>
      </c>
      <c r="B69" s="91" t="str">
        <f>IFERROR(__xludf.DUMMYFUNCTION("GOOGLETRANSLATE(A69, ""zh_CN"", ""en"")"),"PV1 voltage")</f>
        <v>PV1 voltage</v>
      </c>
      <c r="C69" s="91" t="s">
        <v>375</v>
      </c>
      <c r="D69" s="92" t="s">
        <v>376</v>
      </c>
      <c r="E69" s="91" t="s">
        <v>104</v>
      </c>
      <c r="F69" s="93">
        <v>2.0</v>
      </c>
      <c r="G69" s="91"/>
      <c r="H69" s="91" t="s">
        <v>215</v>
      </c>
      <c r="I69" s="91"/>
      <c r="J69" s="22"/>
      <c r="K69" s="22"/>
      <c r="L69" s="46"/>
      <c r="M69" s="54"/>
      <c r="N69" s="55" t="s">
        <v>99</v>
      </c>
      <c r="O69" s="55" t="s">
        <v>377</v>
      </c>
      <c r="P69" s="55" t="s">
        <v>99</v>
      </c>
      <c r="Q69" s="55" t="s">
        <v>99</v>
      </c>
    </row>
    <row r="70" ht="15.75" customHeight="1">
      <c r="A70" s="91" t="s">
        <v>378</v>
      </c>
      <c r="B70" s="91" t="str">
        <f>IFERROR(__xludf.DUMMYFUNCTION("GOOGLETRANSLATE(A70, ""zh_CN"", ""en"")"),"PV1 current")</f>
        <v>PV1 current</v>
      </c>
      <c r="C70" s="91" t="s">
        <v>379</v>
      </c>
      <c r="D70" s="92" t="s">
        <v>380</v>
      </c>
      <c r="E70" s="91" t="s">
        <v>104</v>
      </c>
      <c r="F70" s="93">
        <v>2.0</v>
      </c>
      <c r="G70" s="91"/>
      <c r="H70" s="91" t="s">
        <v>197</v>
      </c>
      <c r="I70" s="91"/>
      <c r="J70" s="22"/>
      <c r="K70" s="22"/>
      <c r="L70" s="46"/>
      <c r="M70" s="54"/>
      <c r="N70" s="55" t="s">
        <v>99</v>
      </c>
      <c r="O70" s="55" t="s">
        <v>381</v>
      </c>
      <c r="P70" s="55" t="s">
        <v>99</v>
      </c>
      <c r="Q70" s="55" t="s">
        <v>99</v>
      </c>
    </row>
    <row r="71" ht="15.75" customHeight="1">
      <c r="A71" s="91" t="s">
        <v>382</v>
      </c>
      <c r="B71" s="91" t="str">
        <f>IFERROR(__xludf.DUMMYFUNCTION("GOOGLETRANSLATE(A71, ""zh_CN"", ""en"")"),"PV1 power")</f>
        <v>PV1 power</v>
      </c>
      <c r="C71" s="91" t="s">
        <v>383</v>
      </c>
      <c r="D71" s="92" t="s">
        <v>384</v>
      </c>
      <c r="E71" s="91" t="s">
        <v>104</v>
      </c>
      <c r="F71" s="93">
        <v>2.0</v>
      </c>
      <c r="G71" s="91"/>
      <c r="H71" s="91" t="s">
        <v>286</v>
      </c>
      <c r="I71" s="91"/>
      <c r="J71" s="22"/>
      <c r="K71" s="22"/>
      <c r="L71" s="46"/>
      <c r="M71" s="54"/>
      <c r="N71" s="55" t="s">
        <v>99</v>
      </c>
      <c r="O71" s="55" t="s">
        <v>385</v>
      </c>
      <c r="P71" s="55" t="s">
        <v>99</v>
      </c>
      <c r="Q71" s="55" t="s">
        <v>99</v>
      </c>
    </row>
    <row r="72" ht="15.75" customHeight="1">
      <c r="A72" s="91" t="s">
        <v>386</v>
      </c>
      <c r="B72" s="91" t="str">
        <f>IFERROR(__xludf.DUMMYFUNCTION("GOOGLETRANSLATE(A72, ""zh_CN"", ""en"")"),"PV2 voltage")</f>
        <v>PV2 voltage</v>
      </c>
      <c r="C72" s="91" t="s">
        <v>387</v>
      </c>
      <c r="D72" s="92" t="s">
        <v>388</v>
      </c>
      <c r="E72" s="91" t="s">
        <v>104</v>
      </c>
      <c r="F72" s="93">
        <v>2.0</v>
      </c>
      <c r="G72" s="91"/>
      <c r="H72" s="91" t="s">
        <v>215</v>
      </c>
      <c r="I72" s="91"/>
      <c r="J72" s="22"/>
      <c r="K72" s="22"/>
      <c r="L72" s="46"/>
      <c r="M72" s="54"/>
      <c r="N72" s="55" t="s">
        <v>99</v>
      </c>
      <c r="O72" s="55" t="s">
        <v>389</v>
      </c>
      <c r="P72" s="55" t="s">
        <v>99</v>
      </c>
      <c r="Q72" s="55" t="s">
        <v>99</v>
      </c>
    </row>
    <row r="73" ht="15.75" customHeight="1">
      <c r="A73" s="91" t="s">
        <v>390</v>
      </c>
      <c r="B73" s="91" t="str">
        <f>IFERROR(__xludf.DUMMYFUNCTION("GOOGLETRANSLATE(A73, ""zh_CN"", ""en"")"),"PV2 current")</f>
        <v>PV2 current</v>
      </c>
      <c r="C73" s="91" t="s">
        <v>391</v>
      </c>
      <c r="D73" s="92" t="s">
        <v>392</v>
      </c>
      <c r="E73" s="91" t="s">
        <v>104</v>
      </c>
      <c r="F73" s="93">
        <v>2.0</v>
      </c>
      <c r="G73" s="91"/>
      <c r="H73" s="91" t="s">
        <v>197</v>
      </c>
      <c r="I73" s="91"/>
      <c r="J73" s="22"/>
      <c r="K73" s="22"/>
      <c r="L73" s="46"/>
      <c r="M73" s="54"/>
      <c r="N73" s="55" t="s">
        <v>99</v>
      </c>
      <c r="O73" s="55" t="s">
        <v>393</v>
      </c>
      <c r="P73" s="55" t="s">
        <v>99</v>
      </c>
      <c r="Q73" s="55" t="s">
        <v>99</v>
      </c>
    </row>
    <row r="74" ht="15.75" customHeight="1">
      <c r="A74" s="91" t="s">
        <v>394</v>
      </c>
      <c r="B74" s="91" t="str">
        <f>IFERROR(__xludf.DUMMYFUNCTION("GOOGLETRANSLATE(A74, ""zh_CN"", ""en"")"),"PV2 power")</f>
        <v>PV2 power</v>
      </c>
      <c r="C74" s="91" t="s">
        <v>395</v>
      </c>
      <c r="D74" s="92" t="s">
        <v>396</v>
      </c>
      <c r="E74" s="91" t="s">
        <v>104</v>
      </c>
      <c r="F74" s="93">
        <v>2.0</v>
      </c>
      <c r="G74" s="91"/>
      <c r="H74" s="91" t="s">
        <v>286</v>
      </c>
      <c r="I74" s="91"/>
      <c r="J74" s="22"/>
      <c r="K74" s="22"/>
      <c r="L74" s="46"/>
      <c r="M74" s="54"/>
      <c r="N74" s="55" t="s">
        <v>99</v>
      </c>
      <c r="O74" s="55" t="s">
        <v>397</v>
      </c>
      <c r="P74" s="55" t="s">
        <v>99</v>
      </c>
      <c r="Q74" s="55" t="s">
        <v>99</v>
      </c>
    </row>
    <row r="75" ht="15.75" customHeight="1">
      <c r="A75" s="91" t="s">
        <v>398</v>
      </c>
      <c r="B75" s="91" t="str">
        <f>IFERROR(__xludf.DUMMYFUNCTION("GOOGLETRANSLATE(A75, ""zh_CN"", ""en"")"),"PV3 voltage")</f>
        <v>PV3 voltage</v>
      </c>
      <c r="C75" s="91" t="s">
        <v>399</v>
      </c>
      <c r="D75" s="92" t="s">
        <v>400</v>
      </c>
      <c r="E75" s="91" t="s">
        <v>104</v>
      </c>
      <c r="F75" s="93">
        <v>2.0</v>
      </c>
      <c r="G75" s="91"/>
      <c r="H75" s="91" t="s">
        <v>215</v>
      </c>
      <c r="I75" s="91"/>
      <c r="J75" s="22"/>
      <c r="K75" s="22"/>
      <c r="L75" s="46"/>
      <c r="M75" s="54"/>
      <c r="N75" s="55" t="s">
        <v>99</v>
      </c>
      <c r="O75" s="55" t="s">
        <v>401</v>
      </c>
      <c r="P75" s="55" t="s">
        <v>99</v>
      </c>
      <c r="Q75" s="55" t="s">
        <v>99</v>
      </c>
    </row>
    <row r="76" ht="15.75" customHeight="1">
      <c r="A76" s="91" t="s">
        <v>402</v>
      </c>
      <c r="B76" s="91" t="str">
        <f>IFERROR(__xludf.DUMMYFUNCTION("GOOGLETRANSLATE(A76, ""zh_CN"", ""en"")"),"PV3 current")</f>
        <v>PV3 current</v>
      </c>
      <c r="C76" s="91" t="s">
        <v>403</v>
      </c>
      <c r="D76" s="92" t="s">
        <v>404</v>
      </c>
      <c r="E76" s="91" t="s">
        <v>104</v>
      </c>
      <c r="F76" s="93">
        <v>2.0</v>
      </c>
      <c r="G76" s="91"/>
      <c r="H76" s="91" t="s">
        <v>197</v>
      </c>
      <c r="I76" s="91"/>
      <c r="J76" s="22"/>
      <c r="K76" s="22"/>
      <c r="L76" s="46"/>
      <c r="M76" s="54"/>
      <c r="N76" s="55" t="s">
        <v>99</v>
      </c>
      <c r="O76" s="55" t="s">
        <v>405</v>
      </c>
      <c r="P76" s="55" t="s">
        <v>99</v>
      </c>
      <c r="Q76" s="55" t="s">
        <v>99</v>
      </c>
    </row>
    <row r="77" ht="15.75" customHeight="1">
      <c r="A77" s="91" t="s">
        <v>406</v>
      </c>
      <c r="B77" s="91" t="str">
        <f>IFERROR(__xludf.DUMMYFUNCTION("GOOGLETRANSLATE(A77, ""zh_CN"", ""en"")"),"PV3 power")</f>
        <v>PV3 power</v>
      </c>
      <c r="C77" s="91" t="s">
        <v>407</v>
      </c>
      <c r="D77" s="92" t="s">
        <v>408</v>
      </c>
      <c r="E77" s="91" t="s">
        <v>104</v>
      </c>
      <c r="F77" s="93">
        <v>2.0</v>
      </c>
      <c r="G77" s="91"/>
      <c r="H77" s="91" t="s">
        <v>286</v>
      </c>
      <c r="I77" s="91"/>
      <c r="J77" s="22"/>
      <c r="K77" s="22"/>
      <c r="L77" s="46"/>
      <c r="M77" s="54"/>
      <c r="N77" s="55" t="s">
        <v>99</v>
      </c>
      <c r="O77" s="55" t="s">
        <v>409</v>
      </c>
      <c r="P77" s="55" t="s">
        <v>99</v>
      </c>
      <c r="Q77" s="55" t="s">
        <v>99</v>
      </c>
    </row>
    <row r="78" ht="15.75" customHeight="1">
      <c r="A78" s="91" t="s">
        <v>410</v>
      </c>
      <c r="B78" s="91" t="str">
        <f>IFERROR(__xludf.DUMMYFUNCTION("GOOGLETRANSLATE(A78, ""zh_CN"", ""en"")"),"PV4 voltage")</f>
        <v>PV4 voltage</v>
      </c>
      <c r="C78" s="91" t="s">
        <v>411</v>
      </c>
      <c r="D78" s="92" t="s">
        <v>412</v>
      </c>
      <c r="E78" s="91" t="s">
        <v>104</v>
      </c>
      <c r="F78" s="93">
        <v>2.0</v>
      </c>
      <c r="G78" s="91"/>
      <c r="H78" s="91" t="s">
        <v>215</v>
      </c>
      <c r="I78" s="91"/>
      <c r="J78" s="22"/>
      <c r="K78" s="22"/>
      <c r="L78" s="46"/>
      <c r="M78" s="54"/>
      <c r="N78" s="55" t="s">
        <v>99</v>
      </c>
      <c r="O78" s="55" t="s">
        <v>413</v>
      </c>
      <c r="P78" s="55" t="s">
        <v>99</v>
      </c>
      <c r="Q78" s="55" t="s">
        <v>99</v>
      </c>
    </row>
    <row r="79" ht="15.75" customHeight="1">
      <c r="A79" s="91" t="s">
        <v>414</v>
      </c>
      <c r="B79" s="91" t="str">
        <f>IFERROR(__xludf.DUMMYFUNCTION("GOOGLETRANSLATE(A79, ""zh_CN"", ""en"")"),"PV4 current")</f>
        <v>PV4 current</v>
      </c>
      <c r="C79" s="91" t="s">
        <v>415</v>
      </c>
      <c r="D79" s="92" t="s">
        <v>416</v>
      </c>
      <c r="E79" s="91" t="s">
        <v>104</v>
      </c>
      <c r="F79" s="93">
        <v>2.0</v>
      </c>
      <c r="G79" s="91"/>
      <c r="H79" s="91" t="s">
        <v>197</v>
      </c>
      <c r="I79" s="91"/>
      <c r="J79" s="22"/>
      <c r="K79" s="22"/>
      <c r="L79" s="46"/>
      <c r="M79" s="54"/>
      <c r="N79" s="55" t="s">
        <v>99</v>
      </c>
      <c r="O79" s="55" t="s">
        <v>417</v>
      </c>
      <c r="P79" s="55" t="s">
        <v>99</v>
      </c>
      <c r="Q79" s="55" t="s">
        <v>99</v>
      </c>
    </row>
    <row r="80" ht="15.75" customHeight="1">
      <c r="A80" s="91" t="s">
        <v>418</v>
      </c>
      <c r="B80" s="91" t="str">
        <f>IFERROR(__xludf.DUMMYFUNCTION("GOOGLETRANSLATE(A80, ""zh_CN"", ""en"")"),"PV4 power")</f>
        <v>PV4 power</v>
      </c>
      <c r="C80" s="91" t="s">
        <v>419</v>
      </c>
      <c r="D80" s="92" t="s">
        <v>420</v>
      </c>
      <c r="E80" s="91" t="s">
        <v>104</v>
      </c>
      <c r="F80" s="93">
        <v>2.0</v>
      </c>
      <c r="G80" s="91"/>
      <c r="H80" s="91" t="s">
        <v>286</v>
      </c>
      <c r="I80" s="91"/>
      <c r="J80" s="22"/>
      <c r="K80" s="22"/>
      <c r="L80" s="46"/>
      <c r="M80" s="54"/>
      <c r="N80" s="55" t="s">
        <v>99</v>
      </c>
      <c r="O80" s="55" t="s">
        <v>421</v>
      </c>
      <c r="P80" s="55" t="s">
        <v>99</v>
      </c>
      <c r="Q80" s="55" t="s">
        <v>99</v>
      </c>
    </row>
    <row r="81" ht="15.75" customHeight="1">
      <c r="A81" s="91" t="s">
        <v>422</v>
      </c>
      <c r="B81" s="91" t="str">
        <f>IFERROR(__xludf.DUMMYFUNCTION("GOOGLETRANSLATE(A81, ""zh_CN"", ""en"")"),"PV5 voltage")</f>
        <v>PV5 voltage</v>
      </c>
      <c r="C81" s="91" t="s">
        <v>423</v>
      </c>
      <c r="D81" s="92" t="s">
        <v>424</v>
      </c>
      <c r="E81" s="91" t="s">
        <v>104</v>
      </c>
      <c r="F81" s="93">
        <v>2.0</v>
      </c>
      <c r="G81" s="91"/>
      <c r="H81" s="91" t="s">
        <v>215</v>
      </c>
      <c r="I81" s="91"/>
      <c r="J81" s="22"/>
      <c r="K81" s="22"/>
      <c r="L81" s="46"/>
      <c r="M81" s="54"/>
      <c r="N81" s="55" t="s">
        <v>99</v>
      </c>
      <c r="O81" s="55" t="s">
        <v>425</v>
      </c>
      <c r="P81" s="55" t="s">
        <v>99</v>
      </c>
      <c r="Q81" s="55" t="s">
        <v>99</v>
      </c>
    </row>
    <row r="82" ht="15.75" customHeight="1">
      <c r="A82" s="91" t="s">
        <v>426</v>
      </c>
      <c r="B82" s="91" t="str">
        <f>IFERROR(__xludf.DUMMYFUNCTION("GOOGLETRANSLATE(A82, ""zh_CN"", ""en"")"),"PV5 current")</f>
        <v>PV5 current</v>
      </c>
      <c r="C82" s="91" t="s">
        <v>427</v>
      </c>
      <c r="D82" s="92" t="s">
        <v>428</v>
      </c>
      <c r="E82" s="91" t="s">
        <v>104</v>
      </c>
      <c r="F82" s="93">
        <v>2.0</v>
      </c>
      <c r="G82" s="91"/>
      <c r="H82" s="91" t="s">
        <v>197</v>
      </c>
      <c r="I82" s="91"/>
      <c r="J82" s="22"/>
      <c r="K82" s="22"/>
      <c r="L82" s="46"/>
      <c r="M82" s="54"/>
      <c r="N82" s="55" t="s">
        <v>99</v>
      </c>
      <c r="O82" s="55" t="s">
        <v>429</v>
      </c>
      <c r="P82" s="55" t="s">
        <v>99</v>
      </c>
      <c r="Q82" s="55" t="s">
        <v>99</v>
      </c>
    </row>
    <row r="83" ht="15.75" customHeight="1">
      <c r="A83" s="91" t="s">
        <v>430</v>
      </c>
      <c r="B83" s="91" t="str">
        <f>IFERROR(__xludf.DUMMYFUNCTION("GOOGLETRANSLATE(A83, ""zh_CN"", ""en"")"),"PV5 power")</f>
        <v>PV5 power</v>
      </c>
      <c r="C83" s="91" t="s">
        <v>431</v>
      </c>
      <c r="D83" s="92" t="s">
        <v>432</v>
      </c>
      <c r="E83" s="91" t="s">
        <v>104</v>
      </c>
      <c r="F83" s="93">
        <v>2.0</v>
      </c>
      <c r="G83" s="91"/>
      <c r="H83" s="91" t="s">
        <v>286</v>
      </c>
      <c r="I83" s="91"/>
      <c r="J83" s="22"/>
      <c r="K83" s="22"/>
      <c r="L83" s="46"/>
      <c r="M83" s="54"/>
      <c r="N83" s="55" t="s">
        <v>99</v>
      </c>
      <c r="O83" s="55" t="s">
        <v>433</v>
      </c>
      <c r="P83" s="55" t="s">
        <v>99</v>
      </c>
      <c r="Q83" s="55" t="s">
        <v>99</v>
      </c>
    </row>
    <row r="84" ht="15.75" customHeight="1">
      <c r="A84" s="91" t="s">
        <v>434</v>
      </c>
      <c r="B84" s="91" t="str">
        <f>IFERROR(__xludf.DUMMYFUNCTION("GOOGLETRANSLATE(A84, ""zh_CN"", ""en"")"),"PV6 voltage")</f>
        <v>PV6 voltage</v>
      </c>
      <c r="C84" s="91" t="s">
        <v>435</v>
      </c>
      <c r="D84" s="92" t="s">
        <v>436</v>
      </c>
      <c r="E84" s="91" t="s">
        <v>104</v>
      </c>
      <c r="F84" s="93">
        <v>2.0</v>
      </c>
      <c r="G84" s="91"/>
      <c r="H84" s="91" t="s">
        <v>215</v>
      </c>
      <c r="I84" s="91"/>
      <c r="J84" s="22"/>
      <c r="K84" s="22"/>
      <c r="L84" s="46"/>
      <c r="M84" s="54"/>
      <c r="N84" s="55" t="s">
        <v>99</v>
      </c>
      <c r="O84" s="55" t="s">
        <v>437</v>
      </c>
      <c r="P84" s="55" t="s">
        <v>99</v>
      </c>
      <c r="Q84" s="55" t="s">
        <v>99</v>
      </c>
    </row>
    <row r="85" ht="15.75" customHeight="1">
      <c r="A85" s="91" t="s">
        <v>438</v>
      </c>
      <c r="B85" s="91" t="str">
        <f>IFERROR(__xludf.DUMMYFUNCTION("GOOGLETRANSLATE(A85, ""zh_CN"", ""en"")"),"PV6 current")</f>
        <v>PV6 current</v>
      </c>
      <c r="C85" s="91" t="s">
        <v>439</v>
      </c>
      <c r="D85" s="92" t="s">
        <v>440</v>
      </c>
      <c r="E85" s="91" t="s">
        <v>104</v>
      </c>
      <c r="F85" s="93">
        <v>2.0</v>
      </c>
      <c r="G85" s="91"/>
      <c r="H85" s="91" t="s">
        <v>197</v>
      </c>
      <c r="I85" s="91"/>
      <c r="J85" s="22"/>
      <c r="K85" s="22"/>
      <c r="L85" s="53" t="s">
        <v>441</v>
      </c>
      <c r="M85" s="54" t="str">
        <f>IFERROR(__xludf.DUMMYFUNCTION("GOOGLETRANSLATE(L85, ""zh_CN"", ""en"")"),"For energy storage, total PV power is required")</f>
        <v>For energy storage, total PV power is required</v>
      </c>
      <c r="N85" s="55" t="s">
        <v>99</v>
      </c>
      <c r="O85" s="55" t="s">
        <v>442</v>
      </c>
      <c r="P85" s="55" t="s">
        <v>99</v>
      </c>
      <c r="Q85" s="55" t="s">
        <v>99</v>
      </c>
    </row>
    <row r="86" ht="15.75" customHeight="1">
      <c r="A86" s="91" t="s">
        <v>443</v>
      </c>
      <c r="B86" s="91" t="str">
        <f>IFERROR(__xludf.DUMMYFUNCTION("GOOGLETRANSLATE(A86, ""zh_CN"", ""en"")"),"PV6 power")</f>
        <v>PV6 power</v>
      </c>
      <c r="C86" s="91" t="s">
        <v>444</v>
      </c>
      <c r="D86" s="92" t="s">
        <v>445</v>
      </c>
      <c r="E86" s="91" t="s">
        <v>104</v>
      </c>
      <c r="F86" s="93">
        <v>2.0</v>
      </c>
      <c r="G86" s="91"/>
      <c r="H86" s="91" t="s">
        <v>286</v>
      </c>
      <c r="I86" s="91"/>
      <c r="J86" s="22"/>
      <c r="K86" s="22"/>
      <c r="L86" s="46"/>
      <c r="M86" s="54"/>
      <c r="N86" s="55" t="s">
        <v>99</v>
      </c>
      <c r="O86" s="55" t="s">
        <v>446</v>
      </c>
      <c r="P86" s="55" t="s">
        <v>99</v>
      </c>
      <c r="Q86" s="55" t="s">
        <v>99</v>
      </c>
    </row>
    <row r="87" ht="15.75" customHeight="1">
      <c r="A87" s="91" t="s">
        <v>447</v>
      </c>
      <c r="B87" s="91" t="str">
        <f>IFERROR(__xludf.DUMMYFUNCTION("GOOGLETRANSLATE(A87, ""zh_CN"", ""en"")"),"PV connection status")</f>
        <v>PV connection status</v>
      </c>
      <c r="C87" s="91" t="s">
        <v>448</v>
      </c>
      <c r="D87" s="106" t="s">
        <v>449</v>
      </c>
      <c r="E87" s="91" t="s">
        <v>104</v>
      </c>
      <c r="F87" s="93">
        <v>2.0</v>
      </c>
      <c r="G87" s="91" t="s">
        <v>450</v>
      </c>
      <c r="H87" s="91"/>
      <c r="I87" s="91"/>
      <c r="J87" s="22"/>
      <c r="K87" s="22"/>
      <c r="L87" s="46"/>
      <c r="M87" s="54"/>
      <c r="N87" s="55" t="s">
        <v>99</v>
      </c>
      <c r="O87" s="55" t="s">
        <v>451</v>
      </c>
      <c r="P87" s="55" t="s">
        <v>99</v>
      </c>
      <c r="Q87" s="55" t="s">
        <v>99</v>
      </c>
    </row>
    <row r="88" ht="15.75" customHeight="1">
      <c r="A88" s="91" t="s">
        <v>452</v>
      </c>
      <c r="B88" s="91" t="str">
        <f>IFERROR(__xludf.DUMMYFUNCTION("GOOGLETRANSLATE(A88, ""zh_CN"", ""en"")"),"reserved")</f>
        <v>reserved</v>
      </c>
      <c r="C88" s="91" t="s">
        <v>207</v>
      </c>
      <c r="D88" s="91" t="s">
        <v>453</v>
      </c>
      <c r="E88" s="91"/>
      <c r="F88" s="93"/>
      <c r="G88" s="91"/>
      <c r="H88" s="91"/>
      <c r="I88" s="91"/>
      <c r="J88" s="22"/>
      <c r="K88" s="22"/>
      <c r="L88" s="46"/>
      <c r="M88" s="54"/>
      <c r="N88" s="55" t="s">
        <v>99</v>
      </c>
      <c r="O88" s="55" t="s">
        <v>454</v>
      </c>
      <c r="P88" s="55" t="s">
        <v>99</v>
      </c>
      <c r="Q88" s="55" t="s">
        <v>99</v>
      </c>
    </row>
    <row r="89" ht="15.75" customHeight="1">
      <c r="A89" s="107" t="s">
        <v>455</v>
      </c>
      <c r="B89" s="43"/>
      <c r="C89" s="43"/>
      <c r="D89" s="43"/>
      <c r="E89" s="43"/>
      <c r="F89" s="43"/>
      <c r="G89" s="43"/>
      <c r="H89" s="43"/>
      <c r="I89" s="44"/>
      <c r="J89" s="22"/>
      <c r="K89" s="22"/>
      <c r="L89" s="46"/>
      <c r="M89" s="54"/>
      <c r="N89" s="55" t="s">
        <v>99</v>
      </c>
      <c r="O89" s="55" t="s">
        <v>456</v>
      </c>
      <c r="P89" s="55" t="s">
        <v>99</v>
      </c>
      <c r="Q89" s="55" t="s">
        <v>99</v>
      </c>
    </row>
    <row r="90" ht="15.75" customHeight="1">
      <c r="A90" s="48" t="s">
        <v>457</v>
      </c>
      <c r="B90" s="48" t="str">
        <f>IFERROR(__xludf.DUMMYFUNCTION("GOOGLETRANSLATE(A90, ""zh_CN"", ""en"")"),"The inverter’s power generation for the day")</f>
        <v>The inverter’s power generation for the day</v>
      </c>
      <c r="C90" s="48" t="s">
        <v>458</v>
      </c>
      <c r="D90" s="48" t="s">
        <v>459</v>
      </c>
      <c r="E90" s="48" t="s">
        <v>104</v>
      </c>
      <c r="F90" s="52">
        <v>2.0</v>
      </c>
      <c r="G90" s="48"/>
      <c r="H90" s="48" t="s">
        <v>460</v>
      </c>
      <c r="I90" s="48"/>
      <c r="J90" s="53"/>
      <c r="K90" s="53" t="s">
        <v>461</v>
      </c>
      <c r="L90" s="108" t="s">
        <v>462</v>
      </c>
      <c r="M90" s="109" t="str">
        <f>IFERROR(__xludf.DUMMYFUNCTION("GOOGLETRANSLATE(L90, ""zh_CN"", ""en"")"),"Unit 0.1wh changed to 0.1kwh")</f>
        <v>Unit 0.1wh changed to 0.1kwh</v>
      </c>
      <c r="N90" s="55" t="s">
        <v>99</v>
      </c>
      <c r="O90" s="55" t="s">
        <v>463</v>
      </c>
      <c r="P90" s="55" t="s">
        <v>99</v>
      </c>
      <c r="Q90" s="55" t="s">
        <v>99</v>
      </c>
    </row>
    <row r="91" ht="15.75" customHeight="1">
      <c r="A91" s="48" t="s">
        <v>464</v>
      </c>
      <c r="B91" s="48" t="str">
        <f>IFERROR(__xludf.DUMMYFUNCTION("GOOGLETRANSLATE(A91, ""zh_CN"", ""en"")"),"The inverter draws power from the grid that day")</f>
        <v>The inverter draws power from the grid that day</v>
      </c>
      <c r="C91" s="48" t="s">
        <v>465</v>
      </c>
      <c r="D91" s="48" t="s">
        <v>466</v>
      </c>
      <c r="E91" s="48" t="s">
        <v>104</v>
      </c>
      <c r="F91" s="52">
        <v>2.0</v>
      </c>
      <c r="G91" s="48"/>
      <c r="H91" s="48" t="s">
        <v>460</v>
      </c>
      <c r="I91" s="48"/>
      <c r="J91" s="53"/>
      <c r="K91" s="53" t="s">
        <v>467</v>
      </c>
      <c r="L91" s="15"/>
      <c r="M91" s="15"/>
      <c r="N91" s="55" t="s">
        <v>99</v>
      </c>
      <c r="O91" s="55" t="s">
        <v>468</v>
      </c>
      <c r="P91" s="55" t="s">
        <v>99</v>
      </c>
      <c r="Q91" s="55" t="s">
        <v>99</v>
      </c>
    </row>
    <row r="92" ht="15.75" customHeight="1">
      <c r="A92" s="48" t="s">
        <v>469</v>
      </c>
      <c r="B92" s="48" t="str">
        <f>IFERROR(__xludf.DUMMYFUNCTION("GOOGLETRANSLATE(A92, ""zh_CN"", ""en"")"),"The amount of electricity delivered to the grid that day")</f>
        <v>The amount of electricity delivered to the grid that day</v>
      </c>
      <c r="C92" s="48" t="s">
        <v>470</v>
      </c>
      <c r="D92" s="48" t="s">
        <v>471</v>
      </c>
      <c r="E92" s="48" t="s">
        <v>104</v>
      </c>
      <c r="F92" s="52">
        <v>2.0</v>
      </c>
      <c r="G92" s="48"/>
      <c r="H92" s="48" t="s">
        <v>460</v>
      </c>
      <c r="I92" s="48"/>
      <c r="J92" s="53"/>
      <c r="K92" s="53" t="s">
        <v>472</v>
      </c>
      <c r="L92" s="15"/>
      <c r="M92" s="15"/>
      <c r="N92" s="55" t="s">
        <v>99</v>
      </c>
      <c r="O92" s="55" t="s">
        <v>473</v>
      </c>
      <c r="P92" s="55" t="s">
        <v>99</v>
      </c>
      <c r="Q92" s="55" t="s">
        <v>99</v>
      </c>
    </row>
    <row r="93" ht="15.75" customHeight="1">
      <c r="A93" s="48" t="s">
        <v>474</v>
      </c>
      <c r="B93" s="48" t="str">
        <f>IFERROR(__xludf.DUMMYFUNCTION("GOOGLETRANSLATE(A93, ""zh_CN"", ""en"")"),"Get electricity from the grid on the day")</f>
        <v>Get electricity from the grid on the day</v>
      </c>
      <c r="C93" s="48" t="s">
        <v>475</v>
      </c>
      <c r="D93" s="48" t="s">
        <v>476</v>
      </c>
      <c r="E93" s="48" t="s">
        <v>104</v>
      </c>
      <c r="F93" s="52">
        <v>2.0</v>
      </c>
      <c r="G93" s="48"/>
      <c r="H93" s="48" t="s">
        <v>460</v>
      </c>
      <c r="I93" s="48"/>
      <c r="J93" s="53"/>
      <c r="K93" s="53"/>
      <c r="L93" s="15"/>
      <c r="M93" s="15"/>
      <c r="N93" s="55" t="s">
        <v>99</v>
      </c>
      <c r="O93" s="55" t="s">
        <v>477</v>
      </c>
      <c r="P93" s="55" t="s">
        <v>99</v>
      </c>
      <c r="Q93" s="55" t="s">
        <v>99</v>
      </c>
    </row>
    <row r="94" ht="15.75" customHeight="1">
      <c r="A94" s="48" t="s">
        <v>478</v>
      </c>
      <c r="B94" s="48" t="str">
        <f>IFERROR(__xludf.DUMMYFUNCTION("GOOGLETRANSLATE(A94, ""zh_CN"", ""en"")"),"The amount of electricity delivered to the load on the day")</f>
        <v>The amount of electricity delivered to the load on the day</v>
      </c>
      <c r="C94" s="48" t="s">
        <v>479</v>
      </c>
      <c r="D94" s="48" t="s">
        <v>480</v>
      </c>
      <c r="E94" s="48" t="s">
        <v>104</v>
      </c>
      <c r="F94" s="52">
        <v>2.0</v>
      </c>
      <c r="G94" s="48"/>
      <c r="H94" s="48" t="s">
        <v>460</v>
      </c>
      <c r="I94" s="48"/>
      <c r="J94" s="53"/>
      <c r="K94" s="53" t="s">
        <v>481</v>
      </c>
      <c r="L94" s="15"/>
      <c r="M94" s="15"/>
      <c r="N94" s="55" t="s">
        <v>99</v>
      </c>
      <c r="O94" s="55" t="s">
        <v>482</v>
      </c>
      <c r="P94" s="55" t="s">
        <v>99</v>
      </c>
      <c r="Q94" s="55" t="s">
        <v>99</v>
      </c>
    </row>
    <row r="95" ht="15.75" customHeight="1">
      <c r="A95" s="48" t="s">
        <v>483</v>
      </c>
      <c r="B95" s="48" t="str">
        <f>IFERROR(__xludf.DUMMYFUNCTION("GOOGLETRANSLATE(A95, ""zh_CN"", ""en"")"),"Get the power of the load on the day")</f>
        <v>Get the power of the load on the day</v>
      </c>
      <c r="C95" s="48" t="s">
        <v>484</v>
      </c>
      <c r="D95" s="48" t="s">
        <v>485</v>
      </c>
      <c r="E95" s="48" t="s">
        <v>104</v>
      </c>
      <c r="F95" s="52">
        <v>2.0</v>
      </c>
      <c r="G95" s="48"/>
      <c r="H95" s="48" t="s">
        <v>460</v>
      </c>
      <c r="I95" s="48"/>
      <c r="J95" s="53"/>
      <c r="K95" s="53"/>
      <c r="L95" s="15"/>
      <c r="M95" s="15"/>
      <c r="N95" s="55" t="s">
        <v>99</v>
      </c>
      <c r="O95" s="55" t="s">
        <v>486</v>
      </c>
      <c r="P95" s="55" t="s">
        <v>99</v>
      </c>
      <c r="Q95" s="55" t="s">
        <v>99</v>
      </c>
    </row>
    <row r="96" ht="15.75" customHeight="1">
      <c r="A96" s="48" t="s">
        <v>487</v>
      </c>
      <c r="B96" s="48" t="str">
        <f>IFERROR(__xludf.DUMMYFUNCTION("GOOGLETRANSLATE(A96, ""zh_CN"", ""en"")"),"PV power generation on the day")</f>
        <v>PV power generation on the day</v>
      </c>
      <c r="C96" s="48" t="s">
        <v>488</v>
      </c>
      <c r="D96" s="48" t="s">
        <v>489</v>
      </c>
      <c r="E96" s="48" t="s">
        <v>110</v>
      </c>
      <c r="F96" s="52">
        <v>4.0</v>
      </c>
      <c r="G96" s="48"/>
      <c r="H96" s="48" t="s">
        <v>460</v>
      </c>
      <c r="I96" s="48"/>
      <c r="J96" s="53"/>
      <c r="K96" s="53" t="s">
        <v>490</v>
      </c>
      <c r="L96" s="15"/>
      <c r="M96" s="15"/>
      <c r="N96" s="55" t="s">
        <v>99</v>
      </c>
      <c r="O96" s="55" t="s">
        <v>491</v>
      </c>
      <c r="P96" s="55" t="s">
        <v>99</v>
      </c>
      <c r="Q96" s="55" t="s">
        <v>99</v>
      </c>
    </row>
    <row r="97" ht="15.75" customHeight="1">
      <c r="A97" s="48" t="s">
        <v>492</v>
      </c>
      <c r="B97" s="48" t="str">
        <f>IFERROR(__xludf.DUMMYFUNCTION("GOOGLETRANSLATE(A97, ""zh_CN"", ""en"")"),"PV1 power generation on the day")</f>
        <v>PV1 power generation on the day</v>
      </c>
      <c r="C97" s="48" t="s">
        <v>493</v>
      </c>
      <c r="D97" s="48" t="s">
        <v>494</v>
      </c>
      <c r="E97" s="48" t="s">
        <v>104</v>
      </c>
      <c r="F97" s="52">
        <v>2.0</v>
      </c>
      <c r="G97" s="48"/>
      <c r="H97" s="48" t="s">
        <v>460</v>
      </c>
      <c r="I97" s="48"/>
      <c r="J97" s="53"/>
      <c r="K97" s="53" t="s">
        <v>495</v>
      </c>
      <c r="L97" s="15"/>
      <c r="M97" s="15"/>
      <c r="N97" s="55" t="s">
        <v>99</v>
      </c>
      <c r="O97" s="55" t="s">
        <v>496</v>
      </c>
      <c r="P97" s="55" t="s">
        <v>99</v>
      </c>
      <c r="Q97" s="55" t="s">
        <v>99</v>
      </c>
    </row>
    <row r="98" ht="15.75" customHeight="1">
      <c r="A98" s="48" t="s">
        <v>497</v>
      </c>
      <c r="B98" s="48" t="str">
        <f>IFERROR(__xludf.DUMMYFUNCTION("GOOGLETRANSLATE(A98, ""zh_CN"", ""en"")"),"PV2 power generation on the day")</f>
        <v>PV2 power generation on the day</v>
      </c>
      <c r="C98" s="48" t="s">
        <v>498</v>
      </c>
      <c r="D98" s="48" t="s">
        <v>499</v>
      </c>
      <c r="E98" s="48" t="s">
        <v>104</v>
      </c>
      <c r="F98" s="52">
        <v>2.0</v>
      </c>
      <c r="G98" s="48"/>
      <c r="H98" s="48" t="s">
        <v>460</v>
      </c>
      <c r="I98" s="48"/>
      <c r="J98" s="53"/>
      <c r="K98" s="53" t="s">
        <v>500</v>
      </c>
      <c r="L98" s="15"/>
      <c r="M98" s="15"/>
      <c r="N98" s="55" t="s">
        <v>99</v>
      </c>
      <c r="O98" s="55" t="s">
        <v>501</v>
      </c>
      <c r="P98" s="55" t="s">
        <v>99</v>
      </c>
      <c r="Q98" s="55" t="s">
        <v>99</v>
      </c>
    </row>
    <row r="99" ht="15.75" customHeight="1">
      <c r="A99" s="48" t="s">
        <v>502</v>
      </c>
      <c r="B99" s="48" t="str">
        <f>IFERROR(__xludf.DUMMYFUNCTION("GOOGLETRANSLATE(A99, ""zh_CN"", ""en"")"),"PV3 power generation on the day")</f>
        <v>PV3 power generation on the day</v>
      </c>
      <c r="C99" s="48" t="s">
        <v>503</v>
      </c>
      <c r="D99" s="48" t="s">
        <v>504</v>
      </c>
      <c r="E99" s="48" t="s">
        <v>104</v>
      </c>
      <c r="F99" s="52">
        <v>2.0</v>
      </c>
      <c r="G99" s="48"/>
      <c r="H99" s="48" t="s">
        <v>460</v>
      </c>
      <c r="I99" s="48"/>
      <c r="J99" s="53"/>
      <c r="K99" s="53" t="s">
        <v>505</v>
      </c>
      <c r="L99" s="15"/>
      <c r="M99" s="15"/>
      <c r="N99" s="55" t="s">
        <v>99</v>
      </c>
      <c r="O99" s="55" t="s">
        <v>506</v>
      </c>
      <c r="P99" s="55" t="s">
        <v>99</v>
      </c>
      <c r="Q99" s="55" t="s">
        <v>99</v>
      </c>
    </row>
    <row r="100" ht="15.75" customHeight="1">
      <c r="A100" s="48" t="s">
        <v>507</v>
      </c>
      <c r="B100" s="48" t="str">
        <f>IFERROR(__xludf.DUMMYFUNCTION("GOOGLETRANSLATE(A100, ""zh_CN"", ""en"")"),"PV4 power generation on the day")</f>
        <v>PV4 power generation on the day</v>
      </c>
      <c r="C100" s="48" t="s">
        <v>508</v>
      </c>
      <c r="D100" s="48" t="s">
        <v>509</v>
      </c>
      <c r="E100" s="48" t="s">
        <v>104</v>
      </c>
      <c r="F100" s="52">
        <v>2.0</v>
      </c>
      <c r="G100" s="48"/>
      <c r="H100" s="48" t="s">
        <v>460</v>
      </c>
      <c r="I100" s="48"/>
      <c r="J100" s="53"/>
      <c r="K100" s="53" t="s">
        <v>510</v>
      </c>
      <c r="L100" s="15"/>
      <c r="M100" s="15"/>
      <c r="N100" s="55" t="s">
        <v>99</v>
      </c>
      <c r="O100" s="55" t="s">
        <v>511</v>
      </c>
      <c r="P100" s="55" t="s">
        <v>99</v>
      </c>
      <c r="Q100" s="55" t="s">
        <v>99</v>
      </c>
    </row>
    <row r="101" ht="15.75" customHeight="1">
      <c r="A101" s="48" t="s">
        <v>512</v>
      </c>
      <c r="B101" s="48" t="str">
        <f>IFERROR(__xludf.DUMMYFUNCTION("GOOGLETRANSLATE(A101, ""zh_CN"", ""en"")"),"PV5 power generation on the day")</f>
        <v>PV5 power generation on the day</v>
      </c>
      <c r="C101" s="48" t="s">
        <v>513</v>
      </c>
      <c r="D101" s="48" t="s">
        <v>514</v>
      </c>
      <c r="E101" s="48" t="s">
        <v>104</v>
      </c>
      <c r="F101" s="52">
        <v>2.0</v>
      </c>
      <c r="G101" s="48"/>
      <c r="H101" s="48" t="s">
        <v>460</v>
      </c>
      <c r="I101" s="48"/>
      <c r="J101" s="53"/>
      <c r="K101" s="53" t="s">
        <v>515</v>
      </c>
      <c r="L101" s="15"/>
      <c r="M101" s="15"/>
      <c r="N101" s="55" t="s">
        <v>99</v>
      </c>
      <c r="O101" s="55" t="s">
        <v>516</v>
      </c>
      <c r="P101" s="55" t="s">
        <v>99</v>
      </c>
      <c r="Q101" s="55" t="s">
        <v>99</v>
      </c>
    </row>
    <row r="102" ht="15.75" customHeight="1">
      <c r="A102" s="48" t="s">
        <v>517</v>
      </c>
      <c r="B102" s="48" t="str">
        <f>IFERROR(__xludf.DUMMYFUNCTION("GOOGLETRANSLATE(A102, ""zh_CN"", ""en"")"),"PV6 power generation on the day")</f>
        <v>PV6 power generation on the day</v>
      </c>
      <c r="C102" s="48" t="s">
        <v>518</v>
      </c>
      <c r="D102" s="48" t="s">
        <v>519</v>
      </c>
      <c r="E102" s="48" t="s">
        <v>104</v>
      </c>
      <c r="F102" s="52">
        <v>2.0</v>
      </c>
      <c r="G102" s="48"/>
      <c r="H102" s="48" t="s">
        <v>460</v>
      </c>
      <c r="I102" s="48"/>
      <c r="J102" s="53"/>
      <c r="K102" s="53" t="s">
        <v>520</v>
      </c>
      <c r="L102" s="15"/>
      <c r="M102" s="15"/>
      <c r="N102" s="55" t="s">
        <v>99</v>
      </c>
      <c r="O102" s="55" t="s">
        <v>521</v>
      </c>
      <c r="P102" s="55" t="s">
        <v>99</v>
      </c>
      <c r="Q102" s="55" t="s">
        <v>99</v>
      </c>
    </row>
    <row r="103" ht="15.75" customHeight="1">
      <c r="A103" s="48" t="s">
        <v>522</v>
      </c>
      <c r="B103" s="48" t="str">
        <f>IFERROR(__xludf.DUMMYFUNCTION("GOOGLETRANSLATE(A103, ""zh_CN"", ""en"")"),"Total power generated by the inverter")</f>
        <v>Total power generated by the inverter</v>
      </c>
      <c r="C103" s="48" t="s">
        <v>523</v>
      </c>
      <c r="D103" s="48" t="s">
        <v>524</v>
      </c>
      <c r="E103" s="48" t="s">
        <v>110</v>
      </c>
      <c r="F103" s="52">
        <v>4.0</v>
      </c>
      <c r="G103" s="48"/>
      <c r="H103" s="48" t="s">
        <v>460</v>
      </c>
      <c r="I103" s="48"/>
      <c r="J103" s="53"/>
      <c r="K103" s="53" t="s">
        <v>525</v>
      </c>
      <c r="L103" s="15"/>
      <c r="M103" s="15"/>
      <c r="N103" s="55" t="s">
        <v>99</v>
      </c>
      <c r="O103" s="55" t="s">
        <v>526</v>
      </c>
      <c r="P103" s="55" t="s">
        <v>99</v>
      </c>
      <c r="Q103" s="55" t="s">
        <v>99</v>
      </c>
    </row>
    <row r="104" ht="15.75" customHeight="1">
      <c r="A104" s="48" t="s">
        <v>527</v>
      </c>
      <c r="B104" s="48" t="str">
        <f>IFERROR(__xludf.DUMMYFUNCTION("GOOGLETRANSLATE(A104, ""zh_CN"", ""en"")"),"The inverter always draws power from the grid")</f>
        <v>The inverter always draws power from the grid</v>
      </c>
      <c r="C104" s="48" t="s">
        <v>528</v>
      </c>
      <c r="D104" s="48" t="s">
        <v>529</v>
      </c>
      <c r="E104" s="48" t="s">
        <v>110</v>
      </c>
      <c r="F104" s="52">
        <v>4.0</v>
      </c>
      <c r="G104" s="48"/>
      <c r="H104" s="48" t="s">
        <v>460</v>
      </c>
      <c r="I104" s="48"/>
      <c r="J104" s="53"/>
      <c r="K104" s="53" t="s">
        <v>530</v>
      </c>
      <c r="L104" s="15"/>
      <c r="M104" s="15"/>
      <c r="N104" s="55" t="s">
        <v>99</v>
      </c>
      <c r="O104" s="55" t="s">
        <v>531</v>
      </c>
      <c r="P104" s="55" t="s">
        <v>99</v>
      </c>
      <c r="Q104" s="55" t="s">
        <v>99</v>
      </c>
    </row>
    <row r="105" ht="15.75" customHeight="1">
      <c r="A105" s="48" t="s">
        <v>532</v>
      </c>
      <c r="B105" s="48" t="str">
        <f>IFERROR(__xludf.DUMMYFUNCTION("GOOGLETRANSLATE(A105, ""zh_CN"", ""en"")"),"Total power delivered to the grid")</f>
        <v>Total power delivered to the grid</v>
      </c>
      <c r="C105" s="48" t="s">
        <v>533</v>
      </c>
      <c r="D105" s="48" t="s">
        <v>534</v>
      </c>
      <c r="E105" s="48" t="s">
        <v>110</v>
      </c>
      <c r="F105" s="52">
        <v>4.0</v>
      </c>
      <c r="G105" s="48"/>
      <c r="H105" s="48" t="s">
        <v>460</v>
      </c>
      <c r="I105" s="48"/>
      <c r="J105" s="53"/>
      <c r="K105" s="53" t="s">
        <v>535</v>
      </c>
      <c r="L105" s="15"/>
      <c r="M105" s="15"/>
      <c r="N105" s="55" t="s">
        <v>99</v>
      </c>
      <c r="O105" s="55" t="s">
        <v>536</v>
      </c>
      <c r="P105" s="55" t="s">
        <v>99</v>
      </c>
      <c r="Q105" s="55" t="s">
        <v>99</v>
      </c>
    </row>
    <row r="106" ht="15.75" customHeight="1">
      <c r="A106" s="48" t="s">
        <v>537</v>
      </c>
      <c r="B106" s="48" t="str">
        <f>IFERROR(__xludf.DUMMYFUNCTION("GOOGLETRANSLATE(A106, ""zh_CN"", ""en"")"),"Total power taken from the grid")</f>
        <v>Total power taken from the grid</v>
      </c>
      <c r="C106" s="48" t="s">
        <v>538</v>
      </c>
      <c r="D106" s="48" t="s">
        <v>539</v>
      </c>
      <c r="E106" s="48" t="s">
        <v>110</v>
      </c>
      <c r="F106" s="52">
        <v>4.0</v>
      </c>
      <c r="G106" s="48"/>
      <c r="H106" s="48" t="s">
        <v>460</v>
      </c>
      <c r="I106" s="48"/>
      <c r="J106" s="53"/>
      <c r="K106" s="53"/>
      <c r="L106" s="15"/>
      <c r="M106" s="15"/>
      <c r="N106" s="55" t="s">
        <v>99</v>
      </c>
      <c r="O106" s="55" t="s">
        <v>540</v>
      </c>
      <c r="P106" s="55" t="s">
        <v>99</v>
      </c>
      <c r="Q106" s="55" t="s">
        <v>99</v>
      </c>
    </row>
    <row r="107" ht="15.75" customHeight="1">
      <c r="A107" s="48" t="s">
        <v>541</v>
      </c>
      <c r="B107" s="48" t="str">
        <f>IFERROR(__xludf.DUMMYFUNCTION("GOOGLETRANSLATE(A107, ""zh_CN"", ""en"")"),"Total power delivered to the load")</f>
        <v>Total power delivered to the load</v>
      </c>
      <c r="C107" s="48" t="s">
        <v>542</v>
      </c>
      <c r="D107" s="48" t="s">
        <v>543</v>
      </c>
      <c r="E107" s="48" t="s">
        <v>110</v>
      </c>
      <c r="F107" s="52">
        <v>4.0</v>
      </c>
      <c r="G107" s="48"/>
      <c r="H107" s="48" t="s">
        <v>460</v>
      </c>
      <c r="I107" s="48"/>
      <c r="J107" s="53"/>
      <c r="K107" s="53" t="s">
        <v>544</v>
      </c>
      <c r="L107" s="15"/>
      <c r="M107" s="15"/>
      <c r="N107" s="55" t="s">
        <v>99</v>
      </c>
      <c r="O107" s="55" t="s">
        <v>545</v>
      </c>
      <c r="P107" s="55" t="s">
        <v>99</v>
      </c>
      <c r="Q107" s="55" t="s">
        <v>99</v>
      </c>
    </row>
    <row r="108" ht="15.75" customHeight="1">
      <c r="A108" s="48" t="s">
        <v>546</v>
      </c>
      <c r="B108" s="48" t="str">
        <f>IFERROR(__xludf.DUMMYFUNCTION("GOOGLETRANSLATE(A108, ""zh_CN"", ""en"")"),"Take the total power of the load")</f>
        <v>Take the total power of the load</v>
      </c>
      <c r="C108" s="48" t="s">
        <v>547</v>
      </c>
      <c r="D108" s="48" t="s">
        <v>548</v>
      </c>
      <c r="E108" s="48" t="s">
        <v>110</v>
      </c>
      <c r="F108" s="52">
        <v>4.0</v>
      </c>
      <c r="G108" s="48"/>
      <c r="H108" s="48" t="s">
        <v>460</v>
      </c>
      <c r="I108" s="48"/>
      <c r="J108" s="53"/>
      <c r="K108" s="53"/>
      <c r="L108" s="15"/>
      <c r="M108" s="15"/>
      <c r="N108" s="55" t="s">
        <v>99</v>
      </c>
      <c r="O108" s="55" t="s">
        <v>549</v>
      </c>
      <c r="P108" s="55" t="s">
        <v>99</v>
      </c>
      <c r="Q108" s="55" t="s">
        <v>99</v>
      </c>
    </row>
    <row r="109" ht="15.75" customHeight="1">
      <c r="A109" s="48" t="s">
        <v>550</v>
      </c>
      <c r="B109" s="48" t="str">
        <f>IFERROR(__xludf.DUMMYFUNCTION("GOOGLETRANSLATE(A109, ""zh_CN"", ""en"")"),"Total PV power generation")</f>
        <v>Total PV power generation</v>
      </c>
      <c r="C109" s="48" t="s">
        <v>551</v>
      </c>
      <c r="D109" s="48" t="s">
        <v>552</v>
      </c>
      <c r="E109" s="48" t="s">
        <v>110</v>
      </c>
      <c r="F109" s="52">
        <v>4.0</v>
      </c>
      <c r="G109" s="48"/>
      <c r="H109" s="48" t="s">
        <v>460</v>
      </c>
      <c r="I109" s="48"/>
      <c r="J109" s="53"/>
      <c r="K109" s="53" t="s">
        <v>553</v>
      </c>
      <c r="L109" s="16"/>
      <c r="M109" s="16"/>
      <c r="N109" s="55" t="s">
        <v>99</v>
      </c>
      <c r="O109" s="55" t="s">
        <v>554</v>
      </c>
      <c r="P109" s="55" t="s">
        <v>99</v>
      </c>
      <c r="Q109" s="55" t="s">
        <v>99</v>
      </c>
    </row>
    <row r="110" ht="15.75" customHeight="1">
      <c r="A110" s="110" t="s">
        <v>555</v>
      </c>
      <c r="B110" s="110" t="str">
        <f>IFERROR(__xludf.DUMMYFUNCTION("GOOGLETRANSLATE(A110, ""zh_CN"", ""en"")"),"reserved")</f>
        <v>reserved</v>
      </c>
      <c r="C110" s="110" t="s">
        <v>207</v>
      </c>
      <c r="D110" s="110" t="s">
        <v>556</v>
      </c>
      <c r="E110" s="110"/>
      <c r="F110" s="111"/>
      <c r="G110" s="110"/>
      <c r="H110" s="110"/>
      <c r="I110" s="110"/>
      <c r="J110" s="22"/>
      <c r="K110" s="22"/>
      <c r="L110" s="46"/>
      <c r="M110" s="54"/>
      <c r="N110" s="55" t="s">
        <v>99</v>
      </c>
      <c r="O110" s="55" t="s">
        <v>557</v>
      </c>
      <c r="P110" s="55" t="s">
        <v>99</v>
      </c>
      <c r="Q110" s="55" t="s">
        <v>99</v>
      </c>
    </row>
    <row r="111" ht="15.75" customHeight="1">
      <c r="A111" s="90" t="s">
        <v>558</v>
      </c>
      <c r="B111" s="43"/>
      <c r="C111" s="43"/>
      <c r="D111" s="43"/>
      <c r="E111" s="43"/>
      <c r="F111" s="43"/>
      <c r="G111" s="43"/>
      <c r="H111" s="43"/>
      <c r="I111" s="44"/>
      <c r="J111" s="22"/>
      <c r="K111" s="22"/>
      <c r="L111" s="46"/>
      <c r="M111" s="54"/>
      <c r="N111" s="55" t="s">
        <v>99</v>
      </c>
      <c r="O111" s="55" t="s">
        <v>559</v>
      </c>
      <c r="P111" s="55" t="s">
        <v>99</v>
      </c>
      <c r="Q111" s="55" t="s">
        <v>99</v>
      </c>
    </row>
    <row r="112" ht="15.75" customHeight="1">
      <c r="A112" s="112" t="s">
        <v>560</v>
      </c>
      <c r="B112" s="112" t="str">
        <f>IFERROR(__xludf.DUMMYFUNCTION("GOOGLETRANSLATE(A112, ""zh_CN"", ""en"")"),"R phase voltage DC component")</f>
        <v>R phase voltage DC component</v>
      </c>
      <c r="C112" s="112" t="s">
        <v>561</v>
      </c>
      <c r="D112" s="112" t="s">
        <v>562</v>
      </c>
      <c r="E112" s="112" t="s">
        <v>235</v>
      </c>
      <c r="F112" s="113">
        <v>2.0</v>
      </c>
      <c r="G112" s="114"/>
      <c r="H112" s="114" t="s">
        <v>563</v>
      </c>
      <c r="I112" s="115" t="s">
        <v>564</v>
      </c>
      <c r="J112" s="116" t="str">
        <f>IFERROR(__xludf.DUMMYFUNCTION("GOOGLETRANSLATE(I112, ""zh_CN"", ""en"")"),"If the output type is 0, only phase A voltage and phase A electrical current are valid;
If the output type is 1, it means: ""X-phase voltage"";
If the output type is 2, it means: ""x-x line voltage"".")</f>
        <v>If the output type is 0, only phase A voltage and phase A electrical current are valid;
If the output type is 1, it means: "X-phase voltage";
If the output type is 2, it means: "x-x line voltage".</v>
      </c>
      <c r="K112" s="100"/>
      <c r="L112" s="117" t="s">
        <v>565</v>
      </c>
      <c r="M112" s="118" t="str">
        <f>IFERROR(__xludf.DUMMYFUNCTION("GOOGLETRANSLATE(L112, ""zh_CN"", ""en"")"),"New unit mV")</f>
        <v>New unit mV</v>
      </c>
      <c r="N112" s="103" t="s">
        <v>99</v>
      </c>
      <c r="O112" s="103" t="s">
        <v>566</v>
      </c>
      <c r="P112" s="103" t="s">
        <v>99</v>
      </c>
      <c r="Q112" s="103" t="s">
        <v>99</v>
      </c>
      <c r="R112" s="104"/>
      <c r="S112" s="104"/>
      <c r="T112" s="104"/>
      <c r="U112" s="104"/>
      <c r="V112" s="104"/>
      <c r="W112" s="104"/>
      <c r="X112" s="104"/>
      <c r="Y112" s="104"/>
      <c r="Z112" s="104"/>
      <c r="AA112" s="104"/>
      <c r="AB112" s="104"/>
      <c r="AC112" s="104"/>
    </row>
    <row r="113" ht="15.75" customHeight="1">
      <c r="A113" s="112" t="s">
        <v>567</v>
      </c>
      <c r="B113" s="112" t="str">
        <f>IFERROR(__xludf.DUMMYFUNCTION("GOOGLETRANSLATE(A113, ""zh_CN"", ""en"")"),"S-phase voltage DC component")</f>
        <v>S-phase voltage DC component</v>
      </c>
      <c r="C113" s="112" t="s">
        <v>568</v>
      </c>
      <c r="D113" s="112" t="s">
        <v>569</v>
      </c>
      <c r="E113" s="112" t="s">
        <v>235</v>
      </c>
      <c r="F113" s="113">
        <v>2.0</v>
      </c>
      <c r="G113" s="114"/>
      <c r="H113" s="114" t="s">
        <v>563</v>
      </c>
      <c r="I113" s="15"/>
      <c r="J113" s="15"/>
      <c r="K113" s="100"/>
      <c r="L113" s="15"/>
      <c r="M113" s="15"/>
      <c r="N113" s="103" t="s">
        <v>99</v>
      </c>
      <c r="O113" s="103" t="s">
        <v>570</v>
      </c>
      <c r="P113" s="103" t="s">
        <v>99</v>
      </c>
      <c r="Q113" s="103" t="s">
        <v>99</v>
      </c>
      <c r="R113" s="104"/>
      <c r="S113" s="104"/>
      <c r="T113" s="104"/>
      <c r="U113" s="104"/>
      <c r="V113" s="104"/>
      <c r="W113" s="104"/>
      <c r="X113" s="104"/>
      <c r="Y113" s="104"/>
      <c r="Z113" s="104"/>
      <c r="AA113" s="104"/>
      <c r="AB113" s="104"/>
      <c r="AC113" s="104"/>
    </row>
    <row r="114" ht="15.75" customHeight="1">
      <c r="A114" s="112" t="s">
        <v>571</v>
      </c>
      <c r="B114" s="112" t="str">
        <f>IFERROR(__xludf.DUMMYFUNCTION("GOOGLETRANSLATE(A114, ""zh_CN"", ""en"")"),"T-phase voltage DC component")</f>
        <v>T-phase voltage DC component</v>
      </c>
      <c r="C114" s="112" t="s">
        <v>572</v>
      </c>
      <c r="D114" s="112" t="s">
        <v>573</v>
      </c>
      <c r="E114" s="112" t="s">
        <v>235</v>
      </c>
      <c r="F114" s="113">
        <v>2.0</v>
      </c>
      <c r="G114" s="114"/>
      <c r="H114" s="114" t="s">
        <v>563</v>
      </c>
      <c r="I114" s="15"/>
      <c r="J114" s="15"/>
      <c r="K114" s="100"/>
      <c r="L114" s="16"/>
      <c r="M114" s="16"/>
      <c r="N114" s="103" t="s">
        <v>99</v>
      </c>
      <c r="O114" s="103" t="s">
        <v>574</v>
      </c>
      <c r="P114" s="103" t="s">
        <v>99</v>
      </c>
      <c r="Q114" s="103" t="s">
        <v>99</v>
      </c>
      <c r="R114" s="104"/>
      <c r="S114" s="104"/>
      <c r="T114" s="104"/>
      <c r="U114" s="104"/>
      <c r="V114" s="104"/>
      <c r="W114" s="104"/>
      <c r="X114" s="104"/>
      <c r="Y114" s="104"/>
      <c r="Z114" s="104"/>
      <c r="AA114" s="104"/>
      <c r="AB114" s="104"/>
      <c r="AC114" s="104"/>
    </row>
    <row r="115" ht="15.75" customHeight="1">
      <c r="A115" s="114" t="s">
        <v>575</v>
      </c>
      <c r="B115" s="114" t="str">
        <f>IFERROR(__xludf.DUMMYFUNCTION("GOOGLETRANSLATE(A115, ""zh_CN"", ""en"")"),"R phase EPS voltage")</f>
        <v>R phase EPS voltage</v>
      </c>
      <c r="C115" s="114" t="s">
        <v>576</v>
      </c>
      <c r="D115" s="114" t="s">
        <v>577</v>
      </c>
      <c r="E115" s="114" t="s">
        <v>104</v>
      </c>
      <c r="F115" s="113">
        <v>2.0</v>
      </c>
      <c r="G115" s="114"/>
      <c r="H115" s="114" t="s">
        <v>215</v>
      </c>
      <c r="I115" s="15"/>
      <c r="J115" s="15"/>
      <c r="K115" s="100"/>
      <c r="L115" s="119"/>
      <c r="M115" s="102"/>
      <c r="N115" s="103" t="s">
        <v>99</v>
      </c>
      <c r="O115" s="103" t="s">
        <v>578</v>
      </c>
      <c r="P115" s="103" t="s">
        <v>99</v>
      </c>
      <c r="Q115" s="103" t="s">
        <v>99</v>
      </c>
      <c r="R115" s="104"/>
      <c r="S115" s="104"/>
      <c r="T115" s="104"/>
      <c r="U115" s="104"/>
      <c r="V115" s="104"/>
      <c r="W115" s="104"/>
      <c r="X115" s="104"/>
      <c r="Y115" s="104"/>
      <c r="Z115" s="104"/>
      <c r="AA115" s="104"/>
      <c r="AB115" s="104"/>
      <c r="AC115" s="104"/>
    </row>
    <row r="116" ht="15.75" customHeight="1">
      <c r="A116" s="114" t="s">
        <v>579</v>
      </c>
      <c r="B116" s="114" t="str">
        <f>IFERROR(__xludf.DUMMYFUNCTION("GOOGLETRANSLATE(A116, ""zh_CN"", ""en"")"),"S phase EPS voltage")</f>
        <v>S phase EPS voltage</v>
      </c>
      <c r="C116" s="114" t="s">
        <v>580</v>
      </c>
      <c r="D116" s="114" t="s">
        <v>581</v>
      </c>
      <c r="E116" s="114" t="s">
        <v>104</v>
      </c>
      <c r="F116" s="113">
        <v>2.0</v>
      </c>
      <c r="G116" s="114"/>
      <c r="H116" s="114" t="s">
        <v>215</v>
      </c>
      <c r="I116" s="15"/>
      <c r="J116" s="15"/>
      <c r="K116" s="100"/>
      <c r="L116" s="119"/>
      <c r="M116" s="102"/>
      <c r="N116" s="103" t="s">
        <v>99</v>
      </c>
      <c r="O116" s="103" t="s">
        <v>582</v>
      </c>
      <c r="P116" s="103" t="s">
        <v>99</v>
      </c>
      <c r="Q116" s="103" t="s">
        <v>99</v>
      </c>
      <c r="R116" s="104"/>
      <c r="S116" s="104"/>
      <c r="T116" s="104"/>
      <c r="U116" s="104"/>
      <c r="V116" s="104"/>
      <c r="W116" s="104"/>
      <c r="X116" s="104"/>
      <c r="Y116" s="104"/>
      <c r="Z116" s="104"/>
      <c r="AA116" s="104"/>
      <c r="AB116" s="104"/>
      <c r="AC116" s="104"/>
    </row>
    <row r="117" ht="15.75" customHeight="1">
      <c r="A117" s="114" t="s">
        <v>583</v>
      </c>
      <c r="B117" s="114" t="str">
        <f>IFERROR(__xludf.DUMMYFUNCTION("GOOGLETRANSLATE(A117, ""zh_CN"", ""en"")"),"T phase EPS voltage")</f>
        <v>T phase EPS voltage</v>
      </c>
      <c r="C117" s="114" t="s">
        <v>584</v>
      </c>
      <c r="D117" s="114" t="s">
        <v>585</v>
      </c>
      <c r="E117" s="114" t="s">
        <v>104</v>
      </c>
      <c r="F117" s="113">
        <v>2.0</v>
      </c>
      <c r="G117" s="114"/>
      <c r="H117" s="114" t="s">
        <v>215</v>
      </c>
      <c r="I117" s="15"/>
      <c r="J117" s="15"/>
      <c r="K117" s="100"/>
      <c r="L117" s="119"/>
      <c r="M117" s="102"/>
      <c r="N117" s="103" t="s">
        <v>99</v>
      </c>
      <c r="O117" s="103" t="s">
        <v>586</v>
      </c>
      <c r="P117" s="103" t="s">
        <v>99</v>
      </c>
      <c r="Q117" s="103" t="s">
        <v>99</v>
      </c>
      <c r="R117" s="104"/>
      <c r="S117" s="104"/>
      <c r="T117" s="104"/>
      <c r="U117" s="104"/>
      <c r="V117" s="104"/>
      <c r="W117" s="104"/>
      <c r="X117" s="104"/>
      <c r="Y117" s="104"/>
      <c r="Z117" s="104"/>
      <c r="AA117" s="104"/>
      <c r="AB117" s="104"/>
      <c r="AC117" s="104"/>
    </row>
    <row r="118" ht="15.75" customHeight="1">
      <c r="A118" s="114" t="s">
        <v>587</v>
      </c>
      <c r="B118" s="114" t="str">
        <f>IFERROR(__xludf.DUMMYFUNCTION("GOOGLETRANSLATE(A118, ""zh_CN"", ""en"")"),"R phase EPS current")</f>
        <v>R phase EPS current</v>
      </c>
      <c r="C118" s="114" t="s">
        <v>588</v>
      </c>
      <c r="D118" s="114" t="s">
        <v>589</v>
      </c>
      <c r="E118" s="114" t="s">
        <v>235</v>
      </c>
      <c r="F118" s="113">
        <v>2.0</v>
      </c>
      <c r="G118" s="114"/>
      <c r="H118" s="114" t="s">
        <v>197</v>
      </c>
      <c r="I118" s="15"/>
      <c r="J118" s="15"/>
      <c r="K118" s="100"/>
      <c r="L118" s="119"/>
      <c r="M118" s="102"/>
      <c r="N118" s="103" t="s">
        <v>99</v>
      </c>
      <c r="O118" s="103" t="s">
        <v>590</v>
      </c>
      <c r="P118" s="103" t="s">
        <v>99</v>
      </c>
      <c r="Q118" s="103" t="s">
        <v>99</v>
      </c>
      <c r="R118" s="104"/>
      <c r="S118" s="104"/>
      <c r="T118" s="104"/>
      <c r="U118" s="104"/>
      <c r="V118" s="104"/>
      <c r="W118" s="104"/>
      <c r="X118" s="104"/>
      <c r="Y118" s="104"/>
      <c r="Z118" s="104"/>
      <c r="AA118" s="104"/>
      <c r="AB118" s="104"/>
      <c r="AC118" s="104"/>
    </row>
    <row r="119" ht="15.75" customHeight="1">
      <c r="A119" s="114" t="s">
        <v>591</v>
      </c>
      <c r="B119" s="114" t="str">
        <f>IFERROR(__xludf.DUMMYFUNCTION("GOOGLETRANSLATE(A119, ""zh_CN"", ""en"")"),"S phase EPS current")</f>
        <v>S phase EPS current</v>
      </c>
      <c r="C119" s="114" t="s">
        <v>592</v>
      </c>
      <c r="D119" s="114" t="s">
        <v>593</v>
      </c>
      <c r="E119" s="114" t="s">
        <v>235</v>
      </c>
      <c r="F119" s="113">
        <v>2.0</v>
      </c>
      <c r="G119" s="114"/>
      <c r="H119" s="114" t="s">
        <v>197</v>
      </c>
      <c r="I119" s="15"/>
      <c r="J119" s="15"/>
      <c r="K119" s="100"/>
      <c r="L119" s="119"/>
      <c r="M119" s="102"/>
      <c r="N119" s="103" t="s">
        <v>99</v>
      </c>
      <c r="O119" s="103" t="s">
        <v>594</v>
      </c>
      <c r="P119" s="103" t="s">
        <v>99</v>
      </c>
      <c r="Q119" s="103" t="s">
        <v>99</v>
      </c>
      <c r="R119" s="104"/>
      <c r="S119" s="104"/>
      <c r="T119" s="104"/>
      <c r="U119" s="104"/>
      <c r="V119" s="104"/>
      <c r="W119" s="104"/>
      <c r="X119" s="104"/>
      <c r="Y119" s="104"/>
      <c r="Z119" s="104"/>
      <c r="AA119" s="104"/>
      <c r="AB119" s="104"/>
      <c r="AC119" s="104"/>
    </row>
    <row r="120" ht="15.75" customHeight="1">
      <c r="A120" s="114" t="s">
        <v>595</v>
      </c>
      <c r="B120" s="114" t="str">
        <f>IFERROR(__xludf.DUMMYFUNCTION("GOOGLETRANSLATE(A120, ""zh_CN"", ""en"")"),"T phase EPS current")</f>
        <v>T phase EPS current</v>
      </c>
      <c r="C120" s="114" t="s">
        <v>596</v>
      </c>
      <c r="D120" s="114" t="s">
        <v>597</v>
      </c>
      <c r="E120" s="114" t="s">
        <v>235</v>
      </c>
      <c r="F120" s="113">
        <v>2.0</v>
      </c>
      <c r="G120" s="114"/>
      <c r="H120" s="114" t="s">
        <v>197</v>
      </c>
      <c r="I120" s="15"/>
      <c r="J120" s="15"/>
      <c r="K120" s="100"/>
      <c r="L120" s="119"/>
      <c r="M120" s="102"/>
      <c r="N120" s="103" t="s">
        <v>99</v>
      </c>
      <c r="O120" s="103" t="s">
        <v>598</v>
      </c>
      <c r="P120" s="103" t="s">
        <v>99</v>
      </c>
      <c r="Q120" s="103" t="s">
        <v>99</v>
      </c>
      <c r="R120" s="104"/>
      <c r="S120" s="104"/>
      <c r="T120" s="104"/>
      <c r="U120" s="104"/>
      <c r="V120" s="104"/>
      <c r="W120" s="104"/>
      <c r="X120" s="104"/>
      <c r="Y120" s="104"/>
      <c r="Z120" s="104"/>
      <c r="AA120" s="104"/>
      <c r="AB120" s="104"/>
      <c r="AC120" s="104"/>
    </row>
    <row r="121" ht="15.75" customHeight="1">
      <c r="A121" s="114" t="s">
        <v>599</v>
      </c>
      <c r="B121" s="114" t="str">
        <f>IFERROR(__xludf.DUMMYFUNCTION("GOOGLETRANSLATE(A121, ""zh_CN"", ""en"")"),"R phase EPS frequency")</f>
        <v>R phase EPS frequency</v>
      </c>
      <c r="C121" s="114" t="s">
        <v>600</v>
      </c>
      <c r="D121" s="114" t="s">
        <v>601</v>
      </c>
      <c r="E121" s="114" t="s">
        <v>104</v>
      </c>
      <c r="F121" s="113">
        <v>2.0</v>
      </c>
      <c r="G121" s="114"/>
      <c r="H121" s="114" t="s">
        <v>272</v>
      </c>
      <c r="I121" s="15"/>
      <c r="J121" s="15"/>
      <c r="K121" s="100"/>
      <c r="L121" s="119"/>
      <c r="M121" s="102"/>
      <c r="N121" s="103" t="s">
        <v>99</v>
      </c>
      <c r="O121" s="103" t="s">
        <v>602</v>
      </c>
      <c r="P121" s="103" t="s">
        <v>99</v>
      </c>
      <c r="Q121" s="103" t="s">
        <v>99</v>
      </c>
      <c r="R121" s="104"/>
      <c r="S121" s="104"/>
      <c r="T121" s="104"/>
      <c r="U121" s="104"/>
      <c r="V121" s="104"/>
      <c r="W121" s="104"/>
      <c r="X121" s="104"/>
      <c r="Y121" s="104"/>
      <c r="Z121" s="104"/>
      <c r="AA121" s="104"/>
      <c r="AB121" s="104"/>
      <c r="AC121" s="104"/>
    </row>
    <row r="122" ht="15.75" customHeight="1">
      <c r="A122" s="114" t="s">
        <v>603</v>
      </c>
      <c r="B122" s="114" t="str">
        <f>IFERROR(__xludf.DUMMYFUNCTION("GOOGLETRANSLATE(A122, ""zh_CN"", ""en"")"),"R phase EPS active power")</f>
        <v>R phase EPS active power</v>
      </c>
      <c r="C122" s="114" t="s">
        <v>604</v>
      </c>
      <c r="D122" s="114" t="s">
        <v>605</v>
      </c>
      <c r="E122" s="114" t="s">
        <v>235</v>
      </c>
      <c r="F122" s="113">
        <v>2.0</v>
      </c>
      <c r="G122" s="114"/>
      <c r="H122" s="114" t="s">
        <v>286</v>
      </c>
      <c r="I122" s="15"/>
      <c r="J122" s="15"/>
      <c r="K122" s="100"/>
      <c r="L122" s="119"/>
      <c r="M122" s="102"/>
      <c r="N122" s="103" t="s">
        <v>99</v>
      </c>
      <c r="O122" s="103" t="s">
        <v>606</v>
      </c>
      <c r="P122" s="103" t="s">
        <v>99</v>
      </c>
      <c r="Q122" s="103" t="s">
        <v>99</v>
      </c>
      <c r="R122" s="104"/>
      <c r="S122" s="104"/>
      <c r="T122" s="104"/>
      <c r="U122" s="104"/>
      <c r="V122" s="104"/>
      <c r="W122" s="104"/>
      <c r="X122" s="104"/>
      <c r="Y122" s="104"/>
      <c r="Z122" s="104"/>
      <c r="AA122" s="104"/>
      <c r="AB122" s="104"/>
      <c r="AC122" s="104"/>
    </row>
    <row r="123" ht="15.75" customHeight="1">
      <c r="A123" s="114" t="s">
        <v>607</v>
      </c>
      <c r="B123" s="114" t="str">
        <f>IFERROR(__xludf.DUMMYFUNCTION("GOOGLETRANSLATE(A123, ""zh_CN"", ""en"")"),"S-phase EPS active power")</f>
        <v>S-phase EPS active power</v>
      </c>
      <c r="C123" s="114" t="s">
        <v>608</v>
      </c>
      <c r="D123" s="114" t="s">
        <v>609</v>
      </c>
      <c r="E123" s="114" t="s">
        <v>235</v>
      </c>
      <c r="F123" s="113">
        <v>2.0</v>
      </c>
      <c r="G123" s="114"/>
      <c r="H123" s="114" t="s">
        <v>286</v>
      </c>
      <c r="I123" s="15"/>
      <c r="J123" s="15"/>
      <c r="K123" s="100"/>
      <c r="L123" s="119"/>
      <c r="M123" s="102"/>
      <c r="N123" s="103" t="s">
        <v>99</v>
      </c>
      <c r="O123" s="103" t="s">
        <v>610</v>
      </c>
      <c r="P123" s="103" t="s">
        <v>99</v>
      </c>
      <c r="Q123" s="103" t="s">
        <v>99</v>
      </c>
      <c r="R123" s="104"/>
      <c r="S123" s="104"/>
      <c r="T123" s="104"/>
      <c r="U123" s="104"/>
      <c r="V123" s="104"/>
      <c r="W123" s="104"/>
      <c r="X123" s="104"/>
      <c r="Y123" s="104"/>
      <c r="Z123" s="104"/>
      <c r="AA123" s="104"/>
      <c r="AB123" s="104"/>
      <c r="AC123" s="104"/>
    </row>
    <row r="124" ht="15.75" customHeight="1">
      <c r="A124" s="114" t="s">
        <v>611</v>
      </c>
      <c r="B124" s="114" t="str">
        <f>IFERROR(__xludf.DUMMYFUNCTION("GOOGLETRANSLATE(A124, ""zh_CN"", ""en"")"),"T-phase EPS active power")</f>
        <v>T-phase EPS active power</v>
      </c>
      <c r="C124" s="114" t="s">
        <v>612</v>
      </c>
      <c r="D124" s="114" t="s">
        <v>613</v>
      </c>
      <c r="E124" s="114" t="s">
        <v>235</v>
      </c>
      <c r="F124" s="113">
        <v>2.0</v>
      </c>
      <c r="G124" s="114"/>
      <c r="H124" s="114" t="s">
        <v>286</v>
      </c>
      <c r="I124" s="16"/>
      <c r="J124" s="16"/>
      <c r="K124" s="100"/>
      <c r="L124" s="119"/>
      <c r="M124" s="102"/>
      <c r="N124" s="103" t="s">
        <v>99</v>
      </c>
      <c r="O124" s="103" t="s">
        <v>614</v>
      </c>
      <c r="P124" s="103" t="s">
        <v>99</v>
      </c>
      <c r="Q124" s="103" t="s">
        <v>99</v>
      </c>
      <c r="R124" s="104"/>
      <c r="S124" s="104"/>
      <c r="T124" s="104"/>
      <c r="U124" s="104"/>
      <c r="V124" s="104"/>
      <c r="W124" s="104"/>
      <c r="X124" s="104"/>
      <c r="Y124" s="104"/>
      <c r="Z124" s="104"/>
      <c r="AA124" s="104"/>
      <c r="AB124" s="104"/>
      <c r="AC124" s="104"/>
    </row>
    <row r="125" ht="15.75" customHeight="1">
      <c r="A125" s="114" t="s">
        <v>615</v>
      </c>
      <c r="B125" s="114" t="str">
        <f>IFERROR(__xludf.DUMMYFUNCTION("GOOGLETRANSLATE(A125, ""zh_CN"", ""en"")"),"Total EPS active power")</f>
        <v>Total EPS active power</v>
      </c>
      <c r="C125" s="114" t="s">
        <v>616</v>
      </c>
      <c r="D125" s="114" t="s">
        <v>617</v>
      </c>
      <c r="E125" s="114" t="s">
        <v>285</v>
      </c>
      <c r="F125" s="120">
        <v>4.0</v>
      </c>
      <c r="G125" s="114"/>
      <c r="H125" s="114" t="s">
        <v>286</v>
      </c>
      <c r="I125" s="114"/>
      <c r="J125" s="100"/>
      <c r="K125" s="100"/>
      <c r="L125" s="119" t="s">
        <v>618</v>
      </c>
      <c r="M125" s="102" t="str">
        <f>IFERROR(__xludf.DUMMYFUNCTION("GOOGLETRANSLATE(L125, ""zh_CN"", ""en"")"),"When off-grid parallel connection, active power and reactive power may also be negative values, and the relevant ones should be changed to signed numbers.")</f>
        <v>When off-grid parallel connection, active power and reactive power may also be negative values, and the relevant ones should be changed to signed numbers.</v>
      </c>
      <c r="N125" s="103" t="s">
        <v>99</v>
      </c>
      <c r="O125" s="103" t="s">
        <v>619</v>
      </c>
      <c r="P125" s="103" t="s">
        <v>99</v>
      </c>
      <c r="Q125" s="103" t="s">
        <v>99</v>
      </c>
      <c r="R125" s="104"/>
      <c r="S125" s="104"/>
      <c r="T125" s="104"/>
      <c r="U125" s="104"/>
      <c r="V125" s="104"/>
      <c r="W125" s="104"/>
      <c r="X125" s="104"/>
      <c r="Y125" s="104"/>
      <c r="Z125" s="104"/>
      <c r="AA125" s="104"/>
      <c r="AB125" s="104"/>
      <c r="AC125" s="104"/>
    </row>
    <row r="126" ht="15.75" customHeight="1">
      <c r="A126" s="121" t="s">
        <v>620</v>
      </c>
      <c r="B126" s="114" t="str">
        <f>IFERROR(__xludf.DUMMYFUNCTION("GOOGLETRANSLATE(A126, ""zh_CN"", ""en"")"),"Total EPS reactive power")</f>
        <v>Total EPS reactive power</v>
      </c>
      <c r="C126" s="114" t="s">
        <v>621</v>
      </c>
      <c r="D126" s="114" t="s">
        <v>622</v>
      </c>
      <c r="E126" s="114" t="s">
        <v>285</v>
      </c>
      <c r="F126" s="120">
        <v>4.0</v>
      </c>
      <c r="G126" s="114"/>
      <c r="H126" s="114" t="s">
        <v>334</v>
      </c>
      <c r="I126" s="114"/>
      <c r="J126" s="100"/>
      <c r="K126" s="100"/>
      <c r="L126" s="119" t="s">
        <v>623</v>
      </c>
      <c r="M126" s="102" t="str">
        <f>IFERROR(__xludf.DUMMYFUNCTION("GOOGLETRANSLATE(L126, ""zh_CN"", ""en"")"),"VA changed to Var")</f>
        <v>VA changed to Var</v>
      </c>
      <c r="N126" s="103" t="s">
        <v>99</v>
      </c>
      <c r="O126" s="122" t="s">
        <v>624</v>
      </c>
      <c r="P126" s="103" t="s">
        <v>99</v>
      </c>
      <c r="Q126" s="103" t="s">
        <v>99</v>
      </c>
      <c r="R126" s="104"/>
      <c r="S126" s="104"/>
      <c r="T126" s="104"/>
      <c r="U126" s="104"/>
      <c r="V126" s="104"/>
      <c r="W126" s="104"/>
      <c r="X126" s="104"/>
      <c r="Y126" s="104"/>
      <c r="Z126" s="104"/>
      <c r="AA126" s="104"/>
      <c r="AB126" s="104"/>
      <c r="AC126" s="104"/>
    </row>
    <row r="127" ht="15.75" customHeight="1">
      <c r="A127" s="114" t="s">
        <v>625</v>
      </c>
      <c r="B127" s="114" t="str">
        <f>IFERROR(__xludf.DUMMYFUNCTION("GOOGLETRANSLATE(A127, ""zh_CN"", ""en"")"),"Total EPS apparent power")</f>
        <v>Total EPS apparent power</v>
      </c>
      <c r="C127" s="114" t="s">
        <v>626</v>
      </c>
      <c r="D127" s="114" t="s">
        <v>627</v>
      </c>
      <c r="E127" s="114" t="s">
        <v>110</v>
      </c>
      <c r="F127" s="120">
        <v>4.0</v>
      </c>
      <c r="G127" s="114"/>
      <c r="H127" s="114" t="s">
        <v>311</v>
      </c>
      <c r="I127" s="114"/>
      <c r="J127" s="100"/>
      <c r="K127" s="100"/>
      <c r="L127" s="123"/>
      <c r="M127" s="102"/>
      <c r="N127" s="103" t="s">
        <v>99</v>
      </c>
      <c r="O127" s="103" t="s">
        <v>628</v>
      </c>
      <c r="P127" s="103" t="s">
        <v>99</v>
      </c>
      <c r="Q127" s="103" t="s">
        <v>99</v>
      </c>
      <c r="R127" s="104"/>
      <c r="S127" s="104"/>
      <c r="T127" s="104"/>
      <c r="U127" s="104"/>
      <c r="V127" s="104"/>
      <c r="W127" s="104"/>
      <c r="X127" s="104"/>
      <c r="Y127" s="104"/>
      <c r="Z127" s="104"/>
      <c r="AA127" s="104"/>
      <c r="AB127" s="104"/>
      <c r="AC127" s="104"/>
    </row>
    <row r="128" ht="15.75" customHeight="1">
      <c r="A128" s="114" t="s">
        <v>629</v>
      </c>
      <c r="B128" s="114" t="str">
        <f>IFERROR(__xludf.DUMMYFUNCTION("GOOGLETRANSLATE(A128, ""zh_CN"", ""en"")"),"EPS discharge amount on the day")</f>
        <v>EPS discharge amount on the day</v>
      </c>
      <c r="C128" s="114" t="s">
        <v>630</v>
      </c>
      <c r="D128" s="114" t="s">
        <v>631</v>
      </c>
      <c r="E128" s="114" t="s">
        <v>104</v>
      </c>
      <c r="F128" s="120">
        <v>2.0</v>
      </c>
      <c r="G128" s="114"/>
      <c r="H128" s="114" t="s">
        <v>460</v>
      </c>
      <c r="I128" s="114"/>
      <c r="J128" s="119"/>
      <c r="K128" s="119" t="s">
        <v>632</v>
      </c>
      <c r="L128" s="123"/>
      <c r="M128" s="102"/>
      <c r="N128" s="103" t="s">
        <v>99</v>
      </c>
      <c r="O128" s="103" t="s">
        <v>633</v>
      </c>
      <c r="P128" s="103" t="s">
        <v>99</v>
      </c>
      <c r="Q128" s="103" t="s">
        <v>99</v>
      </c>
      <c r="R128" s="104"/>
      <c r="S128" s="104"/>
      <c r="T128" s="104"/>
      <c r="U128" s="104"/>
      <c r="V128" s="104"/>
      <c r="W128" s="104"/>
      <c r="X128" s="104"/>
      <c r="Y128" s="104"/>
      <c r="Z128" s="104"/>
      <c r="AA128" s="104"/>
      <c r="AB128" s="104"/>
      <c r="AC128" s="104"/>
    </row>
    <row r="129" ht="15.75" customHeight="1">
      <c r="A129" s="114" t="s">
        <v>634</v>
      </c>
      <c r="B129" s="114" t="str">
        <f>IFERROR(__xludf.DUMMYFUNCTION("GOOGLETRANSLATE(A129, ""zh_CN"", ""en"")"),"EPS charging amount on the day")</f>
        <v>EPS charging amount on the day</v>
      </c>
      <c r="C129" s="114" t="s">
        <v>635</v>
      </c>
      <c r="D129" s="114" t="s">
        <v>636</v>
      </c>
      <c r="E129" s="114" t="s">
        <v>104</v>
      </c>
      <c r="F129" s="120">
        <v>2.0</v>
      </c>
      <c r="G129" s="114"/>
      <c r="H129" s="114" t="s">
        <v>460</v>
      </c>
      <c r="I129" s="114"/>
      <c r="J129" s="119"/>
      <c r="K129" s="119" t="s">
        <v>637</v>
      </c>
      <c r="L129" s="123"/>
      <c r="M129" s="102"/>
      <c r="N129" s="103" t="s">
        <v>99</v>
      </c>
      <c r="O129" s="103" t="s">
        <v>638</v>
      </c>
      <c r="P129" s="103" t="s">
        <v>99</v>
      </c>
      <c r="Q129" s="103" t="s">
        <v>99</v>
      </c>
      <c r="R129" s="104"/>
      <c r="S129" s="104"/>
      <c r="T129" s="104"/>
      <c r="U129" s="104"/>
      <c r="V129" s="104"/>
      <c r="W129" s="104"/>
      <c r="X129" s="104"/>
      <c r="Y129" s="104"/>
      <c r="Z129" s="104"/>
      <c r="AA129" s="104"/>
      <c r="AB129" s="104"/>
      <c r="AC129" s="104"/>
    </row>
    <row r="130" ht="15.75" customHeight="1">
      <c r="A130" s="114" t="s">
        <v>639</v>
      </c>
      <c r="B130" s="114" t="str">
        <f>IFERROR(__xludf.DUMMYFUNCTION("GOOGLETRANSLATE(A130, ""zh_CN"", ""en"")"),"R phase GEN voltage")</f>
        <v>R phase GEN voltage</v>
      </c>
      <c r="C130" s="114" t="s">
        <v>640</v>
      </c>
      <c r="D130" s="112" t="s">
        <v>641</v>
      </c>
      <c r="E130" s="114" t="s">
        <v>104</v>
      </c>
      <c r="F130" s="120">
        <v>2.0</v>
      </c>
      <c r="G130" s="114"/>
      <c r="H130" s="114" t="s">
        <v>215</v>
      </c>
      <c r="I130" s="114"/>
      <c r="J130" s="119"/>
      <c r="K130" s="119"/>
      <c r="L130" s="117" t="s">
        <v>642</v>
      </c>
      <c r="M130" s="118" t="str">
        <f>IFERROR(__xludf.DUMMYFUNCTION("GOOGLETRANSLATE(L130, ""zh_CN"", ""en"")"),"Added unit 0.1V")</f>
        <v>Added unit 0.1V</v>
      </c>
      <c r="N130" s="103" t="s">
        <v>99</v>
      </c>
      <c r="O130" s="122" t="s">
        <v>624</v>
      </c>
      <c r="P130" s="103" t="s">
        <v>99</v>
      </c>
      <c r="Q130" s="103" t="s">
        <v>99</v>
      </c>
      <c r="R130" s="104"/>
      <c r="S130" s="104"/>
      <c r="T130" s="104"/>
      <c r="U130" s="104"/>
      <c r="V130" s="104"/>
      <c r="W130" s="104"/>
      <c r="X130" s="104"/>
      <c r="Y130" s="104"/>
      <c r="Z130" s="104"/>
      <c r="AA130" s="104"/>
      <c r="AB130" s="104"/>
      <c r="AC130" s="104"/>
    </row>
    <row r="131" ht="15.75" customHeight="1">
      <c r="A131" s="114" t="s">
        <v>643</v>
      </c>
      <c r="B131" s="114" t="str">
        <f>IFERROR(__xludf.DUMMYFUNCTION("GOOGLETRANSLATE(A131, ""zh_CN"", ""en"")"),"S phase GEN voltage")</f>
        <v>S phase GEN voltage</v>
      </c>
      <c r="C131" s="114" t="s">
        <v>644</v>
      </c>
      <c r="D131" s="112" t="s">
        <v>645</v>
      </c>
      <c r="E131" s="114" t="s">
        <v>104</v>
      </c>
      <c r="F131" s="120">
        <v>2.0</v>
      </c>
      <c r="G131" s="114"/>
      <c r="H131" s="124" t="s">
        <v>215</v>
      </c>
      <c r="I131" s="114"/>
      <c r="J131" s="119"/>
      <c r="K131" s="119"/>
      <c r="L131" s="15"/>
      <c r="M131" s="15"/>
      <c r="N131" s="103" t="s">
        <v>99</v>
      </c>
      <c r="O131" s="122" t="s">
        <v>624</v>
      </c>
      <c r="P131" s="103" t="s">
        <v>99</v>
      </c>
      <c r="Q131" s="103" t="s">
        <v>99</v>
      </c>
      <c r="R131" s="104"/>
      <c r="S131" s="104"/>
      <c r="T131" s="104"/>
      <c r="U131" s="104"/>
      <c r="V131" s="104"/>
      <c r="W131" s="104"/>
      <c r="X131" s="104"/>
      <c r="Y131" s="104"/>
      <c r="Z131" s="104"/>
      <c r="AA131" s="104"/>
      <c r="AB131" s="104"/>
      <c r="AC131" s="104"/>
    </row>
    <row r="132" ht="15.75" customHeight="1">
      <c r="A132" s="114" t="s">
        <v>646</v>
      </c>
      <c r="B132" s="114" t="str">
        <f>IFERROR(__xludf.DUMMYFUNCTION("GOOGLETRANSLATE(A132, ""zh_CN"", ""en"")"),"T phase GEN voltage")</f>
        <v>T phase GEN voltage</v>
      </c>
      <c r="C132" s="114" t="s">
        <v>647</v>
      </c>
      <c r="D132" s="112" t="s">
        <v>648</v>
      </c>
      <c r="E132" s="114" t="s">
        <v>104</v>
      </c>
      <c r="F132" s="120">
        <v>2.0</v>
      </c>
      <c r="G132" s="114"/>
      <c r="H132" s="124" t="s">
        <v>215</v>
      </c>
      <c r="I132" s="114"/>
      <c r="J132" s="119"/>
      <c r="K132" s="119"/>
      <c r="L132" s="16"/>
      <c r="M132" s="16"/>
      <c r="N132" s="103" t="s">
        <v>99</v>
      </c>
      <c r="O132" s="122" t="s">
        <v>624</v>
      </c>
      <c r="P132" s="103" t="s">
        <v>99</v>
      </c>
      <c r="Q132" s="103" t="s">
        <v>99</v>
      </c>
      <c r="R132" s="104"/>
      <c r="S132" s="104"/>
      <c r="T132" s="104"/>
      <c r="U132" s="104"/>
      <c r="V132" s="104"/>
      <c r="W132" s="104"/>
      <c r="X132" s="104"/>
      <c r="Y132" s="104"/>
      <c r="Z132" s="104"/>
      <c r="AA132" s="104"/>
      <c r="AB132" s="104"/>
      <c r="AC132" s="104"/>
    </row>
    <row r="133" ht="15.75" customHeight="1">
      <c r="A133" s="114" t="s">
        <v>649</v>
      </c>
      <c r="B133" s="114" t="str">
        <f>IFERROR(__xludf.DUMMYFUNCTION("GOOGLETRANSLATE(A133, ""zh_CN"", ""en"")"),"R phase GEN current")</f>
        <v>R phase GEN current</v>
      </c>
      <c r="C133" s="114" t="s">
        <v>650</v>
      </c>
      <c r="D133" s="112" t="s">
        <v>651</v>
      </c>
      <c r="E133" s="114" t="s">
        <v>235</v>
      </c>
      <c r="F133" s="120">
        <v>2.0</v>
      </c>
      <c r="G133" s="114"/>
      <c r="H133" s="114" t="s">
        <v>197</v>
      </c>
      <c r="I133" s="114"/>
      <c r="J133" s="119"/>
      <c r="K133" s="119"/>
      <c r="L133" s="117" t="s">
        <v>652</v>
      </c>
      <c r="M133" s="118" t="str">
        <f>IFERROR(__xludf.DUMMYFUNCTION("GOOGLETRANSLATE(L133, ""zh_CN"", ""en"")"),"New unit 0.01A")</f>
        <v>New unit 0.01A</v>
      </c>
      <c r="N133" s="103" t="s">
        <v>99</v>
      </c>
      <c r="O133" s="122" t="s">
        <v>624</v>
      </c>
      <c r="P133" s="103" t="s">
        <v>99</v>
      </c>
      <c r="Q133" s="103" t="s">
        <v>99</v>
      </c>
      <c r="R133" s="104"/>
      <c r="S133" s="104"/>
      <c r="T133" s="104"/>
      <c r="U133" s="104"/>
      <c r="V133" s="104"/>
      <c r="W133" s="104"/>
      <c r="X133" s="104"/>
      <c r="Y133" s="104"/>
      <c r="Z133" s="104"/>
      <c r="AA133" s="104"/>
      <c r="AB133" s="104"/>
      <c r="AC133" s="104"/>
    </row>
    <row r="134" ht="15.75" customHeight="1">
      <c r="A134" s="114" t="s">
        <v>653</v>
      </c>
      <c r="B134" s="114" t="str">
        <f>IFERROR(__xludf.DUMMYFUNCTION("GOOGLETRANSLATE(A134, ""zh_CN"", ""en"")"),"S phase GEN current")</f>
        <v>S phase GEN current</v>
      </c>
      <c r="C134" s="114" t="s">
        <v>654</v>
      </c>
      <c r="D134" s="112" t="s">
        <v>655</v>
      </c>
      <c r="E134" s="114" t="s">
        <v>235</v>
      </c>
      <c r="F134" s="120">
        <v>2.0</v>
      </c>
      <c r="G134" s="114"/>
      <c r="H134" s="124" t="s">
        <v>197</v>
      </c>
      <c r="I134" s="114"/>
      <c r="J134" s="119"/>
      <c r="K134" s="119"/>
      <c r="L134" s="15"/>
      <c r="M134" s="125"/>
      <c r="N134" s="103" t="s">
        <v>99</v>
      </c>
      <c r="O134" s="122" t="s">
        <v>624</v>
      </c>
      <c r="P134" s="103" t="s">
        <v>99</v>
      </c>
      <c r="Q134" s="103" t="s">
        <v>99</v>
      </c>
      <c r="R134" s="104"/>
      <c r="S134" s="104"/>
      <c r="T134" s="104"/>
      <c r="U134" s="104"/>
      <c r="V134" s="104"/>
      <c r="W134" s="104"/>
      <c r="X134" s="104"/>
      <c r="Y134" s="104"/>
      <c r="Z134" s="104"/>
      <c r="AA134" s="104"/>
      <c r="AB134" s="104"/>
      <c r="AC134" s="104"/>
    </row>
    <row r="135" ht="15.75" customHeight="1">
      <c r="A135" s="114" t="s">
        <v>656</v>
      </c>
      <c r="B135" s="114" t="str">
        <f>IFERROR(__xludf.DUMMYFUNCTION("GOOGLETRANSLATE(A135, ""zh_CN"", ""en"")"),"T phase GEN current")</f>
        <v>T phase GEN current</v>
      </c>
      <c r="C135" s="114" t="s">
        <v>657</v>
      </c>
      <c r="D135" s="112" t="s">
        <v>658</v>
      </c>
      <c r="E135" s="114" t="s">
        <v>235</v>
      </c>
      <c r="F135" s="120">
        <v>2.0</v>
      </c>
      <c r="G135" s="114"/>
      <c r="H135" s="124" t="s">
        <v>197</v>
      </c>
      <c r="I135" s="114"/>
      <c r="J135" s="119"/>
      <c r="K135" s="119"/>
      <c r="L135" s="16"/>
      <c r="M135" s="126"/>
      <c r="N135" s="103" t="s">
        <v>99</v>
      </c>
      <c r="O135" s="122" t="s">
        <v>624</v>
      </c>
      <c r="P135" s="103" t="s">
        <v>99</v>
      </c>
      <c r="Q135" s="103" t="s">
        <v>99</v>
      </c>
      <c r="R135" s="104"/>
      <c r="S135" s="104"/>
      <c r="T135" s="104"/>
      <c r="U135" s="104"/>
      <c r="V135" s="104"/>
      <c r="W135" s="104"/>
      <c r="X135" s="104"/>
      <c r="Y135" s="104"/>
      <c r="Z135" s="104"/>
      <c r="AA135" s="104"/>
      <c r="AB135" s="104"/>
      <c r="AC135" s="104"/>
    </row>
    <row r="136" ht="15.75" customHeight="1">
      <c r="A136" s="114" t="s">
        <v>659</v>
      </c>
      <c r="B136" s="114" t="str">
        <f>IFERROR(__xludf.DUMMYFUNCTION("GOOGLETRANSLATE(A136, ""zh_CN"", ""en"")"),"R phase GEN active power")</f>
        <v>R phase GEN active power</v>
      </c>
      <c r="C136" s="114" t="s">
        <v>660</v>
      </c>
      <c r="D136" s="112" t="s">
        <v>661</v>
      </c>
      <c r="E136" s="114" t="s">
        <v>235</v>
      </c>
      <c r="F136" s="120">
        <v>2.0</v>
      </c>
      <c r="G136" s="114"/>
      <c r="H136" s="114" t="s">
        <v>286</v>
      </c>
      <c r="I136" s="114"/>
      <c r="J136" s="119"/>
      <c r="K136" s="119"/>
      <c r="L136" s="117" t="s">
        <v>662</v>
      </c>
      <c r="M136" s="118" t="str">
        <f>IFERROR(__xludf.DUMMYFUNCTION("GOOGLETRANSLATE(L136, ""zh_CN"", ""en"")"),"Added unit W")</f>
        <v>Added unit W</v>
      </c>
      <c r="N136" s="103" t="s">
        <v>99</v>
      </c>
      <c r="O136" s="122" t="s">
        <v>624</v>
      </c>
      <c r="P136" s="103" t="s">
        <v>99</v>
      </c>
      <c r="Q136" s="103" t="s">
        <v>99</v>
      </c>
      <c r="R136" s="104"/>
      <c r="S136" s="104"/>
      <c r="T136" s="104"/>
      <c r="U136" s="104"/>
      <c r="V136" s="104"/>
      <c r="W136" s="104"/>
      <c r="X136" s="104"/>
      <c r="Y136" s="104"/>
      <c r="Z136" s="104"/>
      <c r="AA136" s="104"/>
      <c r="AB136" s="104"/>
      <c r="AC136" s="104"/>
    </row>
    <row r="137" ht="15.75" customHeight="1">
      <c r="A137" s="114" t="s">
        <v>663</v>
      </c>
      <c r="B137" s="114" t="str">
        <f>IFERROR(__xludf.DUMMYFUNCTION("GOOGLETRANSLATE(A137, ""zh_CN"", ""en"")"),"S phase GEN active power")</f>
        <v>S phase GEN active power</v>
      </c>
      <c r="C137" s="114" t="s">
        <v>664</v>
      </c>
      <c r="D137" s="112" t="s">
        <v>665</v>
      </c>
      <c r="E137" s="114" t="s">
        <v>235</v>
      </c>
      <c r="F137" s="120">
        <v>2.0</v>
      </c>
      <c r="G137" s="114"/>
      <c r="H137" s="124" t="s">
        <v>286</v>
      </c>
      <c r="I137" s="114"/>
      <c r="J137" s="119"/>
      <c r="K137" s="119"/>
      <c r="L137" s="15"/>
      <c r="M137" s="125"/>
      <c r="N137" s="103" t="s">
        <v>99</v>
      </c>
      <c r="O137" s="122" t="s">
        <v>624</v>
      </c>
      <c r="P137" s="103" t="s">
        <v>99</v>
      </c>
      <c r="Q137" s="103" t="s">
        <v>99</v>
      </c>
      <c r="R137" s="104"/>
      <c r="S137" s="104"/>
      <c r="T137" s="104"/>
      <c r="U137" s="104"/>
      <c r="V137" s="104"/>
      <c r="W137" s="104"/>
      <c r="X137" s="104"/>
      <c r="Y137" s="104"/>
      <c r="Z137" s="104"/>
      <c r="AA137" s="104"/>
      <c r="AB137" s="104"/>
      <c r="AC137" s="104"/>
    </row>
    <row r="138" ht="15.75" customHeight="1">
      <c r="A138" s="114" t="s">
        <v>666</v>
      </c>
      <c r="B138" s="114" t="str">
        <f>IFERROR(__xludf.DUMMYFUNCTION("GOOGLETRANSLATE(A138, ""zh_CN"", ""en"")"),"T phase GEN active power")</f>
        <v>T phase GEN active power</v>
      </c>
      <c r="C138" s="114" t="s">
        <v>667</v>
      </c>
      <c r="D138" s="112" t="s">
        <v>668</v>
      </c>
      <c r="E138" s="114" t="s">
        <v>235</v>
      </c>
      <c r="F138" s="120">
        <v>2.0</v>
      </c>
      <c r="G138" s="114"/>
      <c r="H138" s="124" t="s">
        <v>286</v>
      </c>
      <c r="I138" s="114"/>
      <c r="J138" s="119"/>
      <c r="K138" s="119"/>
      <c r="L138" s="15"/>
      <c r="M138" s="125"/>
      <c r="N138" s="103" t="s">
        <v>99</v>
      </c>
      <c r="O138" s="122" t="s">
        <v>624</v>
      </c>
      <c r="P138" s="103" t="s">
        <v>99</v>
      </c>
      <c r="Q138" s="103" t="s">
        <v>99</v>
      </c>
      <c r="R138" s="104"/>
      <c r="S138" s="104"/>
      <c r="T138" s="104"/>
      <c r="U138" s="104"/>
      <c r="V138" s="104"/>
      <c r="W138" s="104"/>
      <c r="X138" s="104"/>
      <c r="Y138" s="104"/>
      <c r="Z138" s="104"/>
      <c r="AA138" s="104"/>
      <c r="AB138" s="104"/>
      <c r="AC138" s="104"/>
    </row>
    <row r="139" ht="15.75" customHeight="1">
      <c r="A139" s="121" t="s">
        <v>669</v>
      </c>
      <c r="B139" s="114" t="str">
        <f>IFERROR(__xludf.DUMMYFUNCTION("GOOGLETRANSLATE(A139, ""zh_CN"", ""en"")"),"Total GEN active power")</f>
        <v>Total GEN active power</v>
      </c>
      <c r="C139" s="114" t="s">
        <v>670</v>
      </c>
      <c r="D139" s="112" t="s">
        <v>671</v>
      </c>
      <c r="E139" s="114" t="s">
        <v>285</v>
      </c>
      <c r="F139" s="120">
        <v>4.0</v>
      </c>
      <c r="G139" s="114"/>
      <c r="H139" s="124" t="s">
        <v>286</v>
      </c>
      <c r="I139" s="114"/>
      <c r="J139" s="119"/>
      <c r="K139" s="119"/>
      <c r="L139" s="16"/>
      <c r="M139" s="126"/>
      <c r="N139" s="103" t="s">
        <v>99</v>
      </c>
      <c r="O139" s="122" t="s">
        <v>624</v>
      </c>
      <c r="P139" s="103" t="s">
        <v>99</v>
      </c>
      <c r="Q139" s="103" t="s">
        <v>99</v>
      </c>
      <c r="R139" s="104"/>
      <c r="S139" s="104"/>
      <c r="T139" s="104"/>
      <c r="U139" s="104"/>
      <c r="V139" s="104"/>
      <c r="W139" s="104"/>
      <c r="X139" s="104"/>
      <c r="Y139" s="104"/>
      <c r="Z139" s="104"/>
      <c r="AA139" s="104"/>
      <c r="AB139" s="104"/>
      <c r="AC139" s="104"/>
    </row>
    <row r="140" ht="15.75" customHeight="1">
      <c r="A140" s="121" t="s">
        <v>672</v>
      </c>
      <c r="B140" s="114" t="str">
        <f>IFERROR(__xludf.DUMMYFUNCTION("GOOGLETRANSLATE(A140, ""zh_CN"", ""en"")"),"Total GEN reactive power")</f>
        <v>Total GEN reactive power</v>
      </c>
      <c r="C140" s="114" t="s">
        <v>673</v>
      </c>
      <c r="D140" s="112" t="s">
        <v>674</v>
      </c>
      <c r="E140" s="114" t="s">
        <v>285</v>
      </c>
      <c r="F140" s="120">
        <v>4.0</v>
      </c>
      <c r="G140" s="114"/>
      <c r="H140" s="114" t="s">
        <v>334</v>
      </c>
      <c r="I140" s="114"/>
      <c r="J140" s="119"/>
      <c r="K140" s="119"/>
      <c r="L140" s="101" t="s">
        <v>675</v>
      </c>
      <c r="M140" s="102" t="str">
        <f>IFERROR(__xludf.DUMMYFUNCTION("GOOGLETRANSLATE(L140, ""zh_CN"", ""en"")"),"Add new unit Var")</f>
        <v>Add new unit Var</v>
      </c>
      <c r="N140" s="103" t="s">
        <v>99</v>
      </c>
      <c r="O140" s="122" t="s">
        <v>624</v>
      </c>
      <c r="P140" s="103" t="s">
        <v>99</v>
      </c>
      <c r="Q140" s="103" t="s">
        <v>99</v>
      </c>
      <c r="R140" s="104"/>
      <c r="S140" s="104"/>
      <c r="T140" s="104"/>
      <c r="U140" s="104"/>
      <c r="V140" s="104"/>
      <c r="W140" s="104"/>
      <c r="X140" s="104"/>
      <c r="Y140" s="104"/>
      <c r="Z140" s="104"/>
      <c r="AA140" s="104"/>
      <c r="AB140" s="104"/>
      <c r="AC140" s="104"/>
    </row>
    <row r="141" ht="15.75" customHeight="1">
      <c r="A141" s="121" t="s">
        <v>676</v>
      </c>
      <c r="B141" s="114" t="str">
        <f>IFERROR(__xludf.DUMMYFUNCTION("GOOGLETRANSLATE(A141, ""zh_CN"", ""en"")"),"Total GEN apparent power")</f>
        <v>Total GEN apparent power</v>
      </c>
      <c r="C141" s="114" t="s">
        <v>677</v>
      </c>
      <c r="D141" s="112" t="s">
        <v>678</v>
      </c>
      <c r="E141" s="114" t="s">
        <v>110</v>
      </c>
      <c r="F141" s="120">
        <v>4.0</v>
      </c>
      <c r="G141" s="114"/>
      <c r="H141" s="124" t="s">
        <v>311</v>
      </c>
      <c r="I141" s="114"/>
      <c r="J141" s="119"/>
      <c r="K141" s="119"/>
      <c r="L141" s="101" t="s">
        <v>679</v>
      </c>
      <c r="M141" s="102" t="str">
        <f>IFERROR(__xludf.DUMMYFUNCTION("GOOGLETRANSLATE(L141, ""zh_CN"", ""en"")"),"Add new unit VA")</f>
        <v>Add new unit VA</v>
      </c>
      <c r="N141" s="103" t="s">
        <v>99</v>
      </c>
      <c r="O141" s="122" t="s">
        <v>624</v>
      </c>
      <c r="P141" s="103" t="s">
        <v>99</v>
      </c>
      <c r="Q141" s="103" t="s">
        <v>99</v>
      </c>
      <c r="R141" s="104"/>
      <c r="S141" s="104"/>
      <c r="T141" s="104"/>
      <c r="U141" s="104"/>
      <c r="V141" s="104"/>
      <c r="W141" s="104"/>
      <c r="X141" s="104"/>
      <c r="Y141" s="104"/>
      <c r="Z141" s="104"/>
      <c r="AA141" s="104"/>
      <c r="AB141" s="104"/>
      <c r="AC141" s="104"/>
    </row>
    <row r="142" ht="15.75" customHeight="1">
      <c r="A142" s="121" t="s">
        <v>680</v>
      </c>
      <c r="B142" s="114" t="str">
        <f>IFERROR(__xludf.DUMMYFUNCTION("GOOGLETRANSLATE(A142, ""zh_CN"", ""en"")"),"GEN power generation on that day")</f>
        <v>GEN power generation on that day</v>
      </c>
      <c r="C142" s="114" t="s">
        <v>681</v>
      </c>
      <c r="D142" s="112">
        <v>1536.0</v>
      </c>
      <c r="E142" s="114" t="s">
        <v>104</v>
      </c>
      <c r="F142" s="120">
        <v>2.0</v>
      </c>
      <c r="G142" s="114"/>
      <c r="H142" s="114" t="s">
        <v>460</v>
      </c>
      <c r="I142" s="114"/>
      <c r="J142" s="119"/>
      <c r="K142" s="119"/>
      <c r="L142" s="117" t="s">
        <v>682</v>
      </c>
      <c r="M142" s="118" t="str">
        <f>IFERROR(__xludf.DUMMYFUNCTION("GOOGLETRANSLATE(L142, ""zh_CN"", ""en"")"),"New unit 0.1kwh")</f>
        <v>New unit 0.1kwh</v>
      </c>
      <c r="N142" s="103" t="s">
        <v>99</v>
      </c>
      <c r="O142" s="122" t="s">
        <v>624</v>
      </c>
      <c r="P142" s="103" t="s">
        <v>99</v>
      </c>
      <c r="Q142" s="103" t="s">
        <v>99</v>
      </c>
      <c r="R142" s="104"/>
      <c r="S142" s="104"/>
      <c r="T142" s="104"/>
      <c r="U142" s="104"/>
      <c r="V142" s="104"/>
      <c r="W142" s="104"/>
      <c r="X142" s="104"/>
      <c r="Y142" s="104"/>
      <c r="Z142" s="104"/>
      <c r="AA142" s="104"/>
      <c r="AB142" s="104"/>
      <c r="AC142" s="104"/>
    </row>
    <row r="143" ht="15.75" customHeight="1">
      <c r="A143" s="121" t="s">
        <v>683</v>
      </c>
      <c r="B143" s="114" t="str">
        <f>IFERROR(__xludf.DUMMYFUNCTION("GOOGLETRANSLATE(A143, ""zh_CN"", ""en"")"),"Total EPS discharge")</f>
        <v>Total EPS discharge</v>
      </c>
      <c r="C143" s="114" t="s">
        <v>684</v>
      </c>
      <c r="D143" s="112" t="s">
        <v>685</v>
      </c>
      <c r="E143" s="114" t="s">
        <v>110</v>
      </c>
      <c r="F143" s="120">
        <v>4.0</v>
      </c>
      <c r="G143" s="114"/>
      <c r="H143" s="124" t="s">
        <v>460</v>
      </c>
      <c r="I143" s="114"/>
      <c r="J143" s="119"/>
      <c r="K143" s="119"/>
      <c r="L143" s="15"/>
      <c r="M143" s="125"/>
      <c r="N143" s="103" t="s">
        <v>99</v>
      </c>
      <c r="O143" s="122" t="s">
        <v>624</v>
      </c>
      <c r="P143" s="103" t="s">
        <v>99</v>
      </c>
      <c r="Q143" s="103" t="s">
        <v>99</v>
      </c>
      <c r="R143" s="104"/>
      <c r="S143" s="104"/>
      <c r="T143" s="104"/>
      <c r="U143" s="104"/>
      <c r="V143" s="104"/>
      <c r="W143" s="104"/>
      <c r="X143" s="104"/>
      <c r="Y143" s="104"/>
      <c r="Z143" s="104"/>
      <c r="AA143" s="104"/>
      <c r="AB143" s="104"/>
      <c r="AC143" s="104"/>
    </row>
    <row r="144" ht="15.75" customHeight="1">
      <c r="A144" s="121" t="s">
        <v>686</v>
      </c>
      <c r="B144" s="114" t="str">
        <f>IFERROR(__xludf.DUMMYFUNCTION("GOOGLETRANSLATE(A144, ""zh_CN"", ""en"")"),"Total EPS charging capacity")</f>
        <v>Total EPS charging capacity</v>
      </c>
      <c r="C144" s="114" t="s">
        <v>687</v>
      </c>
      <c r="D144" s="112" t="s">
        <v>688</v>
      </c>
      <c r="E144" s="114" t="s">
        <v>110</v>
      </c>
      <c r="F144" s="120">
        <v>4.0</v>
      </c>
      <c r="G144" s="114"/>
      <c r="H144" s="124" t="s">
        <v>460</v>
      </c>
      <c r="I144" s="114"/>
      <c r="J144" s="119"/>
      <c r="K144" s="119"/>
      <c r="L144" s="15"/>
      <c r="M144" s="125"/>
      <c r="N144" s="103" t="s">
        <v>99</v>
      </c>
      <c r="O144" s="122" t="s">
        <v>624</v>
      </c>
      <c r="P144" s="103" t="s">
        <v>99</v>
      </c>
      <c r="Q144" s="103" t="s">
        <v>99</v>
      </c>
      <c r="R144" s="104"/>
      <c r="S144" s="104"/>
      <c r="T144" s="104"/>
      <c r="U144" s="104"/>
      <c r="V144" s="104"/>
      <c r="W144" s="104"/>
      <c r="X144" s="104"/>
      <c r="Y144" s="104"/>
      <c r="Z144" s="104"/>
      <c r="AA144" s="104"/>
      <c r="AB144" s="104"/>
      <c r="AC144" s="104"/>
    </row>
    <row r="145" ht="15.75" customHeight="1">
      <c r="A145" s="121" t="s">
        <v>689</v>
      </c>
      <c r="B145" s="114" t="str">
        <f>IFERROR(__xludf.DUMMYFUNCTION("GOOGLETRANSLATE(A145, ""zh_CN"", ""en"")"),"Total GEN power generation")</f>
        <v>Total GEN power generation</v>
      </c>
      <c r="C145" s="114" t="s">
        <v>690</v>
      </c>
      <c r="D145" s="112" t="s">
        <v>691</v>
      </c>
      <c r="E145" s="114" t="s">
        <v>110</v>
      </c>
      <c r="F145" s="120">
        <v>4.0</v>
      </c>
      <c r="G145" s="114"/>
      <c r="H145" s="124" t="s">
        <v>460</v>
      </c>
      <c r="I145" s="114"/>
      <c r="J145" s="119"/>
      <c r="K145" s="119"/>
      <c r="L145" s="16"/>
      <c r="M145" s="126"/>
      <c r="N145" s="103" t="s">
        <v>99</v>
      </c>
      <c r="O145" s="122" t="s">
        <v>624</v>
      </c>
      <c r="P145" s="103" t="s">
        <v>99</v>
      </c>
      <c r="Q145" s="103" t="s">
        <v>99</v>
      </c>
      <c r="R145" s="104"/>
      <c r="S145" s="104"/>
      <c r="T145" s="104"/>
      <c r="U145" s="104"/>
      <c r="V145" s="104"/>
      <c r="W145" s="104"/>
      <c r="X145" s="104"/>
      <c r="Y145" s="104"/>
      <c r="Z145" s="104"/>
      <c r="AA145" s="104"/>
      <c r="AB145" s="104"/>
      <c r="AC145" s="104"/>
    </row>
    <row r="146" ht="15.75" customHeight="1">
      <c r="A146" s="127" t="s">
        <v>692</v>
      </c>
      <c r="B146" s="127" t="str">
        <f>IFERROR(__xludf.DUMMYFUNCTION("GOOGLETRANSLATE(A146, ""zh_CN"", ""en"")"),"reserved")</f>
        <v>reserved</v>
      </c>
      <c r="C146" s="127" t="s">
        <v>207</v>
      </c>
      <c r="D146" s="127" t="s">
        <v>693</v>
      </c>
      <c r="E146" s="127"/>
      <c r="F146" s="128"/>
      <c r="G146" s="127"/>
      <c r="H146" s="127"/>
      <c r="I146" s="127"/>
      <c r="J146" s="22"/>
      <c r="K146" s="22"/>
      <c r="L146" s="46"/>
      <c r="M146" s="54"/>
      <c r="N146" s="55" t="s">
        <v>99</v>
      </c>
      <c r="O146" s="55" t="s">
        <v>694</v>
      </c>
      <c r="P146" s="55" t="s">
        <v>99</v>
      </c>
      <c r="Q146" s="55" t="s">
        <v>99</v>
      </c>
    </row>
    <row r="147" ht="15.75" customHeight="1">
      <c r="A147" s="90" t="s">
        <v>695</v>
      </c>
      <c r="B147" s="43"/>
      <c r="C147" s="43"/>
      <c r="D147" s="43"/>
      <c r="E147" s="43"/>
      <c r="F147" s="43"/>
      <c r="G147" s="43"/>
      <c r="H147" s="43"/>
      <c r="I147" s="44"/>
      <c r="J147" s="22"/>
      <c r="K147" s="22"/>
      <c r="L147" s="46"/>
      <c r="M147" s="54"/>
      <c r="N147" s="55" t="s">
        <v>99</v>
      </c>
      <c r="O147" s="55" t="s">
        <v>696</v>
      </c>
      <c r="P147" s="55" t="s">
        <v>99</v>
      </c>
      <c r="Q147" s="55" t="s">
        <v>99</v>
      </c>
    </row>
    <row r="148" ht="15.75" customHeight="1">
      <c r="A148" s="48" t="s">
        <v>697</v>
      </c>
      <c r="B148" s="48" t="str">
        <f>IFERROR(__xludf.DUMMYFUNCTION("GOOGLETRANSLATE(A148, ""zh_CN"", ""en"")"),"battery status")</f>
        <v>battery status</v>
      </c>
      <c r="C148" s="48" t="s">
        <v>698</v>
      </c>
      <c r="D148" s="48" t="s">
        <v>699</v>
      </c>
      <c r="E148" s="48" t="s">
        <v>104</v>
      </c>
      <c r="F148" s="52">
        <v>2.0</v>
      </c>
      <c r="G148" s="48"/>
      <c r="H148" s="48"/>
      <c r="I148" s="129" t="s">
        <v>700</v>
      </c>
      <c r="J148" s="22" t="str">
        <f>IFERROR(__xludf.DUMMYFUNCTION("GOOGLETRANSLATE(I148, ""zh_CN"", ""en"")"),"No battery
Fault
hibernate
start
Run charging
Running discharge
Operation stopped")</f>
        <v>No battery
Fault
hibernate
start
Run charging
Running discharge
Operation stopped</v>
      </c>
      <c r="K148" s="22"/>
      <c r="L148" s="53" t="s">
        <v>701</v>
      </c>
      <c r="M148" s="54" t="str">
        <f>IFERROR(__xludf.DUMMYFUNCTION("GOOGLETRANSLATE(L148, ""zh_CN"", ""en"")"),"Excludes forced charging")</f>
        <v>Excludes forced charging</v>
      </c>
      <c r="N148" s="55" t="s">
        <v>99</v>
      </c>
      <c r="O148" s="55" t="s">
        <v>702</v>
      </c>
      <c r="P148" s="55" t="s">
        <v>99</v>
      </c>
      <c r="Q148" s="55" t="s">
        <v>99</v>
      </c>
    </row>
    <row r="149" ht="15.75" customHeight="1">
      <c r="A149" s="48" t="s">
        <v>703</v>
      </c>
      <c r="B149" s="48" t="str">
        <f>IFERROR(__xludf.DUMMYFUNCTION("GOOGLETRANSLATE(A149, ""zh_CN"", ""en"")"),"battery temperature")</f>
        <v>battery temperature</v>
      </c>
      <c r="C149" s="48" t="s">
        <v>704</v>
      </c>
      <c r="D149" s="48" t="s">
        <v>705</v>
      </c>
      <c r="E149" s="48" t="s">
        <v>706</v>
      </c>
      <c r="F149" s="52">
        <v>2.0</v>
      </c>
      <c r="G149" s="48"/>
      <c r="H149" s="48" t="s">
        <v>707</v>
      </c>
      <c r="I149" s="48"/>
      <c r="J149" s="22"/>
      <c r="K149" s="22"/>
      <c r="L149" s="46"/>
      <c r="M149" s="54"/>
      <c r="N149" s="55" t="s">
        <v>99</v>
      </c>
      <c r="O149" s="55" t="s">
        <v>708</v>
      </c>
      <c r="P149" s="55" t="s">
        <v>99</v>
      </c>
      <c r="Q149" s="55" t="s">
        <v>99</v>
      </c>
    </row>
    <row r="150" ht="15.75" customHeight="1">
      <c r="A150" s="48" t="s">
        <v>709</v>
      </c>
      <c r="B150" s="48" t="str">
        <f>IFERROR(__xludf.DUMMYFUNCTION("GOOGLETRANSLATE(A150, ""zh_CN"", ""en"")"),"Battery power (SOC)")</f>
        <v>Battery power (SOC)</v>
      </c>
      <c r="C150" s="48" t="s">
        <v>710</v>
      </c>
      <c r="D150" s="48" t="s">
        <v>711</v>
      </c>
      <c r="E150" s="48" t="s">
        <v>104</v>
      </c>
      <c r="F150" s="52">
        <v>2.0</v>
      </c>
      <c r="G150" s="48"/>
      <c r="H150" s="48" t="s">
        <v>712</v>
      </c>
      <c r="I150" s="48"/>
      <c r="J150" s="22"/>
      <c r="K150" s="22"/>
      <c r="L150" s="46"/>
      <c r="M150" s="54"/>
      <c r="N150" s="55" t="s">
        <v>99</v>
      </c>
      <c r="O150" s="55" t="s">
        <v>713</v>
      </c>
      <c r="P150" s="55" t="s">
        <v>99</v>
      </c>
      <c r="Q150" s="55" t="s">
        <v>99</v>
      </c>
    </row>
    <row r="151" ht="15.75" customHeight="1">
      <c r="A151" s="48" t="s">
        <v>714</v>
      </c>
      <c r="B151" s="48" t="str">
        <f>IFERROR(__xludf.DUMMYFUNCTION("GOOGLETRANSLATE(A151, ""zh_CN"", ""en"")"),"Battery State of Health (SOH)")</f>
        <v>Battery State of Health (SOH)</v>
      </c>
      <c r="C151" s="48" t="s">
        <v>715</v>
      </c>
      <c r="D151" s="48" t="s">
        <v>716</v>
      </c>
      <c r="E151" s="48" t="s">
        <v>104</v>
      </c>
      <c r="F151" s="52">
        <v>2.0</v>
      </c>
      <c r="G151" s="48"/>
      <c r="H151" s="48" t="s">
        <v>712</v>
      </c>
      <c r="I151" s="48"/>
      <c r="J151" s="22"/>
      <c r="K151" s="22"/>
      <c r="L151" s="46"/>
      <c r="M151" s="54"/>
      <c r="N151" s="55" t="s">
        <v>99</v>
      </c>
      <c r="O151" s="55" t="s">
        <v>717</v>
      </c>
      <c r="P151" s="55" t="s">
        <v>99</v>
      </c>
      <c r="Q151" s="55" t="s">
        <v>99</v>
      </c>
    </row>
    <row r="152" ht="15.75" customHeight="1">
      <c r="A152" s="48" t="s">
        <v>718</v>
      </c>
      <c r="B152" s="48" t="str">
        <f>IFERROR(__xludf.DUMMYFUNCTION("GOOGLETRANSLATE(A152, ""zh_CN"", ""en"")"),"battery voltage")</f>
        <v>battery voltage</v>
      </c>
      <c r="C152" s="48" t="s">
        <v>719</v>
      </c>
      <c r="D152" s="48" t="s">
        <v>720</v>
      </c>
      <c r="E152" s="48" t="s">
        <v>104</v>
      </c>
      <c r="F152" s="52">
        <v>2.0</v>
      </c>
      <c r="G152" s="48"/>
      <c r="H152" s="48" t="s">
        <v>215</v>
      </c>
      <c r="I152" s="48"/>
      <c r="J152" s="22"/>
      <c r="K152" s="22"/>
      <c r="L152" s="46"/>
      <c r="M152" s="54"/>
      <c r="N152" s="55" t="s">
        <v>99</v>
      </c>
      <c r="O152" s="55" t="s">
        <v>721</v>
      </c>
      <c r="P152" s="55" t="s">
        <v>99</v>
      </c>
      <c r="Q152" s="55" t="s">
        <v>99</v>
      </c>
    </row>
    <row r="153" ht="15.75" customHeight="1">
      <c r="A153" s="48" t="s">
        <v>722</v>
      </c>
      <c r="B153" s="48" t="str">
        <f>IFERROR(__xludf.DUMMYFUNCTION("GOOGLETRANSLATE(A153, ""zh_CN"", ""en"")"),"battery current")</f>
        <v>battery current</v>
      </c>
      <c r="C153" s="48" t="s">
        <v>723</v>
      </c>
      <c r="D153" s="48" t="s">
        <v>724</v>
      </c>
      <c r="E153" s="48" t="s">
        <v>235</v>
      </c>
      <c r="F153" s="52">
        <v>2.0</v>
      </c>
      <c r="G153" s="48"/>
      <c r="H153" s="48" t="s">
        <v>197</v>
      </c>
      <c r="I153" s="48" t="s">
        <v>725</v>
      </c>
      <c r="J153" s="22" t="str">
        <f>IFERROR(__xludf.DUMMYFUNCTION("GOOGLETRANSLATE(I153, ""zh_CN"", ""en"")"),"Positive means the battery is charging Negative means the battery is discharged")</f>
        <v>Positive means the battery is charging Negative means the battery is discharged</v>
      </c>
      <c r="K153" s="22"/>
      <c r="L153" s="46"/>
      <c r="M153" s="54"/>
      <c r="N153" s="55" t="s">
        <v>99</v>
      </c>
      <c r="O153" s="55" t="s">
        <v>726</v>
      </c>
      <c r="P153" s="55" t="s">
        <v>99</v>
      </c>
      <c r="Q153" s="55" t="s">
        <v>99</v>
      </c>
    </row>
    <row r="154" ht="15.75" customHeight="1">
      <c r="A154" s="48" t="s">
        <v>727</v>
      </c>
      <c r="B154" s="48" t="str">
        <f>IFERROR(__xludf.DUMMYFUNCTION("GOOGLETRANSLATE(A154, ""zh_CN"", ""en"")"),"BuckBoost voltage")</f>
        <v>BuckBoost voltage</v>
      </c>
      <c r="C154" s="48" t="s">
        <v>728</v>
      </c>
      <c r="D154" s="48" t="s">
        <v>729</v>
      </c>
      <c r="E154" s="48" t="s">
        <v>104</v>
      </c>
      <c r="F154" s="52">
        <v>2.0</v>
      </c>
      <c r="G154" s="48"/>
      <c r="H154" s="48" t="s">
        <v>215</v>
      </c>
      <c r="I154" s="48"/>
      <c r="J154" s="22"/>
      <c r="K154" s="22"/>
      <c r="L154" s="46"/>
      <c r="M154" s="54"/>
      <c r="N154" s="55" t="s">
        <v>99</v>
      </c>
      <c r="O154" s="55" t="s">
        <v>730</v>
      </c>
      <c r="P154" s="55" t="s">
        <v>99</v>
      </c>
      <c r="Q154" s="55" t="s">
        <v>99</v>
      </c>
    </row>
    <row r="155" ht="15.75" customHeight="1">
      <c r="A155" s="74" t="s">
        <v>731</v>
      </c>
      <c r="B155" s="72" t="str">
        <f>IFERROR(__xludf.DUMMYFUNCTION("GOOGLETRANSLATE(A155, ""zh_CN"", ""en"")"),"total battery power")</f>
        <v>total battery power</v>
      </c>
      <c r="C155" s="72" t="s">
        <v>732</v>
      </c>
      <c r="D155" s="72" t="s">
        <v>733</v>
      </c>
      <c r="E155" s="72" t="s">
        <v>285</v>
      </c>
      <c r="F155" s="77">
        <v>4.0</v>
      </c>
      <c r="G155" s="72"/>
      <c r="H155" s="72" t="s">
        <v>111</v>
      </c>
      <c r="I155" s="74" t="s">
        <v>734</v>
      </c>
      <c r="J155" s="78" t="str">
        <f>IFERROR(__xludf.DUMMYFUNCTION("GOOGLETRANSLATE(I155, ""zh_CN"", ""en"")"),"Positive means the battery is charging Negative means the battery is discharged")</f>
        <v>Positive means the battery is charging Negative means the battery is discharged</v>
      </c>
      <c r="K155" s="78"/>
      <c r="L155" s="79" t="s">
        <v>735</v>
      </c>
      <c r="M155" s="80" t="str">
        <f>IFERROR(__xludf.DUMMYFUNCTION("GOOGLETRANSLATE(L155, ""zh_CN"", ""en"")"),"1. Change to signed number,
2. Unit 0.1V changed to 1W")</f>
        <v>1. Change to signed number,
2. Unit 0.1V changed to 1W</v>
      </c>
      <c r="N155" s="81" t="s">
        <v>99</v>
      </c>
      <c r="O155" s="130" t="s">
        <v>624</v>
      </c>
      <c r="P155" s="81" t="s">
        <v>99</v>
      </c>
      <c r="Q155" s="81" t="s">
        <v>99</v>
      </c>
      <c r="R155" s="82"/>
      <c r="S155" s="82"/>
      <c r="T155" s="82"/>
      <c r="U155" s="82"/>
      <c r="V155" s="82"/>
      <c r="W155" s="82"/>
      <c r="X155" s="82"/>
      <c r="Y155" s="82"/>
      <c r="Z155" s="82"/>
      <c r="AA155" s="82"/>
      <c r="AB155" s="82"/>
      <c r="AC155" s="82"/>
    </row>
    <row r="156" ht="15.75" customHeight="1">
      <c r="A156" s="74" t="s">
        <v>736</v>
      </c>
      <c r="B156" s="72" t="str">
        <f>IFERROR(__xludf.DUMMYFUNCTION("GOOGLETRANSLATE(A156, ""zh_CN"", ""en"")"),"Battery charge capacity for the day")</f>
        <v>Battery charge capacity for the day</v>
      </c>
      <c r="C156" s="72" t="s">
        <v>737</v>
      </c>
      <c r="D156" s="72" t="s">
        <v>738</v>
      </c>
      <c r="E156" s="72" t="s">
        <v>104</v>
      </c>
      <c r="F156" s="77">
        <v>2.0</v>
      </c>
      <c r="G156" s="72"/>
      <c r="H156" s="72" t="s">
        <v>460</v>
      </c>
      <c r="I156" s="72"/>
      <c r="J156" s="79"/>
      <c r="K156" s="79" t="s">
        <v>739</v>
      </c>
      <c r="L156" s="131" t="s">
        <v>740</v>
      </c>
      <c r="M156" s="132" t="str">
        <f>IFERROR(__xludf.DUMMYFUNCTION("GOOGLETRANSLATE(L156, ""zh_CN"", ""en"")"),"Unit 0.1wh changed to 0.1kwh")</f>
        <v>Unit 0.1wh changed to 0.1kwh</v>
      </c>
      <c r="N156" s="81" t="s">
        <v>99</v>
      </c>
      <c r="O156" s="130" t="s">
        <v>624</v>
      </c>
      <c r="P156" s="81" t="s">
        <v>99</v>
      </c>
      <c r="Q156" s="81" t="s">
        <v>99</v>
      </c>
      <c r="R156" s="82"/>
      <c r="S156" s="82"/>
      <c r="T156" s="82"/>
      <c r="U156" s="82"/>
      <c r="V156" s="82"/>
      <c r="W156" s="82"/>
      <c r="X156" s="82"/>
      <c r="Y156" s="82"/>
      <c r="Z156" s="82"/>
      <c r="AA156" s="82"/>
      <c r="AB156" s="82"/>
      <c r="AC156" s="82"/>
    </row>
    <row r="157" ht="15.75" customHeight="1">
      <c r="A157" s="74" t="s">
        <v>741</v>
      </c>
      <c r="B157" s="72" t="str">
        <f>IFERROR(__xludf.DUMMYFUNCTION("GOOGLETRANSLATE(A157, ""zh_CN"", ""en"")"),"Battery discharge capacity on the day")</f>
        <v>Battery discharge capacity on the day</v>
      </c>
      <c r="C157" s="72" t="s">
        <v>742</v>
      </c>
      <c r="D157" s="72" t="s">
        <v>743</v>
      </c>
      <c r="E157" s="72" t="s">
        <v>104</v>
      </c>
      <c r="F157" s="77">
        <v>2.0</v>
      </c>
      <c r="G157" s="72"/>
      <c r="H157" s="72" t="s">
        <v>460</v>
      </c>
      <c r="I157" s="72"/>
      <c r="J157" s="79"/>
      <c r="K157" s="79" t="s">
        <v>739</v>
      </c>
      <c r="L157" s="16"/>
      <c r="M157" s="126"/>
      <c r="N157" s="81" t="s">
        <v>99</v>
      </c>
      <c r="O157" s="130" t="s">
        <v>624</v>
      </c>
      <c r="P157" s="81" t="s">
        <v>99</v>
      </c>
      <c r="Q157" s="81" t="s">
        <v>99</v>
      </c>
      <c r="R157" s="82"/>
      <c r="S157" s="82"/>
      <c r="T157" s="82"/>
      <c r="U157" s="82"/>
      <c r="V157" s="82"/>
      <c r="W157" s="82"/>
      <c r="X157" s="82"/>
      <c r="Y157" s="82"/>
      <c r="Z157" s="82"/>
      <c r="AA157" s="82"/>
      <c r="AB157" s="82"/>
      <c r="AC157" s="82"/>
    </row>
    <row r="158" ht="15.75" customHeight="1">
      <c r="A158" s="74" t="s">
        <v>744</v>
      </c>
      <c r="B158" s="72" t="str">
        <f>IFERROR(__xludf.DUMMYFUNCTION("GOOGLETRANSLATE(A158, ""zh_CN"", ""en"")"),"Total battery charge")</f>
        <v>Total battery charge</v>
      </c>
      <c r="C158" s="72" t="s">
        <v>745</v>
      </c>
      <c r="D158" s="72" t="s">
        <v>746</v>
      </c>
      <c r="E158" s="72" t="s">
        <v>110</v>
      </c>
      <c r="F158" s="77">
        <v>4.0</v>
      </c>
      <c r="G158" s="72"/>
      <c r="H158" s="72" t="s">
        <v>460</v>
      </c>
      <c r="I158" s="72"/>
      <c r="J158" s="133"/>
      <c r="K158" s="133"/>
      <c r="L158" s="79" t="s">
        <v>747</v>
      </c>
      <c r="M158" s="80" t="str">
        <f>IFERROR(__xludf.DUMMYFUNCTION("GOOGLETRANSLATE(L158, ""zh_CN"", ""en"")"),"New unit 0.1kwh")</f>
        <v>New unit 0.1kwh</v>
      </c>
      <c r="N158" s="81" t="s">
        <v>99</v>
      </c>
      <c r="O158" s="130" t="s">
        <v>624</v>
      </c>
      <c r="P158" s="81" t="s">
        <v>99</v>
      </c>
      <c r="Q158" s="81" t="s">
        <v>99</v>
      </c>
      <c r="R158" s="82"/>
      <c r="S158" s="82"/>
      <c r="T158" s="82"/>
      <c r="U158" s="82"/>
      <c r="V158" s="82"/>
      <c r="W158" s="82"/>
      <c r="X158" s="82"/>
      <c r="Y158" s="82"/>
      <c r="Z158" s="82"/>
      <c r="AA158" s="82"/>
      <c r="AB158" s="82"/>
      <c r="AC158" s="82"/>
    </row>
    <row r="159" ht="15.75" customHeight="1">
      <c r="A159" s="74" t="s">
        <v>748</v>
      </c>
      <c r="B159" s="72" t="str">
        <f>IFERROR(__xludf.DUMMYFUNCTION("GOOGLETRANSLATE(A159, ""zh_CN"", ""en"")"),"Total battery discharge")</f>
        <v>Total battery discharge</v>
      </c>
      <c r="C159" s="72" t="s">
        <v>749</v>
      </c>
      <c r="D159" s="72" t="s">
        <v>750</v>
      </c>
      <c r="E159" s="72" t="s">
        <v>110</v>
      </c>
      <c r="F159" s="77">
        <v>4.0</v>
      </c>
      <c r="G159" s="72"/>
      <c r="H159" s="134" t="s">
        <v>460</v>
      </c>
      <c r="I159" s="72"/>
      <c r="J159" s="133"/>
      <c r="K159" s="133"/>
      <c r="L159" s="79" t="s">
        <v>751</v>
      </c>
      <c r="M159" s="80" t="str">
        <f>IFERROR(__xludf.DUMMYFUNCTION("GOOGLETRANSLATE(L159, ""zh_CN"", ""en"")"),"New unit 0.1kwh")</f>
        <v>New unit 0.1kwh</v>
      </c>
      <c r="N159" s="81" t="s">
        <v>99</v>
      </c>
      <c r="O159" s="130" t="s">
        <v>624</v>
      </c>
      <c r="P159" s="81" t="s">
        <v>99</v>
      </c>
      <c r="Q159" s="81" t="s">
        <v>99</v>
      </c>
      <c r="R159" s="82"/>
      <c r="S159" s="82"/>
      <c r="T159" s="82"/>
      <c r="U159" s="82"/>
      <c r="V159" s="82"/>
      <c r="W159" s="82"/>
      <c r="X159" s="82"/>
      <c r="Y159" s="82"/>
      <c r="Z159" s="82"/>
      <c r="AA159" s="82"/>
      <c r="AB159" s="82"/>
      <c r="AC159" s="82"/>
    </row>
    <row r="160" ht="15.75" customHeight="1">
      <c r="A160" s="48" t="s">
        <v>752</v>
      </c>
      <c r="B160" s="48" t="str">
        <f>IFERROR(__xludf.DUMMYFUNCTION("GOOGLETRANSLATE(A160, ""zh_CN"", ""en"")"),"battery control command")</f>
        <v>battery control command</v>
      </c>
      <c r="C160" s="48" t="s">
        <v>753</v>
      </c>
      <c r="D160" s="48">
        <v>2015.0</v>
      </c>
      <c r="E160" s="48" t="s">
        <v>104</v>
      </c>
      <c r="F160" s="52">
        <v>2.0</v>
      </c>
      <c r="G160" s="48"/>
      <c r="H160" s="48"/>
      <c r="I160" s="48" t="s">
        <v>754</v>
      </c>
      <c r="J160" s="53" t="str">
        <f>IFERROR(__xludf.DUMMYFUNCTION("GOOGLETRANSLATE(I160, ""zh_CN"", ""en"")"),"bit0-1:
0-no operation, 1-high voltage power on, 2-high voltage power off
bit2: charging
bit3: discharge
bit4:restart
bit5: shutdown
bit6-15: reserved")</f>
        <v>bit0-1:
0-no operation, 1-high voltage power on, 2-high voltage power off
bit2: charging
bit3: discharge
bit4:restart
bit5: shutdown
bit6-15: reserved</v>
      </c>
      <c r="K160" s="53"/>
      <c r="L160" s="46"/>
      <c r="M160" s="54"/>
      <c r="N160" s="55" t="s">
        <v>99</v>
      </c>
      <c r="O160" s="55" t="s">
        <v>755</v>
      </c>
      <c r="P160" s="55" t="s">
        <v>99</v>
      </c>
      <c r="Q160" s="55" t="s">
        <v>99</v>
      </c>
    </row>
    <row r="161" ht="15.75" customHeight="1">
      <c r="A161" s="135" t="s">
        <v>756</v>
      </c>
      <c r="B161" s="48" t="str">
        <f>IFERROR(__xludf.DUMMYFUNCTION("GOOGLETRANSLATE(A161, ""zh_CN"", ""en"")"),"Battery connection status")</f>
        <v>Battery connection status</v>
      </c>
      <c r="C161" s="48" t="s">
        <v>757</v>
      </c>
      <c r="D161" s="48">
        <v>2016.0</v>
      </c>
      <c r="E161" s="48" t="s">
        <v>104</v>
      </c>
      <c r="F161" s="52">
        <v>2.0</v>
      </c>
      <c r="G161" s="48" t="s">
        <v>450</v>
      </c>
      <c r="H161" s="48"/>
      <c r="I161" s="48"/>
      <c r="J161" s="53"/>
      <c r="K161" s="53"/>
      <c r="L161" s="46"/>
      <c r="M161" s="54"/>
      <c r="N161" s="55" t="s">
        <v>99</v>
      </c>
      <c r="O161" s="55" t="s">
        <v>758</v>
      </c>
      <c r="P161" s="55" t="s">
        <v>99</v>
      </c>
      <c r="Q161" s="55" t="s">
        <v>99</v>
      </c>
    </row>
    <row r="162" ht="15.75" customHeight="1">
      <c r="A162" s="48" t="s">
        <v>759</v>
      </c>
      <c r="B162" s="48" t="str">
        <f>IFERROR(__xludf.DUMMYFUNCTION("GOOGLETRANSLATE(A162, ""zh_CN"", ""en"")"),"reserved")</f>
        <v>reserved</v>
      </c>
      <c r="C162" s="48" t="s">
        <v>207</v>
      </c>
      <c r="D162" s="48" t="s">
        <v>760</v>
      </c>
      <c r="E162" s="48"/>
      <c r="F162" s="52"/>
      <c r="G162" s="48"/>
      <c r="H162" s="48"/>
      <c r="I162" s="48"/>
      <c r="J162" s="22"/>
      <c r="K162" s="22"/>
      <c r="L162" s="12"/>
      <c r="M162" s="54"/>
      <c r="N162" s="55" t="s">
        <v>99</v>
      </c>
      <c r="O162" s="55" t="s">
        <v>761</v>
      </c>
      <c r="P162" s="55" t="s">
        <v>99</v>
      </c>
      <c r="Q162" s="55" t="s">
        <v>99</v>
      </c>
    </row>
    <row r="163" ht="15.75" customHeight="1">
      <c r="A163" s="90" t="s">
        <v>762</v>
      </c>
      <c r="B163" s="43"/>
      <c r="C163" s="43"/>
      <c r="D163" s="43"/>
      <c r="E163" s="43"/>
      <c r="F163" s="43"/>
      <c r="G163" s="43"/>
      <c r="H163" s="43"/>
      <c r="I163" s="44"/>
      <c r="J163" s="22" t="str">
        <f>IFERROR(__xludf.DUMMYFUNCTION("GOOGLETRANSLATE(A163, ""zh_CN"", ""en"")"),"Real-time operation information 5 (system information)")</f>
        <v>Real-time operation information 5 (system information)</v>
      </c>
      <c r="K163" s="22"/>
      <c r="L163" s="46"/>
      <c r="M163" s="54"/>
      <c r="N163" s="55" t="s">
        <v>99</v>
      </c>
      <c r="O163" s="55" t="s">
        <v>763</v>
      </c>
      <c r="P163" s="55" t="s">
        <v>99</v>
      </c>
      <c r="Q163" s="55" t="s">
        <v>99</v>
      </c>
    </row>
    <row r="164" ht="15.75" customHeight="1">
      <c r="A164" s="136" t="s">
        <v>764</v>
      </c>
      <c r="B164" s="136" t="str">
        <f>IFERROR(__xludf.DUMMYFUNCTION("GOOGLETRANSLATE(A164, ""zh_CN"", ""en"")"),"Running status")</f>
        <v>Running status</v>
      </c>
      <c r="C164" s="136" t="s">
        <v>765</v>
      </c>
      <c r="D164" s="136" t="s">
        <v>766</v>
      </c>
      <c r="E164" s="136" t="s">
        <v>104</v>
      </c>
      <c r="F164" s="137">
        <v>2.0</v>
      </c>
      <c r="G164" s="136"/>
      <c r="H164" s="136"/>
      <c r="I164" s="138" t="s">
        <v>767</v>
      </c>
      <c r="J164" s="22" t="str">
        <f>IFERROR(__xludf.DUMMYFUNCTION("GOOGLETRANSLATE(I164, ""zh_CN"", ""en"")"),"Initial power-on 0
Standby 1
Start 2
Run grid connection 3
Running Off Grid 4
Running diesel engine 5
On-grid and off-grid 6
Off-grid and on-grid connection 7
Power outage handling 8
shutdown 9
Fault 10
Upgrade 11
Aging 12
Open loop 13
Sampling calibratio"&amp;"n 14")</f>
        <v>Initial power-on 0
Standby 1
Start 2
Run grid connection 3
Running Off Grid 4
Running diesel engine 5
On-grid and off-grid 6
Off-grid and on-grid connection 7
Power outage handling 8
shutdown 9
Fault 10
Upgrade 11
Aging 12
Open loop 13
Sampling calibration 14</v>
      </c>
      <c r="K164" s="22"/>
      <c r="L164" s="46"/>
      <c r="M164" s="54"/>
      <c r="N164" s="55" t="s">
        <v>99</v>
      </c>
      <c r="O164" s="55" t="s">
        <v>768</v>
      </c>
      <c r="P164" s="55" t="s">
        <v>99</v>
      </c>
      <c r="Q164" s="55" t="s">
        <v>99</v>
      </c>
    </row>
    <row r="165" ht="15.75" customHeight="1">
      <c r="A165" s="136" t="s">
        <v>769</v>
      </c>
      <c r="B165" s="136" t="str">
        <f>IFERROR(__xludf.DUMMYFUNCTION("GOOGLETRANSLATE(A165, ""zh_CN"", ""en"")"),"Current trigger power limiting mode")</f>
        <v>Current trigger power limiting mode</v>
      </c>
      <c r="C165" s="136" t="s">
        <v>770</v>
      </c>
      <c r="D165" s="136" t="s">
        <v>771</v>
      </c>
      <c r="E165" s="136" t="s">
        <v>110</v>
      </c>
      <c r="F165" s="137">
        <v>4.0</v>
      </c>
      <c r="G165" s="136"/>
      <c r="H165" s="136"/>
      <c r="I165" s="136" t="s">
        <v>772</v>
      </c>
      <c r="J165" s="22" t="str">
        <f>IFERROR(__xludf.DUMMYFUNCTION("GOOGLETRANSLATE(I165, ""zh_CN"", ""en"")"),"0x0000 unlimited power
0x0001 Temperature limit power
0x0002 Manually set power limit
0x0004 Grid voltage and PF power limit
0x0008 Over frequency power limit
0x0010 Individual PV2 input power limit
0x0020 Fault recovery slow start power limit
0x0040 rese"&amp;"rved channel")</f>
        <v>0x0000 unlimited power
0x0001 Temperature limit power
0x0002 Manually set power limit
0x0004 Grid voltage and PF power limit
0x0008 Over frequency power limit
0x0010 Individual PV2 input power limit
0x0020 Fault recovery slow start power limit
0x0040 reserved channel</v>
      </c>
      <c r="K165" s="22"/>
      <c r="L165" s="53" t="s">
        <v>773</v>
      </c>
      <c r="M165" s="54" t="str">
        <f>IFERROR(__xludf.DUMMYFUNCTION("GOOGLETRANSLATE(L165, ""zh_CN"", ""en"")"),"Specific power limiting methods can be added, but it is recommended to leave U32.")</f>
        <v>Specific power limiting methods can be added, but it is recommended to leave U32.</v>
      </c>
      <c r="N165" s="55" t="s">
        <v>99</v>
      </c>
      <c r="O165" s="55" t="s">
        <v>774</v>
      </c>
      <c r="P165" s="55" t="s">
        <v>99</v>
      </c>
      <c r="Q165" s="55" t="s">
        <v>99</v>
      </c>
    </row>
    <row r="166" ht="15.75" customHeight="1">
      <c r="A166" s="136" t="s">
        <v>775</v>
      </c>
      <c r="B166" s="136" t="str">
        <f>IFERROR(__xludf.DUMMYFUNCTION("GOOGLETRANSLATE(A166, ""zh_CN"", ""en"")"),"Current triggering grid dispatch mode")</f>
        <v>Current triggering grid dispatch mode</v>
      </c>
      <c r="C166" s="136" t="s">
        <v>776</v>
      </c>
      <c r="D166" s="136" t="s">
        <v>777</v>
      </c>
      <c r="E166" s="136" t="s">
        <v>110</v>
      </c>
      <c r="F166" s="137">
        <v>4.0</v>
      </c>
      <c r="G166" s="136"/>
      <c r="H166" s="136"/>
      <c r="I166" s="136" t="s">
        <v>778</v>
      </c>
      <c r="J166" s="22" t="str">
        <f>IFERROR(__xludf.DUMMYFUNCTION("GOOGLETRANSLATE(I166, ""zh_CN"", ""en"")"),"0 E_GRID_ADJUST_DEF
1E_GRID_ADJUST_LVRT
2 E_GRID_ADJUST_FIXE,
3E_GRID_ADJUST_PF
4E_GRID_ADJUST_QP
5 E_GRID_ADJUST_TEST")</f>
        <v>0 E_GRID_ADJUST_DEF
1E_GRID_ADJUST_LVRT
2 E_GRID_ADJUST_FIXE,
3E_GRID_ADJUST_PF
4E_GRID_ADJUST_QP
5 E_GRID_ADJUST_TEST</v>
      </c>
      <c r="K166" s="22"/>
      <c r="L166" s="53" t="s">
        <v>779</v>
      </c>
      <c r="M166" s="54" t="str">
        <f>IFERROR(__xludf.DUMMYFUNCTION("GOOGLETRANSLATE(L166, ""zh_CN"", ""en"")"),"It should be presented bit by bit, and several combinations may appear at the same time. It is recommended to leave U32.")</f>
        <v>It should be presented bit by bit, and several combinations may appear at the same time. It is recommended to leave U32.</v>
      </c>
      <c r="N166" s="55" t="s">
        <v>99</v>
      </c>
      <c r="O166" s="55" t="s">
        <v>780</v>
      </c>
      <c r="P166" s="55" t="s">
        <v>99</v>
      </c>
      <c r="Q166" s="55" t="s">
        <v>99</v>
      </c>
    </row>
    <row r="167" ht="15.75" customHeight="1">
      <c r="A167" s="136" t="s">
        <v>781</v>
      </c>
      <c r="B167" s="136" t="str">
        <f>IFERROR(__xludf.DUMMYFUNCTION("GOOGLETRANSLATE(A167, ""zh_CN"", ""en"")"),"MPPT working mode of PV1")</f>
        <v>MPPT working mode of PV1</v>
      </c>
      <c r="C167" s="136" t="s">
        <v>782</v>
      </c>
      <c r="D167" s="136" t="s">
        <v>783</v>
      </c>
      <c r="E167" s="136" t="s">
        <v>104</v>
      </c>
      <c r="F167" s="137">
        <v>2.0</v>
      </c>
      <c r="G167" s="136"/>
      <c r="H167" s="136"/>
      <c r="I167" s="139" t="s">
        <v>784</v>
      </c>
      <c r="J167" s="140" t="str">
        <f>IFERROR(__xludf.DUMMYFUNCTION("GOOGLETRANSLATE(I167, ""zh_CN"", ""en"")"),"0 default value
1 standby
2 Boost scan
3 Bus scan
4 Boost MPPT operation
5 Bus MPPT operation
6 Centralized Bus operation")</f>
        <v>0 default value
1 standby
2 Boost scan
3 Bus scan
4 Boost MPPT operation
5 Bus MPPT operation
6 Centralized Bus operation</v>
      </c>
      <c r="K167" s="22"/>
      <c r="L167" s="46"/>
      <c r="M167" s="54"/>
      <c r="N167" s="55" t="s">
        <v>99</v>
      </c>
      <c r="O167" s="55" t="s">
        <v>785</v>
      </c>
      <c r="P167" s="55" t="s">
        <v>99</v>
      </c>
      <c r="Q167" s="55" t="s">
        <v>99</v>
      </c>
    </row>
    <row r="168" ht="15.75" customHeight="1">
      <c r="A168" s="136" t="s">
        <v>786</v>
      </c>
      <c r="B168" s="136" t="str">
        <f>IFERROR(__xludf.DUMMYFUNCTION("GOOGLETRANSLATE(A168, ""zh_CN"", ""en"")"),"MPPT working mode of PV2")</f>
        <v>MPPT working mode of PV2</v>
      </c>
      <c r="C168" s="136" t="s">
        <v>787</v>
      </c>
      <c r="D168" s="136" t="s">
        <v>788</v>
      </c>
      <c r="E168" s="136" t="s">
        <v>104</v>
      </c>
      <c r="F168" s="137">
        <v>2.0</v>
      </c>
      <c r="G168" s="136"/>
      <c r="H168" s="136"/>
      <c r="I168" s="15"/>
      <c r="J168" s="15"/>
      <c r="K168" s="22"/>
      <c r="L168" s="46"/>
      <c r="M168" s="54"/>
      <c r="N168" s="55" t="s">
        <v>99</v>
      </c>
      <c r="O168" s="55" t="s">
        <v>789</v>
      </c>
      <c r="P168" s="55" t="s">
        <v>99</v>
      </c>
      <c r="Q168" s="55" t="s">
        <v>99</v>
      </c>
    </row>
    <row r="169" ht="15.75" customHeight="1">
      <c r="A169" s="136" t="s">
        <v>790</v>
      </c>
      <c r="B169" s="136" t="str">
        <f>IFERROR(__xludf.DUMMYFUNCTION("GOOGLETRANSLATE(A169, ""zh_CN"", ""en"")"),"MPPT working mode of PV3")</f>
        <v>MPPT working mode of PV3</v>
      </c>
      <c r="C169" s="136" t="s">
        <v>791</v>
      </c>
      <c r="D169" s="136" t="s">
        <v>792</v>
      </c>
      <c r="E169" s="136" t="s">
        <v>104</v>
      </c>
      <c r="F169" s="137">
        <v>2.0</v>
      </c>
      <c r="G169" s="136"/>
      <c r="H169" s="136"/>
      <c r="I169" s="15"/>
      <c r="J169" s="15"/>
      <c r="K169" s="22"/>
      <c r="L169" s="46"/>
      <c r="M169" s="54"/>
      <c r="N169" s="55" t="s">
        <v>99</v>
      </c>
      <c r="O169" s="55" t="s">
        <v>793</v>
      </c>
      <c r="P169" s="55" t="s">
        <v>99</v>
      </c>
      <c r="Q169" s="55" t="s">
        <v>99</v>
      </c>
    </row>
    <row r="170" ht="15.75" customHeight="1">
      <c r="A170" s="136" t="s">
        <v>794</v>
      </c>
      <c r="B170" s="136" t="str">
        <f>IFERROR(__xludf.DUMMYFUNCTION("GOOGLETRANSLATE(A170, ""zh_CN"", ""en"")"),"MPPT working mode of PV4")</f>
        <v>MPPT working mode of PV4</v>
      </c>
      <c r="C170" s="136" t="s">
        <v>795</v>
      </c>
      <c r="D170" s="136" t="s">
        <v>796</v>
      </c>
      <c r="E170" s="136" t="s">
        <v>104</v>
      </c>
      <c r="F170" s="137">
        <v>2.0</v>
      </c>
      <c r="G170" s="136"/>
      <c r="H170" s="136"/>
      <c r="I170" s="15"/>
      <c r="J170" s="15"/>
      <c r="K170" s="22"/>
      <c r="L170" s="46"/>
      <c r="M170" s="54"/>
      <c r="N170" s="55" t="s">
        <v>99</v>
      </c>
      <c r="O170" s="55" t="s">
        <v>797</v>
      </c>
      <c r="P170" s="55" t="s">
        <v>99</v>
      </c>
      <c r="Q170" s="55" t="s">
        <v>99</v>
      </c>
    </row>
    <row r="171" ht="15.75" customHeight="1">
      <c r="A171" s="136" t="s">
        <v>798</v>
      </c>
      <c r="B171" s="136" t="str">
        <f>IFERROR(__xludf.DUMMYFUNCTION("GOOGLETRANSLATE(A171, ""zh_CN"", ""en"")"),"MPPT working mode of PV5")</f>
        <v>MPPT working mode of PV5</v>
      </c>
      <c r="C171" s="136" t="s">
        <v>799</v>
      </c>
      <c r="D171" s="136" t="s">
        <v>800</v>
      </c>
      <c r="E171" s="136" t="s">
        <v>104</v>
      </c>
      <c r="F171" s="137">
        <v>2.0</v>
      </c>
      <c r="G171" s="136"/>
      <c r="H171" s="136"/>
      <c r="I171" s="15"/>
      <c r="J171" s="15"/>
      <c r="K171" s="22"/>
      <c r="L171" s="46"/>
      <c r="M171" s="54"/>
      <c r="N171" s="55" t="s">
        <v>99</v>
      </c>
      <c r="O171" s="55" t="s">
        <v>801</v>
      </c>
      <c r="P171" s="55" t="s">
        <v>99</v>
      </c>
      <c r="Q171" s="55" t="s">
        <v>99</v>
      </c>
    </row>
    <row r="172" ht="15.75" customHeight="1">
      <c r="A172" s="136" t="s">
        <v>802</v>
      </c>
      <c r="B172" s="136" t="str">
        <f>IFERROR(__xludf.DUMMYFUNCTION("GOOGLETRANSLATE(A172, ""zh_CN"", ""en"")"),"MPPT working mode of PV6")</f>
        <v>MPPT working mode of PV6</v>
      </c>
      <c r="C172" s="136" t="s">
        <v>803</v>
      </c>
      <c r="D172" s="136" t="s">
        <v>804</v>
      </c>
      <c r="E172" s="136" t="s">
        <v>104</v>
      </c>
      <c r="F172" s="137">
        <v>2.0</v>
      </c>
      <c r="G172" s="136"/>
      <c r="H172" s="136"/>
      <c r="I172" s="16"/>
      <c r="J172" s="16"/>
      <c r="K172" s="22"/>
      <c r="L172" s="46"/>
      <c r="M172" s="54"/>
      <c r="N172" s="55" t="s">
        <v>99</v>
      </c>
      <c r="O172" s="55" t="s">
        <v>805</v>
      </c>
      <c r="P172" s="55" t="s">
        <v>99</v>
      </c>
      <c r="Q172" s="55" t="s">
        <v>99</v>
      </c>
    </row>
    <row r="173" ht="15.75" customHeight="1">
      <c r="A173" s="136" t="s">
        <v>806</v>
      </c>
      <c r="B173" s="136" t="str">
        <f>IFERROR(__xludf.DUMMYFUNCTION("GOOGLETRANSLATE(A173, ""zh_CN"", ""en"")"),"Adjustable load DO status")</f>
        <v>Adjustable load DO status</v>
      </c>
      <c r="C173" s="136" t="s">
        <v>807</v>
      </c>
      <c r="D173" s="136" t="s">
        <v>808</v>
      </c>
      <c r="E173" s="136" t="s">
        <v>104</v>
      </c>
      <c r="F173" s="137">
        <v>2.0</v>
      </c>
      <c r="G173" s="136"/>
      <c r="H173" s="136"/>
      <c r="I173" s="136"/>
      <c r="J173" s="22"/>
      <c r="K173" s="22"/>
      <c r="L173" s="46"/>
      <c r="M173" s="54"/>
      <c r="N173" s="55" t="s">
        <v>99</v>
      </c>
      <c r="O173" s="55" t="s">
        <v>809</v>
      </c>
      <c r="P173" s="55" t="s">
        <v>99</v>
      </c>
      <c r="Q173" s="55" t="s">
        <v>99</v>
      </c>
    </row>
    <row r="174" ht="15.75" customHeight="1">
      <c r="A174" s="136" t="s">
        <v>810</v>
      </c>
      <c r="B174" s="136" t="str">
        <f>IFERROR(__xludf.DUMMYFUNCTION("GOOGLETRANSLATE(A174, ""zh_CN"", ""en"")"),"Electric meter actively detects status")</f>
        <v>Electric meter actively detects status</v>
      </c>
      <c r="C174" s="136" t="s">
        <v>811</v>
      </c>
      <c r="D174" s="136" t="s">
        <v>812</v>
      </c>
      <c r="E174" s="136" t="s">
        <v>104</v>
      </c>
      <c r="F174" s="137">
        <v>2.0</v>
      </c>
      <c r="G174" s="136"/>
      <c r="H174" s="136"/>
      <c r="I174" s="136"/>
      <c r="J174" s="22"/>
      <c r="K174" s="22"/>
      <c r="L174" s="46"/>
      <c r="M174" s="54"/>
      <c r="N174" s="55" t="s">
        <v>99</v>
      </c>
      <c r="O174" s="55" t="s">
        <v>813</v>
      </c>
      <c r="P174" s="55" t="s">
        <v>99</v>
      </c>
      <c r="Q174" s="55" t="s">
        <v>99</v>
      </c>
    </row>
    <row r="175" ht="15.75" customHeight="1">
      <c r="A175" s="136" t="s">
        <v>814</v>
      </c>
      <c r="B175" s="136" t="str">
        <f>IFERROR(__xludf.DUMMYFUNCTION("GOOGLETRANSLATE(A175, ""zh_CN"", ""en"")"),"Start time")</f>
        <v>Start time</v>
      </c>
      <c r="C175" s="136" t="s">
        <v>815</v>
      </c>
      <c r="D175" s="136" t="s">
        <v>816</v>
      </c>
      <c r="E175" s="136" t="s">
        <v>104</v>
      </c>
      <c r="F175" s="137">
        <v>2.0</v>
      </c>
      <c r="G175" s="136"/>
      <c r="H175" s="136" t="s">
        <v>817</v>
      </c>
      <c r="I175" s="136"/>
      <c r="J175" s="22"/>
      <c r="K175" s="22"/>
      <c r="L175" s="46"/>
      <c r="M175" s="54"/>
      <c r="N175" s="55" t="s">
        <v>99</v>
      </c>
      <c r="O175" s="55" t="s">
        <v>818</v>
      </c>
      <c r="P175" s="55" t="s">
        <v>99</v>
      </c>
      <c r="Q175" s="55" t="s">
        <v>99</v>
      </c>
    </row>
    <row r="176" ht="15.75" customHeight="1">
      <c r="A176" s="136" t="s">
        <v>819</v>
      </c>
      <c r="B176" s="136" t="str">
        <f>IFERROR(__xludf.DUMMYFUNCTION("GOOGLETRANSLATE(A176, ""zh_CN"", ""en"")"),"Inverter internal temperature")</f>
        <v>Inverter internal temperature</v>
      </c>
      <c r="C176" s="136" t="s">
        <v>820</v>
      </c>
      <c r="D176" s="136" t="s">
        <v>821</v>
      </c>
      <c r="E176" s="136" t="s">
        <v>235</v>
      </c>
      <c r="F176" s="137">
        <v>2.0</v>
      </c>
      <c r="G176" s="136"/>
      <c r="H176" s="136" t="s">
        <v>822</v>
      </c>
      <c r="I176" s="136"/>
      <c r="J176" s="22"/>
      <c r="K176" s="22"/>
      <c r="L176" s="46"/>
      <c r="M176" s="54"/>
      <c r="N176" s="55" t="s">
        <v>99</v>
      </c>
      <c r="O176" s="55" t="s">
        <v>823</v>
      </c>
      <c r="P176" s="55" t="s">
        <v>99</v>
      </c>
      <c r="Q176" s="55" t="s">
        <v>99</v>
      </c>
    </row>
    <row r="177" ht="15.75" customHeight="1">
      <c r="A177" s="136" t="s">
        <v>824</v>
      </c>
      <c r="B177" s="136" t="str">
        <f>IFERROR(__xludf.DUMMYFUNCTION("GOOGLETRANSLATE(A177, ""zh_CN"", ""en"")"),"Transformer temperature")</f>
        <v>Transformer temperature</v>
      </c>
      <c r="C177" s="136" t="s">
        <v>825</v>
      </c>
      <c r="D177" s="136" t="s">
        <v>826</v>
      </c>
      <c r="E177" s="136" t="s">
        <v>235</v>
      </c>
      <c r="F177" s="137">
        <v>2.0</v>
      </c>
      <c r="G177" s="136"/>
      <c r="H177" s="136" t="s">
        <v>827</v>
      </c>
      <c r="I177" s="136"/>
      <c r="J177" s="22"/>
      <c r="K177" s="22"/>
      <c r="L177" s="46"/>
      <c r="M177" s="54"/>
      <c r="N177" s="55" t="s">
        <v>99</v>
      </c>
      <c r="O177" s="55" t="s">
        <v>828</v>
      </c>
      <c r="P177" s="55" t="s">
        <v>99</v>
      </c>
      <c r="Q177" s="55" t="s">
        <v>99</v>
      </c>
    </row>
    <row r="178" ht="15.75" customHeight="1">
      <c r="A178" s="136" t="s">
        <v>829</v>
      </c>
      <c r="B178" s="136" t="str">
        <f>IFERROR(__xludf.DUMMYFUNCTION("GOOGLETRANSLATE(A178, ""zh_CN"", ""en"")"),"Temperature 1")</f>
        <v>Temperature 1</v>
      </c>
      <c r="C178" s="136" t="s">
        <v>830</v>
      </c>
      <c r="D178" s="136" t="s">
        <v>831</v>
      </c>
      <c r="E178" s="136" t="s">
        <v>235</v>
      </c>
      <c r="F178" s="137">
        <v>2.0</v>
      </c>
      <c r="G178" s="136"/>
      <c r="H178" s="136" t="s">
        <v>832</v>
      </c>
      <c r="I178" s="136"/>
      <c r="J178" s="22"/>
      <c r="K178" s="22"/>
      <c r="L178" s="46"/>
      <c r="M178" s="54"/>
      <c r="N178" s="55" t="s">
        <v>99</v>
      </c>
      <c r="O178" s="55" t="s">
        <v>833</v>
      </c>
      <c r="P178" s="55" t="s">
        <v>99</v>
      </c>
      <c r="Q178" s="55" t="s">
        <v>99</v>
      </c>
    </row>
    <row r="179" ht="15.75" customHeight="1">
      <c r="A179" s="136" t="s">
        <v>834</v>
      </c>
      <c r="B179" s="136" t="str">
        <f>IFERROR(__xludf.DUMMYFUNCTION("GOOGLETRANSLATE(A179, ""zh_CN"", ""en"")"),"Temperature 2")</f>
        <v>Temperature 2</v>
      </c>
      <c r="C179" s="136" t="s">
        <v>835</v>
      </c>
      <c r="D179" s="136" t="s">
        <v>836</v>
      </c>
      <c r="E179" s="136" t="s">
        <v>235</v>
      </c>
      <c r="F179" s="137">
        <v>2.0</v>
      </c>
      <c r="G179" s="136"/>
      <c r="H179" s="136" t="s">
        <v>837</v>
      </c>
      <c r="I179" s="136"/>
      <c r="J179" s="22"/>
      <c r="K179" s="22"/>
      <c r="L179" s="46"/>
      <c r="M179" s="54"/>
      <c r="N179" s="55" t="s">
        <v>99</v>
      </c>
      <c r="O179" s="55" t="s">
        <v>838</v>
      </c>
      <c r="P179" s="55" t="s">
        <v>99</v>
      </c>
      <c r="Q179" s="55" t="s">
        <v>99</v>
      </c>
    </row>
    <row r="180" ht="15.75" customHeight="1">
      <c r="A180" s="136" t="s">
        <v>839</v>
      </c>
      <c r="B180" s="136" t="str">
        <f>IFERROR(__xludf.DUMMYFUNCTION("GOOGLETRANSLATE(A180, ""zh_CN"", ""en"")"),"Debug information 1")</f>
        <v>Debug information 1</v>
      </c>
      <c r="C180" s="136" t="s">
        <v>840</v>
      </c>
      <c r="D180" s="136" t="s">
        <v>841</v>
      </c>
      <c r="E180" s="136" t="s">
        <v>104</v>
      </c>
      <c r="F180" s="137">
        <v>2.0</v>
      </c>
      <c r="G180" s="136"/>
      <c r="H180" s="136"/>
      <c r="I180" s="136"/>
      <c r="J180" s="22"/>
      <c r="K180" s="22"/>
      <c r="L180" s="46"/>
      <c r="M180" s="54"/>
      <c r="N180" s="55" t="s">
        <v>99</v>
      </c>
      <c r="O180" s="55" t="s">
        <v>842</v>
      </c>
      <c r="P180" s="55" t="s">
        <v>99</v>
      </c>
      <c r="Q180" s="55" t="s">
        <v>99</v>
      </c>
    </row>
    <row r="181" ht="15.75" customHeight="1">
      <c r="A181" s="136" t="s">
        <v>843</v>
      </c>
      <c r="B181" s="136" t="str">
        <f>IFERROR(__xludf.DUMMYFUNCTION("GOOGLETRANSLATE(A181, ""zh_CN"", ""en"")"),"Debug information 2")</f>
        <v>Debug information 2</v>
      </c>
      <c r="C181" s="136" t="s">
        <v>844</v>
      </c>
      <c r="D181" s="136" t="s">
        <v>845</v>
      </c>
      <c r="E181" s="136" t="s">
        <v>104</v>
      </c>
      <c r="F181" s="137">
        <v>2.0</v>
      </c>
      <c r="G181" s="136"/>
      <c r="H181" s="136"/>
      <c r="I181" s="136"/>
      <c r="J181" s="22"/>
      <c r="K181" s="22"/>
      <c r="L181" s="46"/>
      <c r="M181" s="54"/>
      <c r="N181" s="55" t="s">
        <v>99</v>
      </c>
      <c r="O181" s="55" t="s">
        <v>846</v>
      </c>
      <c r="P181" s="55" t="s">
        <v>99</v>
      </c>
      <c r="Q181" s="55" t="s">
        <v>99</v>
      </c>
    </row>
    <row r="182" ht="15.75" customHeight="1">
      <c r="A182" s="136" t="s">
        <v>847</v>
      </c>
      <c r="B182" s="136" t="str">
        <f>IFERROR(__xludf.DUMMYFUNCTION("GOOGLETRANSLATE(A182, ""zh_CN"", ""en"")"),"Debug information 3")</f>
        <v>Debug information 3</v>
      </c>
      <c r="C182" s="136" t="s">
        <v>848</v>
      </c>
      <c r="D182" s="136" t="s">
        <v>849</v>
      </c>
      <c r="E182" s="136" t="s">
        <v>104</v>
      </c>
      <c r="F182" s="137">
        <v>2.0</v>
      </c>
      <c r="G182" s="136"/>
      <c r="H182" s="136"/>
      <c r="I182" s="136"/>
      <c r="J182" s="22"/>
      <c r="K182" s="22"/>
      <c r="L182" s="46"/>
      <c r="M182" s="54"/>
      <c r="N182" s="55" t="s">
        <v>99</v>
      </c>
      <c r="O182" s="55" t="s">
        <v>850</v>
      </c>
      <c r="P182" s="55" t="s">
        <v>99</v>
      </c>
      <c r="Q182" s="55" t="s">
        <v>99</v>
      </c>
    </row>
    <row r="183" ht="15.75" customHeight="1">
      <c r="A183" s="136" t="s">
        <v>851</v>
      </c>
      <c r="B183" s="136" t="str">
        <f>IFERROR(__xludf.DUMMYFUNCTION("GOOGLETRANSLATE(A183, ""zh_CN"", ""en"")"),"Debug information 4")</f>
        <v>Debug information 4</v>
      </c>
      <c r="C183" s="136" t="s">
        <v>852</v>
      </c>
      <c r="D183" s="136" t="s">
        <v>853</v>
      </c>
      <c r="E183" s="136" t="s">
        <v>104</v>
      </c>
      <c r="F183" s="137">
        <v>2.0</v>
      </c>
      <c r="G183" s="136"/>
      <c r="H183" s="136"/>
      <c r="I183" s="136"/>
      <c r="J183" s="22"/>
      <c r="K183" s="22"/>
      <c r="L183" s="46"/>
      <c r="M183" s="54"/>
      <c r="N183" s="55" t="s">
        <v>99</v>
      </c>
      <c r="O183" s="55" t="s">
        <v>854</v>
      </c>
      <c r="P183" s="55" t="s">
        <v>99</v>
      </c>
      <c r="Q183" s="55" t="s">
        <v>99</v>
      </c>
    </row>
    <row r="184" ht="15.75" customHeight="1">
      <c r="A184" s="136" t="s">
        <v>855</v>
      </c>
      <c r="B184" s="136" t="str">
        <f>IFERROR(__xludf.DUMMYFUNCTION("GOOGLETRANSLATE(A184, ""zh_CN"", ""en"")"),"Debug information 5")</f>
        <v>Debug information 5</v>
      </c>
      <c r="C184" s="136" t="s">
        <v>856</v>
      </c>
      <c r="D184" s="136" t="s">
        <v>857</v>
      </c>
      <c r="E184" s="136" t="s">
        <v>104</v>
      </c>
      <c r="F184" s="137">
        <v>2.0</v>
      </c>
      <c r="G184" s="136"/>
      <c r="H184" s="136"/>
      <c r="I184" s="136"/>
      <c r="J184" s="22"/>
      <c r="K184" s="22"/>
      <c r="L184" s="46"/>
      <c r="M184" s="54"/>
      <c r="N184" s="55" t="s">
        <v>99</v>
      </c>
      <c r="O184" s="55" t="s">
        <v>858</v>
      </c>
      <c r="P184" s="55" t="s">
        <v>99</v>
      </c>
      <c r="Q184" s="55" t="s">
        <v>99</v>
      </c>
    </row>
    <row r="185" ht="15.75" customHeight="1">
      <c r="A185" s="136" t="s">
        <v>859</v>
      </c>
      <c r="B185" s="136" t="str">
        <f>IFERROR(__xludf.DUMMYFUNCTION("GOOGLETRANSLATE(A185, ""zh_CN"", ""en"")"),"Debug information 6")</f>
        <v>Debug information 6</v>
      </c>
      <c r="C185" s="136" t="s">
        <v>860</v>
      </c>
      <c r="D185" s="136" t="s">
        <v>861</v>
      </c>
      <c r="E185" s="136" t="s">
        <v>104</v>
      </c>
      <c r="F185" s="137">
        <v>2.0</v>
      </c>
      <c r="G185" s="136"/>
      <c r="H185" s="136"/>
      <c r="I185" s="136"/>
      <c r="J185" s="22"/>
      <c r="K185" s="22"/>
      <c r="L185" s="46"/>
      <c r="M185" s="54"/>
      <c r="N185" s="55" t="s">
        <v>99</v>
      </c>
      <c r="O185" s="55" t="s">
        <v>862</v>
      </c>
      <c r="P185" s="55" t="s">
        <v>99</v>
      </c>
      <c r="Q185" s="55" t="s">
        <v>99</v>
      </c>
    </row>
    <row r="186" ht="15.75" customHeight="1">
      <c r="A186" s="127" t="s">
        <v>863</v>
      </c>
      <c r="B186" s="127" t="str">
        <f>IFERROR(__xludf.DUMMYFUNCTION("GOOGLETRANSLATE(A186, ""zh_CN"", ""en"")"),"reserved")</f>
        <v>reserved</v>
      </c>
      <c r="C186" s="127" t="s">
        <v>207</v>
      </c>
      <c r="D186" s="136" t="s">
        <v>864</v>
      </c>
      <c r="E186" s="127"/>
      <c r="F186" s="128"/>
      <c r="G186" s="127"/>
      <c r="H186" s="127"/>
      <c r="I186" s="141"/>
      <c r="J186" s="22"/>
      <c r="K186" s="22"/>
      <c r="L186" s="46"/>
      <c r="M186" s="54"/>
      <c r="N186" s="55" t="s">
        <v>99</v>
      </c>
      <c r="O186" s="55" t="s">
        <v>865</v>
      </c>
      <c r="P186" s="55" t="s">
        <v>99</v>
      </c>
      <c r="Q186" s="55" t="s">
        <v>99</v>
      </c>
    </row>
    <row r="187" ht="15.75" customHeight="1">
      <c r="A187" s="90" t="s">
        <v>866</v>
      </c>
      <c r="B187" s="43"/>
      <c r="C187" s="43"/>
      <c r="D187" s="43"/>
      <c r="E187" s="43"/>
      <c r="F187" s="43"/>
      <c r="G187" s="43"/>
      <c r="H187" s="43"/>
      <c r="I187" s="44"/>
      <c r="J187" s="22" t="str">
        <f>IFERROR(__xludf.DUMMYFUNCTION("GOOGLETRANSLATE(A187, ""zh_CN"", ""en"")"),"Real-time operating information 6 (faults and alarms)")</f>
        <v>Real-time operating information 6 (faults and alarms)</v>
      </c>
      <c r="K187" s="22"/>
      <c r="L187" s="46"/>
      <c r="M187" s="54"/>
      <c r="N187" s="55" t="s">
        <v>99</v>
      </c>
      <c r="O187" s="55" t="s">
        <v>867</v>
      </c>
      <c r="P187" s="55" t="s">
        <v>99</v>
      </c>
      <c r="Q187" s="55" t="s">
        <v>99</v>
      </c>
    </row>
    <row r="188" ht="15.75" customHeight="1">
      <c r="A188" s="142" t="s">
        <v>868</v>
      </c>
      <c r="B188" s="142" t="str">
        <f>IFERROR(__xludf.DUMMYFUNCTION("GOOGLETRANSLATE(A188, ""zh_CN"", ""en"")"),"PV failure 1")</f>
        <v>PV failure 1</v>
      </c>
      <c r="C188" s="142" t="s">
        <v>869</v>
      </c>
      <c r="D188" s="142" t="s">
        <v>870</v>
      </c>
      <c r="E188" s="142" t="s">
        <v>110</v>
      </c>
      <c r="F188" s="143">
        <v>4.0</v>
      </c>
      <c r="G188" s="142"/>
      <c r="H188" s="142"/>
      <c r="I188" s="142"/>
      <c r="J188" s="22"/>
      <c r="K188" s="22"/>
      <c r="L188" s="46"/>
      <c r="M188" s="54"/>
      <c r="N188" s="55" t="s">
        <v>99</v>
      </c>
      <c r="O188" s="55" t="s">
        <v>871</v>
      </c>
      <c r="P188" s="55" t="s">
        <v>99</v>
      </c>
      <c r="Q188" s="55" t="s">
        <v>99</v>
      </c>
    </row>
    <row r="189" ht="15.75" customHeight="1">
      <c r="A189" s="142" t="s">
        <v>872</v>
      </c>
      <c r="B189" s="142" t="str">
        <f>IFERROR(__xludf.DUMMYFUNCTION("GOOGLETRANSLATE(A189, ""zh_CN"", ""en"")"),"PV failure 2")</f>
        <v>PV failure 2</v>
      </c>
      <c r="C189" s="142" t="s">
        <v>873</v>
      </c>
      <c r="D189" s="142" t="s">
        <v>874</v>
      </c>
      <c r="E189" s="142" t="s">
        <v>110</v>
      </c>
      <c r="F189" s="143">
        <v>4.0</v>
      </c>
      <c r="G189" s="142"/>
      <c r="H189" s="142"/>
      <c r="I189" s="142"/>
      <c r="J189" s="22"/>
      <c r="K189" s="22"/>
      <c r="L189" s="46"/>
      <c r="M189" s="54"/>
      <c r="N189" s="55" t="s">
        <v>99</v>
      </c>
      <c r="O189" s="55" t="s">
        <v>875</v>
      </c>
      <c r="P189" s="55" t="s">
        <v>99</v>
      </c>
      <c r="Q189" s="55" t="s">
        <v>99</v>
      </c>
    </row>
    <row r="190" ht="15.75" customHeight="1">
      <c r="A190" s="142" t="s">
        <v>876</v>
      </c>
      <c r="B190" s="142" t="str">
        <f>IFERROR(__xludf.DUMMYFUNCTION("GOOGLETRANSLATE(A190, ""zh_CN"", ""en"")"),"Battery failure 1")</f>
        <v>Battery failure 1</v>
      </c>
      <c r="C190" s="142" t="s">
        <v>877</v>
      </c>
      <c r="D190" s="142" t="s">
        <v>878</v>
      </c>
      <c r="E190" s="142" t="s">
        <v>110</v>
      </c>
      <c r="F190" s="143">
        <v>4.0</v>
      </c>
      <c r="G190" s="142"/>
      <c r="H190" s="142"/>
      <c r="I190" s="142"/>
      <c r="J190" s="22"/>
      <c r="K190" s="22"/>
      <c r="L190" s="46"/>
      <c r="M190" s="54"/>
      <c r="N190" s="55" t="s">
        <v>99</v>
      </c>
      <c r="O190" s="55" t="s">
        <v>879</v>
      </c>
      <c r="P190" s="55" t="s">
        <v>99</v>
      </c>
      <c r="Q190" s="55" t="s">
        <v>99</v>
      </c>
    </row>
    <row r="191" ht="15.75" customHeight="1">
      <c r="A191" s="142" t="s">
        <v>880</v>
      </c>
      <c r="B191" s="142" t="str">
        <f>IFERROR(__xludf.DUMMYFUNCTION("GOOGLETRANSLATE(A191, ""zh_CN"", ""en"")"),"Battery failure 2")</f>
        <v>Battery failure 2</v>
      </c>
      <c r="C191" s="142" t="s">
        <v>881</v>
      </c>
      <c r="D191" s="142" t="s">
        <v>882</v>
      </c>
      <c r="E191" s="142" t="s">
        <v>110</v>
      </c>
      <c r="F191" s="143">
        <v>4.0</v>
      </c>
      <c r="G191" s="142"/>
      <c r="H191" s="142"/>
      <c r="I191" s="142"/>
      <c r="J191" s="22"/>
      <c r="K191" s="22"/>
      <c r="L191" s="46"/>
      <c r="M191" s="54"/>
      <c r="N191" s="55" t="s">
        <v>99</v>
      </c>
      <c r="O191" s="55" t="s">
        <v>883</v>
      </c>
      <c r="P191" s="55" t="s">
        <v>99</v>
      </c>
      <c r="Q191" s="55" t="s">
        <v>99</v>
      </c>
    </row>
    <row r="192" ht="15.75" customHeight="1">
      <c r="A192" s="142" t="s">
        <v>884</v>
      </c>
      <c r="B192" s="142" t="str">
        <f>IFERROR(__xludf.DUMMYFUNCTION("GOOGLETRANSLATE(A192, ""zh_CN"", ""en"")"),"Grid failure")</f>
        <v>Grid failure</v>
      </c>
      <c r="C192" s="142" t="s">
        <v>885</v>
      </c>
      <c r="D192" s="142" t="s">
        <v>886</v>
      </c>
      <c r="E192" s="142" t="s">
        <v>110</v>
      </c>
      <c r="F192" s="143">
        <v>4.0</v>
      </c>
      <c r="G192" s="142"/>
      <c r="H192" s="142"/>
      <c r="I192" s="142"/>
      <c r="J192" s="22"/>
      <c r="K192" s="22"/>
      <c r="L192" s="46"/>
      <c r="M192" s="54"/>
      <c r="N192" s="55" t="s">
        <v>99</v>
      </c>
      <c r="O192" s="55" t="s">
        <v>887</v>
      </c>
      <c r="P192" s="55" t="s">
        <v>99</v>
      </c>
      <c r="Q192" s="55" t="s">
        <v>99</v>
      </c>
    </row>
    <row r="193" ht="15.75" customHeight="1">
      <c r="A193" s="142" t="s">
        <v>888</v>
      </c>
      <c r="B193" s="142" t="str">
        <f>IFERROR(__xludf.DUMMYFUNCTION("GOOGLETRANSLATE(A193, ""zh_CN"", ""en"")"),"Off-grid failure")</f>
        <v>Off-grid failure</v>
      </c>
      <c r="C193" s="142" t="s">
        <v>889</v>
      </c>
      <c r="D193" s="142" t="s">
        <v>890</v>
      </c>
      <c r="E193" s="142" t="s">
        <v>110</v>
      </c>
      <c r="F193" s="143">
        <v>4.0</v>
      </c>
      <c r="G193" s="142"/>
      <c r="H193" s="142"/>
      <c r="I193" s="142"/>
      <c r="J193" s="22"/>
      <c r="K193" s="22"/>
      <c r="L193" s="46"/>
      <c r="M193" s="54"/>
      <c r="N193" s="55" t="s">
        <v>99</v>
      </c>
      <c r="O193" s="55" t="s">
        <v>891</v>
      </c>
      <c r="P193" s="55" t="s">
        <v>99</v>
      </c>
      <c r="Q193" s="55" t="s">
        <v>99</v>
      </c>
    </row>
    <row r="194" ht="15.75" customHeight="1">
      <c r="A194" s="142" t="s">
        <v>892</v>
      </c>
      <c r="B194" s="142" t="str">
        <f>IFERROR(__xludf.DUMMYFUNCTION("GOOGLETRANSLATE(A194, ""zh_CN"", ""en"")"),"DC side fault 1")</f>
        <v>DC side fault 1</v>
      </c>
      <c r="C194" s="142" t="s">
        <v>893</v>
      </c>
      <c r="D194" s="142" t="s">
        <v>894</v>
      </c>
      <c r="E194" s="142" t="s">
        <v>110</v>
      </c>
      <c r="F194" s="143">
        <v>4.0</v>
      </c>
      <c r="G194" s="142"/>
      <c r="H194" s="142"/>
      <c r="I194" s="142"/>
      <c r="J194" s="22"/>
      <c r="K194" s="22"/>
      <c r="L194" s="46"/>
      <c r="M194" s="54"/>
      <c r="N194" s="55" t="s">
        <v>99</v>
      </c>
      <c r="O194" s="55" t="s">
        <v>895</v>
      </c>
      <c r="P194" s="55" t="s">
        <v>99</v>
      </c>
      <c r="Q194" s="55" t="s">
        <v>99</v>
      </c>
    </row>
    <row r="195" ht="15.75" customHeight="1">
      <c r="A195" s="142" t="s">
        <v>896</v>
      </c>
      <c r="B195" s="142" t="str">
        <f>IFERROR(__xludf.DUMMYFUNCTION("GOOGLETRANSLATE(A195, ""zh_CN"", ""en"")"),"DC side fault 2")</f>
        <v>DC side fault 2</v>
      </c>
      <c r="C195" s="142" t="s">
        <v>897</v>
      </c>
      <c r="D195" s="142" t="s">
        <v>898</v>
      </c>
      <c r="E195" s="142" t="s">
        <v>110</v>
      </c>
      <c r="F195" s="143">
        <v>4.0</v>
      </c>
      <c r="G195" s="142"/>
      <c r="H195" s="142"/>
      <c r="I195" s="142"/>
      <c r="J195" s="22"/>
      <c r="K195" s="22"/>
      <c r="L195" s="46"/>
      <c r="M195" s="54"/>
      <c r="N195" s="55" t="s">
        <v>99</v>
      </c>
      <c r="O195" s="55" t="s">
        <v>899</v>
      </c>
      <c r="P195" s="55" t="s">
        <v>99</v>
      </c>
      <c r="Q195" s="55" t="s">
        <v>99</v>
      </c>
    </row>
    <row r="196" ht="15.75" customHeight="1">
      <c r="A196" s="142" t="s">
        <v>900</v>
      </c>
      <c r="B196" s="142" t="str">
        <f>IFERROR(__xludf.DUMMYFUNCTION("GOOGLETRANSLATE(A196, ""zh_CN"", ""en"")"),"AC side fault")</f>
        <v>AC side fault</v>
      </c>
      <c r="C196" s="142" t="s">
        <v>901</v>
      </c>
      <c r="D196" s="142" t="s">
        <v>902</v>
      </c>
      <c r="E196" s="142" t="s">
        <v>110</v>
      </c>
      <c r="F196" s="143">
        <v>4.0</v>
      </c>
      <c r="G196" s="142"/>
      <c r="H196" s="142"/>
      <c r="I196" s="142"/>
      <c r="J196" s="22"/>
      <c r="K196" s="22"/>
      <c r="L196" s="46"/>
      <c r="M196" s="54"/>
      <c r="N196" s="55" t="s">
        <v>99</v>
      </c>
      <c r="O196" s="55" t="s">
        <v>903</v>
      </c>
      <c r="P196" s="55" t="s">
        <v>99</v>
      </c>
      <c r="Q196" s="55" t="s">
        <v>99</v>
      </c>
    </row>
    <row r="197" ht="15.75" customHeight="1">
      <c r="A197" s="142" t="s">
        <v>904</v>
      </c>
      <c r="B197" s="142" t="str">
        <f>IFERROR(__xludf.DUMMYFUNCTION("GOOGLETRANSLATE(A197, ""zh_CN"", ""en"")"),"System failure 1")</f>
        <v>System failure 1</v>
      </c>
      <c r="C197" s="142" t="s">
        <v>905</v>
      </c>
      <c r="D197" s="142" t="s">
        <v>906</v>
      </c>
      <c r="E197" s="142" t="s">
        <v>110</v>
      </c>
      <c r="F197" s="143">
        <v>4.0</v>
      </c>
      <c r="G197" s="142"/>
      <c r="H197" s="142"/>
      <c r="I197" s="142"/>
      <c r="J197" s="22"/>
      <c r="K197" s="22"/>
      <c r="L197" s="46"/>
      <c r="M197" s="54"/>
      <c r="N197" s="55" t="s">
        <v>99</v>
      </c>
      <c r="O197" s="55" t="s">
        <v>907</v>
      </c>
      <c r="P197" s="55" t="s">
        <v>99</v>
      </c>
      <c r="Q197" s="55" t="s">
        <v>99</v>
      </c>
    </row>
    <row r="198" ht="15.75" customHeight="1">
      <c r="A198" s="142" t="s">
        <v>908</v>
      </c>
      <c r="B198" s="142" t="str">
        <f>IFERROR(__xludf.DUMMYFUNCTION("GOOGLETRANSLATE(A198, ""zh_CN"", ""en"")"),"System failure 2")</f>
        <v>System failure 2</v>
      </c>
      <c r="C198" s="142" t="s">
        <v>909</v>
      </c>
      <c r="D198" s="142" t="s">
        <v>910</v>
      </c>
      <c r="E198" s="142" t="s">
        <v>110</v>
      </c>
      <c r="F198" s="143">
        <v>4.0</v>
      </c>
      <c r="G198" s="142"/>
      <c r="H198" s="142"/>
      <c r="I198" s="142"/>
      <c r="J198" s="22"/>
      <c r="K198" s="22"/>
      <c r="L198" s="46"/>
      <c r="M198" s="54"/>
      <c r="N198" s="55" t="s">
        <v>99</v>
      </c>
      <c r="O198" s="55" t="s">
        <v>911</v>
      </c>
      <c r="P198" s="55" t="s">
        <v>99</v>
      </c>
      <c r="Q198" s="55" t="s">
        <v>99</v>
      </c>
    </row>
    <row r="199" ht="15.75" customHeight="1">
      <c r="A199" s="142" t="s">
        <v>912</v>
      </c>
      <c r="B199" s="142" t="str">
        <f>IFERROR(__xludf.DUMMYFUNCTION("GOOGLETRANSLATE(A199, ""zh_CN"", ""en"")"),"permanent failure")</f>
        <v>permanent failure</v>
      </c>
      <c r="C199" s="142" t="s">
        <v>913</v>
      </c>
      <c r="D199" s="142" t="s">
        <v>914</v>
      </c>
      <c r="E199" s="142" t="s">
        <v>110</v>
      </c>
      <c r="F199" s="143">
        <v>4.0</v>
      </c>
      <c r="G199" s="142"/>
      <c r="H199" s="142"/>
      <c r="I199" s="142"/>
      <c r="J199" s="22"/>
      <c r="K199" s="22"/>
      <c r="L199" s="46"/>
      <c r="M199" s="54"/>
      <c r="N199" s="55" t="s">
        <v>99</v>
      </c>
      <c r="O199" s="55" t="s">
        <v>915</v>
      </c>
      <c r="P199" s="55" t="s">
        <v>99</v>
      </c>
      <c r="Q199" s="55" t="s">
        <v>99</v>
      </c>
    </row>
    <row r="200" ht="15.75" customHeight="1">
      <c r="A200" s="142" t="s">
        <v>916</v>
      </c>
      <c r="B200" s="142" t="str">
        <f>IFERROR(__xludf.DUMMYFUNCTION("GOOGLETRANSLATE(A200, ""zh_CN"", ""en"")"),"Internal alarm")</f>
        <v>Internal alarm</v>
      </c>
      <c r="C200" s="142" t="s">
        <v>917</v>
      </c>
      <c r="D200" s="142" t="s">
        <v>918</v>
      </c>
      <c r="E200" s="142" t="s">
        <v>110</v>
      </c>
      <c r="F200" s="143">
        <v>4.0</v>
      </c>
      <c r="G200" s="142"/>
      <c r="H200" s="142"/>
      <c r="I200" s="142"/>
      <c r="J200" s="22"/>
      <c r="K200" s="22"/>
      <c r="L200" s="46"/>
      <c r="M200" s="54"/>
      <c r="N200" s="55" t="s">
        <v>99</v>
      </c>
      <c r="O200" s="55" t="s">
        <v>919</v>
      </c>
      <c r="P200" s="55" t="s">
        <v>99</v>
      </c>
      <c r="Q200" s="55" t="s">
        <v>99</v>
      </c>
    </row>
    <row r="201" ht="15.75" customHeight="1">
      <c r="A201" s="142" t="s">
        <v>920</v>
      </c>
      <c r="B201" s="142" t="str">
        <f>IFERROR(__xludf.DUMMYFUNCTION("GOOGLETRANSLATE(A201, ""zh_CN"", ""en"")"),"external alarm")</f>
        <v>external alarm</v>
      </c>
      <c r="C201" s="142" t="s">
        <v>921</v>
      </c>
      <c r="D201" s="142" t="s">
        <v>922</v>
      </c>
      <c r="E201" s="142" t="s">
        <v>110</v>
      </c>
      <c r="F201" s="143">
        <v>4.0</v>
      </c>
      <c r="G201" s="142"/>
      <c r="H201" s="142"/>
      <c r="I201" s="142"/>
      <c r="J201" s="22"/>
      <c r="K201" s="22"/>
      <c r="L201" s="46"/>
      <c r="M201" s="54"/>
      <c r="N201" s="55" t="s">
        <v>99</v>
      </c>
      <c r="O201" s="55" t="s">
        <v>923</v>
      </c>
      <c r="P201" s="55" t="s">
        <v>99</v>
      </c>
      <c r="Q201" s="55" t="s">
        <v>99</v>
      </c>
    </row>
    <row r="202" ht="15.75" customHeight="1">
      <c r="A202" s="142" t="s">
        <v>924</v>
      </c>
      <c r="B202" s="142" t="str">
        <f>IFERROR(__xludf.DUMMYFUNCTION("GOOGLETRANSLATE(A202, ""zh_CN"", ""en"")"),"reserved")</f>
        <v>reserved</v>
      </c>
      <c r="C202" s="142" t="s">
        <v>207</v>
      </c>
      <c r="D202" s="142" t="s">
        <v>925</v>
      </c>
      <c r="E202" s="142"/>
      <c r="F202" s="143"/>
      <c r="G202" s="142"/>
      <c r="H202" s="142"/>
      <c r="I202" s="142"/>
      <c r="J202" s="22"/>
      <c r="K202" s="22"/>
      <c r="L202" s="46"/>
      <c r="M202" s="54"/>
      <c r="N202" s="55" t="s">
        <v>99</v>
      </c>
      <c r="O202" s="55" t="s">
        <v>926</v>
      </c>
      <c r="P202" s="55" t="s">
        <v>99</v>
      </c>
      <c r="Q202" s="55" t="s">
        <v>99</v>
      </c>
    </row>
    <row r="203" ht="15.75" customHeight="1">
      <c r="A203" s="31"/>
      <c r="B203" s="31"/>
      <c r="C203" s="31"/>
      <c r="D203" s="31"/>
      <c r="E203" s="31"/>
      <c r="F203" s="144"/>
      <c r="G203" s="31"/>
      <c r="H203" s="31"/>
      <c r="I203" s="31"/>
      <c r="J203" s="31"/>
      <c r="K203" s="31"/>
      <c r="L203" s="145"/>
      <c r="M203" s="146"/>
      <c r="N203" s="147"/>
      <c r="O203" s="147"/>
      <c r="P203" s="147"/>
      <c r="Q203" s="147"/>
    </row>
    <row r="204" ht="15.75" customHeight="1">
      <c r="A204" s="31"/>
      <c r="B204" s="31"/>
      <c r="C204" s="31"/>
      <c r="D204" s="31"/>
      <c r="E204" s="31"/>
      <c r="F204" s="144"/>
      <c r="G204" s="31"/>
      <c r="H204" s="31"/>
      <c r="I204" s="31"/>
      <c r="J204" s="31"/>
      <c r="K204" s="31"/>
      <c r="L204" s="145"/>
      <c r="M204" s="146"/>
      <c r="N204" s="147"/>
      <c r="O204" s="147"/>
      <c r="P204" s="147"/>
      <c r="Q204" s="147"/>
    </row>
    <row r="205" ht="15.75" customHeight="1">
      <c r="A205" s="31"/>
      <c r="B205" s="31"/>
      <c r="C205" s="31"/>
      <c r="D205" s="31"/>
      <c r="E205" s="31"/>
      <c r="F205" s="144"/>
      <c r="G205" s="31"/>
      <c r="H205" s="31"/>
      <c r="I205" s="31"/>
      <c r="J205" s="31"/>
      <c r="K205" s="31"/>
      <c r="L205" s="145"/>
      <c r="M205" s="146"/>
      <c r="N205" s="147"/>
      <c r="O205" s="147"/>
      <c r="P205" s="147"/>
      <c r="Q205" s="147"/>
    </row>
    <row r="206" ht="15.75" customHeight="1">
      <c r="A206" s="31"/>
      <c r="B206" s="31"/>
      <c r="C206" s="31"/>
      <c r="D206" s="31"/>
      <c r="E206" s="31"/>
      <c r="F206" s="144"/>
      <c r="G206" s="31"/>
      <c r="H206" s="31"/>
      <c r="I206" s="31"/>
      <c r="J206" s="31"/>
      <c r="K206" s="31"/>
      <c r="L206" s="145"/>
      <c r="M206" s="146"/>
      <c r="N206" s="147"/>
      <c r="O206" s="147"/>
      <c r="P206" s="147"/>
      <c r="Q206" s="147"/>
    </row>
    <row r="207" ht="15.75" customHeight="1">
      <c r="A207" s="31"/>
      <c r="B207" s="31"/>
      <c r="C207" s="31"/>
      <c r="D207" s="31"/>
      <c r="E207" s="31"/>
      <c r="F207" s="144"/>
      <c r="G207" s="31"/>
      <c r="H207" s="31"/>
      <c r="I207" s="31"/>
      <c r="J207" s="31"/>
      <c r="K207" s="31"/>
      <c r="L207" s="145"/>
      <c r="M207" s="146"/>
      <c r="N207" s="147"/>
      <c r="O207" s="147"/>
      <c r="P207" s="147"/>
      <c r="Q207" s="147"/>
    </row>
    <row r="208" ht="15.75" customHeight="1">
      <c r="A208" s="31"/>
      <c r="B208" s="31"/>
      <c r="C208" s="31"/>
      <c r="D208" s="31"/>
      <c r="E208" s="31"/>
      <c r="F208" s="144"/>
      <c r="G208" s="31"/>
      <c r="H208" s="31"/>
      <c r="I208" s="31"/>
      <c r="J208" s="31"/>
      <c r="K208" s="31"/>
      <c r="L208" s="145"/>
      <c r="M208" s="146"/>
      <c r="N208" s="147"/>
      <c r="O208" s="147"/>
      <c r="P208" s="147"/>
      <c r="Q208" s="147"/>
    </row>
    <row r="209" ht="15.75" customHeight="1">
      <c r="A209" s="31"/>
      <c r="B209" s="31"/>
      <c r="C209" s="31"/>
      <c r="D209" s="31"/>
      <c r="E209" s="31"/>
      <c r="F209" s="144"/>
      <c r="G209" s="31"/>
      <c r="H209" s="31"/>
      <c r="I209" s="31"/>
      <c r="J209" s="31"/>
      <c r="K209" s="31"/>
      <c r="L209" s="145"/>
      <c r="M209" s="146"/>
      <c r="N209" s="147"/>
      <c r="O209" s="147"/>
      <c r="P209" s="147"/>
      <c r="Q209" s="147"/>
    </row>
    <row r="210" ht="15.75" customHeight="1">
      <c r="A210" s="31"/>
      <c r="B210" s="31"/>
      <c r="C210" s="31"/>
      <c r="D210" s="31"/>
      <c r="E210" s="31"/>
      <c r="F210" s="144"/>
      <c r="G210" s="31"/>
      <c r="H210" s="31"/>
      <c r="I210" s="31"/>
      <c r="J210" s="31"/>
      <c r="K210" s="31"/>
      <c r="L210" s="145"/>
      <c r="M210" s="146"/>
      <c r="N210" s="147"/>
      <c r="O210" s="147"/>
      <c r="P210" s="147"/>
      <c r="Q210" s="147"/>
    </row>
    <row r="211" ht="15.75" customHeight="1">
      <c r="A211" s="31"/>
      <c r="B211" s="31"/>
      <c r="C211" s="31"/>
      <c r="D211" s="31"/>
      <c r="E211" s="31"/>
      <c r="F211" s="144"/>
      <c r="G211" s="31"/>
      <c r="H211" s="31"/>
      <c r="I211" s="31"/>
      <c r="J211" s="31"/>
      <c r="K211" s="31"/>
      <c r="L211" s="145"/>
      <c r="M211" s="146"/>
      <c r="N211" s="147"/>
      <c r="O211" s="147"/>
      <c r="P211" s="147"/>
      <c r="Q211" s="147"/>
    </row>
    <row r="212" ht="15.75" customHeight="1">
      <c r="A212" s="31"/>
      <c r="B212" s="31"/>
      <c r="C212" s="31"/>
      <c r="D212" s="31"/>
      <c r="E212" s="31"/>
      <c r="F212" s="144"/>
      <c r="G212" s="31"/>
      <c r="H212" s="31"/>
      <c r="I212" s="31"/>
      <c r="J212" s="31"/>
      <c r="K212" s="31"/>
      <c r="L212" s="145"/>
      <c r="M212" s="146"/>
      <c r="N212" s="147"/>
      <c r="O212" s="147"/>
      <c r="P212" s="147"/>
      <c r="Q212" s="147"/>
    </row>
    <row r="213" ht="15.75" customHeight="1">
      <c r="A213" s="31"/>
      <c r="B213" s="31"/>
      <c r="C213" s="31"/>
      <c r="D213" s="31"/>
      <c r="E213" s="31"/>
      <c r="F213" s="144"/>
      <c r="G213" s="31"/>
      <c r="H213" s="31"/>
      <c r="I213" s="31"/>
      <c r="J213" s="31"/>
      <c r="K213" s="31"/>
      <c r="L213" s="145"/>
      <c r="M213" s="146"/>
      <c r="N213" s="147"/>
      <c r="O213" s="147"/>
      <c r="P213" s="147"/>
      <c r="Q213" s="147"/>
    </row>
    <row r="214" ht="15.75" customHeight="1">
      <c r="A214" s="31"/>
      <c r="B214" s="31"/>
      <c r="C214" s="31"/>
      <c r="D214" s="31"/>
      <c r="E214" s="31"/>
      <c r="F214" s="144"/>
      <c r="G214" s="31"/>
      <c r="H214" s="31"/>
      <c r="I214" s="31"/>
      <c r="J214" s="31"/>
      <c r="K214" s="31"/>
      <c r="L214" s="145"/>
      <c r="M214" s="146"/>
      <c r="N214" s="147"/>
      <c r="O214" s="147"/>
      <c r="P214" s="147"/>
      <c r="Q214" s="147"/>
    </row>
    <row r="215" ht="15.75" customHeight="1">
      <c r="A215" s="31"/>
      <c r="B215" s="31"/>
      <c r="C215" s="31"/>
      <c r="D215" s="31"/>
      <c r="E215" s="31"/>
      <c r="F215" s="144"/>
      <c r="G215" s="31"/>
      <c r="H215" s="31"/>
      <c r="I215" s="31"/>
      <c r="J215" s="31"/>
      <c r="K215" s="31"/>
      <c r="L215" s="145"/>
      <c r="M215" s="146"/>
      <c r="N215" s="147"/>
      <c r="O215" s="147"/>
      <c r="P215" s="147"/>
      <c r="Q215" s="147"/>
    </row>
    <row r="216" ht="15.75" customHeight="1">
      <c r="A216" s="31"/>
      <c r="B216" s="31"/>
      <c r="C216" s="31"/>
      <c r="D216" s="31"/>
      <c r="E216" s="31"/>
      <c r="F216" s="144"/>
      <c r="G216" s="31"/>
      <c r="H216" s="31"/>
      <c r="I216" s="31"/>
      <c r="J216" s="31"/>
      <c r="K216" s="31"/>
      <c r="L216" s="145"/>
      <c r="M216" s="146"/>
      <c r="N216" s="147"/>
      <c r="O216" s="147"/>
      <c r="P216" s="147"/>
      <c r="Q216" s="147"/>
    </row>
    <row r="217" ht="15.75" customHeight="1">
      <c r="A217" s="31"/>
      <c r="B217" s="31"/>
      <c r="C217" s="31"/>
      <c r="D217" s="31"/>
      <c r="E217" s="31"/>
      <c r="F217" s="144"/>
      <c r="G217" s="31"/>
      <c r="H217" s="31"/>
      <c r="I217" s="31"/>
      <c r="J217" s="31"/>
      <c r="K217" s="31"/>
      <c r="L217" s="145"/>
      <c r="M217" s="146"/>
      <c r="N217" s="147"/>
      <c r="O217" s="147"/>
      <c r="P217" s="147"/>
      <c r="Q217" s="147"/>
    </row>
    <row r="218" ht="15.75" customHeight="1">
      <c r="A218" s="31"/>
      <c r="B218" s="31"/>
      <c r="C218" s="31"/>
      <c r="D218" s="31"/>
      <c r="E218" s="31"/>
      <c r="F218" s="144"/>
      <c r="G218" s="31"/>
      <c r="H218" s="31"/>
      <c r="I218" s="31"/>
      <c r="J218" s="31"/>
      <c r="K218" s="31"/>
      <c r="L218" s="145"/>
      <c r="M218" s="146"/>
      <c r="N218" s="147"/>
      <c r="O218" s="147"/>
      <c r="P218" s="147"/>
      <c r="Q218" s="147"/>
    </row>
    <row r="219" ht="15.75" customHeight="1">
      <c r="A219" s="31"/>
      <c r="B219" s="31"/>
      <c r="C219" s="31"/>
      <c r="D219" s="31"/>
      <c r="E219" s="31"/>
      <c r="F219" s="144"/>
      <c r="G219" s="31"/>
      <c r="H219" s="31"/>
      <c r="I219" s="31"/>
      <c r="J219" s="31"/>
      <c r="K219" s="31"/>
      <c r="L219" s="145"/>
      <c r="M219" s="146"/>
      <c r="N219" s="147"/>
      <c r="O219" s="147"/>
      <c r="P219" s="147"/>
      <c r="Q219" s="147"/>
    </row>
    <row r="220" ht="15.75" customHeight="1">
      <c r="A220" s="31"/>
      <c r="B220" s="31"/>
      <c r="C220" s="31"/>
      <c r="D220" s="31"/>
      <c r="E220" s="31"/>
      <c r="F220" s="144"/>
      <c r="G220" s="31"/>
      <c r="H220" s="31"/>
      <c r="I220" s="31"/>
      <c r="J220" s="31"/>
      <c r="K220" s="31"/>
      <c r="L220" s="145"/>
      <c r="M220" s="146"/>
      <c r="N220" s="147"/>
      <c r="O220" s="147"/>
      <c r="P220" s="147"/>
      <c r="Q220" s="147"/>
    </row>
    <row r="221" ht="15.75" customHeight="1">
      <c r="A221" s="31"/>
      <c r="B221" s="31"/>
      <c r="C221" s="31"/>
      <c r="D221" s="31"/>
      <c r="E221" s="31"/>
      <c r="F221" s="144"/>
      <c r="G221" s="31"/>
      <c r="H221" s="31"/>
      <c r="I221" s="31"/>
      <c r="J221" s="31"/>
      <c r="K221" s="31"/>
      <c r="L221" s="145"/>
      <c r="M221" s="146"/>
      <c r="N221" s="147"/>
      <c r="O221" s="147"/>
      <c r="P221" s="147"/>
      <c r="Q221" s="147"/>
    </row>
    <row r="222" ht="15.75" customHeight="1">
      <c r="A222" s="31"/>
      <c r="B222" s="31"/>
      <c r="C222" s="31"/>
      <c r="D222" s="31"/>
      <c r="E222" s="31"/>
      <c r="F222" s="144"/>
      <c r="G222" s="31"/>
      <c r="H222" s="31"/>
      <c r="I222" s="31"/>
      <c r="J222" s="31"/>
      <c r="K222" s="31"/>
      <c r="L222" s="145"/>
      <c r="M222" s="146"/>
      <c r="N222" s="147"/>
      <c r="O222" s="147"/>
      <c r="P222" s="147"/>
      <c r="Q222" s="147"/>
    </row>
    <row r="223" ht="15.75" customHeight="1">
      <c r="A223" s="31"/>
      <c r="B223" s="31"/>
      <c r="C223" s="31"/>
      <c r="D223" s="31"/>
      <c r="E223" s="31"/>
      <c r="F223" s="144"/>
      <c r="G223" s="31"/>
      <c r="H223" s="31"/>
      <c r="I223" s="31"/>
      <c r="J223" s="31"/>
      <c r="K223" s="31"/>
      <c r="L223" s="145"/>
      <c r="M223" s="146"/>
      <c r="N223" s="147"/>
      <c r="O223" s="147"/>
      <c r="P223" s="147"/>
      <c r="Q223" s="147"/>
    </row>
    <row r="224" ht="15.75" customHeight="1">
      <c r="A224" s="31"/>
      <c r="B224" s="31"/>
      <c r="C224" s="31"/>
      <c r="D224" s="31"/>
      <c r="E224" s="31"/>
      <c r="F224" s="144"/>
      <c r="G224" s="31"/>
      <c r="H224" s="31"/>
      <c r="I224" s="31"/>
      <c r="J224" s="31"/>
      <c r="K224" s="31"/>
      <c r="L224" s="145"/>
      <c r="M224" s="146"/>
      <c r="N224" s="147"/>
      <c r="O224" s="147"/>
      <c r="P224" s="147"/>
      <c r="Q224" s="147"/>
    </row>
    <row r="225" ht="15.75" customHeight="1">
      <c r="A225" s="31"/>
      <c r="B225" s="31"/>
      <c r="C225" s="31"/>
      <c r="D225" s="31"/>
      <c r="E225" s="31"/>
      <c r="F225" s="144"/>
      <c r="G225" s="31"/>
      <c r="H225" s="31"/>
      <c r="I225" s="31"/>
      <c r="J225" s="31"/>
      <c r="K225" s="31"/>
      <c r="L225" s="145"/>
      <c r="M225" s="146"/>
      <c r="N225" s="147"/>
      <c r="O225" s="147"/>
      <c r="P225" s="147"/>
      <c r="Q225" s="147"/>
    </row>
    <row r="226" ht="15.75" customHeight="1">
      <c r="A226" s="31"/>
      <c r="B226" s="31"/>
      <c r="C226" s="31"/>
      <c r="D226" s="31"/>
      <c r="E226" s="31"/>
      <c r="F226" s="144"/>
      <c r="G226" s="31"/>
      <c r="H226" s="31"/>
      <c r="I226" s="31"/>
      <c r="J226" s="31"/>
      <c r="K226" s="31"/>
      <c r="L226" s="145"/>
      <c r="M226" s="146"/>
      <c r="N226" s="147"/>
      <c r="O226" s="147"/>
      <c r="P226" s="147"/>
      <c r="Q226" s="147"/>
    </row>
    <row r="227" ht="15.75" customHeight="1">
      <c r="A227" s="31"/>
      <c r="B227" s="31"/>
      <c r="C227" s="31"/>
      <c r="D227" s="31"/>
      <c r="E227" s="31"/>
      <c r="F227" s="144"/>
      <c r="G227" s="31"/>
      <c r="H227" s="31"/>
      <c r="I227" s="31"/>
      <c r="J227" s="31"/>
      <c r="K227" s="31"/>
      <c r="L227" s="145"/>
      <c r="M227" s="146"/>
      <c r="N227" s="147"/>
      <c r="O227" s="147"/>
      <c r="P227" s="147"/>
      <c r="Q227" s="147"/>
    </row>
    <row r="228" ht="15.75" customHeight="1">
      <c r="A228" s="31"/>
      <c r="B228" s="31"/>
      <c r="C228" s="31"/>
      <c r="D228" s="31"/>
      <c r="E228" s="31"/>
      <c r="F228" s="144"/>
      <c r="G228" s="31"/>
      <c r="H228" s="31"/>
      <c r="I228" s="31"/>
      <c r="J228" s="31"/>
      <c r="K228" s="31"/>
      <c r="L228" s="145"/>
      <c r="M228" s="146"/>
      <c r="N228" s="147"/>
      <c r="O228" s="147"/>
      <c r="P228" s="147"/>
      <c r="Q228" s="147"/>
    </row>
    <row r="229" ht="15.75" customHeight="1">
      <c r="A229" s="31"/>
      <c r="B229" s="31"/>
      <c r="C229" s="31"/>
      <c r="D229" s="31"/>
      <c r="E229" s="31"/>
      <c r="F229" s="144"/>
      <c r="G229" s="31"/>
      <c r="H229" s="31"/>
      <c r="I229" s="31"/>
      <c r="J229" s="31"/>
      <c r="K229" s="31"/>
      <c r="L229" s="145"/>
      <c r="M229" s="146"/>
      <c r="N229" s="147"/>
      <c r="O229" s="147"/>
      <c r="P229" s="147"/>
      <c r="Q229" s="147"/>
    </row>
    <row r="230" ht="15.75" customHeight="1">
      <c r="A230" s="31"/>
      <c r="B230" s="31"/>
      <c r="C230" s="31"/>
      <c r="D230" s="31"/>
      <c r="E230" s="31"/>
      <c r="F230" s="144"/>
      <c r="G230" s="31"/>
      <c r="H230" s="31"/>
      <c r="I230" s="31"/>
      <c r="J230" s="31"/>
      <c r="K230" s="31"/>
      <c r="L230" s="145"/>
      <c r="M230" s="146"/>
      <c r="N230" s="147"/>
      <c r="O230" s="147"/>
      <c r="P230" s="147"/>
      <c r="Q230" s="147"/>
    </row>
    <row r="231" ht="15.75" customHeight="1">
      <c r="A231" s="31"/>
      <c r="B231" s="31"/>
      <c r="C231" s="31"/>
      <c r="D231" s="31"/>
      <c r="E231" s="31"/>
      <c r="F231" s="144"/>
      <c r="G231" s="31"/>
      <c r="H231" s="31"/>
      <c r="I231" s="31"/>
      <c r="J231" s="31"/>
      <c r="K231" s="31"/>
      <c r="L231" s="145"/>
      <c r="M231" s="146"/>
      <c r="N231" s="147"/>
      <c r="O231" s="147"/>
      <c r="P231" s="147"/>
      <c r="Q231" s="147"/>
    </row>
    <row r="232" ht="15.75" customHeight="1">
      <c r="A232" s="31"/>
      <c r="B232" s="31"/>
      <c r="C232" s="31"/>
      <c r="D232" s="31"/>
      <c r="E232" s="31"/>
      <c r="F232" s="144"/>
      <c r="G232" s="31"/>
      <c r="H232" s="31"/>
      <c r="I232" s="31"/>
      <c r="J232" s="31"/>
      <c r="K232" s="31"/>
      <c r="L232" s="145"/>
      <c r="M232" s="146"/>
      <c r="N232" s="147"/>
      <c r="O232" s="147"/>
      <c r="P232" s="147"/>
      <c r="Q232" s="147"/>
    </row>
    <row r="233" ht="15.75" customHeight="1">
      <c r="A233" s="31"/>
      <c r="B233" s="31"/>
      <c r="C233" s="31"/>
      <c r="D233" s="31"/>
      <c r="E233" s="31"/>
      <c r="F233" s="144"/>
      <c r="G233" s="31"/>
      <c r="H233" s="31"/>
      <c r="I233" s="31"/>
      <c r="J233" s="31"/>
      <c r="K233" s="31"/>
      <c r="L233" s="145"/>
      <c r="M233" s="146"/>
      <c r="N233" s="147"/>
      <c r="O233" s="147"/>
      <c r="P233" s="147"/>
      <c r="Q233" s="147"/>
    </row>
    <row r="234" ht="15.75" customHeight="1">
      <c r="A234" s="31"/>
      <c r="B234" s="31"/>
      <c r="C234" s="31"/>
      <c r="D234" s="31"/>
      <c r="E234" s="31"/>
      <c r="F234" s="144"/>
      <c r="G234" s="31"/>
      <c r="H234" s="31"/>
      <c r="I234" s="31"/>
      <c r="J234" s="31"/>
      <c r="K234" s="31"/>
      <c r="L234" s="145"/>
      <c r="M234" s="146"/>
      <c r="N234" s="147"/>
      <c r="O234" s="147"/>
      <c r="P234" s="147"/>
      <c r="Q234" s="147"/>
    </row>
    <row r="235" ht="15.75" customHeight="1">
      <c r="A235" s="31"/>
      <c r="B235" s="31"/>
      <c r="C235" s="31"/>
      <c r="D235" s="31"/>
      <c r="E235" s="31"/>
      <c r="F235" s="144"/>
      <c r="G235" s="31"/>
      <c r="H235" s="31"/>
      <c r="I235" s="31"/>
      <c r="J235" s="31"/>
      <c r="K235" s="31"/>
      <c r="L235" s="145"/>
      <c r="M235" s="146"/>
      <c r="N235" s="147"/>
      <c r="O235" s="147"/>
      <c r="P235" s="147"/>
      <c r="Q235" s="147"/>
    </row>
    <row r="236" ht="15.75" customHeight="1">
      <c r="A236" s="31"/>
      <c r="B236" s="31"/>
      <c r="C236" s="31"/>
      <c r="D236" s="31"/>
      <c r="E236" s="31"/>
      <c r="F236" s="144"/>
      <c r="G236" s="31"/>
      <c r="H236" s="31"/>
      <c r="I236" s="31"/>
      <c r="J236" s="31"/>
      <c r="K236" s="31"/>
      <c r="L236" s="145"/>
      <c r="M236" s="146"/>
      <c r="N236" s="147"/>
      <c r="O236" s="147"/>
      <c r="P236" s="147"/>
      <c r="Q236" s="147"/>
    </row>
    <row r="237" ht="15.75" customHeight="1">
      <c r="A237" s="31"/>
      <c r="B237" s="31"/>
      <c r="C237" s="31"/>
      <c r="D237" s="31"/>
      <c r="E237" s="31"/>
      <c r="F237" s="144"/>
      <c r="G237" s="31"/>
      <c r="H237" s="31"/>
      <c r="I237" s="31"/>
      <c r="J237" s="31"/>
      <c r="K237" s="31"/>
      <c r="L237" s="145"/>
      <c r="M237" s="146"/>
      <c r="N237" s="147"/>
      <c r="O237" s="147"/>
      <c r="P237" s="147"/>
      <c r="Q237" s="147"/>
    </row>
    <row r="238" ht="15.75" customHeight="1">
      <c r="A238" s="31"/>
      <c r="B238" s="31"/>
      <c r="C238" s="31"/>
      <c r="D238" s="31"/>
      <c r="E238" s="31"/>
      <c r="F238" s="144"/>
      <c r="G238" s="31"/>
      <c r="H238" s="31"/>
      <c r="I238" s="31"/>
      <c r="J238" s="31"/>
      <c r="K238" s="31"/>
      <c r="L238" s="145"/>
      <c r="M238" s="146"/>
      <c r="N238" s="147"/>
      <c r="O238" s="147"/>
      <c r="P238" s="147"/>
      <c r="Q238" s="147"/>
    </row>
    <row r="239" ht="15.75" customHeight="1">
      <c r="A239" s="31"/>
      <c r="B239" s="31"/>
      <c r="C239" s="31"/>
      <c r="D239" s="31"/>
      <c r="E239" s="31"/>
      <c r="F239" s="144"/>
      <c r="G239" s="31"/>
      <c r="H239" s="31"/>
      <c r="I239" s="31"/>
      <c r="J239" s="31"/>
      <c r="K239" s="31"/>
      <c r="L239" s="145"/>
      <c r="M239" s="146"/>
      <c r="N239" s="147"/>
      <c r="O239" s="147"/>
      <c r="P239" s="147"/>
      <c r="Q239" s="147"/>
    </row>
    <row r="240" ht="15.75" customHeight="1">
      <c r="A240" s="31"/>
      <c r="B240" s="31"/>
      <c r="C240" s="31"/>
      <c r="D240" s="31"/>
      <c r="E240" s="31"/>
      <c r="F240" s="144"/>
      <c r="G240" s="31"/>
      <c r="H240" s="31"/>
      <c r="I240" s="31"/>
      <c r="J240" s="31"/>
      <c r="K240" s="31"/>
      <c r="L240" s="145"/>
      <c r="M240" s="146"/>
      <c r="N240" s="147"/>
      <c r="O240" s="147"/>
      <c r="P240" s="147"/>
      <c r="Q240" s="147"/>
    </row>
    <row r="241" ht="15.75" customHeight="1">
      <c r="A241" s="31"/>
      <c r="B241" s="31"/>
      <c r="C241" s="31"/>
      <c r="D241" s="31"/>
      <c r="E241" s="31"/>
      <c r="F241" s="144"/>
      <c r="G241" s="31"/>
      <c r="H241" s="31"/>
      <c r="I241" s="31"/>
      <c r="J241" s="31"/>
      <c r="K241" s="23"/>
      <c r="L241" s="148"/>
      <c r="M241" s="146"/>
      <c r="N241" s="147"/>
      <c r="O241" s="147"/>
      <c r="P241" s="147"/>
      <c r="Q241" s="147"/>
    </row>
    <row r="242" ht="15.75" customHeight="1">
      <c r="A242" s="31"/>
      <c r="B242" s="31"/>
      <c r="C242" s="31"/>
      <c r="D242" s="31"/>
      <c r="E242" s="31"/>
      <c r="F242" s="144"/>
      <c r="G242" s="31"/>
      <c r="H242" s="31"/>
      <c r="I242" s="31"/>
      <c r="J242" s="31"/>
      <c r="K242" s="22"/>
      <c r="L242" s="46"/>
      <c r="M242" s="146"/>
      <c r="N242" s="147"/>
      <c r="O242" s="147"/>
      <c r="P242" s="147"/>
      <c r="Q242" s="147"/>
    </row>
    <row r="243" ht="15.75" customHeight="1">
      <c r="A243" s="31"/>
      <c r="B243" s="31"/>
      <c r="C243" s="31"/>
      <c r="D243" s="31"/>
      <c r="E243" s="31"/>
      <c r="F243" s="144"/>
      <c r="G243" s="31"/>
      <c r="H243" s="31"/>
      <c r="I243" s="31"/>
      <c r="J243" s="31"/>
      <c r="K243" s="22"/>
      <c r="L243" s="46"/>
      <c r="M243" s="146"/>
      <c r="N243" s="147"/>
      <c r="O243" s="147"/>
      <c r="P243" s="147"/>
      <c r="Q243" s="147"/>
    </row>
    <row r="244" ht="15.75" customHeight="1">
      <c r="A244" s="31"/>
      <c r="B244" s="31"/>
      <c r="C244" s="31"/>
      <c r="D244" s="31"/>
      <c r="E244" s="31"/>
      <c r="F244" s="144"/>
      <c r="G244" s="31"/>
      <c r="H244" s="31"/>
      <c r="I244" s="31"/>
      <c r="J244" s="31"/>
      <c r="K244" s="22"/>
      <c r="L244" s="46"/>
      <c r="M244" s="146"/>
      <c r="N244" s="147"/>
      <c r="O244" s="147"/>
      <c r="P244" s="147"/>
      <c r="Q244" s="147"/>
    </row>
    <row r="245" ht="15.75" customHeight="1">
      <c r="A245" s="31"/>
      <c r="B245" s="31"/>
      <c r="C245" s="31"/>
      <c r="D245" s="31"/>
      <c r="E245" s="31"/>
      <c r="F245" s="144"/>
      <c r="G245" s="31"/>
      <c r="H245" s="31"/>
      <c r="I245" s="31"/>
      <c r="J245" s="31"/>
      <c r="K245" s="22"/>
      <c r="L245" s="46"/>
      <c r="M245" s="146"/>
      <c r="N245" s="147"/>
      <c r="O245" s="147"/>
      <c r="P245" s="147"/>
      <c r="Q245" s="147"/>
    </row>
    <row r="246" ht="15.75" customHeight="1">
      <c r="A246" s="31"/>
      <c r="B246" s="31"/>
      <c r="C246" s="31"/>
      <c r="D246" s="31"/>
      <c r="E246" s="31"/>
      <c r="F246" s="144"/>
      <c r="G246" s="31"/>
      <c r="H246" s="31"/>
      <c r="I246" s="31"/>
      <c r="J246" s="31"/>
      <c r="K246" s="22"/>
      <c r="L246" s="46"/>
      <c r="M246" s="146"/>
      <c r="N246" s="147"/>
      <c r="O246" s="147"/>
      <c r="P246" s="147"/>
      <c r="Q246" s="147"/>
    </row>
    <row r="247" ht="15.75" customHeight="1">
      <c r="A247" s="31"/>
      <c r="B247" s="31"/>
      <c r="C247" s="31"/>
      <c r="D247" s="31"/>
      <c r="E247" s="31"/>
      <c r="F247" s="144"/>
      <c r="G247" s="31"/>
      <c r="H247" s="31"/>
      <c r="I247" s="31"/>
      <c r="J247" s="31"/>
      <c r="K247" s="22"/>
      <c r="L247" s="46"/>
      <c r="M247" s="146"/>
      <c r="N247" s="147"/>
      <c r="O247" s="147"/>
      <c r="P247" s="147"/>
      <c r="Q247" s="147"/>
    </row>
    <row r="248" ht="15.75" customHeight="1">
      <c r="A248" s="31"/>
      <c r="B248" s="31"/>
      <c r="C248" s="31"/>
      <c r="D248" s="31"/>
      <c r="E248" s="31"/>
      <c r="F248" s="144"/>
      <c r="G248" s="31"/>
      <c r="H248" s="31"/>
      <c r="I248" s="31"/>
      <c r="J248" s="31"/>
      <c r="K248" s="22"/>
      <c r="L248" s="46"/>
      <c r="M248" s="146"/>
      <c r="N248" s="147"/>
      <c r="O248" s="147"/>
      <c r="P248" s="147"/>
      <c r="Q248" s="147"/>
    </row>
    <row r="249" ht="15.75" customHeight="1">
      <c r="A249" s="31"/>
      <c r="B249" s="31"/>
      <c r="C249" s="31"/>
      <c r="D249" s="31"/>
      <c r="E249" s="31"/>
      <c r="F249" s="144"/>
      <c r="G249" s="31"/>
      <c r="H249" s="31"/>
      <c r="I249" s="31"/>
      <c r="J249" s="31"/>
      <c r="K249" s="22"/>
      <c r="L249" s="46"/>
      <c r="M249" s="146"/>
      <c r="N249" s="147"/>
      <c r="O249" s="147"/>
      <c r="P249" s="147"/>
      <c r="Q249" s="147"/>
    </row>
    <row r="250" ht="15.75" customHeight="1">
      <c r="A250" s="31"/>
      <c r="B250" s="31"/>
      <c r="C250" s="31"/>
      <c r="D250" s="31"/>
      <c r="E250" s="31"/>
      <c r="F250" s="144"/>
      <c r="G250" s="31"/>
      <c r="H250" s="31"/>
      <c r="I250" s="31"/>
      <c r="J250" s="31"/>
      <c r="K250" s="22"/>
      <c r="L250" s="46"/>
      <c r="M250" s="146"/>
      <c r="N250" s="147"/>
      <c r="O250" s="147"/>
      <c r="P250" s="147"/>
      <c r="Q250" s="147"/>
    </row>
    <row r="251" ht="15.75" customHeight="1">
      <c r="A251" s="31"/>
      <c r="B251" s="31"/>
      <c r="C251" s="31"/>
      <c r="D251" s="31"/>
      <c r="E251" s="31"/>
      <c r="F251" s="144"/>
      <c r="G251" s="31"/>
      <c r="H251" s="31"/>
      <c r="I251" s="31"/>
      <c r="J251" s="31"/>
      <c r="K251" s="22"/>
      <c r="L251" s="46"/>
      <c r="M251" s="146"/>
      <c r="N251" s="147"/>
      <c r="O251" s="147"/>
      <c r="P251" s="147"/>
      <c r="Q251" s="147"/>
    </row>
    <row r="252" ht="15.75" customHeight="1">
      <c r="A252" s="31"/>
      <c r="B252" s="31"/>
      <c r="C252" s="31"/>
      <c r="D252" s="31"/>
      <c r="E252" s="31"/>
      <c r="F252" s="144"/>
      <c r="G252" s="31"/>
      <c r="H252" s="31"/>
      <c r="I252" s="31"/>
      <c r="J252" s="31"/>
      <c r="K252" s="22"/>
      <c r="L252" s="46"/>
      <c r="M252" s="146"/>
      <c r="N252" s="147"/>
      <c r="O252" s="147"/>
      <c r="P252" s="147"/>
      <c r="Q252" s="147"/>
    </row>
    <row r="253" ht="15.75" customHeight="1">
      <c r="A253" s="31"/>
      <c r="B253" s="31"/>
      <c r="C253" s="31"/>
      <c r="D253" s="31"/>
      <c r="E253" s="31"/>
      <c r="F253" s="144"/>
      <c r="G253" s="31"/>
      <c r="H253" s="31"/>
      <c r="I253" s="31"/>
      <c r="J253" s="31"/>
      <c r="K253" s="22"/>
      <c r="L253" s="46"/>
      <c r="M253" s="146"/>
      <c r="N253" s="147"/>
      <c r="O253" s="147"/>
      <c r="P253" s="147"/>
      <c r="Q253" s="147"/>
    </row>
    <row r="254" ht="15.75" customHeight="1">
      <c r="A254" s="31"/>
      <c r="B254" s="31"/>
      <c r="C254" s="31"/>
      <c r="D254" s="31"/>
      <c r="E254" s="31"/>
      <c r="F254" s="144"/>
      <c r="G254" s="31"/>
      <c r="H254" s="31"/>
      <c r="I254" s="31"/>
      <c r="J254" s="31"/>
      <c r="K254" s="22"/>
      <c r="L254" s="46"/>
      <c r="M254" s="146"/>
      <c r="N254" s="147"/>
      <c r="O254" s="147"/>
      <c r="P254" s="147"/>
      <c r="Q254" s="147"/>
    </row>
    <row r="255" ht="15.75" customHeight="1">
      <c r="A255" s="31"/>
      <c r="B255" s="31"/>
      <c r="C255" s="31"/>
      <c r="D255" s="31"/>
      <c r="E255" s="31"/>
      <c r="F255" s="144"/>
      <c r="G255" s="31"/>
      <c r="H255" s="31"/>
      <c r="I255" s="31"/>
      <c r="J255" s="31"/>
      <c r="K255" s="22"/>
      <c r="L255" s="46"/>
      <c r="M255" s="146"/>
      <c r="N255" s="147"/>
      <c r="O255" s="147"/>
      <c r="P255" s="147"/>
      <c r="Q255" s="147"/>
    </row>
    <row r="256" ht="15.75" customHeight="1">
      <c r="A256" s="31"/>
      <c r="B256" s="31"/>
      <c r="C256" s="31"/>
      <c r="D256" s="31"/>
      <c r="E256" s="31"/>
      <c r="F256" s="144"/>
      <c r="G256" s="31"/>
      <c r="H256" s="31"/>
      <c r="I256" s="31"/>
      <c r="J256" s="31"/>
      <c r="K256" s="22"/>
      <c r="L256" s="46"/>
      <c r="M256" s="146"/>
      <c r="N256" s="147"/>
      <c r="O256" s="147"/>
      <c r="P256" s="147"/>
      <c r="Q256" s="147"/>
    </row>
    <row r="257" ht="15.75" customHeight="1">
      <c r="A257" s="31"/>
      <c r="B257" s="31"/>
      <c r="C257" s="31"/>
      <c r="D257" s="31"/>
      <c r="E257" s="31"/>
      <c r="F257" s="144"/>
      <c r="G257" s="31"/>
      <c r="H257" s="31"/>
      <c r="I257" s="31"/>
      <c r="J257" s="31"/>
      <c r="K257" s="22"/>
      <c r="L257" s="46"/>
      <c r="M257" s="146"/>
      <c r="N257" s="147"/>
      <c r="O257" s="147"/>
      <c r="P257" s="147"/>
      <c r="Q257" s="147"/>
    </row>
    <row r="258" ht="15.75" customHeight="1">
      <c r="A258" s="31"/>
      <c r="B258" s="31"/>
      <c r="C258" s="31"/>
      <c r="D258" s="31"/>
      <c r="E258" s="31"/>
      <c r="F258" s="144"/>
      <c r="G258" s="31"/>
      <c r="H258" s="31"/>
      <c r="I258" s="31"/>
      <c r="J258" s="31"/>
      <c r="K258" s="22"/>
      <c r="L258" s="46"/>
      <c r="M258" s="146"/>
      <c r="N258" s="147"/>
      <c r="O258" s="147"/>
      <c r="P258" s="147"/>
      <c r="Q258" s="147"/>
    </row>
    <row r="259" ht="15.75" customHeight="1">
      <c r="A259" s="31"/>
      <c r="B259" s="31"/>
      <c r="C259" s="31"/>
      <c r="D259" s="31"/>
      <c r="E259" s="31"/>
      <c r="F259" s="144"/>
      <c r="G259" s="31"/>
      <c r="H259" s="31"/>
      <c r="I259" s="31"/>
      <c r="J259" s="31"/>
      <c r="K259" s="22"/>
      <c r="L259" s="46"/>
      <c r="M259" s="146"/>
      <c r="N259" s="147"/>
      <c r="O259" s="147"/>
      <c r="P259" s="147"/>
      <c r="Q259" s="147"/>
    </row>
    <row r="260" ht="15.75" customHeight="1">
      <c r="A260" s="31"/>
      <c r="B260" s="31"/>
      <c r="C260" s="31"/>
      <c r="D260" s="31"/>
      <c r="E260" s="31"/>
      <c r="F260" s="144"/>
      <c r="G260" s="31"/>
      <c r="H260" s="31"/>
      <c r="I260" s="31"/>
      <c r="J260" s="31"/>
      <c r="K260" s="22"/>
      <c r="L260" s="46"/>
      <c r="M260" s="146"/>
      <c r="N260" s="147"/>
      <c r="O260" s="147"/>
      <c r="P260" s="147"/>
      <c r="Q260" s="147"/>
    </row>
    <row r="261" ht="15.75" customHeight="1">
      <c r="A261" s="31"/>
      <c r="B261" s="31"/>
      <c r="C261" s="31"/>
      <c r="D261" s="31"/>
      <c r="E261" s="31"/>
      <c r="F261" s="144"/>
      <c r="G261" s="31"/>
      <c r="H261" s="31"/>
      <c r="I261" s="31"/>
      <c r="J261" s="31"/>
      <c r="K261" s="22"/>
      <c r="L261" s="46"/>
      <c r="M261" s="146"/>
      <c r="N261" s="147"/>
      <c r="O261" s="147"/>
      <c r="P261" s="147"/>
      <c r="Q261" s="147"/>
    </row>
    <row r="262" ht="15.75" customHeight="1">
      <c r="A262" s="31"/>
      <c r="B262" s="31"/>
      <c r="C262" s="31"/>
      <c r="D262" s="31"/>
      <c r="E262" s="31"/>
      <c r="F262" s="144"/>
      <c r="G262" s="31"/>
      <c r="H262" s="31"/>
      <c r="I262" s="31"/>
      <c r="J262" s="31"/>
      <c r="K262" s="22"/>
      <c r="L262" s="46"/>
      <c r="M262" s="146"/>
      <c r="N262" s="147"/>
      <c r="O262" s="147"/>
      <c r="P262" s="147"/>
      <c r="Q262" s="147"/>
    </row>
    <row r="263" ht="15.75" customHeight="1">
      <c r="A263" s="31"/>
      <c r="B263" s="31"/>
      <c r="C263" s="31"/>
      <c r="D263" s="31"/>
      <c r="E263" s="31"/>
      <c r="F263" s="144"/>
      <c r="G263" s="31"/>
      <c r="H263" s="31"/>
      <c r="I263" s="31"/>
      <c r="J263" s="31"/>
      <c r="K263" s="22"/>
      <c r="L263" s="46"/>
      <c r="M263" s="146"/>
      <c r="N263" s="147"/>
      <c r="O263" s="147"/>
      <c r="P263" s="147"/>
      <c r="Q263" s="147"/>
    </row>
    <row r="264" ht="15.75" customHeight="1">
      <c r="A264" s="31"/>
      <c r="B264" s="31"/>
      <c r="C264" s="31"/>
      <c r="D264" s="31"/>
      <c r="E264" s="31"/>
      <c r="F264" s="144"/>
      <c r="G264" s="31"/>
      <c r="H264" s="31"/>
      <c r="I264" s="31"/>
      <c r="J264" s="31"/>
      <c r="K264" s="22"/>
      <c r="L264" s="46"/>
      <c r="M264" s="146"/>
      <c r="N264" s="147"/>
      <c r="O264" s="147"/>
      <c r="P264" s="147"/>
      <c r="Q264" s="147"/>
    </row>
    <row r="265" ht="15.75" customHeight="1">
      <c r="A265" s="31"/>
      <c r="B265" s="31"/>
      <c r="C265" s="31"/>
      <c r="D265" s="31"/>
      <c r="E265" s="31"/>
      <c r="F265" s="144"/>
      <c r="G265" s="31"/>
      <c r="H265" s="31"/>
      <c r="I265" s="31"/>
      <c r="J265" s="31"/>
      <c r="K265" s="22"/>
      <c r="L265" s="46"/>
      <c r="M265" s="146"/>
      <c r="N265" s="147"/>
      <c r="O265" s="147"/>
      <c r="P265" s="147"/>
      <c r="Q265" s="147"/>
    </row>
    <row r="266" ht="15.75" customHeight="1">
      <c r="A266" s="31"/>
      <c r="B266" s="31"/>
      <c r="C266" s="31"/>
      <c r="D266" s="31"/>
      <c r="E266" s="31"/>
      <c r="F266" s="144"/>
      <c r="G266" s="31"/>
      <c r="H266" s="31"/>
      <c r="I266" s="31"/>
      <c r="J266" s="31"/>
      <c r="K266" s="22"/>
      <c r="L266" s="46"/>
      <c r="M266" s="146"/>
      <c r="N266" s="147"/>
      <c r="O266" s="147"/>
      <c r="P266" s="147"/>
      <c r="Q266" s="147"/>
    </row>
    <row r="267" ht="15.75" customHeight="1">
      <c r="A267" s="31"/>
      <c r="B267" s="31"/>
      <c r="C267" s="31"/>
      <c r="D267" s="31"/>
      <c r="E267" s="31"/>
      <c r="F267" s="144"/>
      <c r="G267" s="31"/>
      <c r="H267" s="31"/>
      <c r="I267" s="31"/>
      <c r="J267" s="31"/>
      <c r="K267" s="22"/>
      <c r="L267" s="46"/>
      <c r="M267" s="146"/>
      <c r="N267" s="147"/>
      <c r="O267" s="147"/>
      <c r="P267" s="147"/>
      <c r="Q267" s="147"/>
    </row>
    <row r="268" ht="15.75" customHeight="1">
      <c r="A268" s="31"/>
      <c r="B268" s="31"/>
      <c r="C268" s="31"/>
      <c r="D268" s="31"/>
      <c r="E268" s="31"/>
      <c r="F268" s="144"/>
      <c r="G268" s="31"/>
      <c r="H268" s="31"/>
      <c r="I268" s="31"/>
      <c r="J268" s="31"/>
      <c r="K268" s="22"/>
      <c r="L268" s="46"/>
      <c r="M268" s="146"/>
      <c r="N268" s="147"/>
      <c r="O268" s="147"/>
      <c r="P268" s="147"/>
      <c r="Q268" s="147"/>
    </row>
    <row r="269" ht="15.75" customHeight="1">
      <c r="A269" s="31"/>
      <c r="B269" s="31"/>
      <c r="C269" s="31"/>
      <c r="D269" s="31"/>
      <c r="E269" s="31"/>
      <c r="F269" s="144"/>
      <c r="G269" s="31"/>
      <c r="H269" s="31"/>
      <c r="I269" s="31"/>
      <c r="J269" s="31"/>
      <c r="K269" s="22"/>
      <c r="L269" s="46"/>
      <c r="M269" s="146"/>
      <c r="N269" s="147"/>
      <c r="O269" s="147"/>
      <c r="P269" s="147"/>
      <c r="Q269" s="147"/>
    </row>
    <row r="270" ht="15.75" customHeight="1">
      <c r="A270" s="31"/>
      <c r="B270" s="31"/>
      <c r="C270" s="31"/>
      <c r="D270" s="31"/>
      <c r="E270" s="31"/>
      <c r="F270" s="144"/>
      <c r="G270" s="31"/>
      <c r="H270" s="31"/>
      <c r="I270" s="31"/>
      <c r="J270" s="31"/>
      <c r="K270" s="22"/>
      <c r="L270" s="46"/>
      <c r="M270" s="146"/>
      <c r="N270" s="147"/>
      <c r="O270" s="147"/>
      <c r="P270" s="147"/>
      <c r="Q270" s="147"/>
    </row>
    <row r="271" ht="15.75" customHeight="1">
      <c r="A271" s="31"/>
      <c r="B271" s="31"/>
      <c r="C271" s="31"/>
      <c r="D271" s="31"/>
      <c r="E271" s="31"/>
      <c r="F271" s="144"/>
      <c r="G271" s="31"/>
      <c r="H271" s="31"/>
      <c r="I271" s="31"/>
      <c r="J271" s="31"/>
      <c r="K271" s="22"/>
      <c r="L271" s="46"/>
      <c r="M271" s="146"/>
      <c r="N271" s="147"/>
      <c r="O271" s="147"/>
      <c r="P271" s="147"/>
      <c r="Q271" s="147"/>
    </row>
    <row r="272" ht="15.75" customHeight="1">
      <c r="A272" s="31"/>
      <c r="B272" s="31"/>
      <c r="C272" s="31"/>
      <c r="D272" s="31"/>
      <c r="E272" s="31"/>
      <c r="F272" s="144"/>
      <c r="G272" s="31"/>
      <c r="H272" s="31"/>
      <c r="I272" s="31"/>
      <c r="J272" s="31"/>
      <c r="K272" s="22"/>
      <c r="L272" s="46"/>
      <c r="M272" s="146"/>
      <c r="N272" s="147"/>
      <c r="O272" s="147"/>
      <c r="P272" s="147"/>
      <c r="Q272" s="147"/>
    </row>
    <row r="273" ht="15.75" customHeight="1">
      <c r="A273" s="31"/>
      <c r="B273" s="31"/>
      <c r="C273" s="31"/>
      <c r="D273" s="31"/>
      <c r="E273" s="31"/>
      <c r="F273" s="144"/>
      <c r="G273" s="31"/>
      <c r="H273" s="31"/>
      <c r="I273" s="31"/>
      <c r="J273" s="31"/>
      <c r="K273" s="22"/>
      <c r="L273" s="46"/>
      <c r="M273" s="146"/>
      <c r="N273" s="147"/>
      <c r="O273" s="147"/>
      <c r="P273" s="147"/>
      <c r="Q273" s="147"/>
    </row>
    <row r="274" ht="15.75" customHeight="1">
      <c r="A274" s="31"/>
      <c r="B274" s="31"/>
      <c r="C274" s="31"/>
      <c r="D274" s="31"/>
      <c r="E274" s="31"/>
      <c r="F274" s="144"/>
      <c r="G274" s="31"/>
      <c r="H274" s="31"/>
      <c r="I274" s="31"/>
      <c r="J274" s="31"/>
      <c r="K274" s="22"/>
      <c r="L274" s="46"/>
      <c r="M274" s="146"/>
      <c r="N274" s="147"/>
      <c r="O274" s="147"/>
      <c r="P274" s="147"/>
      <c r="Q274" s="147"/>
    </row>
    <row r="275" ht="15.75" customHeight="1">
      <c r="A275" s="31"/>
      <c r="B275" s="31"/>
      <c r="C275" s="31"/>
      <c r="D275" s="31"/>
      <c r="E275" s="31"/>
      <c r="F275" s="144"/>
      <c r="G275" s="31"/>
      <c r="H275" s="31"/>
      <c r="I275" s="31"/>
      <c r="J275" s="31"/>
      <c r="K275" s="22"/>
      <c r="L275" s="46"/>
      <c r="M275" s="146"/>
      <c r="N275" s="147"/>
      <c r="O275" s="147"/>
      <c r="P275" s="147"/>
      <c r="Q275" s="147"/>
    </row>
    <row r="276" ht="15.75" customHeight="1">
      <c r="A276" s="31"/>
      <c r="B276" s="31"/>
      <c r="C276" s="31"/>
      <c r="D276" s="31"/>
      <c r="E276" s="31"/>
      <c r="F276" s="144"/>
      <c r="G276" s="31"/>
      <c r="H276" s="31"/>
      <c r="I276" s="31"/>
      <c r="J276" s="31"/>
      <c r="K276" s="22"/>
      <c r="L276" s="46"/>
      <c r="M276" s="146"/>
      <c r="N276" s="147"/>
      <c r="O276" s="147"/>
      <c r="P276" s="147"/>
      <c r="Q276" s="147"/>
    </row>
    <row r="277" ht="15.75" customHeight="1">
      <c r="A277" s="31"/>
      <c r="B277" s="31"/>
      <c r="C277" s="31"/>
      <c r="D277" s="31"/>
      <c r="E277" s="31"/>
      <c r="F277" s="144"/>
      <c r="G277" s="31"/>
      <c r="H277" s="31"/>
      <c r="I277" s="31"/>
      <c r="J277" s="31"/>
      <c r="K277" s="22"/>
      <c r="L277" s="46"/>
      <c r="M277" s="146"/>
      <c r="N277" s="147"/>
      <c r="O277" s="147"/>
      <c r="P277" s="147"/>
      <c r="Q277" s="147"/>
    </row>
    <row r="278" ht="15.75" customHeight="1">
      <c r="A278" s="31"/>
      <c r="B278" s="31"/>
      <c r="C278" s="31"/>
      <c r="D278" s="31"/>
      <c r="E278" s="31"/>
      <c r="F278" s="144"/>
      <c r="G278" s="31"/>
      <c r="H278" s="31"/>
      <c r="I278" s="31"/>
      <c r="J278" s="31"/>
      <c r="K278" s="22"/>
      <c r="L278" s="46"/>
      <c r="M278" s="146"/>
      <c r="N278" s="147"/>
      <c r="O278" s="147"/>
      <c r="P278" s="147"/>
      <c r="Q278" s="147"/>
    </row>
    <row r="279" ht="15.75" customHeight="1">
      <c r="A279" s="31"/>
      <c r="B279" s="31"/>
      <c r="C279" s="31"/>
      <c r="D279" s="31"/>
      <c r="E279" s="31"/>
      <c r="F279" s="144"/>
      <c r="G279" s="31"/>
      <c r="H279" s="31"/>
      <c r="I279" s="31"/>
      <c r="J279" s="31"/>
      <c r="K279" s="22"/>
      <c r="L279" s="46"/>
      <c r="M279" s="146"/>
      <c r="N279" s="147"/>
      <c r="O279" s="147"/>
      <c r="P279" s="147"/>
      <c r="Q279" s="147"/>
    </row>
    <row r="280" ht="15.75" customHeight="1">
      <c r="A280" s="31"/>
      <c r="B280" s="31"/>
      <c r="C280" s="31"/>
      <c r="D280" s="31"/>
      <c r="E280" s="31"/>
      <c r="F280" s="144"/>
      <c r="G280" s="31"/>
      <c r="H280" s="31"/>
      <c r="I280" s="31"/>
      <c r="J280" s="31"/>
      <c r="K280" s="22"/>
      <c r="L280" s="46"/>
      <c r="M280" s="146"/>
      <c r="N280" s="147"/>
      <c r="O280" s="147"/>
      <c r="P280" s="147"/>
      <c r="Q280" s="147"/>
    </row>
    <row r="281" ht="15.75" customHeight="1">
      <c r="A281" s="31"/>
      <c r="B281" s="31"/>
      <c r="C281" s="31"/>
      <c r="D281" s="31"/>
      <c r="E281" s="31"/>
      <c r="F281" s="144"/>
      <c r="G281" s="31"/>
      <c r="H281" s="31"/>
      <c r="I281" s="31"/>
      <c r="J281" s="31"/>
      <c r="K281" s="22"/>
      <c r="L281" s="46"/>
      <c r="M281" s="146"/>
      <c r="N281" s="147"/>
      <c r="O281" s="147"/>
      <c r="P281" s="147"/>
      <c r="Q281" s="147"/>
    </row>
    <row r="282" ht="15.75" customHeight="1">
      <c r="A282" s="31"/>
      <c r="B282" s="31"/>
      <c r="C282" s="31"/>
      <c r="D282" s="31"/>
      <c r="E282" s="31"/>
      <c r="F282" s="144"/>
      <c r="G282" s="31"/>
      <c r="H282" s="31"/>
      <c r="I282" s="31"/>
      <c r="J282" s="31"/>
      <c r="K282" s="22"/>
      <c r="L282" s="46"/>
      <c r="M282" s="146"/>
      <c r="N282" s="147"/>
      <c r="O282" s="147"/>
      <c r="P282" s="147"/>
      <c r="Q282" s="147"/>
    </row>
    <row r="283" ht="15.75" customHeight="1">
      <c r="A283" s="31"/>
      <c r="B283" s="31"/>
      <c r="C283" s="31"/>
      <c r="D283" s="31"/>
      <c r="E283" s="31"/>
      <c r="F283" s="144"/>
      <c r="G283" s="31"/>
      <c r="H283" s="31"/>
      <c r="I283" s="31"/>
      <c r="J283" s="31"/>
      <c r="K283" s="22"/>
      <c r="L283" s="46"/>
      <c r="M283" s="146"/>
      <c r="N283" s="147"/>
      <c r="O283" s="147"/>
      <c r="P283" s="147"/>
      <c r="Q283" s="147"/>
    </row>
    <row r="284" ht="15.75" customHeight="1">
      <c r="A284" s="31"/>
      <c r="B284" s="31"/>
      <c r="C284" s="31"/>
      <c r="D284" s="31"/>
      <c r="E284" s="31"/>
      <c r="F284" s="144"/>
      <c r="G284" s="31"/>
      <c r="H284" s="31"/>
      <c r="I284" s="31"/>
      <c r="J284" s="31"/>
      <c r="K284" s="22"/>
      <c r="L284" s="46"/>
      <c r="M284" s="146"/>
      <c r="N284" s="147"/>
      <c r="O284" s="147"/>
      <c r="P284" s="147"/>
      <c r="Q284" s="147"/>
    </row>
    <row r="285" ht="15.75" customHeight="1">
      <c r="A285" s="31"/>
      <c r="B285" s="31"/>
      <c r="C285" s="31"/>
      <c r="D285" s="31"/>
      <c r="E285" s="31"/>
      <c r="F285" s="144"/>
      <c r="G285" s="31"/>
      <c r="H285" s="31"/>
      <c r="I285" s="31"/>
      <c r="J285" s="31"/>
      <c r="K285" s="22"/>
      <c r="L285" s="46"/>
      <c r="M285" s="146"/>
      <c r="N285" s="147"/>
      <c r="O285" s="147"/>
      <c r="P285" s="147"/>
      <c r="Q285" s="147"/>
    </row>
    <row r="286" ht="15.75" customHeight="1">
      <c r="A286" s="31"/>
      <c r="B286" s="31"/>
      <c r="C286" s="31"/>
      <c r="D286" s="31"/>
      <c r="E286" s="31"/>
      <c r="F286" s="144"/>
      <c r="G286" s="31"/>
      <c r="H286" s="31"/>
      <c r="I286" s="31"/>
      <c r="J286" s="31"/>
      <c r="K286" s="22"/>
      <c r="L286" s="46"/>
      <c r="M286" s="146"/>
      <c r="N286" s="147"/>
      <c r="O286" s="147"/>
      <c r="P286" s="147"/>
      <c r="Q286" s="147"/>
    </row>
    <row r="287" ht="15.75" customHeight="1">
      <c r="A287" s="31"/>
      <c r="B287" s="31"/>
      <c r="C287" s="31"/>
      <c r="D287" s="31"/>
      <c r="E287" s="31"/>
      <c r="F287" s="144"/>
      <c r="G287" s="31"/>
      <c r="H287" s="31"/>
      <c r="I287" s="31"/>
      <c r="J287" s="31"/>
      <c r="K287" s="22"/>
      <c r="L287" s="46"/>
      <c r="M287" s="146"/>
      <c r="N287" s="147"/>
      <c r="O287" s="147"/>
      <c r="P287" s="147"/>
      <c r="Q287" s="147"/>
    </row>
    <row r="288" ht="15.75" customHeight="1">
      <c r="A288" s="31"/>
      <c r="B288" s="31"/>
      <c r="C288" s="31"/>
      <c r="D288" s="31"/>
      <c r="E288" s="31"/>
      <c r="F288" s="144"/>
      <c r="G288" s="31"/>
      <c r="H288" s="31"/>
      <c r="I288" s="31"/>
      <c r="J288" s="31"/>
      <c r="K288" s="22"/>
      <c r="L288" s="46"/>
      <c r="M288" s="146"/>
      <c r="N288" s="147"/>
      <c r="O288" s="147"/>
      <c r="P288" s="147"/>
      <c r="Q288" s="147"/>
    </row>
    <row r="289" ht="15.75" customHeight="1">
      <c r="A289" s="31"/>
      <c r="B289" s="31"/>
      <c r="C289" s="31"/>
      <c r="D289" s="31"/>
      <c r="E289" s="31"/>
      <c r="F289" s="144"/>
      <c r="G289" s="31"/>
      <c r="H289" s="31"/>
      <c r="I289" s="31"/>
      <c r="J289" s="31"/>
      <c r="K289" s="22"/>
      <c r="L289" s="46"/>
      <c r="M289" s="146"/>
      <c r="N289" s="147"/>
      <c r="O289" s="147"/>
      <c r="P289" s="147"/>
      <c r="Q289" s="147"/>
    </row>
    <row r="290" ht="15.75" customHeight="1">
      <c r="A290" s="31"/>
      <c r="B290" s="31"/>
      <c r="C290" s="31"/>
      <c r="D290" s="31"/>
      <c r="E290" s="31"/>
      <c r="F290" s="144"/>
      <c r="G290" s="31"/>
      <c r="H290" s="31"/>
      <c r="I290" s="31"/>
      <c r="J290" s="31"/>
      <c r="K290" s="22"/>
      <c r="L290" s="46"/>
      <c r="M290" s="146"/>
      <c r="N290" s="147"/>
      <c r="O290" s="147"/>
      <c r="P290" s="147"/>
      <c r="Q290" s="147"/>
    </row>
    <row r="291" ht="15.75" customHeight="1">
      <c r="A291" s="31"/>
      <c r="B291" s="31"/>
      <c r="C291" s="31"/>
      <c r="D291" s="31"/>
      <c r="E291" s="31"/>
      <c r="F291" s="144"/>
      <c r="G291" s="31"/>
      <c r="H291" s="31"/>
      <c r="I291" s="31"/>
      <c r="J291" s="31"/>
      <c r="K291" s="22"/>
      <c r="L291" s="46"/>
      <c r="M291" s="146"/>
      <c r="N291" s="147"/>
      <c r="O291" s="147"/>
      <c r="P291" s="147"/>
      <c r="Q291" s="147"/>
    </row>
    <row r="292" ht="15.75" customHeight="1">
      <c r="A292" s="31"/>
      <c r="B292" s="31"/>
      <c r="C292" s="31"/>
      <c r="D292" s="31"/>
      <c r="E292" s="31"/>
      <c r="F292" s="144"/>
      <c r="G292" s="31"/>
      <c r="H292" s="31"/>
      <c r="I292" s="31"/>
      <c r="J292" s="31"/>
      <c r="K292" s="22"/>
      <c r="L292" s="46"/>
      <c r="M292" s="146"/>
      <c r="N292" s="147"/>
      <c r="O292" s="147"/>
      <c r="P292" s="147"/>
      <c r="Q292" s="147"/>
    </row>
    <row r="293" ht="15.75" customHeight="1">
      <c r="A293" s="31"/>
      <c r="B293" s="31"/>
      <c r="C293" s="31"/>
      <c r="D293" s="31"/>
      <c r="E293" s="31"/>
      <c r="F293" s="144"/>
      <c r="G293" s="31"/>
      <c r="H293" s="31"/>
      <c r="I293" s="31"/>
      <c r="J293" s="31"/>
      <c r="K293" s="22"/>
      <c r="L293" s="46"/>
      <c r="M293" s="146"/>
      <c r="N293" s="147"/>
      <c r="O293" s="147"/>
      <c r="P293" s="147"/>
      <c r="Q293" s="147"/>
    </row>
    <row r="294" ht="15.75" customHeight="1">
      <c r="A294" s="31"/>
      <c r="B294" s="31"/>
      <c r="C294" s="31"/>
      <c r="D294" s="31"/>
      <c r="E294" s="31"/>
      <c r="F294" s="144"/>
      <c r="G294" s="31"/>
      <c r="H294" s="31"/>
      <c r="I294" s="31"/>
      <c r="J294" s="31"/>
      <c r="K294" s="22"/>
      <c r="L294" s="46"/>
      <c r="M294" s="146"/>
      <c r="N294" s="147"/>
      <c r="O294" s="147"/>
      <c r="P294" s="147"/>
      <c r="Q294" s="147"/>
    </row>
    <row r="295" ht="15.75" customHeight="1">
      <c r="A295" s="31"/>
      <c r="B295" s="31"/>
      <c r="C295" s="31"/>
      <c r="D295" s="31"/>
      <c r="E295" s="31"/>
      <c r="F295" s="144"/>
      <c r="G295" s="31"/>
      <c r="H295" s="31"/>
      <c r="I295" s="31"/>
      <c r="J295" s="31"/>
      <c r="K295" s="22"/>
      <c r="L295" s="46"/>
      <c r="M295" s="146"/>
      <c r="N295" s="147"/>
      <c r="O295" s="147"/>
      <c r="P295" s="147"/>
      <c r="Q295" s="147"/>
    </row>
    <row r="296" ht="15.75" customHeight="1">
      <c r="A296" s="31"/>
      <c r="B296" s="31"/>
      <c r="C296" s="31"/>
      <c r="D296" s="31"/>
      <c r="E296" s="31"/>
      <c r="F296" s="144"/>
      <c r="G296" s="31"/>
      <c r="H296" s="31"/>
      <c r="I296" s="31"/>
      <c r="J296" s="31"/>
      <c r="K296" s="22"/>
      <c r="L296" s="46"/>
      <c r="M296" s="146"/>
      <c r="N296" s="147"/>
      <c r="O296" s="147"/>
      <c r="P296" s="147"/>
      <c r="Q296" s="147"/>
    </row>
    <row r="297" ht="15.75" customHeight="1">
      <c r="A297" s="31"/>
      <c r="B297" s="31"/>
      <c r="C297" s="31"/>
      <c r="D297" s="31"/>
      <c r="E297" s="31"/>
      <c r="F297" s="144"/>
      <c r="G297" s="31"/>
      <c r="H297" s="31"/>
      <c r="I297" s="31"/>
      <c r="J297" s="31"/>
      <c r="K297" s="22"/>
      <c r="L297" s="46"/>
      <c r="M297" s="146"/>
      <c r="N297" s="147"/>
      <c r="O297" s="147"/>
      <c r="P297" s="147"/>
      <c r="Q297" s="147"/>
    </row>
    <row r="298" ht="15.75" customHeight="1">
      <c r="A298" s="31"/>
      <c r="B298" s="31"/>
      <c r="C298" s="31"/>
      <c r="D298" s="31"/>
      <c r="E298" s="31"/>
      <c r="F298" s="144"/>
      <c r="G298" s="31"/>
      <c r="H298" s="31"/>
      <c r="I298" s="31"/>
      <c r="J298" s="31"/>
      <c r="K298" s="22"/>
      <c r="L298" s="46"/>
      <c r="M298" s="146"/>
      <c r="N298" s="147"/>
      <c r="O298" s="147"/>
      <c r="P298" s="147"/>
      <c r="Q298" s="147"/>
    </row>
    <row r="299" ht="15.75" customHeight="1">
      <c r="A299" s="31"/>
      <c r="B299" s="31"/>
      <c r="C299" s="31"/>
      <c r="D299" s="31"/>
      <c r="E299" s="31"/>
      <c r="F299" s="144"/>
      <c r="G299" s="31"/>
      <c r="H299" s="31"/>
      <c r="I299" s="31"/>
      <c r="J299" s="31"/>
      <c r="K299" s="22"/>
      <c r="L299" s="46"/>
      <c r="M299" s="146"/>
      <c r="N299" s="147"/>
      <c r="O299" s="147"/>
      <c r="P299" s="147"/>
      <c r="Q299" s="147"/>
    </row>
    <row r="300" ht="15.75" customHeight="1">
      <c r="A300" s="31"/>
      <c r="B300" s="31"/>
      <c r="C300" s="31"/>
      <c r="D300" s="31"/>
      <c r="E300" s="31"/>
      <c r="F300" s="144"/>
      <c r="G300" s="31"/>
      <c r="H300" s="31"/>
      <c r="I300" s="31"/>
      <c r="J300" s="31"/>
      <c r="K300" s="22"/>
      <c r="L300" s="46"/>
      <c r="M300" s="146"/>
      <c r="N300" s="147"/>
      <c r="O300" s="147"/>
      <c r="P300" s="147"/>
      <c r="Q300" s="147"/>
    </row>
    <row r="301" ht="15.75" customHeight="1">
      <c r="A301" s="31"/>
      <c r="B301" s="31"/>
      <c r="C301" s="31"/>
      <c r="D301" s="31"/>
      <c r="E301" s="31"/>
      <c r="F301" s="144"/>
      <c r="G301" s="31"/>
      <c r="H301" s="31"/>
      <c r="I301" s="31"/>
      <c r="J301" s="31"/>
      <c r="K301" s="22"/>
      <c r="L301" s="46"/>
      <c r="M301" s="146"/>
      <c r="N301" s="147"/>
      <c r="O301" s="147"/>
      <c r="P301" s="147"/>
      <c r="Q301" s="147"/>
    </row>
    <row r="302" ht="15.75" customHeight="1">
      <c r="A302" s="31"/>
      <c r="B302" s="31"/>
      <c r="C302" s="31"/>
      <c r="D302" s="31"/>
      <c r="E302" s="31"/>
      <c r="F302" s="144"/>
      <c r="G302" s="31"/>
      <c r="H302" s="31"/>
      <c r="I302" s="31"/>
      <c r="J302" s="31"/>
      <c r="K302" s="22"/>
      <c r="L302" s="46"/>
      <c r="M302" s="146"/>
      <c r="N302" s="147"/>
      <c r="O302" s="147"/>
      <c r="P302" s="147"/>
      <c r="Q302" s="147"/>
    </row>
    <row r="303" ht="15.75" customHeight="1">
      <c r="A303" s="31"/>
      <c r="B303" s="31"/>
      <c r="C303" s="31"/>
      <c r="D303" s="31"/>
      <c r="E303" s="31"/>
      <c r="F303" s="144"/>
      <c r="G303" s="31"/>
      <c r="H303" s="31"/>
      <c r="I303" s="31"/>
      <c r="J303" s="31"/>
      <c r="K303" s="22"/>
      <c r="L303" s="46"/>
      <c r="M303" s="146"/>
      <c r="N303" s="147"/>
      <c r="O303" s="147"/>
      <c r="P303" s="147"/>
      <c r="Q303" s="147"/>
    </row>
    <row r="304" ht="15.75" customHeight="1">
      <c r="A304" s="31"/>
      <c r="B304" s="31"/>
      <c r="C304" s="31"/>
      <c r="D304" s="31"/>
      <c r="E304" s="31"/>
      <c r="F304" s="144"/>
      <c r="G304" s="31"/>
      <c r="H304" s="31"/>
      <c r="I304" s="31"/>
      <c r="J304" s="31"/>
      <c r="K304" s="22"/>
      <c r="L304" s="46"/>
      <c r="M304" s="146"/>
      <c r="N304" s="147"/>
      <c r="O304" s="147"/>
      <c r="P304" s="147"/>
      <c r="Q304" s="147"/>
    </row>
    <row r="305" ht="15.75" customHeight="1">
      <c r="A305" s="31"/>
      <c r="B305" s="31"/>
      <c r="C305" s="31"/>
      <c r="D305" s="31"/>
      <c r="E305" s="31"/>
      <c r="F305" s="144"/>
      <c r="G305" s="31"/>
      <c r="H305" s="31"/>
      <c r="I305" s="31"/>
      <c r="J305" s="31"/>
      <c r="K305" s="22"/>
      <c r="L305" s="46"/>
      <c r="M305" s="146"/>
      <c r="N305" s="147"/>
      <c r="O305" s="147"/>
      <c r="P305" s="147"/>
      <c r="Q305" s="147"/>
    </row>
    <row r="306" ht="15.75" customHeight="1">
      <c r="A306" s="31"/>
      <c r="B306" s="31"/>
      <c r="C306" s="31"/>
      <c r="D306" s="31"/>
      <c r="E306" s="31"/>
      <c r="F306" s="144"/>
      <c r="G306" s="31"/>
      <c r="H306" s="31"/>
      <c r="I306" s="31"/>
      <c r="J306" s="31"/>
      <c r="K306" s="22"/>
      <c r="L306" s="46"/>
      <c r="M306" s="146"/>
      <c r="N306" s="147"/>
      <c r="O306" s="147"/>
      <c r="P306" s="147"/>
      <c r="Q306" s="147"/>
    </row>
    <row r="307" ht="15.75" customHeight="1">
      <c r="A307" s="31"/>
      <c r="B307" s="31"/>
      <c r="C307" s="31"/>
      <c r="D307" s="31"/>
      <c r="E307" s="31"/>
      <c r="F307" s="144"/>
      <c r="G307" s="31"/>
      <c r="H307" s="31"/>
      <c r="I307" s="31"/>
      <c r="J307" s="31"/>
      <c r="K307" s="22"/>
      <c r="L307" s="46"/>
      <c r="M307" s="146"/>
      <c r="N307" s="147"/>
      <c r="O307" s="147"/>
      <c r="P307" s="147"/>
      <c r="Q307" s="147"/>
    </row>
    <row r="308" ht="15.75" customHeight="1">
      <c r="A308" s="31"/>
      <c r="B308" s="31"/>
      <c r="C308" s="31"/>
      <c r="D308" s="31"/>
      <c r="E308" s="31"/>
      <c r="F308" s="144"/>
      <c r="G308" s="31"/>
      <c r="H308" s="31"/>
      <c r="I308" s="31"/>
      <c r="J308" s="31"/>
      <c r="K308" s="22"/>
      <c r="L308" s="46"/>
      <c r="M308" s="146"/>
      <c r="N308" s="147"/>
      <c r="O308" s="147"/>
      <c r="P308" s="147"/>
      <c r="Q308" s="147"/>
    </row>
    <row r="309" ht="15.75" customHeight="1">
      <c r="A309" s="31"/>
      <c r="B309" s="31"/>
      <c r="C309" s="31"/>
      <c r="D309" s="31"/>
      <c r="E309" s="31"/>
      <c r="F309" s="144"/>
      <c r="G309" s="31"/>
      <c r="H309" s="31"/>
      <c r="I309" s="31"/>
      <c r="J309" s="31"/>
      <c r="K309" s="22"/>
      <c r="L309" s="46"/>
      <c r="M309" s="146"/>
      <c r="N309" s="147"/>
      <c r="O309" s="147"/>
      <c r="P309" s="147"/>
      <c r="Q309" s="147"/>
    </row>
    <row r="310" ht="15.75" customHeight="1">
      <c r="A310" s="31"/>
      <c r="B310" s="31"/>
      <c r="C310" s="31"/>
      <c r="D310" s="31"/>
      <c r="E310" s="31"/>
      <c r="F310" s="144"/>
      <c r="G310" s="31"/>
      <c r="H310" s="31"/>
      <c r="I310" s="31"/>
      <c r="J310" s="31"/>
      <c r="K310" s="22"/>
      <c r="L310" s="46"/>
      <c r="M310" s="146"/>
      <c r="N310" s="147"/>
      <c r="O310" s="147"/>
      <c r="P310" s="147"/>
      <c r="Q310" s="147"/>
    </row>
    <row r="311" ht="15.75" customHeight="1">
      <c r="A311" s="31"/>
      <c r="B311" s="31"/>
      <c r="C311" s="31"/>
      <c r="D311" s="31"/>
      <c r="E311" s="31"/>
      <c r="F311" s="144"/>
      <c r="G311" s="31"/>
      <c r="H311" s="31"/>
      <c r="I311" s="31"/>
      <c r="J311" s="31"/>
      <c r="K311" s="22"/>
      <c r="L311" s="46"/>
      <c r="M311" s="146"/>
      <c r="N311" s="147"/>
      <c r="O311" s="147"/>
      <c r="P311" s="147"/>
      <c r="Q311" s="147"/>
    </row>
    <row r="312" ht="15.75" customHeight="1">
      <c r="A312" s="31"/>
      <c r="B312" s="31"/>
      <c r="C312" s="31"/>
      <c r="D312" s="31"/>
      <c r="E312" s="31"/>
      <c r="F312" s="144"/>
      <c r="G312" s="31"/>
      <c r="H312" s="31"/>
      <c r="I312" s="31"/>
      <c r="J312" s="31"/>
      <c r="K312" s="22"/>
      <c r="L312" s="46"/>
      <c r="M312" s="146"/>
      <c r="N312" s="147"/>
      <c r="O312" s="147"/>
      <c r="P312" s="147"/>
      <c r="Q312" s="147"/>
    </row>
    <row r="313" ht="15.75" customHeight="1">
      <c r="A313" s="31"/>
      <c r="B313" s="31"/>
      <c r="C313" s="31"/>
      <c r="D313" s="31"/>
      <c r="E313" s="31"/>
      <c r="F313" s="144"/>
      <c r="G313" s="31"/>
      <c r="H313" s="31"/>
      <c r="I313" s="31"/>
      <c r="J313" s="31"/>
      <c r="K313" s="22"/>
      <c r="L313" s="46"/>
      <c r="M313" s="146"/>
      <c r="N313" s="147"/>
      <c r="O313" s="147"/>
      <c r="P313" s="147"/>
      <c r="Q313" s="147"/>
    </row>
    <row r="314" ht="15.75" customHeight="1">
      <c r="A314" s="31"/>
      <c r="B314" s="31"/>
      <c r="C314" s="31"/>
      <c r="D314" s="31"/>
      <c r="E314" s="31"/>
      <c r="F314" s="144"/>
      <c r="G314" s="31"/>
      <c r="H314" s="31"/>
      <c r="I314" s="31"/>
      <c r="J314" s="31"/>
      <c r="K314" s="22"/>
      <c r="L314" s="46"/>
      <c r="M314" s="146"/>
      <c r="N314" s="147"/>
      <c r="O314" s="147"/>
      <c r="P314" s="147"/>
      <c r="Q314" s="147"/>
    </row>
    <row r="315" ht="15.75" customHeight="1">
      <c r="A315" s="31"/>
      <c r="B315" s="31"/>
      <c r="C315" s="31"/>
      <c r="D315" s="31"/>
      <c r="E315" s="31"/>
      <c r="F315" s="144"/>
      <c r="G315" s="31"/>
      <c r="H315" s="31"/>
      <c r="I315" s="31"/>
      <c r="J315" s="31"/>
      <c r="K315" s="22"/>
      <c r="L315" s="46"/>
      <c r="M315" s="146"/>
      <c r="N315" s="147"/>
      <c r="O315" s="147"/>
      <c r="P315" s="147"/>
      <c r="Q315" s="147"/>
    </row>
    <row r="316" ht="15.75" customHeight="1">
      <c r="A316" s="31"/>
      <c r="B316" s="31"/>
      <c r="C316" s="31"/>
      <c r="D316" s="31"/>
      <c r="E316" s="31"/>
      <c r="F316" s="144"/>
      <c r="G316" s="31"/>
      <c r="H316" s="31"/>
      <c r="I316" s="31"/>
      <c r="J316" s="31"/>
      <c r="K316" s="22"/>
      <c r="L316" s="46"/>
      <c r="M316" s="146"/>
      <c r="N316" s="147"/>
      <c r="O316" s="147"/>
      <c r="P316" s="147"/>
      <c r="Q316" s="147"/>
    </row>
    <row r="317" ht="15.75" customHeight="1">
      <c r="A317" s="31"/>
      <c r="B317" s="31"/>
      <c r="C317" s="31"/>
      <c r="D317" s="31"/>
      <c r="E317" s="31"/>
      <c r="F317" s="144"/>
      <c r="G317" s="31"/>
      <c r="H317" s="31"/>
      <c r="I317" s="31"/>
      <c r="J317" s="31"/>
      <c r="K317" s="22"/>
      <c r="L317" s="46"/>
      <c r="M317" s="146"/>
      <c r="N317" s="147"/>
      <c r="O317" s="147"/>
      <c r="P317" s="147"/>
      <c r="Q317" s="147"/>
    </row>
    <row r="318" ht="15.75" customHeight="1">
      <c r="A318" s="31"/>
      <c r="B318" s="31"/>
      <c r="C318" s="31"/>
      <c r="D318" s="31"/>
      <c r="E318" s="31"/>
      <c r="F318" s="144"/>
      <c r="G318" s="31"/>
      <c r="H318" s="31"/>
      <c r="I318" s="31"/>
      <c r="J318" s="31"/>
      <c r="K318" s="22"/>
      <c r="L318" s="46"/>
      <c r="M318" s="146"/>
      <c r="N318" s="147"/>
      <c r="O318" s="147"/>
      <c r="P318" s="147"/>
      <c r="Q318" s="147"/>
    </row>
    <row r="319" ht="15.75" customHeight="1">
      <c r="A319" s="31"/>
      <c r="B319" s="31"/>
      <c r="C319" s="31"/>
      <c r="D319" s="31"/>
      <c r="E319" s="31"/>
      <c r="F319" s="144"/>
      <c r="G319" s="31"/>
      <c r="H319" s="31"/>
      <c r="I319" s="31"/>
      <c r="J319" s="31"/>
      <c r="K319" s="22"/>
      <c r="L319" s="46"/>
      <c r="M319" s="146"/>
      <c r="N319" s="147"/>
      <c r="O319" s="147"/>
      <c r="P319" s="147"/>
      <c r="Q319" s="147"/>
    </row>
    <row r="320" ht="15.75" customHeight="1">
      <c r="A320" s="31"/>
      <c r="B320" s="31"/>
      <c r="C320" s="31"/>
      <c r="D320" s="31"/>
      <c r="E320" s="31"/>
      <c r="F320" s="144"/>
      <c r="G320" s="31"/>
      <c r="H320" s="31"/>
      <c r="I320" s="31"/>
      <c r="J320" s="31"/>
      <c r="K320" s="22"/>
      <c r="L320" s="46"/>
      <c r="M320" s="146"/>
      <c r="N320" s="147"/>
      <c r="O320" s="147"/>
      <c r="P320" s="147"/>
      <c r="Q320" s="147"/>
    </row>
    <row r="321" ht="15.75" customHeight="1">
      <c r="A321" s="31"/>
      <c r="B321" s="31"/>
      <c r="C321" s="31"/>
      <c r="D321" s="31"/>
      <c r="E321" s="31"/>
      <c r="F321" s="144"/>
      <c r="G321" s="31"/>
      <c r="H321" s="31"/>
      <c r="I321" s="31"/>
      <c r="J321" s="31"/>
      <c r="K321" s="22"/>
      <c r="L321" s="46"/>
      <c r="M321" s="146"/>
      <c r="N321" s="147"/>
      <c r="O321" s="147"/>
      <c r="P321" s="147"/>
      <c r="Q321" s="147"/>
    </row>
    <row r="322" ht="15.75" customHeight="1">
      <c r="A322" s="31"/>
      <c r="B322" s="31"/>
      <c r="C322" s="31"/>
      <c r="D322" s="31"/>
      <c r="E322" s="31"/>
      <c r="F322" s="144"/>
      <c r="G322" s="31"/>
      <c r="H322" s="31"/>
      <c r="I322" s="31"/>
      <c r="J322" s="31"/>
      <c r="K322" s="22"/>
      <c r="L322" s="46"/>
      <c r="M322" s="146"/>
      <c r="N322" s="147"/>
      <c r="O322" s="147"/>
      <c r="P322" s="147"/>
      <c r="Q322" s="147"/>
    </row>
    <row r="323" ht="15.75" customHeight="1">
      <c r="A323" s="31"/>
      <c r="B323" s="31"/>
      <c r="C323" s="31"/>
      <c r="D323" s="31"/>
      <c r="E323" s="31"/>
      <c r="F323" s="144"/>
      <c r="G323" s="31"/>
      <c r="H323" s="31"/>
      <c r="I323" s="31"/>
      <c r="J323" s="31"/>
      <c r="K323" s="22"/>
      <c r="L323" s="46"/>
      <c r="M323" s="146"/>
      <c r="N323" s="147"/>
      <c r="O323" s="147"/>
      <c r="P323" s="147"/>
      <c r="Q323" s="147"/>
    </row>
    <row r="324" ht="15.75" customHeight="1">
      <c r="A324" s="31"/>
      <c r="B324" s="31"/>
      <c r="C324" s="31"/>
      <c r="D324" s="31"/>
      <c r="E324" s="31"/>
      <c r="F324" s="144"/>
      <c r="G324" s="31"/>
      <c r="H324" s="31"/>
      <c r="I324" s="31"/>
      <c r="J324" s="31"/>
      <c r="K324" s="22"/>
      <c r="L324" s="46"/>
      <c r="M324" s="146"/>
      <c r="N324" s="147"/>
      <c r="O324" s="147"/>
      <c r="P324" s="147"/>
      <c r="Q324" s="147"/>
    </row>
    <row r="325" ht="15.75" customHeight="1">
      <c r="A325" s="31"/>
      <c r="B325" s="31"/>
      <c r="C325" s="31"/>
      <c r="D325" s="31"/>
      <c r="E325" s="31"/>
      <c r="F325" s="144"/>
      <c r="G325" s="31"/>
      <c r="H325" s="31"/>
      <c r="I325" s="31"/>
      <c r="J325" s="31"/>
      <c r="K325" s="22"/>
      <c r="L325" s="46"/>
      <c r="M325" s="146"/>
      <c r="N325" s="147"/>
      <c r="O325" s="147"/>
      <c r="P325" s="147"/>
      <c r="Q325" s="147"/>
    </row>
    <row r="326" ht="15.75" customHeight="1">
      <c r="A326" s="31"/>
      <c r="B326" s="31"/>
      <c r="C326" s="31"/>
      <c r="D326" s="31"/>
      <c r="E326" s="31"/>
      <c r="F326" s="144"/>
      <c r="G326" s="31"/>
      <c r="H326" s="31"/>
      <c r="I326" s="31"/>
      <c r="J326" s="31"/>
      <c r="K326" s="22"/>
      <c r="L326" s="46"/>
      <c r="M326" s="146"/>
      <c r="N326" s="147"/>
      <c r="O326" s="147"/>
      <c r="P326" s="147"/>
      <c r="Q326" s="147"/>
    </row>
    <row r="327" ht="15.75" customHeight="1">
      <c r="A327" s="31"/>
      <c r="B327" s="31"/>
      <c r="C327" s="31"/>
      <c r="D327" s="31"/>
      <c r="E327" s="31"/>
      <c r="F327" s="144"/>
      <c r="G327" s="31"/>
      <c r="H327" s="31"/>
      <c r="I327" s="31"/>
      <c r="J327" s="31"/>
      <c r="K327" s="22"/>
      <c r="L327" s="46"/>
      <c r="M327" s="146"/>
      <c r="N327" s="147"/>
      <c r="O327" s="147"/>
      <c r="P327" s="147"/>
      <c r="Q327" s="147"/>
    </row>
    <row r="328" ht="15.75" customHeight="1">
      <c r="A328" s="31"/>
      <c r="B328" s="31"/>
      <c r="C328" s="31"/>
      <c r="D328" s="31"/>
      <c r="E328" s="31"/>
      <c r="F328" s="144"/>
      <c r="G328" s="31"/>
      <c r="H328" s="31"/>
      <c r="I328" s="31"/>
      <c r="J328" s="31"/>
      <c r="K328" s="22"/>
      <c r="L328" s="46"/>
      <c r="M328" s="146"/>
      <c r="N328" s="147"/>
      <c r="O328" s="147"/>
      <c r="P328" s="147"/>
      <c r="Q328" s="147"/>
    </row>
    <row r="329" ht="15.75" customHeight="1">
      <c r="A329" s="31"/>
      <c r="B329" s="31"/>
      <c r="C329" s="31"/>
      <c r="D329" s="31"/>
      <c r="E329" s="31"/>
      <c r="F329" s="144"/>
      <c r="G329" s="31"/>
      <c r="H329" s="31"/>
      <c r="I329" s="31"/>
      <c r="J329" s="31"/>
      <c r="K329" s="22"/>
      <c r="L329" s="46"/>
      <c r="M329" s="146"/>
      <c r="N329" s="147"/>
      <c r="O329" s="147"/>
      <c r="P329" s="147"/>
      <c r="Q329" s="147"/>
    </row>
    <row r="330" ht="15.75" customHeight="1">
      <c r="A330" s="31"/>
      <c r="B330" s="31"/>
      <c r="C330" s="31"/>
      <c r="D330" s="31"/>
      <c r="E330" s="31"/>
      <c r="F330" s="144"/>
      <c r="G330" s="31"/>
      <c r="H330" s="31"/>
      <c r="I330" s="31"/>
      <c r="J330" s="31"/>
      <c r="K330" s="22"/>
      <c r="L330" s="46"/>
      <c r="M330" s="146"/>
      <c r="N330" s="147"/>
      <c r="O330" s="147"/>
      <c r="P330" s="147"/>
      <c r="Q330" s="147"/>
    </row>
    <row r="331" ht="15.75" customHeight="1">
      <c r="A331" s="31"/>
      <c r="B331" s="31"/>
      <c r="C331" s="31"/>
      <c r="D331" s="31"/>
      <c r="E331" s="31"/>
      <c r="F331" s="144"/>
      <c r="G331" s="31"/>
      <c r="H331" s="31"/>
      <c r="I331" s="31"/>
      <c r="J331" s="31"/>
      <c r="K331" s="22"/>
      <c r="L331" s="46"/>
      <c r="M331" s="146"/>
      <c r="N331" s="147"/>
      <c r="O331" s="147"/>
      <c r="P331" s="147"/>
      <c r="Q331" s="147"/>
    </row>
    <row r="332" ht="15.75" customHeight="1">
      <c r="A332" s="31"/>
      <c r="B332" s="31"/>
      <c r="C332" s="31"/>
      <c r="D332" s="31"/>
      <c r="E332" s="31"/>
      <c r="F332" s="144"/>
      <c r="G332" s="31"/>
      <c r="H332" s="31"/>
      <c r="I332" s="31"/>
      <c r="J332" s="31"/>
      <c r="K332" s="22"/>
      <c r="L332" s="46"/>
      <c r="M332" s="146"/>
      <c r="N332" s="147"/>
      <c r="O332" s="147"/>
      <c r="P332" s="147"/>
      <c r="Q332" s="147"/>
    </row>
    <row r="333" ht="15.75" customHeight="1">
      <c r="A333" s="31"/>
      <c r="B333" s="31"/>
      <c r="C333" s="31"/>
      <c r="D333" s="31"/>
      <c r="E333" s="31"/>
      <c r="F333" s="144"/>
      <c r="G333" s="31"/>
      <c r="H333" s="31"/>
      <c r="I333" s="31"/>
      <c r="J333" s="31"/>
      <c r="K333" s="22"/>
      <c r="L333" s="46"/>
      <c r="M333" s="146"/>
      <c r="N333" s="147"/>
      <c r="O333" s="147"/>
      <c r="P333" s="147"/>
      <c r="Q333" s="147"/>
    </row>
    <row r="334" ht="15.75" customHeight="1">
      <c r="A334" s="31"/>
      <c r="B334" s="31"/>
      <c r="C334" s="31"/>
      <c r="D334" s="31"/>
      <c r="E334" s="31"/>
      <c r="F334" s="144"/>
      <c r="G334" s="31"/>
      <c r="H334" s="31"/>
      <c r="I334" s="31"/>
      <c r="J334" s="31"/>
      <c r="K334" s="22"/>
      <c r="L334" s="46"/>
      <c r="M334" s="146"/>
      <c r="N334" s="147"/>
      <c r="O334" s="147"/>
      <c r="P334" s="147"/>
      <c r="Q334" s="147"/>
    </row>
    <row r="335" ht="15.75" customHeight="1">
      <c r="A335" s="31"/>
      <c r="B335" s="31"/>
      <c r="C335" s="31"/>
      <c r="D335" s="31"/>
      <c r="E335" s="31"/>
      <c r="F335" s="144"/>
      <c r="G335" s="31"/>
      <c r="H335" s="31"/>
      <c r="I335" s="31"/>
      <c r="J335" s="31"/>
      <c r="K335" s="22"/>
      <c r="L335" s="46"/>
      <c r="M335" s="146"/>
      <c r="N335" s="147"/>
      <c r="O335" s="147"/>
      <c r="P335" s="147"/>
      <c r="Q335" s="147"/>
    </row>
    <row r="336" ht="15.75" customHeight="1">
      <c r="A336" s="31"/>
      <c r="B336" s="31"/>
      <c r="C336" s="31"/>
      <c r="D336" s="31"/>
      <c r="E336" s="31"/>
      <c r="F336" s="144"/>
      <c r="G336" s="31"/>
      <c r="H336" s="31"/>
      <c r="I336" s="31"/>
      <c r="J336" s="31"/>
      <c r="K336" s="22"/>
      <c r="L336" s="46"/>
      <c r="M336" s="146"/>
      <c r="N336" s="147"/>
      <c r="O336" s="147"/>
      <c r="P336" s="147"/>
      <c r="Q336" s="147"/>
    </row>
    <row r="337" ht="15.75" customHeight="1">
      <c r="A337" s="31"/>
      <c r="B337" s="31"/>
      <c r="C337" s="31"/>
      <c r="D337" s="31"/>
      <c r="E337" s="31"/>
      <c r="F337" s="144"/>
      <c r="G337" s="31"/>
      <c r="H337" s="31"/>
      <c r="I337" s="31"/>
      <c r="J337" s="31"/>
      <c r="K337" s="22"/>
      <c r="L337" s="46"/>
      <c r="M337" s="146"/>
      <c r="N337" s="147"/>
      <c r="O337" s="147"/>
      <c r="P337" s="147"/>
      <c r="Q337" s="147"/>
    </row>
    <row r="338" ht="15.75" customHeight="1">
      <c r="A338" s="31"/>
      <c r="B338" s="31"/>
      <c r="C338" s="31"/>
      <c r="D338" s="31"/>
      <c r="E338" s="31"/>
      <c r="F338" s="144"/>
      <c r="G338" s="31"/>
      <c r="H338" s="31"/>
      <c r="I338" s="31"/>
      <c r="J338" s="31"/>
      <c r="K338" s="22"/>
      <c r="L338" s="46"/>
      <c r="M338" s="146"/>
      <c r="N338" s="147"/>
      <c r="O338" s="147"/>
      <c r="P338" s="147"/>
      <c r="Q338" s="147"/>
    </row>
    <row r="339" ht="15.75" customHeight="1">
      <c r="A339" s="31"/>
      <c r="B339" s="31"/>
      <c r="C339" s="31"/>
      <c r="D339" s="31"/>
      <c r="E339" s="31"/>
      <c r="F339" s="144"/>
      <c r="G339" s="31"/>
      <c r="H339" s="31"/>
      <c r="I339" s="31"/>
      <c r="J339" s="31"/>
      <c r="K339" s="22"/>
      <c r="L339" s="46"/>
      <c r="M339" s="146"/>
      <c r="N339" s="147"/>
      <c r="O339" s="147"/>
      <c r="P339" s="147"/>
      <c r="Q339" s="147"/>
    </row>
    <row r="340" ht="15.75" customHeight="1">
      <c r="A340" s="31"/>
      <c r="B340" s="31"/>
      <c r="C340" s="31"/>
      <c r="D340" s="31"/>
      <c r="E340" s="31"/>
      <c r="F340" s="144"/>
      <c r="G340" s="31"/>
      <c r="H340" s="31"/>
      <c r="I340" s="31"/>
      <c r="J340" s="31"/>
      <c r="K340" s="22"/>
      <c r="L340" s="46"/>
      <c r="M340" s="146"/>
      <c r="N340" s="147"/>
      <c r="O340" s="147"/>
      <c r="P340" s="147"/>
      <c r="Q340" s="147"/>
    </row>
    <row r="341" ht="15.75" customHeight="1">
      <c r="A341" s="31"/>
      <c r="B341" s="31"/>
      <c r="C341" s="31"/>
      <c r="D341" s="31"/>
      <c r="E341" s="31"/>
      <c r="F341" s="144"/>
      <c r="G341" s="31"/>
      <c r="H341" s="31"/>
      <c r="I341" s="31"/>
      <c r="J341" s="31"/>
      <c r="K341" s="22"/>
      <c r="L341" s="46"/>
      <c r="M341" s="146"/>
      <c r="N341" s="147"/>
      <c r="O341" s="147"/>
      <c r="P341" s="147"/>
      <c r="Q341" s="147"/>
    </row>
    <row r="342" ht="15.75" customHeight="1">
      <c r="A342" s="31"/>
      <c r="B342" s="31"/>
      <c r="C342" s="31"/>
      <c r="D342" s="31"/>
      <c r="E342" s="31"/>
      <c r="F342" s="144"/>
      <c r="G342" s="31"/>
      <c r="H342" s="31"/>
      <c r="I342" s="31"/>
      <c r="J342" s="31"/>
      <c r="K342" s="22"/>
      <c r="L342" s="46"/>
      <c r="M342" s="146"/>
      <c r="N342" s="147"/>
      <c r="O342" s="147"/>
      <c r="P342" s="147"/>
      <c r="Q342" s="147"/>
    </row>
    <row r="343" ht="15.75" customHeight="1">
      <c r="A343" s="31"/>
      <c r="B343" s="31"/>
      <c r="C343" s="31"/>
      <c r="D343" s="31"/>
      <c r="E343" s="31"/>
      <c r="F343" s="144"/>
      <c r="G343" s="31"/>
      <c r="H343" s="31"/>
      <c r="I343" s="31"/>
      <c r="J343" s="31"/>
      <c r="K343" s="22"/>
      <c r="L343" s="46"/>
      <c r="M343" s="146"/>
      <c r="N343" s="147"/>
      <c r="O343" s="147"/>
      <c r="P343" s="147"/>
      <c r="Q343" s="147"/>
    </row>
    <row r="344" ht="15.75" customHeight="1">
      <c r="A344" s="31"/>
      <c r="B344" s="31"/>
      <c r="C344" s="31"/>
      <c r="D344" s="31"/>
      <c r="E344" s="31"/>
      <c r="F344" s="144"/>
      <c r="G344" s="31"/>
      <c r="H344" s="31"/>
      <c r="I344" s="31"/>
      <c r="J344" s="31"/>
      <c r="K344" s="22"/>
      <c r="L344" s="46"/>
      <c r="M344" s="146"/>
      <c r="N344" s="147"/>
      <c r="O344" s="147"/>
      <c r="P344" s="147"/>
      <c r="Q344" s="147"/>
    </row>
    <row r="345" ht="15.75" customHeight="1">
      <c r="A345" s="31"/>
      <c r="B345" s="31"/>
      <c r="C345" s="31"/>
      <c r="D345" s="31"/>
      <c r="E345" s="31"/>
      <c r="F345" s="144"/>
      <c r="G345" s="31"/>
      <c r="H345" s="31"/>
      <c r="I345" s="31"/>
      <c r="J345" s="31"/>
      <c r="K345" s="22"/>
      <c r="L345" s="46"/>
      <c r="M345" s="146"/>
      <c r="N345" s="147"/>
      <c r="O345" s="147"/>
      <c r="P345" s="147"/>
      <c r="Q345" s="147"/>
    </row>
    <row r="346" ht="15.75" customHeight="1">
      <c r="A346" s="31"/>
      <c r="B346" s="31"/>
      <c r="C346" s="31"/>
      <c r="D346" s="31"/>
      <c r="E346" s="31"/>
      <c r="F346" s="144"/>
      <c r="G346" s="31"/>
      <c r="H346" s="31"/>
      <c r="I346" s="31"/>
      <c r="J346" s="31"/>
      <c r="K346" s="22"/>
      <c r="L346" s="46"/>
      <c r="M346" s="146"/>
      <c r="N346" s="147"/>
      <c r="O346" s="147"/>
      <c r="P346" s="147"/>
      <c r="Q346" s="147"/>
    </row>
    <row r="347" ht="15.75" customHeight="1">
      <c r="A347" s="31"/>
      <c r="B347" s="31"/>
      <c r="C347" s="31"/>
      <c r="D347" s="31"/>
      <c r="E347" s="31"/>
      <c r="F347" s="144"/>
      <c r="G347" s="31"/>
      <c r="H347" s="31"/>
      <c r="I347" s="31"/>
      <c r="J347" s="31"/>
      <c r="K347" s="22"/>
      <c r="L347" s="46"/>
      <c r="M347" s="146"/>
      <c r="N347" s="147"/>
      <c r="O347" s="147"/>
      <c r="P347" s="147"/>
      <c r="Q347" s="147"/>
    </row>
    <row r="348" ht="15.75" customHeight="1">
      <c r="A348" s="31"/>
      <c r="B348" s="31"/>
      <c r="C348" s="31"/>
      <c r="D348" s="31"/>
      <c r="E348" s="31"/>
      <c r="F348" s="144"/>
      <c r="G348" s="31"/>
      <c r="H348" s="31"/>
      <c r="I348" s="31"/>
      <c r="J348" s="31"/>
      <c r="K348" s="22"/>
      <c r="L348" s="46"/>
      <c r="M348" s="146"/>
      <c r="N348" s="147"/>
      <c r="O348" s="147"/>
      <c r="P348" s="147"/>
      <c r="Q348" s="147"/>
    </row>
    <row r="349" ht="15.75" customHeight="1">
      <c r="A349" s="31"/>
      <c r="B349" s="31"/>
      <c r="C349" s="31"/>
      <c r="D349" s="31"/>
      <c r="E349" s="31"/>
      <c r="F349" s="144"/>
      <c r="G349" s="31"/>
      <c r="H349" s="31"/>
      <c r="I349" s="31"/>
      <c r="J349" s="31"/>
      <c r="K349" s="22"/>
      <c r="L349" s="46"/>
      <c r="M349" s="146"/>
      <c r="N349" s="147"/>
      <c r="O349" s="147"/>
      <c r="P349" s="147"/>
      <c r="Q349" s="147"/>
    </row>
    <row r="350" ht="15.75" customHeight="1">
      <c r="A350" s="31"/>
      <c r="B350" s="31"/>
      <c r="C350" s="31"/>
      <c r="D350" s="31"/>
      <c r="E350" s="31"/>
      <c r="F350" s="144"/>
      <c r="G350" s="31"/>
      <c r="H350" s="31"/>
      <c r="I350" s="31"/>
      <c r="J350" s="31"/>
      <c r="K350" s="22"/>
      <c r="L350" s="46"/>
      <c r="M350" s="146"/>
      <c r="N350" s="147"/>
      <c r="O350" s="147"/>
      <c r="P350" s="147"/>
      <c r="Q350" s="147"/>
    </row>
    <row r="351" ht="15.75" customHeight="1">
      <c r="A351" s="31"/>
      <c r="B351" s="31"/>
      <c r="C351" s="31"/>
      <c r="D351" s="31"/>
      <c r="E351" s="31"/>
      <c r="F351" s="144"/>
      <c r="G351" s="31"/>
      <c r="H351" s="31"/>
      <c r="I351" s="31"/>
      <c r="J351" s="31"/>
      <c r="K351" s="22"/>
      <c r="L351" s="46"/>
      <c r="M351" s="146"/>
      <c r="N351" s="147"/>
      <c r="O351" s="147"/>
      <c r="P351" s="147"/>
      <c r="Q351" s="147"/>
    </row>
    <row r="352" ht="15.75" customHeight="1">
      <c r="A352" s="31"/>
      <c r="B352" s="31"/>
      <c r="C352" s="31"/>
      <c r="D352" s="31"/>
      <c r="E352" s="31"/>
      <c r="F352" s="144"/>
      <c r="G352" s="31"/>
      <c r="H352" s="31"/>
      <c r="I352" s="31"/>
      <c r="J352" s="31"/>
      <c r="K352" s="22"/>
      <c r="L352" s="46"/>
      <c r="M352" s="146"/>
      <c r="N352" s="147"/>
      <c r="O352" s="147"/>
      <c r="P352" s="147"/>
      <c r="Q352" s="147"/>
    </row>
    <row r="353" ht="15.75" customHeight="1">
      <c r="A353" s="31"/>
      <c r="B353" s="31"/>
      <c r="C353" s="31"/>
      <c r="D353" s="31"/>
      <c r="E353" s="31"/>
      <c r="F353" s="144"/>
      <c r="G353" s="31"/>
      <c r="H353" s="31"/>
      <c r="I353" s="31"/>
      <c r="J353" s="31"/>
      <c r="K353" s="22"/>
      <c r="L353" s="46"/>
      <c r="M353" s="146"/>
      <c r="N353" s="147"/>
      <c r="O353" s="147"/>
      <c r="P353" s="147"/>
      <c r="Q353" s="147"/>
    </row>
    <row r="354" ht="15.75" customHeight="1">
      <c r="A354" s="31"/>
      <c r="B354" s="31"/>
      <c r="C354" s="31"/>
      <c r="D354" s="31"/>
      <c r="E354" s="31"/>
      <c r="F354" s="144"/>
      <c r="G354" s="31"/>
      <c r="H354" s="31"/>
      <c r="I354" s="31"/>
      <c r="J354" s="31"/>
      <c r="K354" s="22"/>
      <c r="L354" s="46"/>
      <c r="M354" s="146"/>
      <c r="N354" s="147"/>
      <c r="O354" s="147"/>
      <c r="P354" s="147"/>
      <c r="Q354" s="147"/>
    </row>
    <row r="355" ht="15.75" customHeight="1">
      <c r="A355" s="31"/>
      <c r="B355" s="31"/>
      <c r="C355" s="31"/>
      <c r="D355" s="31"/>
      <c r="E355" s="31"/>
      <c r="F355" s="144"/>
      <c r="G355" s="31"/>
      <c r="H355" s="31"/>
      <c r="I355" s="31"/>
      <c r="J355" s="31"/>
      <c r="K355" s="22"/>
      <c r="L355" s="46"/>
      <c r="M355" s="146"/>
      <c r="N355" s="147"/>
      <c r="O355" s="147"/>
      <c r="P355" s="147"/>
      <c r="Q355" s="147"/>
    </row>
    <row r="356" ht="15.75" customHeight="1">
      <c r="A356" s="31"/>
      <c r="B356" s="31"/>
      <c r="C356" s="31"/>
      <c r="D356" s="31"/>
      <c r="E356" s="31"/>
      <c r="F356" s="144"/>
      <c r="G356" s="31"/>
      <c r="H356" s="31"/>
      <c r="I356" s="31"/>
      <c r="J356" s="31"/>
      <c r="K356" s="22"/>
      <c r="L356" s="46"/>
      <c r="M356" s="146"/>
      <c r="N356" s="147"/>
      <c r="O356" s="147"/>
      <c r="P356" s="147"/>
      <c r="Q356" s="147"/>
    </row>
    <row r="357" ht="15.75" customHeight="1">
      <c r="A357" s="31"/>
      <c r="B357" s="31"/>
      <c r="C357" s="31"/>
      <c r="D357" s="31"/>
      <c r="E357" s="31"/>
      <c r="F357" s="144"/>
      <c r="G357" s="31"/>
      <c r="H357" s="31"/>
      <c r="I357" s="31"/>
      <c r="J357" s="31"/>
      <c r="K357" s="22"/>
      <c r="L357" s="46"/>
      <c r="M357" s="146"/>
      <c r="N357" s="147"/>
      <c r="O357" s="147"/>
      <c r="P357" s="147"/>
      <c r="Q357" s="147"/>
    </row>
    <row r="358" ht="15.75" customHeight="1">
      <c r="A358" s="31"/>
      <c r="B358" s="31"/>
      <c r="C358" s="31"/>
      <c r="D358" s="31"/>
      <c r="E358" s="31"/>
      <c r="F358" s="144"/>
      <c r="G358" s="31"/>
      <c r="H358" s="31"/>
      <c r="I358" s="31"/>
      <c r="J358" s="31"/>
      <c r="K358" s="22"/>
      <c r="L358" s="46"/>
      <c r="M358" s="146"/>
      <c r="N358" s="147"/>
      <c r="O358" s="147"/>
      <c r="P358" s="147"/>
      <c r="Q358" s="147"/>
    </row>
    <row r="359" ht="15.75" customHeight="1">
      <c r="A359" s="31"/>
      <c r="B359" s="31"/>
      <c r="C359" s="31"/>
      <c r="D359" s="31"/>
      <c r="E359" s="31"/>
      <c r="F359" s="144"/>
      <c r="G359" s="31"/>
      <c r="H359" s="31"/>
      <c r="I359" s="31"/>
      <c r="J359" s="31"/>
      <c r="K359" s="22"/>
      <c r="L359" s="46"/>
      <c r="M359" s="146"/>
      <c r="N359" s="147"/>
      <c r="O359" s="147"/>
      <c r="P359" s="147"/>
      <c r="Q359" s="147"/>
    </row>
    <row r="360" ht="15.75" customHeight="1">
      <c r="A360" s="31"/>
      <c r="B360" s="31"/>
      <c r="C360" s="31"/>
      <c r="D360" s="31"/>
      <c r="E360" s="31"/>
      <c r="F360" s="144"/>
      <c r="G360" s="31"/>
      <c r="H360" s="31"/>
      <c r="I360" s="31"/>
      <c r="J360" s="31"/>
      <c r="K360" s="22"/>
      <c r="L360" s="46"/>
      <c r="M360" s="146"/>
      <c r="N360" s="147"/>
      <c r="O360" s="147"/>
      <c r="P360" s="147"/>
      <c r="Q360" s="147"/>
    </row>
    <row r="361" ht="15.75" customHeight="1">
      <c r="A361" s="31"/>
      <c r="B361" s="31"/>
      <c r="C361" s="31"/>
      <c r="D361" s="31"/>
      <c r="E361" s="31"/>
      <c r="F361" s="144"/>
      <c r="G361" s="31"/>
      <c r="H361" s="31"/>
      <c r="I361" s="31"/>
      <c r="J361" s="31"/>
      <c r="K361" s="22"/>
      <c r="L361" s="46"/>
      <c r="M361" s="146"/>
      <c r="N361" s="147"/>
      <c r="O361" s="147"/>
      <c r="P361" s="147"/>
      <c r="Q361" s="147"/>
    </row>
    <row r="362" ht="15.75" customHeight="1">
      <c r="A362" s="31"/>
      <c r="B362" s="31"/>
      <c r="C362" s="31"/>
      <c r="D362" s="31"/>
      <c r="E362" s="31"/>
      <c r="F362" s="144"/>
      <c r="G362" s="31"/>
      <c r="H362" s="31"/>
      <c r="I362" s="31"/>
      <c r="J362" s="31"/>
      <c r="K362" s="22"/>
      <c r="L362" s="46"/>
      <c r="M362" s="146"/>
      <c r="N362" s="147"/>
      <c r="O362" s="147"/>
      <c r="P362" s="147"/>
      <c r="Q362" s="147"/>
    </row>
    <row r="363" ht="15.75" customHeight="1">
      <c r="A363" s="31"/>
      <c r="B363" s="31"/>
      <c r="C363" s="31"/>
      <c r="D363" s="31"/>
      <c r="E363" s="31"/>
      <c r="F363" s="144"/>
      <c r="G363" s="31"/>
      <c r="H363" s="31"/>
      <c r="I363" s="31"/>
      <c r="J363" s="31"/>
      <c r="K363" s="22"/>
      <c r="L363" s="46"/>
      <c r="M363" s="146"/>
      <c r="N363" s="147"/>
      <c r="O363" s="147"/>
      <c r="P363" s="147"/>
      <c r="Q363" s="147"/>
    </row>
    <row r="364" ht="15.75" customHeight="1">
      <c r="A364" s="31"/>
      <c r="B364" s="31"/>
      <c r="C364" s="31"/>
      <c r="D364" s="31"/>
      <c r="E364" s="31"/>
      <c r="F364" s="144"/>
      <c r="G364" s="31"/>
      <c r="H364" s="31"/>
      <c r="I364" s="31"/>
      <c r="J364" s="31"/>
      <c r="K364" s="22"/>
      <c r="L364" s="46"/>
      <c r="M364" s="146"/>
      <c r="N364" s="147"/>
      <c r="O364" s="147"/>
      <c r="P364" s="147"/>
      <c r="Q364" s="147"/>
    </row>
    <row r="365" ht="15.75" customHeight="1">
      <c r="A365" s="31"/>
      <c r="B365" s="31"/>
      <c r="C365" s="31"/>
      <c r="D365" s="31"/>
      <c r="E365" s="31"/>
      <c r="F365" s="144"/>
      <c r="G365" s="31"/>
      <c r="H365" s="31"/>
      <c r="I365" s="31"/>
      <c r="J365" s="31"/>
      <c r="K365" s="22"/>
      <c r="L365" s="46"/>
      <c r="M365" s="146"/>
      <c r="N365" s="147"/>
      <c r="O365" s="147"/>
      <c r="P365" s="147"/>
      <c r="Q365" s="147"/>
    </row>
    <row r="366" ht="15.75" customHeight="1">
      <c r="A366" s="31"/>
      <c r="B366" s="31"/>
      <c r="C366" s="31"/>
      <c r="D366" s="31"/>
      <c r="E366" s="31"/>
      <c r="F366" s="144"/>
      <c r="G366" s="31"/>
      <c r="H366" s="31"/>
      <c r="I366" s="31"/>
      <c r="J366" s="31"/>
      <c r="K366" s="22"/>
      <c r="L366" s="46"/>
      <c r="M366" s="146"/>
      <c r="N366" s="147"/>
      <c r="O366" s="147"/>
      <c r="P366" s="147"/>
      <c r="Q366" s="147"/>
    </row>
    <row r="367" ht="15.75" customHeight="1">
      <c r="A367" s="31"/>
      <c r="B367" s="31"/>
      <c r="C367" s="31"/>
      <c r="D367" s="31"/>
      <c r="E367" s="31"/>
      <c r="F367" s="144"/>
      <c r="G367" s="31"/>
      <c r="H367" s="31"/>
      <c r="I367" s="31"/>
      <c r="J367" s="31"/>
      <c r="K367" s="22"/>
      <c r="L367" s="46"/>
      <c r="M367" s="146"/>
      <c r="N367" s="147"/>
      <c r="O367" s="147"/>
      <c r="P367" s="147"/>
      <c r="Q367" s="147"/>
    </row>
    <row r="368" ht="15.75" customHeight="1">
      <c r="A368" s="31"/>
      <c r="B368" s="31"/>
      <c r="C368" s="31"/>
      <c r="D368" s="31"/>
      <c r="E368" s="31"/>
      <c r="F368" s="144"/>
      <c r="G368" s="31"/>
      <c r="H368" s="31"/>
      <c r="I368" s="31"/>
      <c r="J368" s="31"/>
      <c r="K368" s="22"/>
      <c r="L368" s="46"/>
      <c r="M368" s="146"/>
      <c r="N368" s="147"/>
      <c r="O368" s="147"/>
      <c r="P368" s="147"/>
      <c r="Q368" s="147"/>
    </row>
    <row r="369" ht="15.75" customHeight="1">
      <c r="A369" s="31"/>
      <c r="B369" s="31"/>
      <c r="C369" s="31"/>
      <c r="D369" s="31"/>
      <c r="E369" s="31"/>
      <c r="F369" s="144"/>
      <c r="G369" s="31"/>
      <c r="H369" s="31"/>
      <c r="I369" s="31"/>
      <c r="J369" s="31"/>
      <c r="K369" s="22"/>
      <c r="L369" s="46"/>
      <c r="M369" s="146"/>
      <c r="N369" s="147"/>
      <c r="O369" s="147"/>
      <c r="P369" s="147"/>
      <c r="Q369" s="147"/>
    </row>
    <row r="370" ht="15.75" customHeight="1">
      <c r="A370" s="31"/>
      <c r="B370" s="31"/>
      <c r="C370" s="31"/>
      <c r="D370" s="31"/>
      <c r="E370" s="31"/>
      <c r="F370" s="144"/>
      <c r="G370" s="31"/>
      <c r="H370" s="31"/>
      <c r="I370" s="31"/>
      <c r="J370" s="31"/>
      <c r="K370" s="22"/>
      <c r="L370" s="46"/>
      <c r="M370" s="146"/>
      <c r="N370" s="147"/>
      <c r="O370" s="147"/>
      <c r="P370" s="147"/>
      <c r="Q370" s="147"/>
    </row>
    <row r="371" ht="15.75" customHeight="1">
      <c r="A371" s="31"/>
      <c r="B371" s="31"/>
      <c r="C371" s="31"/>
      <c r="D371" s="31"/>
      <c r="E371" s="31"/>
      <c r="F371" s="144"/>
      <c r="G371" s="31"/>
      <c r="H371" s="31"/>
      <c r="I371" s="31"/>
      <c r="J371" s="31"/>
      <c r="K371" s="22"/>
      <c r="L371" s="46"/>
      <c r="M371" s="146"/>
      <c r="N371" s="147"/>
      <c r="O371" s="147"/>
      <c r="P371" s="147"/>
      <c r="Q371" s="147"/>
    </row>
    <row r="372" ht="15.75" customHeight="1">
      <c r="A372" s="31"/>
      <c r="B372" s="31"/>
      <c r="C372" s="31"/>
      <c r="D372" s="31"/>
      <c r="E372" s="31"/>
      <c r="F372" s="144"/>
      <c r="G372" s="31"/>
      <c r="H372" s="31"/>
      <c r="I372" s="31"/>
      <c r="J372" s="31"/>
      <c r="K372" s="22"/>
      <c r="L372" s="46"/>
      <c r="M372" s="146"/>
      <c r="N372" s="147"/>
      <c r="O372" s="147"/>
      <c r="P372" s="147"/>
      <c r="Q372" s="147"/>
    </row>
    <row r="373" ht="15.75" customHeight="1">
      <c r="A373" s="31"/>
      <c r="B373" s="31"/>
      <c r="C373" s="31"/>
      <c r="D373" s="31"/>
      <c r="E373" s="31"/>
      <c r="F373" s="144"/>
      <c r="G373" s="31"/>
      <c r="H373" s="31"/>
      <c r="I373" s="31"/>
      <c r="J373" s="31"/>
      <c r="K373" s="22"/>
      <c r="L373" s="46"/>
      <c r="M373" s="146"/>
      <c r="N373" s="147"/>
      <c r="O373" s="147"/>
      <c r="P373" s="147"/>
      <c r="Q373" s="147"/>
    </row>
    <row r="374" ht="15.75" customHeight="1">
      <c r="A374" s="31"/>
      <c r="B374" s="31"/>
      <c r="C374" s="31"/>
      <c r="D374" s="31"/>
      <c r="E374" s="31"/>
      <c r="F374" s="144"/>
      <c r="G374" s="31"/>
      <c r="H374" s="31"/>
      <c r="I374" s="31"/>
      <c r="J374" s="31"/>
      <c r="K374" s="22"/>
      <c r="L374" s="46"/>
      <c r="M374" s="146"/>
      <c r="N374" s="147"/>
      <c r="O374" s="147"/>
      <c r="P374" s="147"/>
      <c r="Q374" s="147"/>
    </row>
    <row r="375" ht="15.75" customHeight="1">
      <c r="A375" s="31"/>
      <c r="B375" s="31"/>
      <c r="C375" s="31"/>
      <c r="D375" s="31"/>
      <c r="E375" s="31"/>
      <c r="F375" s="144"/>
      <c r="G375" s="31"/>
      <c r="H375" s="31"/>
      <c r="I375" s="31"/>
      <c r="J375" s="31"/>
      <c r="K375" s="22"/>
      <c r="L375" s="46"/>
      <c r="M375" s="146"/>
      <c r="N375" s="147"/>
      <c r="O375" s="147"/>
      <c r="P375" s="147"/>
      <c r="Q375" s="147"/>
    </row>
    <row r="376" ht="15.75" customHeight="1">
      <c r="A376" s="31"/>
      <c r="B376" s="31"/>
      <c r="C376" s="31"/>
      <c r="D376" s="31"/>
      <c r="E376" s="31"/>
      <c r="F376" s="144"/>
      <c r="G376" s="31"/>
      <c r="H376" s="31"/>
      <c r="I376" s="31"/>
      <c r="J376" s="31"/>
      <c r="K376" s="22"/>
      <c r="L376" s="46"/>
      <c r="M376" s="146"/>
      <c r="N376" s="147"/>
      <c r="O376" s="147"/>
      <c r="P376" s="147"/>
      <c r="Q376" s="147"/>
    </row>
    <row r="377" ht="15.75" customHeight="1">
      <c r="A377" s="31"/>
      <c r="B377" s="31"/>
      <c r="C377" s="31"/>
      <c r="D377" s="31"/>
      <c r="E377" s="31"/>
      <c r="F377" s="144"/>
      <c r="G377" s="31"/>
      <c r="H377" s="31"/>
      <c r="I377" s="31"/>
      <c r="J377" s="31"/>
      <c r="K377" s="22"/>
      <c r="L377" s="46"/>
      <c r="M377" s="146"/>
      <c r="N377" s="147"/>
      <c r="O377" s="147"/>
      <c r="P377" s="147"/>
      <c r="Q377" s="147"/>
    </row>
    <row r="378" ht="15.75" customHeight="1">
      <c r="A378" s="31"/>
      <c r="B378" s="31"/>
      <c r="C378" s="31"/>
      <c r="D378" s="31"/>
      <c r="E378" s="31"/>
      <c r="F378" s="144"/>
      <c r="G378" s="31"/>
      <c r="H378" s="31"/>
      <c r="I378" s="31"/>
      <c r="J378" s="31"/>
      <c r="K378" s="22"/>
      <c r="L378" s="46"/>
      <c r="M378" s="146"/>
      <c r="N378" s="147"/>
      <c r="O378" s="147"/>
      <c r="P378" s="147"/>
      <c r="Q378" s="147"/>
    </row>
    <row r="379" ht="15.75" customHeight="1">
      <c r="A379" s="31"/>
      <c r="B379" s="31"/>
      <c r="C379" s="31"/>
      <c r="D379" s="31"/>
      <c r="E379" s="31"/>
      <c r="F379" s="144"/>
      <c r="G379" s="31"/>
      <c r="H379" s="31"/>
      <c r="I379" s="31"/>
      <c r="J379" s="31"/>
      <c r="K379" s="22"/>
      <c r="L379" s="46"/>
      <c r="M379" s="146"/>
      <c r="N379" s="147"/>
      <c r="O379" s="147"/>
      <c r="P379" s="147"/>
      <c r="Q379" s="147"/>
    </row>
    <row r="380" ht="15.75" customHeight="1">
      <c r="A380" s="31"/>
      <c r="B380" s="31"/>
      <c r="C380" s="31"/>
      <c r="D380" s="31"/>
      <c r="E380" s="31"/>
      <c r="F380" s="144"/>
      <c r="G380" s="31"/>
      <c r="H380" s="31"/>
      <c r="I380" s="31"/>
      <c r="J380" s="31"/>
      <c r="K380" s="22"/>
      <c r="L380" s="46"/>
      <c r="M380" s="146"/>
      <c r="N380" s="147"/>
      <c r="O380" s="147"/>
      <c r="P380" s="147"/>
      <c r="Q380" s="147"/>
    </row>
    <row r="381" ht="15.75" customHeight="1">
      <c r="A381" s="31"/>
      <c r="B381" s="31"/>
      <c r="C381" s="31"/>
      <c r="D381" s="31"/>
      <c r="E381" s="31"/>
      <c r="F381" s="144"/>
      <c r="G381" s="31"/>
      <c r="H381" s="31"/>
      <c r="I381" s="31"/>
      <c r="J381" s="31"/>
      <c r="K381" s="22"/>
      <c r="L381" s="46"/>
      <c r="M381" s="146"/>
      <c r="N381" s="147"/>
      <c r="O381" s="147"/>
      <c r="P381" s="147"/>
      <c r="Q381" s="147"/>
    </row>
    <row r="382" ht="15.75" customHeight="1">
      <c r="A382" s="31"/>
      <c r="B382" s="31"/>
      <c r="C382" s="31"/>
      <c r="D382" s="31"/>
      <c r="E382" s="31"/>
      <c r="F382" s="144"/>
      <c r="G382" s="31"/>
      <c r="H382" s="31"/>
      <c r="I382" s="31"/>
      <c r="J382" s="31"/>
      <c r="K382" s="22"/>
      <c r="L382" s="46"/>
      <c r="M382" s="146"/>
      <c r="N382" s="147"/>
      <c r="O382" s="147"/>
      <c r="P382" s="147"/>
      <c r="Q382" s="147"/>
    </row>
    <row r="383" ht="15.75" customHeight="1">
      <c r="A383" s="31"/>
      <c r="B383" s="31"/>
      <c r="C383" s="31"/>
      <c r="D383" s="31"/>
      <c r="E383" s="31"/>
      <c r="F383" s="144"/>
      <c r="G383" s="31"/>
      <c r="H383" s="31"/>
      <c r="I383" s="31"/>
      <c r="J383" s="31"/>
      <c r="K383" s="22"/>
      <c r="L383" s="46"/>
      <c r="M383" s="146"/>
      <c r="N383" s="147"/>
      <c r="O383" s="147"/>
      <c r="P383" s="147"/>
      <c r="Q383" s="147"/>
    </row>
    <row r="384" ht="15.75" customHeight="1">
      <c r="A384" s="31"/>
      <c r="B384" s="31"/>
      <c r="C384" s="31"/>
      <c r="D384" s="31"/>
      <c r="E384" s="31"/>
      <c r="F384" s="144"/>
      <c r="G384" s="31"/>
      <c r="H384" s="31"/>
      <c r="I384" s="31"/>
      <c r="J384" s="31"/>
      <c r="K384" s="22"/>
      <c r="L384" s="46"/>
      <c r="M384" s="146"/>
      <c r="N384" s="147"/>
      <c r="O384" s="147"/>
      <c r="P384" s="147"/>
      <c r="Q384" s="147"/>
    </row>
    <row r="385" ht="15.75" customHeight="1">
      <c r="A385" s="31"/>
      <c r="B385" s="31"/>
      <c r="C385" s="31"/>
      <c r="D385" s="31"/>
      <c r="E385" s="31"/>
      <c r="F385" s="144"/>
      <c r="G385" s="31"/>
      <c r="H385" s="31"/>
      <c r="I385" s="31"/>
      <c r="J385" s="31"/>
      <c r="K385" s="22"/>
      <c r="L385" s="46"/>
      <c r="M385" s="146"/>
      <c r="N385" s="147"/>
      <c r="O385" s="147"/>
      <c r="P385" s="147"/>
      <c r="Q385" s="147"/>
    </row>
    <row r="386" ht="15.75" customHeight="1">
      <c r="A386" s="31"/>
      <c r="B386" s="31"/>
      <c r="C386" s="31"/>
      <c r="D386" s="31"/>
      <c r="E386" s="31"/>
      <c r="F386" s="144"/>
      <c r="G386" s="31"/>
      <c r="H386" s="31"/>
      <c r="I386" s="31"/>
      <c r="J386" s="31"/>
      <c r="K386" s="22"/>
      <c r="L386" s="46"/>
      <c r="M386" s="146"/>
      <c r="N386" s="147"/>
      <c r="O386" s="147"/>
      <c r="P386" s="147"/>
      <c r="Q386" s="147"/>
    </row>
    <row r="387" ht="15.75" customHeight="1">
      <c r="A387" s="31"/>
      <c r="B387" s="31"/>
      <c r="C387" s="31"/>
      <c r="D387" s="31"/>
      <c r="E387" s="31"/>
      <c r="F387" s="144"/>
      <c r="G387" s="31"/>
      <c r="H387" s="31"/>
      <c r="I387" s="31"/>
      <c r="J387" s="31"/>
      <c r="K387" s="22"/>
      <c r="L387" s="46"/>
      <c r="M387" s="146"/>
      <c r="N387" s="147"/>
      <c r="O387" s="147"/>
      <c r="P387" s="147"/>
      <c r="Q387" s="147"/>
    </row>
    <row r="388" ht="15.75" customHeight="1">
      <c r="A388" s="31"/>
      <c r="B388" s="31"/>
      <c r="C388" s="31"/>
      <c r="D388" s="31"/>
      <c r="E388" s="31"/>
      <c r="F388" s="144"/>
      <c r="G388" s="31"/>
      <c r="H388" s="31"/>
      <c r="I388" s="31"/>
      <c r="J388" s="31"/>
      <c r="K388" s="22"/>
      <c r="L388" s="46"/>
      <c r="M388" s="146"/>
      <c r="N388" s="147"/>
      <c r="O388" s="147"/>
      <c r="P388" s="147"/>
      <c r="Q388" s="147"/>
    </row>
    <row r="389" ht="15.75" customHeight="1">
      <c r="A389" s="31"/>
      <c r="B389" s="31"/>
      <c r="C389" s="31"/>
      <c r="D389" s="31"/>
      <c r="E389" s="31"/>
      <c r="F389" s="144"/>
      <c r="G389" s="31"/>
      <c r="H389" s="31"/>
      <c r="I389" s="31"/>
      <c r="J389" s="31"/>
      <c r="K389" s="22"/>
      <c r="L389" s="46"/>
      <c r="M389" s="146"/>
      <c r="N389" s="147"/>
      <c r="O389" s="147"/>
      <c r="P389" s="147"/>
      <c r="Q389" s="147"/>
    </row>
    <row r="390" ht="15.75" customHeight="1">
      <c r="A390" s="31"/>
      <c r="B390" s="31"/>
      <c r="C390" s="31"/>
      <c r="D390" s="31"/>
      <c r="E390" s="31"/>
      <c r="F390" s="144"/>
      <c r="G390" s="31"/>
      <c r="H390" s="31"/>
      <c r="I390" s="31"/>
      <c r="J390" s="31"/>
      <c r="K390" s="22"/>
      <c r="L390" s="46"/>
      <c r="M390" s="146"/>
      <c r="N390" s="147"/>
      <c r="O390" s="147"/>
      <c r="P390" s="147"/>
      <c r="Q390" s="147"/>
    </row>
    <row r="391" ht="15.75" customHeight="1">
      <c r="A391" s="31"/>
      <c r="B391" s="31"/>
      <c r="C391" s="31"/>
      <c r="D391" s="31"/>
      <c r="E391" s="31"/>
      <c r="F391" s="144"/>
      <c r="G391" s="31"/>
      <c r="H391" s="31"/>
      <c r="I391" s="31"/>
      <c r="J391" s="31"/>
      <c r="K391" s="22"/>
      <c r="L391" s="46"/>
      <c r="M391" s="146"/>
      <c r="N391" s="147"/>
      <c r="O391" s="147"/>
      <c r="P391" s="147"/>
      <c r="Q391" s="147"/>
    </row>
    <row r="392" ht="15.75" customHeight="1">
      <c r="A392" s="31"/>
      <c r="B392" s="31"/>
      <c r="C392" s="31"/>
      <c r="D392" s="31"/>
      <c r="E392" s="31"/>
      <c r="F392" s="144"/>
      <c r="G392" s="31"/>
      <c r="H392" s="31"/>
      <c r="I392" s="31"/>
      <c r="J392" s="31"/>
      <c r="K392" s="22"/>
      <c r="L392" s="46"/>
      <c r="M392" s="146"/>
      <c r="N392" s="147"/>
      <c r="O392" s="147"/>
      <c r="P392" s="147"/>
      <c r="Q392" s="147"/>
    </row>
    <row r="393" ht="15.75" customHeight="1">
      <c r="A393" s="31"/>
      <c r="B393" s="31"/>
      <c r="C393" s="31"/>
      <c r="D393" s="31"/>
      <c r="E393" s="31"/>
      <c r="F393" s="144"/>
      <c r="G393" s="31"/>
      <c r="H393" s="31"/>
      <c r="I393" s="31"/>
      <c r="J393" s="31"/>
      <c r="K393" s="22"/>
      <c r="L393" s="46"/>
      <c r="M393" s="146"/>
      <c r="N393" s="147"/>
      <c r="O393" s="147"/>
      <c r="P393" s="147"/>
      <c r="Q393" s="147"/>
    </row>
    <row r="394" ht="15.75" customHeight="1">
      <c r="A394" s="31"/>
      <c r="B394" s="31"/>
      <c r="C394" s="31"/>
      <c r="D394" s="31"/>
      <c r="E394" s="31"/>
      <c r="F394" s="144"/>
      <c r="G394" s="31"/>
      <c r="H394" s="31"/>
      <c r="I394" s="31"/>
      <c r="J394" s="31"/>
      <c r="K394" s="22"/>
      <c r="L394" s="46"/>
      <c r="M394" s="146"/>
      <c r="N394" s="147"/>
      <c r="O394" s="147"/>
      <c r="P394" s="147"/>
      <c r="Q394" s="147"/>
    </row>
    <row r="395" ht="15.75" customHeight="1">
      <c r="A395" s="31"/>
      <c r="B395" s="31"/>
      <c r="C395" s="31"/>
      <c r="D395" s="31"/>
      <c r="E395" s="31"/>
      <c r="F395" s="144"/>
      <c r="G395" s="31"/>
      <c r="H395" s="31"/>
      <c r="I395" s="31"/>
      <c r="J395" s="31"/>
      <c r="K395" s="22"/>
      <c r="L395" s="46"/>
      <c r="M395" s="146"/>
      <c r="N395" s="147"/>
      <c r="O395" s="147"/>
      <c r="P395" s="147"/>
      <c r="Q395" s="147"/>
    </row>
    <row r="396" ht="15.75" customHeight="1">
      <c r="A396" s="31"/>
      <c r="B396" s="31"/>
      <c r="C396" s="31"/>
      <c r="D396" s="31"/>
      <c r="E396" s="31"/>
      <c r="F396" s="144"/>
      <c r="G396" s="31"/>
      <c r="H396" s="31"/>
      <c r="I396" s="31"/>
      <c r="J396" s="31"/>
      <c r="K396" s="22"/>
      <c r="L396" s="46"/>
      <c r="M396" s="146"/>
      <c r="N396" s="147"/>
      <c r="O396" s="147"/>
      <c r="P396" s="147"/>
      <c r="Q396" s="147"/>
    </row>
    <row r="397" ht="15.75" customHeight="1">
      <c r="A397" s="31"/>
      <c r="B397" s="31"/>
      <c r="C397" s="31"/>
      <c r="D397" s="31"/>
      <c r="E397" s="31"/>
      <c r="F397" s="144"/>
      <c r="G397" s="31"/>
      <c r="H397" s="31"/>
      <c r="I397" s="31"/>
      <c r="J397" s="31"/>
      <c r="K397" s="22"/>
      <c r="L397" s="46"/>
      <c r="M397" s="146"/>
      <c r="N397" s="147"/>
      <c r="O397" s="147"/>
      <c r="P397" s="147"/>
      <c r="Q397" s="147"/>
    </row>
    <row r="398" ht="15.75" customHeight="1">
      <c r="A398" s="31"/>
      <c r="B398" s="31"/>
      <c r="C398" s="31"/>
      <c r="D398" s="31"/>
      <c r="E398" s="31"/>
      <c r="F398" s="144"/>
      <c r="G398" s="31"/>
      <c r="H398" s="31"/>
      <c r="I398" s="31"/>
      <c r="J398" s="31"/>
      <c r="K398" s="22"/>
      <c r="L398" s="46"/>
      <c r="M398" s="146"/>
      <c r="N398" s="147"/>
      <c r="O398" s="147"/>
      <c r="P398" s="147"/>
      <c r="Q398" s="147"/>
    </row>
    <row r="399" ht="15.75" customHeight="1">
      <c r="A399" s="31"/>
      <c r="B399" s="31"/>
      <c r="C399" s="31"/>
      <c r="D399" s="31"/>
      <c r="E399" s="31"/>
      <c r="F399" s="144"/>
      <c r="G399" s="31"/>
      <c r="H399" s="31"/>
      <c r="I399" s="31"/>
      <c r="J399" s="31"/>
      <c r="K399" s="22"/>
      <c r="L399" s="46"/>
      <c r="M399" s="146"/>
      <c r="N399" s="147"/>
      <c r="O399" s="147"/>
      <c r="P399" s="147"/>
      <c r="Q399" s="147"/>
    </row>
    <row r="400" ht="15.75" customHeight="1">
      <c r="A400" s="31"/>
      <c r="B400" s="31"/>
      <c r="C400" s="31"/>
      <c r="D400" s="31"/>
      <c r="E400" s="31"/>
      <c r="F400" s="144"/>
      <c r="G400" s="31"/>
      <c r="H400" s="31"/>
      <c r="I400" s="31"/>
      <c r="J400" s="31"/>
      <c r="K400" s="22"/>
      <c r="L400" s="46"/>
      <c r="M400" s="146"/>
      <c r="N400" s="147"/>
      <c r="O400" s="147"/>
      <c r="P400" s="147"/>
      <c r="Q400" s="147"/>
    </row>
    <row r="401" ht="15.75" customHeight="1">
      <c r="A401" s="31"/>
      <c r="B401" s="31"/>
      <c r="C401" s="31"/>
      <c r="D401" s="31"/>
      <c r="E401" s="31"/>
      <c r="F401" s="144"/>
      <c r="G401" s="31"/>
      <c r="H401" s="31"/>
      <c r="I401" s="31"/>
      <c r="J401" s="31"/>
      <c r="K401" s="22"/>
      <c r="L401" s="46"/>
      <c r="M401" s="146"/>
      <c r="N401" s="147"/>
      <c r="O401" s="147"/>
      <c r="P401" s="147"/>
      <c r="Q401" s="147"/>
    </row>
    <row r="402" ht="15.75" customHeight="1">
      <c r="A402" s="31"/>
      <c r="B402" s="31"/>
      <c r="C402" s="31"/>
      <c r="D402" s="31"/>
      <c r="E402" s="31"/>
      <c r="F402" s="144"/>
      <c r="G402" s="31"/>
      <c r="H402" s="31"/>
      <c r="I402" s="31"/>
      <c r="J402" s="31"/>
      <c r="K402" s="22"/>
      <c r="L402" s="46"/>
      <c r="M402" s="146"/>
      <c r="N402" s="147"/>
      <c r="O402" s="147"/>
      <c r="P402" s="147"/>
      <c r="Q402" s="147"/>
    </row>
    <row r="403" ht="15.75" customHeight="1">
      <c r="A403" s="31"/>
      <c r="B403" s="31"/>
      <c r="C403" s="31"/>
      <c r="D403" s="31"/>
      <c r="E403" s="31"/>
      <c r="F403" s="144"/>
      <c r="G403" s="31"/>
      <c r="H403" s="31"/>
      <c r="I403" s="31"/>
      <c r="J403" s="31"/>
      <c r="K403" s="22"/>
      <c r="L403" s="46"/>
      <c r="M403" s="146"/>
      <c r="N403" s="147"/>
      <c r="O403" s="147"/>
      <c r="P403" s="147"/>
      <c r="Q403" s="147"/>
    </row>
    <row r="404" ht="15.75" customHeight="1">
      <c r="A404" s="31"/>
      <c r="B404" s="31"/>
      <c r="C404" s="31"/>
      <c r="D404" s="31"/>
      <c r="E404" s="31"/>
      <c r="F404" s="144"/>
      <c r="G404" s="31"/>
      <c r="H404" s="31"/>
      <c r="I404" s="31"/>
      <c r="J404" s="31"/>
      <c r="K404" s="22"/>
      <c r="L404" s="46"/>
      <c r="M404" s="146"/>
      <c r="N404" s="147"/>
      <c r="O404" s="147"/>
      <c r="P404" s="147"/>
      <c r="Q404" s="147"/>
    </row>
    <row r="405" ht="15.75" customHeight="1">
      <c r="A405" s="31"/>
      <c r="B405" s="31"/>
      <c r="C405" s="31"/>
      <c r="D405" s="31"/>
      <c r="E405" s="31"/>
      <c r="F405" s="144"/>
      <c r="G405" s="31"/>
      <c r="H405" s="31"/>
      <c r="I405" s="31"/>
      <c r="J405" s="31"/>
      <c r="K405" s="22"/>
      <c r="L405" s="46"/>
      <c r="M405" s="146"/>
      <c r="N405" s="147"/>
      <c r="O405" s="147"/>
      <c r="P405" s="147"/>
      <c r="Q405" s="147"/>
    </row>
    <row r="406" ht="15.75" customHeight="1">
      <c r="A406" s="31"/>
      <c r="B406" s="31"/>
      <c r="C406" s="31"/>
      <c r="D406" s="31"/>
      <c r="E406" s="31"/>
      <c r="F406" s="144"/>
      <c r="G406" s="31"/>
      <c r="H406" s="31"/>
      <c r="I406" s="31"/>
      <c r="J406" s="31"/>
      <c r="K406" s="22"/>
      <c r="L406" s="46"/>
      <c r="M406" s="146"/>
      <c r="N406" s="147"/>
      <c r="O406" s="147"/>
      <c r="P406" s="147"/>
      <c r="Q406" s="147"/>
    </row>
    <row r="407" ht="15.75" customHeight="1">
      <c r="A407" s="31"/>
      <c r="B407" s="31"/>
      <c r="C407" s="31"/>
      <c r="D407" s="31"/>
      <c r="E407" s="31"/>
      <c r="F407" s="144"/>
      <c r="G407" s="31"/>
      <c r="H407" s="31"/>
      <c r="I407" s="31"/>
      <c r="J407" s="31"/>
      <c r="K407" s="22"/>
      <c r="L407" s="46"/>
      <c r="M407" s="146"/>
      <c r="N407" s="147"/>
      <c r="O407" s="147"/>
      <c r="P407" s="147"/>
      <c r="Q407" s="147"/>
    </row>
    <row r="408" ht="15.75" customHeight="1">
      <c r="A408" s="31"/>
      <c r="B408" s="31"/>
      <c r="C408" s="31"/>
      <c r="D408" s="31"/>
      <c r="E408" s="31"/>
      <c r="F408" s="144"/>
      <c r="G408" s="31"/>
      <c r="H408" s="31"/>
      <c r="I408" s="31"/>
      <c r="J408" s="31"/>
      <c r="K408" s="22"/>
      <c r="L408" s="46"/>
      <c r="M408" s="146"/>
      <c r="N408" s="147"/>
      <c r="O408" s="147"/>
      <c r="P408" s="147"/>
      <c r="Q408" s="147"/>
    </row>
    <row r="409" ht="15.75" customHeight="1">
      <c r="A409" s="31"/>
      <c r="B409" s="31"/>
      <c r="C409" s="31"/>
      <c r="D409" s="31"/>
      <c r="E409" s="31"/>
      <c r="F409" s="144"/>
      <c r="G409" s="31"/>
      <c r="H409" s="31"/>
      <c r="I409" s="31"/>
      <c r="J409" s="31"/>
      <c r="K409" s="22"/>
      <c r="L409" s="46"/>
      <c r="M409" s="146"/>
      <c r="N409" s="147"/>
      <c r="O409" s="147"/>
      <c r="P409" s="147"/>
      <c r="Q409" s="147"/>
    </row>
    <row r="410" ht="15.75" customHeight="1">
      <c r="A410" s="31"/>
      <c r="B410" s="31"/>
      <c r="C410" s="31"/>
      <c r="D410" s="31"/>
      <c r="E410" s="31"/>
      <c r="F410" s="144"/>
      <c r="G410" s="31"/>
      <c r="H410" s="31"/>
      <c r="I410" s="31"/>
      <c r="J410" s="31"/>
      <c r="K410" s="22"/>
      <c r="L410" s="46"/>
      <c r="M410" s="146"/>
      <c r="N410" s="147"/>
      <c r="O410" s="147"/>
      <c r="P410" s="147"/>
      <c r="Q410" s="147"/>
    </row>
    <row r="411" ht="15.75" customHeight="1">
      <c r="A411" s="31"/>
      <c r="B411" s="31"/>
      <c r="C411" s="31"/>
      <c r="D411" s="31"/>
      <c r="E411" s="31"/>
      <c r="F411" s="144"/>
      <c r="G411" s="31"/>
      <c r="H411" s="31"/>
      <c r="I411" s="31"/>
      <c r="J411" s="31"/>
      <c r="K411" s="22"/>
      <c r="L411" s="46"/>
      <c r="M411" s="146"/>
      <c r="N411" s="147"/>
      <c r="O411" s="147"/>
      <c r="P411" s="147"/>
      <c r="Q411" s="147"/>
    </row>
    <row r="412" ht="15.75" customHeight="1">
      <c r="A412" s="31"/>
      <c r="B412" s="31"/>
      <c r="C412" s="31"/>
      <c r="D412" s="31"/>
      <c r="E412" s="31"/>
      <c r="F412" s="144"/>
      <c r="G412" s="31"/>
      <c r="H412" s="31"/>
      <c r="I412" s="31"/>
      <c r="J412" s="31"/>
      <c r="K412" s="22"/>
      <c r="L412" s="46"/>
      <c r="M412" s="146"/>
      <c r="N412" s="147"/>
      <c r="O412" s="147"/>
      <c r="P412" s="147"/>
      <c r="Q412" s="147"/>
    </row>
    <row r="413" ht="15.75" customHeight="1">
      <c r="A413" s="31"/>
      <c r="B413" s="31"/>
      <c r="C413" s="31"/>
      <c r="D413" s="31"/>
      <c r="E413" s="31"/>
      <c r="F413" s="144"/>
      <c r="G413" s="31"/>
      <c r="H413" s="31"/>
      <c r="I413" s="31"/>
      <c r="J413" s="31"/>
      <c r="K413" s="22"/>
      <c r="L413" s="46"/>
      <c r="M413" s="146"/>
      <c r="N413" s="147"/>
      <c r="O413" s="147"/>
      <c r="P413" s="147"/>
      <c r="Q413" s="147"/>
    </row>
    <row r="414" ht="15.75" customHeight="1">
      <c r="A414" s="31"/>
      <c r="B414" s="31"/>
      <c r="C414" s="31"/>
      <c r="D414" s="31"/>
      <c r="E414" s="31"/>
      <c r="F414" s="144"/>
      <c r="G414" s="31"/>
      <c r="H414" s="31"/>
      <c r="I414" s="31"/>
      <c r="J414" s="31"/>
      <c r="K414" s="22"/>
      <c r="L414" s="46"/>
      <c r="M414" s="146"/>
      <c r="N414" s="147"/>
      <c r="O414" s="147"/>
      <c r="P414" s="147"/>
      <c r="Q414" s="147"/>
    </row>
    <row r="415" ht="15.75" customHeight="1">
      <c r="A415" s="31"/>
      <c r="B415" s="31"/>
      <c r="C415" s="31"/>
      <c r="D415" s="31"/>
      <c r="E415" s="31"/>
      <c r="F415" s="144"/>
      <c r="G415" s="31"/>
      <c r="H415" s="31"/>
      <c r="I415" s="31"/>
      <c r="J415" s="31"/>
      <c r="K415" s="22"/>
      <c r="L415" s="46"/>
      <c r="M415" s="146"/>
      <c r="N415" s="147"/>
      <c r="O415" s="147"/>
      <c r="P415" s="147"/>
      <c r="Q415" s="147"/>
    </row>
    <row r="416" ht="15.75" customHeight="1">
      <c r="A416" s="31"/>
      <c r="B416" s="31"/>
      <c r="C416" s="31"/>
      <c r="D416" s="31"/>
      <c r="E416" s="31"/>
      <c r="F416" s="144"/>
      <c r="G416" s="31"/>
      <c r="H416" s="31"/>
      <c r="I416" s="31"/>
      <c r="J416" s="31"/>
      <c r="K416" s="22"/>
      <c r="L416" s="46"/>
      <c r="M416" s="146"/>
      <c r="N416" s="147"/>
      <c r="O416" s="147"/>
      <c r="P416" s="147"/>
      <c r="Q416" s="147"/>
    </row>
    <row r="417" ht="15.75" customHeight="1">
      <c r="A417" s="31"/>
      <c r="B417" s="31"/>
      <c r="C417" s="31"/>
      <c r="D417" s="31"/>
      <c r="E417" s="31"/>
      <c r="F417" s="144"/>
      <c r="G417" s="31"/>
      <c r="H417" s="31"/>
      <c r="I417" s="31"/>
      <c r="J417" s="31"/>
      <c r="K417" s="22"/>
      <c r="L417" s="46"/>
      <c r="M417" s="146"/>
      <c r="N417" s="147"/>
      <c r="O417" s="147"/>
      <c r="P417" s="147"/>
      <c r="Q417" s="147"/>
    </row>
    <row r="418" ht="15.75" customHeight="1">
      <c r="A418" s="31"/>
      <c r="B418" s="31"/>
      <c r="C418" s="31"/>
      <c r="D418" s="31"/>
      <c r="E418" s="31"/>
      <c r="F418" s="144"/>
      <c r="G418" s="31"/>
      <c r="H418" s="31"/>
      <c r="I418" s="31"/>
      <c r="J418" s="31"/>
      <c r="K418" s="22"/>
      <c r="L418" s="46"/>
      <c r="M418" s="146"/>
      <c r="N418" s="147"/>
      <c r="O418" s="147"/>
      <c r="P418" s="147"/>
      <c r="Q418" s="147"/>
    </row>
    <row r="419" ht="15.75" customHeight="1">
      <c r="A419" s="31"/>
      <c r="B419" s="31"/>
      <c r="C419" s="31"/>
      <c r="D419" s="31"/>
      <c r="E419" s="31"/>
      <c r="F419" s="144"/>
      <c r="G419" s="31"/>
      <c r="H419" s="31"/>
      <c r="I419" s="31"/>
      <c r="J419" s="31"/>
      <c r="K419" s="22"/>
      <c r="L419" s="46"/>
      <c r="M419" s="146"/>
      <c r="N419" s="147"/>
      <c r="O419" s="147"/>
      <c r="P419" s="147"/>
      <c r="Q419" s="147"/>
    </row>
    <row r="420" ht="15.75" customHeight="1">
      <c r="A420" s="31"/>
      <c r="B420" s="31"/>
      <c r="C420" s="31"/>
      <c r="D420" s="31"/>
      <c r="E420" s="31"/>
      <c r="F420" s="144"/>
      <c r="G420" s="31"/>
      <c r="H420" s="31"/>
      <c r="I420" s="31"/>
      <c r="J420" s="31"/>
      <c r="K420" s="22"/>
      <c r="L420" s="46"/>
      <c r="M420" s="146"/>
      <c r="N420" s="147"/>
      <c r="O420" s="147"/>
      <c r="P420" s="147"/>
      <c r="Q420" s="147"/>
    </row>
    <row r="421" ht="15.75" customHeight="1">
      <c r="A421" s="31"/>
      <c r="B421" s="31"/>
      <c r="C421" s="31"/>
      <c r="D421" s="31"/>
      <c r="E421" s="31"/>
      <c r="F421" s="144"/>
      <c r="G421" s="31"/>
      <c r="H421" s="31"/>
      <c r="I421" s="31"/>
      <c r="J421" s="31"/>
      <c r="K421" s="22"/>
      <c r="L421" s="46"/>
      <c r="M421" s="146"/>
      <c r="N421" s="147"/>
      <c r="O421" s="147"/>
      <c r="P421" s="147"/>
      <c r="Q421" s="147"/>
    </row>
    <row r="422" ht="15.75" customHeight="1">
      <c r="A422" s="31"/>
      <c r="B422" s="31"/>
      <c r="C422" s="31"/>
      <c r="D422" s="31"/>
      <c r="E422" s="31"/>
      <c r="F422" s="144"/>
      <c r="G422" s="31"/>
      <c r="H422" s="31"/>
      <c r="I422" s="31"/>
      <c r="J422" s="31"/>
      <c r="K422" s="22"/>
      <c r="L422" s="46"/>
      <c r="M422" s="146"/>
      <c r="N422" s="147"/>
      <c r="O422" s="147"/>
      <c r="P422" s="147"/>
      <c r="Q422" s="147"/>
    </row>
    <row r="423" ht="15.75" customHeight="1">
      <c r="A423" s="31"/>
      <c r="B423" s="31"/>
      <c r="C423" s="31"/>
      <c r="D423" s="31"/>
      <c r="E423" s="31"/>
      <c r="F423" s="144"/>
      <c r="G423" s="31"/>
      <c r="H423" s="31"/>
      <c r="I423" s="31"/>
      <c r="J423" s="31"/>
      <c r="K423" s="22"/>
      <c r="L423" s="46"/>
      <c r="M423" s="146"/>
      <c r="N423" s="147"/>
      <c r="O423" s="147"/>
      <c r="P423" s="147"/>
      <c r="Q423" s="147"/>
    </row>
    <row r="424" ht="15.75" customHeight="1">
      <c r="A424" s="31"/>
      <c r="B424" s="31"/>
      <c r="C424" s="31"/>
      <c r="D424" s="31"/>
      <c r="E424" s="31"/>
      <c r="F424" s="144"/>
      <c r="G424" s="31"/>
      <c r="H424" s="31"/>
      <c r="I424" s="31"/>
      <c r="J424" s="31"/>
      <c r="K424" s="22"/>
      <c r="L424" s="46"/>
      <c r="M424" s="146"/>
      <c r="N424" s="147"/>
      <c r="O424" s="147"/>
      <c r="P424" s="147"/>
      <c r="Q424" s="147"/>
    </row>
    <row r="425" ht="15.75" customHeight="1">
      <c r="A425" s="31"/>
      <c r="B425" s="31"/>
      <c r="C425" s="31"/>
      <c r="D425" s="31"/>
      <c r="E425" s="31"/>
      <c r="F425" s="144"/>
      <c r="G425" s="31"/>
      <c r="H425" s="31"/>
      <c r="I425" s="31"/>
      <c r="J425" s="31"/>
      <c r="K425" s="22"/>
      <c r="L425" s="46"/>
      <c r="M425" s="146"/>
      <c r="N425" s="147"/>
      <c r="O425" s="147"/>
      <c r="P425" s="147"/>
      <c r="Q425" s="147"/>
    </row>
    <row r="426" ht="15.75" customHeight="1">
      <c r="A426" s="31"/>
      <c r="B426" s="31"/>
      <c r="C426" s="31"/>
      <c r="D426" s="31"/>
      <c r="E426" s="31"/>
      <c r="F426" s="144"/>
      <c r="G426" s="31"/>
      <c r="H426" s="31"/>
      <c r="I426" s="31"/>
      <c r="J426" s="31"/>
      <c r="K426" s="22"/>
      <c r="L426" s="46"/>
      <c r="M426" s="146"/>
      <c r="N426" s="147"/>
      <c r="O426" s="147"/>
      <c r="P426" s="147"/>
      <c r="Q426" s="147"/>
    </row>
    <row r="427" ht="15.75" customHeight="1">
      <c r="A427" s="31"/>
      <c r="B427" s="31"/>
      <c r="C427" s="31"/>
      <c r="D427" s="31"/>
      <c r="E427" s="31"/>
      <c r="F427" s="144"/>
      <c r="G427" s="31"/>
      <c r="H427" s="31"/>
      <c r="I427" s="31"/>
      <c r="J427" s="31"/>
      <c r="K427" s="22"/>
      <c r="L427" s="46"/>
      <c r="M427" s="146"/>
      <c r="N427" s="147"/>
      <c r="O427" s="147"/>
      <c r="P427" s="147"/>
      <c r="Q427" s="147"/>
    </row>
    <row r="428" ht="15.75" customHeight="1">
      <c r="A428" s="31"/>
      <c r="B428" s="31"/>
      <c r="C428" s="31"/>
      <c r="D428" s="31"/>
      <c r="E428" s="31"/>
      <c r="F428" s="144"/>
      <c r="G428" s="31"/>
      <c r="H428" s="31"/>
      <c r="I428" s="31"/>
      <c r="J428" s="31"/>
      <c r="K428" s="22"/>
      <c r="L428" s="46"/>
      <c r="M428" s="146"/>
      <c r="N428" s="147"/>
      <c r="O428" s="147"/>
      <c r="P428" s="147"/>
      <c r="Q428" s="147"/>
    </row>
    <row r="429" ht="15.75" customHeight="1">
      <c r="A429" s="31"/>
      <c r="B429" s="31"/>
      <c r="C429" s="31"/>
      <c r="D429" s="31"/>
      <c r="E429" s="31"/>
      <c r="F429" s="144"/>
      <c r="G429" s="31"/>
      <c r="H429" s="31"/>
      <c r="I429" s="31"/>
      <c r="J429" s="31"/>
      <c r="K429" s="22"/>
      <c r="L429" s="46"/>
      <c r="M429" s="146"/>
      <c r="N429" s="147"/>
      <c r="O429" s="147"/>
      <c r="P429" s="147"/>
      <c r="Q429" s="147"/>
    </row>
    <row r="430" ht="15.75" customHeight="1">
      <c r="A430" s="31"/>
      <c r="B430" s="31"/>
      <c r="C430" s="31"/>
      <c r="D430" s="31"/>
      <c r="E430" s="31"/>
      <c r="F430" s="144"/>
      <c r="G430" s="31"/>
      <c r="H430" s="31"/>
      <c r="I430" s="31"/>
      <c r="J430" s="31"/>
      <c r="K430" s="22"/>
      <c r="L430" s="46"/>
      <c r="M430" s="146"/>
      <c r="N430" s="147"/>
      <c r="O430" s="147"/>
      <c r="P430" s="147"/>
      <c r="Q430" s="147"/>
    </row>
    <row r="431" ht="15.75" customHeight="1">
      <c r="A431" s="31"/>
      <c r="B431" s="31"/>
      <c r="C431" s="31"/>
      <c r="D431" s="31"/>
      <c r="E431" s="31"/>
      <c r="F431" s="144"/>
      <c r="G431" s="31"/>
      <c r="H431" s="31"/>
      <c r="I431" s="31"/>
      <c r="J431" s="31"/>
      <c r="K431" s="22"/>
      <c r="L431" s="46"/>
      <c r="M431" s="146"/>
      <c r="N431" s="147"/>
      <c r="O431" s="147"/>
      <c r="P431" s="147"/>
      <c r="Q431" s="147"/>
    </row>
    <row r="432" ht="15.75" customHeight="1">
      <c r="A432" s="31"/>
      <c r="B432" s="31"/>
      <c r="C432" s="31"/>
      <c r="D432" s="31"/>
      <c r="E432" s="31"/>
      <c r="F432" s="144"/>
      <c r="G432" s="31"/>
      <c r="H432" s="31"/>
      <c r="I432" s="31"/>
      <c r="J432" s="31"/>
      <c r="K432" s="22"/>
      <c r="L432" s="46"/>
      <c r="M432" s="146"/>
      <c r="N432" s="147"/>
      <c r="O432" s="147"/>
      <c r="P432" s="147"/>
      <c r="Q432" s="147"/>
    </row>
    <row r="433" ht="15.75" customHeight="1">
      <c r="A433" s="31"/>
      <c r="B433" s="31"/>
      <c r="C433" s="31"/>
      <c r="D433" s="31"/>
      <c r="E433" s="31"/>
      <c r="F433" s="144"/>
      <c r="G433" s="31"/>
      <c r="H433" s="31"/>
      <c r="I433" s="31"/>
      <c r="J433" s="31"/>
      <c r="K433" s="22"/>
      <c r="L433" s="46"/>
      <c r="M433" s="146"/>
      <c r="N433" s="147"/>
      <c r="O433" s="147"/>
      <c r="P433" s="147"/>
      <c r="Q433" s="147"/>
    </row>
    <row r="434" ht="15.75" customHeight="1">
      <c r="A434" s="31"/>
      <c r="B434" s="31"/>
      <c r="C434" s="31"/>
      <c r="D434" s="31"/>
      <c r="E434" s="31"/>
      <c r="F434" s="144"/>
      <c r="G434" s="31"/>
      <c r="H434" s="31"/>
      <c r="I434" s="31"/>
      <c r="J434" s="31"/>
      <c r="K434" s="22"/>
      <c r="L434" s="46"/>
      <c r="M434" s="146"/>
      <c r="N434" s="147"/>
      <c r="O434" s="147"/>
      <c r="P434" s="147"/>
      <c r="Q434" s="147"/>
    </row>
    <row r="435" ht="15.75" customHeight="1">
      <c r="A435" s="31"/>
      <c r="B435" s="31"/>
      <c r="C435" s="31"/>
      <c r="D435" s="31"/>
      <c r="E435" s="31"/>
      <c r="F435" s="144"/>
      <c r="G435" s="31"/>
      <c r="H435" s="31"/>
      <c r="I435" s="31"/>
      <c r="J435" s="31"/>
      <c r="K435" s="22"/>
      <c r="L435" s="46"/>
      <c r="M435" s="146"/>
      <c r="N435" s="147"/>
      <c r="O435" s="147"/>
      <c r="P435" s="147"/>
      <c r="Q435" s="147"/>
    </row>
    <row r="436" ht="15.75" customHeight="1">
      <c r="A436" s="31"/>
      <c r="B436" s="31"/>
      <c r="C436" s="31"/>
      <c r="D436" s="31"/>
      <c r="E436" s="31"/>
      <c r="F436" s="144"/>
      <c r="G436" s="31"/>
      <c r="H436" s="31"/>
      <c r="I436" s="31"/>
      <c r="J436" s="31"/>
      <c r="K436" s="22"/>
      <c r="L436" s="46"/>
      <c r="M436" s="146"/>
      <c r="N436" s="147"/>
      <c r="O436" s="147"/>
      <c r="P436" s="147"/>
      <c r="Q436" s="147"/>
    </row>
    <row r="437" ht="15.75" customHeight="1">
      <c r="A437" s="31"/>
      <c r="B437" s="31"/>
      <c r="C437" s="31"/>
      <c r="D437" s="31"/>
      <c r="E437" s="31"/>
      <c r="F437" s="144"/>
      <c r="G437" s="31"/>
      <c r="H437" s="31"/>
      <c r="I437" s="31"/>
      <c r="J437" s="31"/>
      <c r="K437" s="22"/>
      <c r="L437" s="46"/>
      <c r="M437" s="146"/>
      <c r="N437" s="147"/>
      <c r="O437" s="147"/>
      <c r="P437" s="147"/>
      <c r="Q437" s="147"/>
    </row>
    <row r="438" ht="15.75" customHeight="1">
      <c r="A438" s="31"/>
      <c r="B438" s="31"/>
      <c r="C438" s="31"/>
      <c r="D438" s="31"/>
      <c r="E438" s="31"/>
      <c r="F438" s="144"/>
      <c r="G438" s="31"/>
      <c r="H438" s="31"/>
      <c r="I438" s="31"/>
      <c r="J438" s="31"/>
      <c r="K438" s="22"/>
      <c r="L438" s="46"/>
      <c r="M438" s="146"/>
      <c r="N438" s="147"/>
      <c r="O438" s="147"/>
      <c r="P438" s="147"/>
      <c r="Q438" s="147"/>
    </row>
    <row r="439" ht="15.75" customHeight="1">
      <c r="A439" s="31"/>
      <c r="B439" s="31"/>
      <c r="C439" s="31"/>
      <c r="D439" s="31"/>
      <c r="E439" s="31"/>
      <c r="F439" s="144"/>
      <c r="G439" s="31"/>
      <c r="H439" s="31"/>
      <c r="I439" s="31"/>
      <c r="J439" s="31"/>
      <c r="K439" s="22"/>
      <c r="L439" s="46"/>
      <c r="M439" s="146"/>
      <c r="N439" s="147"/>
      <c r="O439" s="147"/>
      <c r="P439" s="147"/>
      <c r="Q439" s="147"/>
    </row>
    <row r="440" ht="15.75" customHeight="1">
      <c r="A440" s="31"/>
      <c r="B440" s="31"/>
      <c r="C440" s="31"/>
      <c r="D440" s="31"/>
      <c r="E440" s="31"/>
      <c r="F440" s="144"/>
      <c r="G440" s="31"/>
      <c r="H440" s="31"/>
      <c r="I440" s="31"/>
      <c r="J440" s="31"/>
      <c r="K440" s="22"/>
      <c r="L440" s="46"/>
      <c r="M440" s="146"/>
      <c r="N440" s="147"/>
      <c r="O440" s="147"/>
      <c r="P440" s="147"/>
      <c r="Q440" s="147"/>
    </row>
    <row r="441" ht="15.75" customHeight="1">
      <c r="A441" s="31"/>
      <c r="B441" s="31"/>
      <c r="C441" s="31"/>
      <c r="D441" s="31"/>
      <c r="E441" s="31"/>
      <c r="F441" s="144"/>
      <c r="G441" s="31"/>
      <c r="H441" s="31"/>
      <c r="I441" s="31"/>
      <c r="J441" s="31"/>
      <c r="K441" s="22"/>
      <c r="L441" s="46"/>
      <c r="M441" s="146"/>
      <c r="N441" s="147"/>
      <c r="O441" s="147"/>
      <c r="P441" s="147"/>
      <c r="Q441" s="147"/>
    </row>
    <row r="442" ht="15.75" customHeight="1">
      <c r="A442" s="31"/>
      <c r="B442" s="31"/>
      <c r="C442" s="31"/>
      <c r="D442" s="31"/>
      <c r="E442" s="31"/>
      <c r="F442" s="144"/>
      <c r="G442" s="31"/>
      <c r="H442" s="31"/>
      <c r="I442" s="31"/>
      <c r="J442" s="31"/>
      <c r="K442" s="22"/>
      <c r="L442" s="46"/>
      <c r="M442" s="146"/>
      <c r="N442" s="147"/>
      <c r="O442" s="147"/>
      <c r="P442" s="147"/>
      <c r="Q442" s="147"/>
    </row>
    <row r="443" ht="15.75" customHeight="1">
      <c r="A443" s="31"/>
      <c r="B443" s="31"/>
      <c r="C443" s="31"/>
      <c r="D443" s="31"/>
      <c r="E443" s="31"/>
      <c r="F443" s="144"/>
      <c r="G443" s="31"/>
      <c r="H443" s="31"/>
      <c r="I443" s="31"/>
      <c r="J443" s="31"/>
      <c r="K443" s="22"/>
      <c r="L443" s="46"/>
      <c r="M443" s="146"/>
      <c r="N443" s="147"/>
      <c r="O443" s="147"/>
      <c r="P443" s="147"/>
      <c r="Q443" s="147"/>
    </row>
    <row r="444" ht="15.75" customHeight="1">
      <c r="A444" s="31"/>
      <c r="B444" s="31"/>
      <c r="C444" s="31"/>
      <c r="D444" s="31"/>
      <c r="E444" s="31"/>
      <c r="F444" s="144"/>
      <c r="G444" s="31"/>
      <c r="H444" s="31"/>
      <c r="I444" s="31"/>
      <c r="J444" s="31"/>
      <c r="K444" s="22"/>
      <c r="L444" s="46"/>
      <c r="M444" s="146"/>
      <c r="N444" s="147"/>
      <c r="O444" s="147"/>
      <c r="P444" s="147"/>
      <c r="Q444" s="147"/>
    </row>
    <row r="445" ht="15.75" customHeight="1">
      <c r="A445" s="31"/>
      <c r="B445" s="31"/>
      <c r="C445" s="31"/>
      <c r="D445" s="31"/>
      <c r="E445" s="31"/>
      <c r="F445" s="144"/>
      <c r="G445" s="31"/>
      <c r="H445" s="31"/>
      <c r="I445" s="31"/>
      <c r="J445" s="31"/>
      <c r="K445" s="22"/>
      <c r="L445" s="46"/>
      <c r="M445" s="146"/>
      <c r="N445" s="147"/>
      <c r="O445" s="147"/>
      <c r="P445" s="147"/>
      <c r="Q445" s="147"/>
    </row>
    <row r="446" ht="15.75" customHeight="1">
      <c r="A446" s="31"/>
      <c r="B446" s="31"/>
      <c r="C446" s="31"/>
      <c r="D446" s="31"/>
      <c r="E446" s="31"/>
      <c r="F446" s="144"/>
      <c r="G446" s="31"/>
      <c r="H446" s="31"/>
      <c r="I446" s="31"/>
      <c r="J446" s="31"/>
      <c r="K446" s="22"/>
      <c r="L446" s="46"/>
      <c r="M446" s="146"/>
      <c r="N446" s="147"/>
      <c r="O446" s="147"/>
      <c r="P446" s="147"/>
      <c r="Q446" s="147"/>
    </row>
    <row r="447" ht="15.75" customHeight="1">
      <c r="A447" s="31"/>
      <c r="B447" s="31"/>
      <c r="C447" s="31"/>
      <c r="D447" s="31"/>
      <c r="E447" s="31"/>
      <c r="F447" s="144"/>
      <c r="G447" s="31"/>
      <c r="H447" s="31"/>
      <c r="I447" s="31"/>
      <c r="J447" s="31"/>
      <c r="K447" s="22"/>
      <c r="L447" s="46"/>
      <c r="M447" s="146"/>
      <c r="N447" s="147"/>
      <c r="O447" s="147"/>
      <c r="P447" s="147"/>
      <c r="Q447" s="147"/>
    </row>
    <row r="448" ht="15.75" customHeight="1">
      <c r="A448" s="31"/>
      <c r="B448" s="31"/>
      <c r="C448" s="31"/>
      <c r="D448" s="31"/>
      <c r="E448" s="31"/>
      <c r="F448" s="144"/>
      <c r="G448" s="31"/>
      <c r="H448" s="31"/>
      <c r="I448" s="31"/>
      <c r="J448" s="31"/>
      <c r="K448" s="22"/>
      <c r="L448" s="46"/>
      <c r="M448" s="146"/>
      <c r="N448" s="147"/>
      <c r="O448" s="147"/>
      <c r="P448" s="147"/>
      <c r="Q448" s="147"/>
    </row>
    <row r="449" ht="15.75" customHeight="1">
      <c r="A449" s="31"/>
      <c r="B449" s="31"/>
      <c r="C449" s="31"/>
      <c r="D449" s="31"/>
      <c r="E449" s="31"/>
      <c r="F449" s="144"/>
      <c r="G449" s="31"/>
      <c r="H449" s="31"/>
      <c r="I449" s="31"/>
      <c r="J449" s="31"/>
      <c r="K449" s="22"/>
      <c r="L449" s="46"/>
      <c r="M449" s="146"/>
      <c r="N449" s="147"/>
      <c r="O449" s="147"/>
      <c r="P449" s="147"/>
      <c r="Q449" s="147"/>
    </row>
    <row r="450" ht="15.75" customHeight="1">
      <c r="A450" s="31"/>
      <c r="B450" s="31"/>
      <c r="C450" s="31"/>
      <c r="D450" s="31"/>
      <c r="E450" s="31"/>
      <c r="F450" s="144"/>
      <c r="G450" s="31"/>
      <c r="H450" s="31"/>
      <c r="I450" s="31"/>
      <c r="J450" s="31"/>
      <c r="K450" s="22"/>
      <c r="L450" s="46"/>
      <c r="M450" s="146"/>
      <c r="N450" s="147"/>
      <c r="O450" s="147"/>
      <c r="P450" s="147"/>
      <c r="Q450" s="147"/>
    </row>
    <row r="451" ht="15.75" customHeight="1">
      <c r="A451" s="31"/>
      <c r="B451" s="31"/>
      <c r="C451" s="31"/>
      <c r="D451" s="31"/>
      <c r="E451" s="31"/>
      <c r="F451" s="144"/>
      <c r="G451" s="31"/>
      <c r="H451" s="31"/>
      <c r="I451" s="31"/>
      <c r="J451" s="31"/>
      <c r="K451" s="22"/>
      <c r="L451" s="46"/>
      <c r="M451" s="146"/>
      <c r="N451" s="147"/>
      <c r="O451" s="147"/>
      <c r="P451" s="147"/>
      <c r="Q451" s="147"/>
    </row>
    <row r="452" ht="15.75" customHeight="1">
      <c r="A452" s="31"/>
      <c r="B452" s="31"/>
      <c r="C452" s="31"/>
      <c r="D452" s="31"/>
      <c r="E452" s="31"/>
      <c r="F452" s="144"/>
      <c r="G452" s="31"/>
      <c r="H452" s="31"/>
      <c r="I452" s="31"/>
      <c r="J452" s="31"/>
      <c r="K452" s="22"/>
      <c r="L452" s="46"/>
      <c r="M452" s="146"/>
      <c r="N452" s="147"/>
      <c r="O452" s="147"/>
      <c r="P452" s="147"/>
      <c r="Q452" s="147"/>
    </row>
    <row r="453" ht="15.75" customHeight="1">
      <c r="A453" s="31"/>
      <c r="B453" s="31"/>
      <c r="C453" s="31"/>
      <c r="D453" s="31"/>
      <c r="E453" s="31"/>
      <c r="F453" s="144"/>
      <c r="G453" s="31"/>
      <c r="H453" s="31"/>
      <c r="I453" s="31"/>
      <c r="J453" s="31"/>
      <c r="K453" s="22"/>
      <c r="L453" s="46"/>
      <c r="M453" s="146"/>
      <c r="N453" s="147"/>
      <c r="O453" s="147"/>
      <c r="P453" s="147"/>
      <c r="Q453" s="147"/>
    </row>
    <row r="454" ht="15.75" customHeight="1">
      <c r="A454" s="31"/>
      <c r="B454" s="31"/>
      <c r="C454" s="31"/>
      <c r="D454" s="31"/>
      <c r="E454" s="31"/>
      <c r="F454" s="144"/>
      <c r="G454" s="31"/>
      <c r="H454" s="31"/>
      <c r="I454" s="31"/>
      <c r="J454" s="31"/>
      <c r="K454" s="22"/>
      <c r="L454" s="46"/>
      <c r="M454" s="146"/>
      <c r="N454" s="147"/>
      <c r="O454" s="147"/>
      <c r="P454" s="147"/>
      <c r="Q454" s="147"/>
    </row>
    <row r="455" ht="15.75" customHeight="1">
      <c r="A455" s="31"/>
      <c r="B455" s="31"/>
      <c r="C455" s="31"/>
      <c r="D455" s="31"/>
      <c r="E455" s="31"/>
      <c r="F455" s="144"/>
      <c r="G455" s="31"/>
      <c r="H455" s="31"/>
      <c r="I455" s="31"/>
      <c r="J455" s="31"/>
      <c r="K455" s="22"/>
      <c r="L455" s="46"/>
      <c r="M455" s="146"/>
      <c r="N455" s="147"/>
      <c r="O455" s="147"/>
      <c r="P455" s="147"/>
      <c r="Q455" s="147"/>
    </row>
    <row r="456" ht="15.75" customHeight="1">
      <c r="A456" s="31"/>
      <c r="B456" s="31"/>
      <c r="C456" s="31"/>
      <c r="D456" s="31"/>
      <c r="E456" s="31"/>
      <c r="F456" s="144"/>
      <c r="G456" s="31"/>
      <c r="H456" s="31"/>
      <c r="I456" s="31"/>
      <c r="J456" s="31"/>
      <c r="K456" s="22"/>
      <c r="L456" s="46"/>
      <c r="M456" s="146"/>
      <c r="N456" s="147"/>
      <c r="O456" s="147"/>
      <c r="P456" s="147"/>
      <c r="Q456" s="147"/>
    </row>
    <row r="457" ht="15.75" customHeight="1">
      <c r="A457" s="31"/>
      <c r="B457" s="31"/>
      <c r="C457" s="31"/>
      <c r="D457" s="31"/>
      <c r="E457" s="31"/>
      <c r="F457" s="144"/>
      <c r="G457" s="31"/>
      <c r="H457" s="31"/>
      <c r="I457" s="31"/>
      <c r="J457" s="31"/>
      <c r="K457" s="22"/>
      <c r="L457" s="46"/>
      <c r="M457" s="146"/>
      <c r="N457" s="147"/>
      <c r="O457" s="147"/>
      <c r="P457" s="147"/>
      <c r="Q457" s="147"/>
    </row>
    <row r="458" ht="15.75" customHeight="1">
      <c r="A458" s="31"/>
      <c r="B458" s="31"/>
      <c r="C458" s="31"/>
      <c r="D458" s="31"/>
      <c r="E458" s="31"/>
      <c r="F458" s="144"/>
      <c r="G458" s="31"/>
      <c r="H458" s="31"/>
      <c r="I458" s="31"/>
      <c r="J458" s="31"/>
      <c r="K458" s="22"/>
      <c r="L458" s="46"/>
      <c r="M458" s="146"/>
      <c r="N458" s="147"/>
      <c r="O458" s="147"/>
      <c r="P458" s="147"/>
      <c r="Q458" s="147"/>
    </row>
    <row r="459" ht="15.75" customHeight="1">
      <c r="A459" s="31"/>
      <c r="B459" s="31"/>
      <c r="C459" s="31"/>
      <c r="D459" s="31"/>
      <c r="E459" s="31"/>
      <c r="F459" s="144"/>
      <c r="G459" s="31"/>
      <c r="H459" s="31"/>
      <c r="I459" s="31"/>
      <c r="J459" s="31"/>
      <c r="K459" s="22"/>
      <c r="L459" s="46"/>
      <c r="M459" s="146"/>
      <c r="N459" s="147"/>
      <c r="O459" s="147"/>
      <c r="P459" s="147"/>
      <c r="Q459" s="147"/>
    </row>
    <row r="460" ht="15.75" customHeight="1">
      <c r="A460" s="31"/>
      <c r="B460" s="31"/>
      <c r="C460" s="31"/>
      <c r="D460" s="31"/>
      <c r="E460" s="31"/>
      <c r="F460" s="144"/>
      <c r="G460" s="31"/>
      <c r="H460" s="31"/>
      <c r="I460" s="31"/>
      <c r="J460" s="31"/>
      <c r="K460" s="22"/>
      <c r="L460" s="46"/>
      <c r="M460" s="146"/>
      <c r="N460" s="147"/>
      <c r="O460" s="147"/>
      <c r="P460" s="147"/>
      <c r="Q460" s="147"/>
    </row>
    <row r="461" ht="15.75" customHeight="1">
      <c r="A461" s="31"/>
      <c r="B461" s="31"/>
      <c r="C461" s="31"/>
      <c r="D461" s="31"/>
      <c r="E461" s="31"/>
      <c r="F461" s="144"/>
      <c r="G461" s="31"/>
      <c r="H461" s="31"/>
      <c r="I461" s="31"/>
      <c r="J461" s="31"/>
      <c r="K461" s="22"/>
      <c r="L461" s="46"/>
      <c r="M461" s="146"/>
      <c r="N461" s="147"/>
      <c r="O461" s="147"/>
      <c r="P461" s="147"/>
      <c r="Q461" s="147"/>
    </row>
    <row r="462" ht="15.75" customHeight="1">
      <c r="A462" s="31"/>
      <c r="B462" s="31"/>
      <c r="C462" s="31"/>
      <c r="D462" s="31"/>
      <c r="E462" s="31"/>
      <c r="F462" s="144"/>
      <c r="G462" s="31"/>
      <c r="H462" s="31"/>
      <c r="I462" s="31"/>
      <c r="J462" s="31"/>
      <c r="K462" s="22"/>
      <c r="L462" s="46"/>
      <c r="M462" s="146"/>
      <c r="N462" s="147"/>
      <c r="O462" s="147"/>
      <c r="P462" s="147"/>
      <c r="Q462" s="147"/>
    </row>
    <row r="463" ht="15.75" customHeight="1">
      <c r="A463" s="31"/>
      <c r="B463" s="31"/>
      <c r="C463" s="31"/>
      <c r="D463" s="31"/>
      <c r="E463" s="31"/>
      <c r="F463" s="144"/>
      <c r="G463" s="31"/>
      <c r="H463" s="31"/>
      <c r="I463" s="31"/>
      <c r="J463" s="31"/>
      <c r="K463" s="22"/>
      <c r="L463" s="46"/>
      <c r="M463" s="146"/>
      <c r="N463" s="147"/>
      <c r="O463" s="147"/>
      <c r="P463" s="147"/>
      <c r="Q463" s="147"/>
    </row>
    <row r="464" ht="15.75" customHeight="1">
      <c r="A464" s="31"/>
      <c r="B464" s="31"/>
      <c r="C464" s="31"/>
      <c r="D464" s="31"/>
      <c r="E464" s="31"/>
      <c r="F464" s="144"/>
      <c r="G464" s="31"/>
      <c r="H464" s="31"/>
      <c r="I464" s="31"/>
      <c r="J464" s="31"/>
      <c r="K464" s="22"/>
      <c r="L464" s="46"/>
      <c r="M464" s="146"/>
      <c r="N464" s="147"/>
      <c r="O464" s="147"/>
      <c r="P464" s="147"/>
      <c r="Q464" s="147"/>
    </row>
    <row r="465" ht="15.75" customHeight="1">
      <c r="A465" s="31"/>
      <c r="B465" s="31"/>
      <c r="C465" s="31"/>
      <c r="D465" s="31"/>
      <c r="E465" s="31"/>
      <c r="F465" s="144"/>
      <c r="G465" s="31"/>
      <c r="H465" s="31"/>
      <c r="I465" s="31"/>
      <c r="J465" s="31"/>
      <c r="K465" s="22"/>
      <c r="L465" s="46"/>
      <c r="M465" s="146"/>
      <c r="N465" s="147"/>
      <c r="O465" s="147"/>
      <c r="P465" s="147"/>
      <c r="Q465" s="147"/>
    </row>
    <row r="466" ht="15.75" customHeight="1">
      <c r="A466" s="31"/>
      <c r="B466" s="31"/>
      <c r="C466" s="31"/>
      <c r="D466" s="31"/>
      <c r="E466" s="31"/>
      <c r="F466" s="144"/>
      <c r="G466" s="31"/>
      <c r="H466" s="31"/>
      <c r="I466" s="31"/>
      <c r="J466" s="31"/>
      <c r="K466" s="22"/>
      <c r="L466" s="46"/>
      <c r="M466" s="146"/>
      <c r="N466" s="147"/>
      <c r="O466" s="147"/>
      <c r="P466" s="147"/>
      <c r="Q466" s="147"/>
    </row>
    <row r="467" ht="15.75" customHeight="1">
      <c r="A467" s="31"/>
      <c r="B467" s="31"/>
      <c r="C467" s="31"/>
      <c r="D467" s="31"/>
      <c r="E467" s="31"/>
      <c r="F467" s="144"/>
      <c r="G467" s="31"/>
      <c r="H467" s="31"/>
      <c r="I467" s="31"/>
      <c r="J467" s="31"/>
      <c r="K467" s="22"/>
      <c r="L467" s="46"/>
      <c r="M467" s="146"/>
      <c r="N467" s="147"/>
      <c r="O467" s="147"/>
      <c r="P467" s="147"/>
      <c r="Q467" s="147"/>
    </row>
    <row r="468" ht="15.75" customHeight="1">
      <c r="A468" s="31"/>
      <c r="B468" s="31"/>
      <c r="C468" s="31"/>
      <c r="D468" s="31"/>
      <c r="E468" s="31"/>
      <c r="F468" s="144"/>
      <c r="G468" s="31"/>
      <c r="H468" s="31"/>
      <c r="I468" s="31"/>
      <c r="J468" s="31"/>
      <c r="K468" s="22"/>
      <c r="L468" s="46"/>
      <c r="M468" s="146"/>
      <c r="N468" s="147"/>
      <c r="O468" s="147"/>
      <c r="P468" s="147"/>
      <c r="Q468" s="147"/>
    </row>
    <row r="469" ht="15.75" customHeight="1">
      <c r="A469" s="31"/>
      <c r="B469" s="31"/>
      <c r="C469" s="31"/>
      <c r="D469" s="31"/>
      <c r="E469" s="31"/>
      <c r="F469" s="144"/>
      <c r="G469" s="31"/>
      <c r="H469" s="31"/>
      <c r="I469" s="31"/>
      <c r="J469" s="31"/>
      <c r="K469" s="22"/>
      <c r="L469" s="46"/>
      <c r="M469" s="146"/>
      <c r="N469" s="147"/>
      <c r="O469" s="147"/>
      <c r="P469" s="147"/>
      <c r="Q469" s="147"/>
    </row>
    <row r="470" ht="15.75" customHeight="1">
      <c r="A470" s="31"/>
      <c r="B470" s="31"/>
      <c r="C470" s="31"/>
      <c r="D470" s="31"/>
      <c r="E470" s="31"/>
      <c r="F470" s="144"/>
      <c r="G470" s="31"/>
      <c r="H470" s="31"/>
      <c r="I470" s="31"/>
      <c r="J470" s="31"/>
      <c r="K470" s="22"/>
      <c r="L470" s="46"/>
      <c r="M470" s="146"/>
      <c r="N470" s="147"/>
      <c r="O470" s="147"/>
      <c r="P470" s="147"/>
      <c r="Q470" s="147"/>
    </row>
    <row r="471" ht="15.75" customHeight="1">
      <c r="A471" s="31"/>
      <c r="B471" s="31"/>
      <c r="C471" s="31"/>
      <c r="D471" s="31"/>
      <c r="E471" s="31"/>
      <c r="F471" s="144"/>
      <c r="G471" s="31"/>
      <c r="H471" s="31"/>
      <c r="I471" s="31"/>
      <c r="J471" s="31"/>
      <c r="K471" s="22"/>
      <c r="L471" s="46"/>
      <c r="M471" s="146"/>
      <c r="N471" s="147"/>
      <c r="O471" s="147"/>
      <c r="P471" s="147"/>
      <c r="Q471" s="147"/>
    </row>
    <row r="472" ht="15.75" customHeight="1">
      <c r="A472" s="31"/>
      <c r="B472" s="31"/>
      <c r="C472" s="31"/>
      <c r="D472" s="31"/>
      <c r="E472" s="31"/>
      <c r="F472" s="144"/>
      <c r="G472" s="31"/>
      <c r="H472" s="31"/>
      <c r="I472" s="31"/>
      <c r="J472" s="31"/>
      <c r="K472" s="22"/>
      <c r="L472" s="46"/>
      <c r="M472" s="146"/>
      <c r="N472" s="147"/>
      <c r="O472" s="147"/>
      <c r="P472" s="147"/>
      <c r="Q472" s="147"/>
    </row>
    <row r="473" ht="15.75" customHeight="1">
      <c r="A473" s="31"/>
      <c r="B473" s="31"/>
      <c r="C473" s="31"/>
      <c r="D473" s="31"/>
      <c r="E473" s="31"/>
      <c r="F473" s="144"/>
      <c r="G473" s="31"/>
      <c r="H473" s="31"/>
      <c r="I473" s="31"/>
      <c r="J473" s="31"/>
      <c r="K473" s="22"/>
      <c r="L473" s="46"/>
      <c r="M473" s="146"/>
      <c r="N473" s="147"/>
      <c r="O473" s="147"/>
      <c r="P473" s="147"/>
      <c r="Q473" s="147"/>
    </row>
    <row r="474" ht="15.75" customHeight="1">
      <c r="A474" s="31"/>
      <c r="B474" s="31"/>
      <c r="C474" s="31"/>
      <c r="D474" s="31"/>
      <c r="E474" s="31"/>
      <c r="F474" s="144"/>
      <c r="G474" s="31"/>
      <c r="H474" s="31"/>
      <c r="I474" s="31"/>
      <c r="J474" s="31"/>
      <c r="K474" s="22"/>
      <c r="L474" s="46"/>
      <c r="M474" s="146"/>
      <c r="N474" s="147"/>
      <c r="O474" s="147"/>
      <c r="P474" s="147"/>
      <c r="Q474" s="147"/>
    </row>
    <row r="475" ht="15.75" customHeight="1">
      <c r="A475" s="31"/>
      <c r="B475" s="31"/>
      <c r="C475" s="31"/>
      <c r="D475" s="31"/>
      <c r="E475" s="31"/>
      <c r="F475" s="144"/>
      <c r="G475" s="31"/>
      <c r="H475" s="31"/>
      <c r="I475" s="31"/>
      <c r="J475" s="31"/>
      <c r="K475" s="22"/>
      <c r="L475" s="46"/>
      <c r="M475" s="146"/>
      <c r="N475" s="147"/>
      <c r="O475" s="147"/>
      <c r="P475" s="147"/>
      <c r="Q475" s="147"/>
    </row>
    <row r="476" ht="15.75" customHeight="1">
      <c r="A476" s="31"/>
      <c r="B476" s="31"/>
      <c r="C476" s="31"/>
      <c r="D476" s="31"/>
      <c r="E476" s="31"/>
      <c r="F476" s="144"/>
      <c r="G476" s="31"/>
      <c r="H476" s="31"/>
      <c r="I476" s="31"/>
      <c r="J476" s="31"/>
      <c r="K476" s="22"/>
      <c r="L476" s="46"/>
      <c r="M476" s="146"/>
      <c r="N476" s="147"/>
      <c r="O476" s="147"/>
      <c r="P476" s="147"/>
      <c r="Q476" s="147"/>
    </row>
    <row r="477" ht="15.75" customHeight="1">
      <c r="A477" s="31"/>
      <c r="B477" s="31"/>
      <c r="C477" s="31"/>
      <c r="D477" s="31"/>
      <c r="E477" s="31"/>
      <c r="F477" s="144"/>
      <c r="G477" s="31"/>
      <c r="H477" s="31"/>
      <c r="I477" s="31"/>
      <c r="J477" s="31"/>
      <c r="K477" s="22"/>
      <c r="L477" s="46"/>
      <c r="M477" s="146"/>
      <c r="N477" s="147"/>
      <c r="O477" s="147"/>
      <c r="P477" s="147"/>
      <c r="Q477" s="147"/>
    </row>
    <row r="478" ht="15.75" customHeight="1">
      <c r="A478" s="31"/>
      <c r="B478" s="31"/>
      <c r="C478" s="31"/>
      <c r="D478" s="31"/>
      <c r="E478" s="31"/>
      <c r="F478" s="144"/>
      <c r="G478" s="31"/>
      <c r="H478" s="31"/>
      <c r="I478" s="31"/>
      <c r="J478" s="31"/>
      <c r="K478" s="22"/>
      <c r="L478" s="46"/>
      <c r="M478" s="146"/>
      <c r="N478" s="147"/>
      <c r="O478" s="147"/>
      <c r="P478" s="147"/>
      <c r="Q478" s="147"/>
    </row>
    <row r="479" ht="15.75" customHeight="1">
      <c r="A479" s="31"/>
      <c r="B479" s="31"/>
      <c r="C479" s="31"/>
      <c r="D479" s="31"/>
      <c r="E479" s="31"/>
      <c r="F479" s="144"/>
      <c r="G479" s="31"/>
      <c r="H479" s="31"/>
      <c r="I479" s="31"/>
      <c r="J479" s="31"/>
      <c r="K479" s="22"/>
      <c r="L479" s="46"/>
      <c r="M479" s="146"/>
      <c r="N479" s="147"/>
      <c r="O479" s="147"/>
      <c r="P479" s="147"/>
      <c r="Q479" s="147"/>
    </row>
    <row r="480" ht="15.75" customHeight="1">
      <c r="A480" s="31"/>
      <c r="B480" s="31"/>
      <c r="C480" s="31"/>
      <c r="D480" s="31"/>
      <c r="E480" s="31"/>
      <c r="F480" s="144"/>
      <c r="G480" s="31"/>
      <c r="H480" s="31"/>
      <c r="I480" s="31"/>
      <c r="J480" s="31"/>
      <c r="K480" s="22"/>
      <c r="L480" s="46"/>
      <c r="M480" s="146"/>
      <c r="N480" s="147"/>
      <c r="O480" s="147"/>
      <c r="P480" s="147"/>
      <c r="Q480" s="147"/>
    </row>
    <row r="481" ht="15.75" customHeight="1">
      <c r="A481" s="31"/>
      <c r="B481" s="31"/>
      <c r="C481" s="31"/>
      <c r="D481" s="31"/>
      <c r="E481" s="31"/>
      <c r="F481" s="144"/>
      <c r="G481" s="31"/>
      <c r="H481" s="31"/>
      <c r="I481" s="31"/>
      <c r="J481" s="31"/>
      <c r="K481" s="22"/>
      <c r="L481" s="46"/>
      <c r="M481" s="146"/>
      <c r="N481" s="147"/>
      <c r="O481" s="147"/>
      <c r="P481" s="147"/>
      <c r="Q481" s="147"/>
    </row>
    <row r="482" ht="15.75" customHeight="1">
      <c r="A482" s="31"/>
      <c r="B482" s="31"/>
      <c r="C482" s="31"/>
      <c r="D482" s="31"/>
      <c r="E482" s="31"/>
      <c r="F482" s="144"/>
      <c r="G482" s="31"/>
      <c r="H482" s="31"/>
      <c r="I482" s="31"/>
      <c r="J482" s="31"/>
      <c r="K482" s="22"/>
      <c r="L482" s="46"/>
      <c r="M482" s="146"/>
      <c r="N482" s="147"/>
      <c r="O482" s="147"/>
      <c r="P482" s="147"/>
      <c r="Q482" s="147"/>
    </row>
    <row r="483" ht="15.75" customHeight="1">
      <c r="A483" s="31"/>
      <c r="B483" s="31"/>
      <c r="C483" s="31"/>
      <c r="D483" s="31"/>
      <c r="E483" s="31"/>
      <c r="F483" s="144"/>
      <c r="G483" s="31"/>
      <c r="H483" s="31"/>
      <c r="I483" s="31"/>
      <c r="J483" s="31"/>
      <c r="K483" s="22"/>
      <c r="L483" s="46"/>
      <c r="M483" s="146"/>
      <c r="N483" s="147"/>
      <c r="O483" s="147"/>
      <c r="P483" s="147"/>
      <c r="Q483" s="147"/>
    </row>
    <row r="484" ht="15.75" customHeight="1">
      <c r="A484" s="31"/>
      <c r="B484" s="31"/>
      <c r="C484" s="31"/>
      <c r="D484" s="31"/>
      <c r="E484" s="31"/>
      <c r="F484" s="144"/>
      <c r="G484" s="31"/>
      <c r="H484" s="31"/>
      <c r="I484" s="31"/>
      <c r="J484" s="31"/>
      <c r="K484" s="22"/>
      <c r="L484" s="46"/>
      <c r="M484" s="146"/>
      <c r="N484" s="147"/>
      <c r="O484" s="147"/>
      <c r="P484" s="147"/>
      <c r="Q484" s="147"/>
    </row>
    <row r="485" ht="15.75" customHeight="1">
      <c r="A485" s="31"/>
      <c r="B485" s="31"/>
      <c r="C485" s="31"/>
      <c r="D485" s="31"/>
      <c r="E485" s="31"/>
      <c r="F485" s="144"/>
      <c r="G485" s="31"/>
      <c r="H485" s="31"/>
      <c r="I485" s="31"/>
      <c r="J485" s="31"/>
      <c r="K485" s="22"/>
      <c r="L485" s="46"/>
      <c r="M485" s="146"/>
      <c r="N485" s="147"/>
      <c r="O485" s="147"/>
      <c r="P485" s="147"/>
      <c r="Q485" s="147"/>
    </row>
    <row r="486" ht="15.75" customHeight="1">
      <c r="A486" s="31"/>
      <c r="B486" s="31"/>
      <c r="C486" s="31"/>
      <c r="D486" s="31"/>
      <c r="E486" s="31"/>
      <c r="F486" s="144"/>
      <c r="G486" s="31"/>
      <c r="H486" s="31"/>
      <c r="I486" s="31"/>
      <c r="J486" s="31"/>
      <c r="K486" s="22"/>
      <c r="L486" s="46"/>
      <c r="M486" s="146"/>
      <c r="N486" s="147"/>
      <c r="O486" s="147"/>
      <c r="P486" s="147"/>
      <c r="Q486" s="147"/>
    </row>
    <row r="487" ht="15.75" customHeight="1">
      <c r="A487" s="31"/>
      <c r="B487" s="31"/>
      <c r="C487" s="31"/>
      <c r="D487" s="31"/>
      <c r="E487" s="31"/>
      <c r="F487" s="144"/>
      <c r="G487" s="31"/>
      <c r="H487" s="31"/>
      <c r="I487" s="31"/>
      <c r="J487" s="31"/>
      <c r="K487" s="22"/>
      <c r="L487" s="46"/>
      <c r="M487" s="146"/>
      <c r="N487" s="147"/>
      <c r="O487" s="147"/>
      <c r="P487" s="147"/>
      <c r="Q487" s="147"/>
    </row>
    <row r="488" ht="15.75" customHeight="1">
      <c r="A488" s="31"/>
      <c r="B488" s="31"/>
      <c r="C488" s="31"/>
      <c r="D488" s="31"/>
      <c r="E488" s="31"/>
      <c r="F488" s="144"/>
      <c r="G488" s="31"/>
      <c r="H488" s="31"/>
      <c r="I488" s="31"/>
      <c r="J488" s="31"/>
      <c r="K488" s="22"/>
      <c r="L488" s="46"/>
      <c r="M488" s="146"/>
      <c r="N488" s="147"/>
      <c r="O488" s="147"/>
      <c r="P488" s="147"/>
      <c r="Q488" s="147"/>
    </row>
    <row r="489" ht="15.75" customHeight="1">
      <c r="A489" s="31"/>
      <c r="B489" s="31"/>
      <c r="C489" s="31"/>
      <c r="D489" s="31"/>
      <c r="E489" s="31"/>
      <c r="F489" s="144"/>
      <c r="G489" s="31"/>
      <c r="H489" s="31"/>
      <c r="I489" s="31"/>
      <c r="J489" s="31"/>
      <c r="K489" s="22"/>
      <c r="L489" s="46"/>
      <c r="M489" s="146"/>
      <c r="N489" s="147"/>
      <c r="O489" s="147"/>
      <c r="P489" s="147"/>
      <c r="Q489" s="147"/>
    </row>
    <row r="490" ht="15.75" customHeight="1">
      <c r="A490" s="31"/>
      <c r="B490" s="31"/>
      <c r="C490" s="31"/>
      <c r="D490" s="31"/>
      <c r="E490" s="31"/>
      <c r="F490" s="144"/>
      <c r="G490" s="31"/>
      <c r="H490" s="31"/>
      <c r="I490" s="31"/>
      <c r="J490" s="31"/>
      <c r="K490" s="22"/>
      <c r="L490" s="46"/>
      <c r="M490" s="146"/>
      <c r="N490" s="147"/>
      <c r="O490" s="147"/>
      <c r="P490" s="147"/>
      <c r="Q490" s="147"/>
    </row>
    <row r="491" ht="15.75" customHeight="1">
      <c r="A491" s="31"/>
      <c r="B491" s="31"/>
      <c r="C491" s="31"/>
      <c r="D491" s="31"/>
      <c r="E491" s="31"/>
      <c r="F491" s="144"/>
      <c r="G491" s="31"/>
      <c r="H491" s="31"/>
      <c r="I491" s="31"/>
      <c r="J491" s="31"/>
      <c r="K491" s="22"/>
      <c r="L491" s="46"/>
      <c r="M491" s="146"/>
      <c r="N491" s="147"/>
      <c r="O491" s="147"/>
      <c r="P491" s="147"/>
      <c r="Q491" s="147"/>
    </row>
    <row r="492" ht="15.75" customHeight="1">
      <c r="A492" s="31"/>
      <c r="B492" s="31"/>
      <c r="C492" s="31"/>
      <c r="D492" s="31"/>
      <c r="E492" s="31"/>
      <c r="F492" s="144"/>
      <c r="G492" s="31"/>
      <c r="H492" s="31"/>
      <c r="I492" s="31"/>
      <c r="J492" s="31"/>
      <c r="K492" s="22"/>
      <c r="L492" s="46"/>
      <c r="M492" s="146"/>
      <c r="N492" s="147"/>
      <c r="O492" s="147"/>
      <c r="P492" s="147"/>
      <c r="Q492" s="147"/>
    </row>
    <row r="493" ht="15.75" customHeight="1">
      <c r="A493" s="31"/>
      <c r="B493" s="31"/>
      <c r="C493" s="31"/>
      <c r="D493" s="31"/>
      <c r="E493" s="31"/>
      <c r="F493" s="144"/>
      <c r="G493" s="31"/>
      <c r="H493" s="31"/>
      <c r="I493" s="31"/>
      <c r="J493" s="31"/>
      <c r="K493" s="22"/>
      <c r="L493" s="46"/>
      <c r="M493" s="146"/>
      <c r="N493" s="147"/>
      <c r="O493" s="147"/>
      <c r="P493" s="147"/>
      <c r="Q493" s="147"/>
    </row>
    <row r="494" ht="15.75" customHeight="1">
      <c r="A494" s="31"/>
      <c r="B494" s="31"/>
      <c r="C494" s="31"/>
      <c r="D494" s="31"/>
      <c r="E494" s="31"/>
      <c r="F494" s="144"/>
      <c r="G494" s="31"/>
      <c r="H494" s="31"/>
      <c r="I494" s="31"/>
      <c r="J494" s="31"/>
      <c r="K494" s="22"/>
      <c r="L494" s="46"/>
      <c r="M494" s="146"/>
      <c r="N494" s="147"/>
      <c r="O494" s="147"/>
      <c r="P494" s="147"/>
      <c r="Q494" s="147"/>
    </row>
    <row r="495" ht="15.75" customHeight="1">
      <c r="A495" s="31"/>
      <c r="B495" s="31"/>
      <c r="C495" s="31"/>
      <c r="D495" s="31"/>
      <c r="E495" s="31"/>
      <c r="F495" s="144"/>
      <c r="G495" s="31"/>
      <c r="H495" s="31"/>
      <c r="I495" s="31"/>
      <c r="J495" s="31"/>
      <c r="K495" s="22"/>
      <c r="L495" s="46"/>
      <c r="M495" s="146"/>
      <c r="N495" s="147"/>
      <c r="O495" s="147"/>
      <c r="P495" s="147"/>
      <c r="Q495" s="147"/>
    </row>
    <row r="496" ht="15.75" customHeight="1">
      <c r="A496" s="31"/>
      <c r="B496" s="31"/>
      <c r="C496" s="31"/>
      <c r="D496" s="31"/>
      <c r="E496" s="31"/>
      <c r="F496" s="144"/>
      <c r="G496" s="31"/>
      <c r="H496" s="31"/>
      <c r="I496" s="31"/>
      <c r="J496" s="31"/>
      <c r="K496" s="22"/>
      <c r="L496" s="46"/>
      <c r="M496" s="146"/>
      <c r="N496" s="147"/>
      <c r="O496" s="147"/>
      <c r="P496" s="147"/>
      <c r="Q496" s="147"/>
    </row>
    <row r="497" ht="15.75" customHeight="1">
      <c r="A497" s="31"/>
      <c r="B497" s="31"/>
      <c r="C497" s="31"/>
      <c r="D497" s="31"/>
      <c r="E497" s="31"/>
      <c r="F497" s="144"/>
      <c r="G497" s="31"/>
      <c r="H497" s="31"/>
      <c r="I497" s="31"/>
      <c r="J497" s="31"/>
      <c r="K497" s="22"/>
      <c r="L497" s="46"/>
      <c r="M497" s="146"/>
      <c r="N497" s="147"/>
      <c r="O497" s="147"/>
      <c r="P497" s="147"/>
      <c r="Q497" s="147"/>
    </row>
    <row r="498" ht="15.75" customHeight="1">
      <c r="A498" s="31"/>
      <c r="B498" s="31"/>
      <c r="C498" s="31"/>
      <c r="D498" s="31"/>
      <c r="E498" s="31"/>
      <c r="F498" s="144"/>
      <c r="G498" s="31"/>
      <c r="H498" s="31"/>
      <c r="I498" s="31"/>
      <c r="J498" s="31"/>
      <c r="K498" s="22"/>
      <c r="L498" s="46"/>
      <c r="M498" s="146"/>
      <c r="N498" s="147"/>
      <c r="O498" s="147"/>
      <c r="P498" s="147"/>
      <c r="Q498" s="147"/>
    </row>
    <row r="499" ht="15.75" customHeight="1">
      <c r="A499" s="31"/>
      <c r="B499" s="31"/>
      <c r="C499" s="31"/>
      <c r="D499" s="31"/>
      <c r="E499" s="31"/>
      <c r="F499" s="144"/>
      <c r="G499" s="31"/>
      <c r="H499" s="31"/>
      <c r="I499" s="31"/>
      <c r="J499" s="31"/>
      <c r="K499" s="22"/>
      <c r="L499" s="46"/>
      <c r="M499" s="146"/>
      <c r="N499" s="147"/>
      <c r="O499" s="147"/>
      <c r="P499" s="147"/>
      <c r="Q499" s="147"/>
    </row>
    <row r="500" ht="15.75" customHeight="1">
      <c r="A500" s="31"/>
      <c r="B500" s="31"/>
      <c r="C500" s="31"/>
      <c r="D500" s="31"/>
      <c r="E500" s="31"/>
      <c r="F500" s="144"/>
      <c r="G500" s="31"/>
      <c r="H500" s="31"/>
      <c r="I500" s="31"/>
      <c r="J500" s="31"/>
      <c r="K500" s="22"/>
      <c r="L500" s="46"/>
      <c r="M500" s="146"/>
      <c r="N500" s="147"/>
      <c r="O500" s="147"/>
      <c r="P500" s="147"/>
      <c r="Q500" s="147"/>
    </row>
    <row r="501" ht="15.75" customHeight="1">
      <c r="A501" s="31"/>
      <c r="B501" s="31"/>
      <c r="C501" s="31"/>
      <c r="D501" s="31"/>
      <c r="E501" s="31"/>
      <c r="F501" s="144"/>
      <c r="G501" s="31"/>
      <c r="H501" s="31"/>
      <c r="I501" s="31"/>
      <c r="J501" s="31"/>
      <c r="K501" s="22"/>
      <c r="L501" s="46"/>
      <c r="M501" s="146"/>
      <c r="N501" s="147"/>
      <c r="O501" s="147"/>
      <c r="P501" s="147"/>
      <c r="Q501" s="147"/>
    </row>
    <row r="502" ht="15.75" customHeight="1">
      <c r="A502" s="31"/>
      <c r="B502" s="31"/>
      <c r="C502" s="31"/>
      <c r="D502" s="31"/>
      <c r="E502" s="31"/>
      <c r="F502" s="144"/>
      <c r="G502" s="31"/>
      <c r="H502" s="31"/>
      <c r="I502" s="31"/>
      <c r="J502" s="31"/>
      <c r="K502" s="22"/>
      <c r="L502" s="46"/>
      <c r="M502" s="146"/>
      <c r="N502" s="147"/>
      <c r="O502" s="147"/>
      <c r="P502" s="147"/>
      <c r="Q502" s="147"/>
    </row>
    <row r="503" ht="15.75" customHeight="1">
      <c r="A503" s="31"/>
      <c r="B503" s="31"/>
      <c r="C503" s="31"/>
      <c r="D503" s="31"/>
      <c r="E503" s="31"/>
      <c r="F503" s="144"/>
      <c r="G503" s="31"/>
      <c r="H503" s="31"/>
      <c r="I503" s="31"/>
      <c r="J503" s="31"/>
      <c r="K503" s="22"/>
      <c r="L503" s="46"/>
      <c r="M503" s="146"/>
      <c r="N503" s="147"/>
      <c r="O503" s="147"/>
      <c r="P503" s="147"/>
      <c r="Q503" s="147"/>
    </row>
    <row r="504" ht="15.75" customHeight="1">
      <c r="A504" s="31"/>
      <c r="B504" s="31"/>
      <c r="C504" s="31"/>
      <c r="D504" s="31"/>
      <c r="E504" s="31"/>
      <c r="F504" s="144"/>
      <c r="G504" s="31"/>
      <c r="H504" s="31"/>
      <c r="I504" s="31"/>
      <c r="J504" s="31"/>
      <c r="K504" s="22"/>
      <c r="L504" s="46"/>
      <c r="M504" s="146"/>
      <c r="N504" s="147"/>
      <c r="O504" s="147"/>
      <c r="P504" s="147"/>
      <c r="Q504" s="147"/>
    </row>
    <row r="505" ht="15.75" customHeight="1">
      <c r="A505" s="31"/>
      <c r="B505" s="31"/>
      <c r="C505" s="31"/>
      <c r="D505" s="31"/>
      <c r="E505" s="31"/>
      <c r="F505" s="144"/>
      <c r="G505" s="31"/>
      <c r="H505" s="31"/>
      <c r="I505" s="31"/>
      <c r="J505" s="31"/>
      <c r="K505" s="22"/>
      <c r="L505" s="46"/>
      <c r="M505" s="146"/>
      <c r="N505" s="147"/>
      <c r="O505" s="147"/>
      <c r="P505" s="147"/>
      <c r="Q505" s="147"/>
    </row>
    <row r="506" ht="15.75" customHeight="1">
      <c r="A506" s="31"/>
      <c r="B506" s="31"/>
      <c r="C506" s="31"/>
      <c r="D506" s="31"/>
      <c r="E506" s="31"/>
      <c r="F506" s="144"/>
      <c r="G506" s="31"/>
      <c r="H506" s="31"/>
      <c r="I506" s="31"/>
      <c r="J506" s="31"/>
      <c r="K506" s="22"/>
      <c r="L506" s="46"/>
      <c r="M506" s="146"/>
      <c r="N506" s="147"/>
      <c r="O506" s="147"/>
      <c r="P506" s="147"/>
      <c r="Q506" s="147"/>
    </row>
    <row r="507" ht="15.75" customHeight="1">
      <c r="A507" s="31"/>
      <c r="B507" s="31"/>
      <c r="C507" s="31"/>
      <c r="D507" s="31"/>
      <c r="E507" s="31"/>
      <c r="F507" s="144"/>
      <c r="G507" s="31"/>
      <c r="H507" s="31"/>
      <c r="I507" s="31"/>
      <c r="J507" s="31"/>
      <c r="K507" s="22"/>
      <c r="L507" s="46"/>
      <c r="M507" s="146"/>
      <c r="N507" s="147"/>
      <c r="O507" s="147"/>
      <c r="P507" s="147"/>
      <c r="Q507" s="147"/>
    </row>
    <row r="508" ht="15.75" customHeight="1">
      <c r="A508" s="31"/>
      <c r="B508" s="31"/>
      <c r="C508" s="31"/>
      <c r="D508" s="31"/>
      <c r="E508" s="31"/>
      <c r="F508" s="144"/>
      <c r="G508" s="31"/>
      <c r="H508" s="31"/>
      <c r="I508" s="31"/>
      <c r="J508" s="31"/>
      <c r="K508" s="22"/>
      <c r="L508" s="46"/>
      <c r="M508" s="146"/>
      <c r="N508" s="147"/>
      <c r="O508" s="147"/>
      <c r="P508" s="147"/>
      <c r="Q508" s="147"/>
    </row>
    <row r="509" ht="15.75" customHeight="1">
      <c r="A509" s="31"/>
      <c r="B509" s="31"/>
      <c r="C509" s="31"/>
      <c r="D509" s="31"/>
      <c r="E509" s="31"/>
      <c r="F509" s="144"/>
      <c r="G509" s="31"/>
      <c r="H509" s="31"/>
      <c r="I509" s="31"/>
      <c r="J509" s="31"/>
      <c r="K509" s="22"/>
      <c r="L509" s="46"/>
      <c r="M509" s="146"/>
      <c r="N509" s="147"/>
      <c r="O509" s="147"/>
      <c r="P509" s="147"/>
      <c r="Q509" s="147"/>
    </row>
    <row r="510" ht="15.75" customHeight="1">
      <c r="A510" s="31"/>
      <c r="B510" s="31"/>
      <c r="C510" s="31"/>
      <c r="D510" s="31"/>
      <c r="E510" s="31"/>
      <c r="F510" s="144"/>
      <c r="G510" s="31"/>
      <c r="H510" s="31"/>
      <c r="I510" s="31"/>
      <c r="J510" s="31"/>
      <c r="K510" s="22"/>
      <c r="L510" s="46"/>
      <c r="M510" s="146"/>
      <c r="N510" s="147"/>
      <c r="O510" s="147"/>
      <c r="P510" s="147"/>
      <c r="Q510" s="147"/>
    </row>
    <row r="511" ht="15.75" customHeight="1">
      <c r="A511" s="31"/>
      <c r="B511" s="31"/>
      <c r="C511" s="31"/>
      <c r="D511" s="31"/>
      <c r="E511" s="31"/>
      <c r="F511" s="144"/>
      <c r="G511" s="31"/>
      <c r="H511" s="31"/>
      <c r="I511" s="31"/>
      <c r="J511" s="31"/>
      <c r="K511" s="22"/>
      <c r="L511" s="46"/>
      <c r="M511" s="146"/>
      <c r="N511" s="147"/>
      <c r="O511" s="147"/>
      <c r="P511" s="147"/>
      <c r="Q511" s="147"/>
    </row>
    <row r="512" ht="15.75" customHeight="1">
      <c r="A512" s="31"/>
      <c r="B512" s="31"/>
      <c r="C512" s="31"/>
      <c r="D512" s="31"/>
      <c r="E512" s="31"/>
      <c r="F512" s="144"/>
      <c r="G512" s="31"/>
      <c r="H512" s="31"/>
      <c r="I512" s="31"/>
      <c r="J512" s="31"/>
      <c r="K512" s="22"/>
      <c r="L512" s="46"/>
      <c r="M512" s="146"/>
      <c r="N512" s="147"/>
      <c r="O512" s="147"/>
      <c r="P512" s="147"/>
      <c r="Q512" s="147"/>
    </row>
    <row r="513" ht="15.75" customHeight="1">
      <c r="A513" s="31"/>
      <c r="B513" s="31"/>
      <c r="C513" s="31"/>
      <c r="D513" s="31"/>
      <c r="E513" s="31"/>
      <c r="F513" s="144"/>
      <c r="G513" s="31"/>
      <c r="H513" s="31"/>
      <c r="I513" s="31"/>
      <c r="J513" s="31"/>
      <c r="K513" s="22"/>
      <c r="L513" s="46"/>
      <c r="M513" s="146"/>
      <c r="N513" s="147"/>
      <c r="O513" s="147"/>
      <c r="P513" s="147"/>
      <c r="Q513" s="147"/>
    </row>
    <row r="514" ht="15.75" customHeight="1">
      <c r="A514" s="31"/>
      <c r="B514" s="31"/>
      <c r="C514" s="31"/>
      <c r="D514" s="31"/>
      <c r="E514" s="31"/>
      <c r="F514" s="144"/>
      <c r="G514" s="31"/>
      <c r="H514" s="31"/>
      <c r="I514" s="31"/>
      <c r="J514" s="31"/>
      <c r="K514" s="22"/>
      <c r="L514" s="46"/>
      <c r="M514" s="146"/>
      <c r="N514" s="147"/>
      <c r="O514" s="147"/>
      <c r="P514" s="147"/>
      <c r="Q514" s="147"/>
    </row>
    <row r="515" ht="15.75" customHeight="1">
      <c r="A515" s="31"/>
      <c r="B515" s="31"/>
      <c r="C515" s="31"/>
      <c r="D515" s="31"/>
      <c r="E515" s="31"/>
      <c r="F515" s="144"/>
      <c r="G515" s="31"/>
      <c r="H515" s="31"/>
      <c r="I515" s="31"/>
      <c r="J515" s="31"/>
      <c r="K515" s="22"/>
      <c r="L515" s="46"/>
      <c r="M515" s="146"/>
      <c r="N515" s="147"/>
      <c r="O515" s="147"/>
      <c r="P515" s="147"/>
      <c r="Q515" s="147"/>
    </row>
    <row r="516" ht="15.75" customHeight="1">
      <c r="A516" s="31"/>
      <c r="B516" s="31"/>
      <c r="C516" s="31"/>
      <c r="D516" s="31"/>
      <c r="E516" s="31"/>
      <c r="F516" s="144"/>
      <c r="G516" s="31"/>
      <c r="H516" s="31"/>
      <c r="I516" s="31"/>
      <c r="J516" s="31"/>
      <c r="K516" s="22"/>
      <c r="L516" s="46"/>
      <c r="M516" s="146"/>
      <c r="N516" s="147"/>
      <c r="O516" s="147"/>
      <c r="P516" s="147"/>
      <c r="Q516" s="147"/>
    </row>
    <row r="517" ht="15.75" customHeight="1">
      <c r="A517" s="31"/>
      <c r="B517" s="31"/>
      <c r="C517" s="31"/>
      <c r="D517" s="31"/>
      <c r="E517" s="31"/>
      <c r="F517" s="144"/>
      <c r="G517" s="31"/>
      <c r="H517" s="31"/>
      <c r="I517" s="31"/>
      <c r="J517" s="31"/>
      <c r="K517" s="22"/>
      <c r="L517" s="46"/>
      <c r="M517" s="146"/>
      <c r="N517" s="147"/>
      <c r="O517" s="147"/>
      <c r="P517" s="147"/>
      <c r="Q517" s="147"/>
    </row>
    <row r="518" ht="15.75" customHeight="1">
      <c r="A518" s="31"/>
      <c r="B518" s="31"/>
      <c r="C518" s="31"/>
      <c r="D518" s="31"/>
      <c r="E518" s="31"/>
      <c r="F518" s="144"/>
      <c r="G518" s="31"/>
      <c r="H518" s="31"/>
      <c r="I518" s="31"/>
      <c r="J518" s="31"/>
      <c r="K518" s="22"/>
      <c r="L518" s="46"/>
      <c r="M518" s="146"/>
      <c r="N518" s="147"/>
      <c r="O518" s="147"/>
      <c r="P518" s="147"/>
      <c r="Q518" s="147"/>
    </row>
    <row r="519" ht="15.75" customHeight="1">
      <c r="A519" s="31"/>
      <c r="B519" s="31"/>
      <c r="C519" s="31"/>
      <c r="D519" s="31"/>
      <c r="E519" s="31"/>
      <c r="F519" s="144"/>
      <c r="G519" s="31"/>
      <c r="H519" s="31"/>
      <c r="I519" s="31"/>
      <c r="J519" s="31"/>
      <c r="K519" s="22"/>
      <c r="L519" s="46"/>
      <c r="M519" s="146"/>
      <c r="N519" s="147"/>
      <c r="O519" s="147"/>
      <c r="P519" s="147"/>
      <c r="Q519" s="147"/>
    </row>
    <row r="520" ht="15.75" customHeight="1">
      <c r="A520" s="31"/>
      <c r="B520" s="31"/>
      <c r="C520" s="31"/>
      <c r="D520" s="31"/>
      <c r="E520" s="31"/>
      <c r="F520" s="144"/>
      <c r="G520" s="31"/>
      <c r="H520" s="31"/>
      <c r="I520" s="31"/>
      <c r="J520" s="31"/>
      <c r="K520" s="22"/>
      <c r="L520" s="46"/>
      <c r="M520" s="146"/>
      <c r="N520" s="147"/>
      <c r="O520" s="147"/>
      <c r="P520" s="147"/>
      <c r="Q520" s="147"/>
    </row>
    <row r="521" ht="15.75" customHeight="1">
      <c r="A521" s="31"/>
      <c r="B521" s="31"/>
      <c r="C521" s="31"/>
      <c r="D521" s="31"/>
      <c r="E521" s="31"/>
      <c r="F521" s="144"/>
      <c r="G521" s="31"/>
      <c r="H521" s="31"/>
      <c r="I521" s="31"/>
      <c r="J521" s="31"/>
      <c r="K521" s="22"/>
      <c r="L521" s="46"/>
      <c r="M521" s="146"/>
      <c r="N521" s="147"/>
      <c r="O521" s="147"/>
      <c r="P521" s="147"/>
      <c r="Q521" s="147"/>
    </row>
    <row r="522" ht="15.75" customHeight="1">
      <c r="A522" s="31"/>
      <c r="B522" s="31"/>
      <c r="C522" s="31"/>
      <c r="D522" s="31"/>
      <c r="E522" s="31"/>
      <c r="F522" s="144"/>
      <c r="G522" s="31"/>
      <c r="H522" s="31"/>
      <c r="I522" s="31"/>
      <c r="J522" s="31"/>
      <c r="K522" s="22"/>
      <c r="L522" s="46"/>
      <c r="M522" s="146"/>
      <c r="N522" s="147"/>
      <c r="O522" s="147"/>
      <c r="P522" s="147"/>
      <c r="Q522" s="147"/>
    </row>
    <row r="523" ht="15.75" customHeight="1">
      <c r="A523" s="31"/>
      <c r="B523" s="31"/>
      <c r="C523" s="31"/>
      <c r="D523" s="31"/>
      <c r="E523" s="31"/>
      <c r="F523" s="144"/>
      <c r="G523" s="31"/>
      <c r="H523" s="31"/>
      <c r="I523" s="31"/>
      <c r="J523" s="31"/>
      <c r="K523" s="22"/>
      <c r="L523" s="46"/>
      <c r="M523" s="146"/>
      <c r="N523" s="147"/>
      <c r="O523" s="147"/>
      <c r="P523" s="147"/>
      <c r="Q523" s="147"/>
    </row>
    <row r="524" ht="15.75" customHeight="1">
      <c r="A524" s="31"/>
      <c r="B524" s="31"/>
      <c r="C524" s="31"/>
      <c r="D524" s="31"/>
      <c r="E524" s="31"/>
      <c r="F524" s="144"/>
      <c r="G524" s="31"/>
      <c r="H524" s="31"/>
      <c r="I524" s="31"/>
      <c r="J524" s="31"/>
      <c r="K524" s="22"/>
      <c r="L524" s="46"/>
      <c r="M524" s="146"/>
      <c r="N524" s="147"/>
      <c r="O524" s="147"/>
      <c r="P524" s="147"/>
      <c r="Q524" s="147"/>
    </row>
    <row r="525" ht="15.75" customHeight="1">
      <c r="A525" s="31"/>
      <c r="B525" s="31"/>
      <c r="C525" s="31"/>
      <c r="D525" s="31"/>
      <c r="E525" s="31"/>
      <c r="F525" s="144"/>
      <c r="G525" s="31"/>
      <c r="H525" s="31"/>
      <c r="I525" s="31"/>
      <c r="J525" s="31"/>
      <c r="K525" s="22"/>
      <c r="L525" s="46"/>
      <c r="M525" s="146"/>
      <c r="N525" s="147"/>
      <c r="O525" s="147"/>
      <c r="P525" s="147"/>
      <c r="Q525" s="147"/>
    </row>
    <row r="526" ht="15.75" customHeight="1">
      <c r="A526" s="31"/>
      <c r="B526" s="31"/>
      <c r="C526" s="31"/>
      <c r="D526" s="31"/>
      <c r="E526" s="31"/>
      <c r="F526" s="144"/>
      <c r="G526" s="31"/>
      <c r="H526" s="31"/>
      <c r="I526" s="31"/>
      <c r="J526" s="31"/>
      <c r="K526" s="22"/>
      <c r="L526" s="46"/>
      <c r="M526" s="146"/>
      <c r="N526" s="147"/>
      <c r="O526" s="147"/>
      <c r="P526" s="147"/>
      <c r="Q526" s="147"/>
    </row>
    <row r="527" ht="15.75" customHeight="1">
      <c r="A527" s="31"/>
      <c r="B527" s="31"/>
      <c r="C527" s="31"/>
      <c r="D527" s="31"/>
      <c r="E527" s="31"/>
      <c r="F527" s="144"/>
      <c r="G527" s="31"/>
      <c r="H527" s="31"/>
      <c r="I527" s="31"/>
      <c r="J527" s="31"/>
      <c r="K527" s="22"/>
      <c r="L527" s="46"/>
      <c r="M527" s="146"/>
      <c r="N527" s="147"/>
      <c r="O527" s="147"/>
      <c r="P527" s="147"/>
      <c r="Q527" s="147"/>
    </row>
    <row r="528" ht="15.75" customHeight="1">
      <c r="A528" s="31"/>
      <c r="B528" s="31"/>
      <c r="C528" s="31"/>
      <c r="D528" s="31"/>
      <c r="E528" s="31"/>
      <c r="F528" s="144"/>
      <c r="G528" s="31"/>
      <c r="H528" s="31"/>
      <c r="I528" s="31"/>
      <c r="J528" s="31"/>
      <c r="K528" s="22"/>
      <c r="L528" s="46"/>
      <c r="M528" s="146"/>
      <c r="N528" s="147"/>
      <c r="O528" s="147"/>
      <c r="P528" s="147"/>
      <c r="Q528" s="147"/>
    </row>
    <row r="529" ht="15.75" customHeight="1">
      <c r="A529" s="31"/>
      <c r="B529" s="31"/>
      <c r="C529" s="31"/>
      <c r="D529" s="31"/>
      <c r="E529" s="31"/>
      <c r="F529" s="144"/>
      <c r="G529" s="31"/>
      <c r="H529" s="31"/>
      <c r="I529" s="31"/>
      <c r="J529" s="31"/>
      <c r="K529" s="22"/>
      <c r="L529" s="46"/>
      <c r="M529" s="146"/>
      <c r="N529" s="147"/>
      <c r="O529" s="147"/>
      <c r="P529" s="147"/>
      <c r="Q529" s="147"/>
    </row>
    <row r="530" ht="15.75" customHeight="1">
      <c r="A530" s="31"/>
      <c r="B530" s="31"/>
      <c r="C530" s="31"/>
      <c r="D530" s="31"/>
      <c r="E530" s="31"/>
      <c r="F530" s="144"/>
      <c r="G530" s="31"/>
      <c r="H530" s="31"/>
      <c r="I530" s="31"/>
      <c r="J530" s="31"/>
      <c r="K530" s="22"/>
      <c r="L530" s="46"/>
      <c r="M530" s="146"/>
      <c r="N530" s="147"/>
      <c r="O530" s="147"/>
      <c r="P530" s="147"/>
      <c r="Q530" s="147"/>
    </row>
    <row r="531" ht="15.75" customHeight="1">
      <c r="A531" s="31"/>
      <c r="B531" s="31"/>
      <c r="C531" s="31"/>
      <c r="D531" s="31"/>
      <c r="E531" s="31"/>
      <c r="F531" s="144"/>
      <c r="G531" s="31"/>
      <c r="H531" s="31"/>
      <c r="I531" s="31"/>
      <c r="J531" s="31"/>
      <c r="K531" s="22"/>
      <c r="L531" s="46"/>
      <c r="M531" s="146"/>
      <c r="N531" s="147"/>
      <c r="O531" s="147"/>
      <c r="P531" s="147"/>
      <c r="Q531" s="147"/>
    </row>
    <row r="532" ht="15.75" customHeight="1">
      <c r="A532" s="31"/>
      <c r="B532" s="31"/>
      <c r="C532" s="31"/>
      <c r="D532" s="31"/>
      <c r="E532" s="31"/>
      <c r="F532" s="144"/>
      <c r="G532" s="31"/>
      <c r="H532" s="31"/>
      <c r="I532" s="31"/>
      <c r="J532" s="31"/>
      <c r="K532" s="22"/>
      <c r="L532" s="46"/>
      <c r="M532" s="146"/>
      <c r="N532" s="147"/>
      <c r="O532" s="147"/>
      <c r="P532" s="147"/>
      <c r="Q532" s="147"/>
    </row>
    <row r="533" ht="15.75" customHeight="1">
      <c r="A533" s="31"/>
      <c r="B533" s="31"/>
      <c r="C533" s="31"/>
      <c r="D533" s="31"/>
      <c r="E533" s="31"/>
      <c r="F533" s="144"/>
      <c r="G533" s="31"/>
      <c r="H533" s="31"/>
      <c r="I533" s="31"/>
      <c r="J533" s="31"/>
      <c r="K533" s="22"/>
      <c r="L533" s="46"/>
      <c r="M533" s="146"/>
      <c r="N533" s="147"/>
      <c r="O533" s="147"/>
      <c r="P533" s="147"/>
      <c r="Q533" s="147"/>
    </row>
    <row r="534" ht="15.75" customHeight="1">
      <c r="A534" s="31"/>
      <c r="B534" s="31"/>
      <c r="C534" s="31"/>
      <c r="D534" s="31"/>
      <c r="E534" s="31"/>
      <c r="F534" s="144"/>
      <c r="G534" s="31"/>
      <c r="H534" s="31"/>
      <c r="I534" s="31"/>
      <c r="J534" s="31"/>
      <c r="K534" s="22"/>
      <c r="L534" s="46"/>
      <c r="M534" s="146"/>
      <c r="N534" s="147"/>
      <c r="O534" s="147"/>
      <c r="P534" s="147"/>
      <c r="Q534" s="147"/>
    </row>
    <row r="535" ht="15.75" customHeight="1">
      <c r="A535" s="31"/>
      <c r="B535" s="31"/>
      <c r="C535" s="31"/>
      <c r="D535" s="31"/>
      <c r="E535" s="31"/>
      <c r="F535" s="144"/>
      <c r="G535" s="31"/>
      <c r="H535" s="31"/>
      <c r="I535" s="31"/>
      <c r="J535" s="31"/>
      <c r="K535" s="22"/>
      <c r="L535" s="46"/>
      <c r="M535" s="146"/>
      <c r="N535" s="147"/>
      <c r="O535" s="147"/>
      <c r="P535" s="147"/>
      <c r="Q535" s="147"/>
    </row>
    <row r="536" ht="15.75" customHeight="1">
      <c r="A536" s="31"/>
      <c r="B536" s="31"/>
      <c r="C536" s="31"/>
      <c r="D536" s="31"/>
      <c r="E536" s="31"/>
      <c r="F536" s="144"/>
      <c r="G536" s="31"/>
      <c r="H536" s="31"/>
      <c r="I536" s="31"/>
      <c r="J536" s="31"/>
      <c r="K536" s="22"/>
      <c r="L536" s="46"/>
      <c r="M536" s="146"/>
      <c r="N536" s="147"/>
      <c r="O536" s="147"/>
      <c r="P536" s="147"/>
      <c r="Q536" s="147"/>
    </row>
    <row r="537" ht="15.75" customHeight="1">
      <c r="A537" s="31"/>
      <c r="B537" s="31"/>
      <c r="C537" s="31"/>
      <c r="D537" s="31"/>
      <c r="E537" s="31"/>
      <c r="F537" s="144"/>
      <c r="G537" s="31"/>
      <c r="H537" s="31"/>
      <c r="I537" s="31"/>
      <c r="J537" s="31"/>
      <c r="K537" s="22"/>
      <c r="L537" s="46"/>
      <c r="M537" s="146"/>
      <c r="N537" s="147"/>
      <c r="O537" s="147"/>
      <c r="P537" s="147"/>
      <c r="Q537" s="147"/>
    </row>
    <row r="538" ht="15.75" customHeight="1">
      <c r="A538" s="31"/>
      <c r="B538" s="31"/>
      <c r="C538" s="31"/>
      <c r="D538" s="31"/>
      <c r="E538" s="31"/>
      <c r="F538" s="144"/>
      <c r="G538" s="31"/>
      <c r="H538" s="31"/>
      <c r="I538" s="31"/>
      <c r="J538" s="31"/>
      <c r="K538" s="22"/>
      <c r="L538" s="46"/>
      <c r="M538" s="146"/>
      <c r="N538" s="147"/>
      <c r="O538" s="147"/>
      <c r="P538" s="147"/>
      <c r="Q538" s="147"/>
    </row>
    <row r="539" ht="15.75" customHeight="1">
      <c r="A539" s="31"/>
      <c r="B539" s="31"/>
      <c r="C539" s="31"/>
      <c r="D539" s="31"/>
      <c r="E539" s="31"/>
      <c r="F539" s="144"/>
      <c r="G539" s="31"/>
      <c r="H539" s="31"/>
      <c r="I539" s="31"/>
      <c r="J539" s="31"/>
      <c r="K539" s="22"/>
      <c r="L539" s="46"/>
      <c r="M539" s="146"/>
      <c r="N539" s="147"/>
      <c r="O539" s="147"/>
      <c r="P539" s="147"/>
      <c r="Q539" s="147"/>
    </row>
    <row r="540" ht="15.75" customHeight="1">
      <c r="A540" s="31"/>
      <c r="B540" s="31"/>
      <c r="C540" s="31"/>
      <c r="D540" s="31"/>
      <c r="E540" s="31"/>
      <c r="F540" s="144"/>
      <c r="G540" s="31"/>
      <c r="H540" s="31"/>
      <c r="I540" s="31"/>
      <c r="J540" s="31"/>
      <c r="K540" s="22"/>
      <c r="L540" s="46"/>
      <c r="M540" s="146"/>
      <c r="N540" s="147"/>
      <c r="O540" s="147"/>
      <c r="P540" s="147"/>
      <c r="Q540" s="147"/>
    </row>
    <row r="541" ht="15.75" customHeight="1">
      <c r="A541" s="31"/>
      <c r="B541" s="31"/>
      <c r="C541" s="31"/>
      <c r="D541" s="31"/>
      <c r="E541" s="31"/>
      <c r="F541" s="144"/>
      <c r="G541" s="31"/>
      <c r="H541" s="31"/>
      <c r="I541" s="31"/>
      <c r="J541" s="31"/>
      <c r="K541" s="22"/>
      <c r="L541" s="46"/>
      <c r="M541" s="146"/>
      <c r="N541" s="147"/>
      <c r="O541" s="147"/>
      <c r="P541" s="147"/>
      <c r="Q541" s="147"/>
    </row>
    <row r="542" ht="15.75" customHeight="1">
      <c r="A542" s="31"/>
      <c r="B542" s="31"/>
      <c r="C542" s="31"/>
      <c r="D542" s="31"/>
      <c r="E542" s="31"/>
      <c r="F542" s="144"/>
      <c r="G542" s="31"/>
      <c r="H542" s="31"/>
      <c r="I542" s="31"/>
      <c r="J542" s="31"/>
      <c r="K542" s="22"/>
      <c r="L542" s="46"/>
      <c r="M542" s="146"/>
      <c r="N542" s="147"/>
      <c r="O542" s="147"/>
      <c r="P542" s="147"/>
      <c r="Q542" s="147"/>
    </row>
    <row r="543" ht="15.75" customHeight="1">
      <c r="A543" s="31"/>
      <c r="B543" s="31"/>
      <c r="C543" s="31"/>
      <c r="D543" s="31"/>
      <c r="E543" s="31"/>
      <c r="F543" s="144"/>
      <c r="G543" s="31"/>
      <c r="H543" s="31"/>
      <c r="I543" s="31"/>
      <c r="J543" s="31"/>
      <c r="K543" s="22"/>
      <c r="L543" s="46"/>
      <c r="M543" s="146"/>
      <c r="N543" s="147"/>
      <c r="O543" s="147"/>
      <c r="P543" s="147"/>
      <c r="Q543" s="147"/>
    </row>
    <row r="544" ht="15.75" customHeight="1">
      <c r="A544" s="31"/>
      <c r="B544" s="31"/>
      <c r="C544" s="31"/>
      <c r="D544" s="31"/>
      <c r="E544" s="31"/>
      <c r="F544" s="144"/>
      <c r="G544" s="31"/>
      <c r="H544" s="31"/>
      <c r="I544" s="31"/>
      <c r="J544" s="31"/>
      <c r="K544" s="22"/>
      <c r="L544" s="46"/>
      <c r="M544" s="146"/>
      <c r="N544" s="147"/>
      <c r="O544" s="147"/>
      <c r="P544" s="147"/>
      <c r="Q544" s="147"/>
    </row>
    <row r="545" ht="15.75" customHeight="1">
      <c r="A545" s="31"/>
      <c r="B545" s="31"/>
      <c r="C545" s="31"/>
      <c r="D545" s="31"/>
      <c r="E545" s="31"/>
      <c r="F545" s="144"/>
      <c r="G545" s="31"/>
      <c r="H545" s="31"/>
      <c r="I545" s="31"/>
      <c r="J545" s="31"/>
      <c r="K545" s="22"/>
      <c r="L545" s="46"/>
      <c r="M545" s="146"/>
      <c r="N545" s="147"/>
      <c r="O545" s="147"/>
      <c r="P545" s="147"/>
      <c r="Q545" s="147"/>
    </row>
    <row r="546" ht="15.75" customHeight="1">
      <c r="A546" s="31"/>
      <c r="B546" s="31"/>
      <c r="C546" s="31"/>
      <c r="D546" s="31"/>
      <c r="E546" s="31"/>
      <c r="F546" s="144"/>
      <c r="G546" s="31"/>
      <c r="H546" s="31"/>
      <c r="I546" s="31"/>
      <c r="J546" s="31"/>
      <c r="K546" s="22"/>
      <c r="L546" s="46"/>
      <c r="M546" s="146"/>
      <c r="N546" s="147"/>
      <c r="O546" s="147"/>
      <c r="P546" s="147"/>
      <c r="Q546" s="147"/>
    </row>
    <row r="547" ht="15.75" customHeight="1">
      <c r="A547" s="31"/>
      <c r="B547" s="31"/>
      <c r="C547" s="31"/>
      <c r="D547" s="31"/>
      <c r="E547" s="31"/>
      <c r="F547" s="144"/>
      <c r="G547" s="31"/>
      <c r="H547" s="31"/>
      <c r="I547" s="31"/>
      <c r="J547" s="31"/>
      <c r="K547" s="22"/>
      <c r="L547" s="46"/>
      <c r="M547" s="146"/>
      <c r="N547" s="147"/>
      <c r="O547" s="147"/>
      <c r="P547" s="147"/>
      <c r="Q547" s="147"/>
    </row>
    <row r="548" ht="15.75" customHeight="1">
      <c r="A548" s="31"/>
      <c r="B548" s="31"/>
      <c r="C548" s="31"/>
      <c r="D548" s="31"/>
      <c r="E548" s="31"/>
      <c r="F548" s="144"/>
      <c r="G548" s="31"/>
      <c r="H548" s="31"/>
      <c r="I548" s="31"/>
      <c r="J548" s="31"/>
      <c r="K548" s="22"/>
      <c r="L548" s="46"/>
      <c r="M548" s="146"/>
      <c r="N548" s="147"/>
      <c r="O548" s="147"/>
      <c r="P548" s="147"/>
      <c r="Q548" s="147"/>
    </row>
    <row r="549" ht="15.75" customHeight="1">
      <c r="A549" s="31"/>
      <c r="B549" s="31"/>
      <c r="C549" s="31"/>
      <c r="D549" s="31"/>
      <c r="E549" s="31"/>
      <c r="F549" s="144"/>
      <c r="G549" s="31"/>
      <c r="H549" s="31"/>
      <c r="I549" s="31"/>
      <c r="J549" s="31"/>
      <c r="K549" s="22"/>
      <c r="L549" s="46"/>
      <c r="M549" s="146"/>
      <c r="N549" s="147"/>
      <c r="O549" s="147"/>
      <c r="P549" s="147"/>
      <c r="Q549" s="147"/>
    </row>
    <row r="550" ht="15.75" customHeight="1">
      <c r="A550" s="31"/>
      <c r="B550" s="31"/>
      <c r="C550" s="31"/>
      <c r="D550" s="31"/>
      <c r="E550" s="31"/>
      <c r="F550" s="144"/>
      <c r="G550" s="31"/>
      <c r="H550" s="31"/>
      <c r="I550" s="31"/>
      <c r="J550" s="31"/>
      <c r="K550" s="22"/>
      <c r="L550" s="46"/>
      <c r="M550" s="146"/>
      <c r="N550" s="147"/>
      <c r="O550" s="147"/>
      <c r="P550" s="147"/>
      <c r="Q550" s="147"/>
    </row>
    <row r="551" ht="15.75" customHeight="1">
      <c r="A551" s="31"/>
      <c r="B551" s="31"/>
      <c r="C551" s="31"/>
      <c r="D551" s="31"/>
      <c r="E551" s="31"/>
      <c r="F551" s="144"/>
      <c r="G551" s="31"/>
      <c r="H551" s="31"/>
      <c r="I551" s="31"/>
      <c r="J551" s="31"/>
      <c r="K551" s="22"/>
      <c r="L551" s="46"/>
      <c r="M551" s="146"/>
      <c r="N551" s="147"/>
      <c r="O551" s="147"/>
      <c r="P551" s="147"/>
      <c r="Q551" s="147"/>
    </row>
    <row r="552" ht="15.75" customHeight="1">
      <c r="A552" s="31"/>
      <c r="B552" s="31"/>
      <c r="C552" s="31"/>
      <c r="D552" s="31"/>
      <c r="E552" s="31"/>
      <c r="F552" s="144"/>
      <c r="G552" s="31"/>
      <c r="H552" s="31"/>
      <c r="I552" s="31"/>
      <c r="J552" s="31"/>
      <c r="K552" s="22"/>
      <c r="L552" s="46"/>
      <c r="M552" s="146"/>
      <c r="N552" s="147"/>
      <c r="O552" s="147"/>
      <c r="P552" s="147"/>
      <c r="Q552" s="147"/>
    </row>
    <row r="553" ht="15.75" customHeight="1">
      <c r="A553" s="31"/>
      <c r="B553" s="31"/>
      <c r="C553" s="31"/>
      <c r="D553" s="31"/>
      <c r="E553" s="31"/>
      <c r="F553" s="144"/>
      <c r="G553" s="31"/>
      <c r="H553" s="31"/>
      <c r="I553" s="31"/>
      <c r="J553" s="31"/>
      <c r="K553" s="22"/>
      <c r="L553" s="46"/>
      <c r="M553" s="146"/>
      <c r="N553" s="147"/>
      <c r="O553" s="147"/>
      <c r="P553" s="147"/>
      <c r="Q553" s="147"/>
    </row>
    <row r="554" ht="15.75" customHeight="1">
      <c r="A554" s="31"/>
      <c r="B554" s="31"/>
      <c r="C554" s="31"/>
      <c r="D554" s="31"/>
      <c r="E554" s="31"/>
      <c r="F554" s="144"/>
      <c r="G554" s="31"/>
      <c r="H554" s="31"/>
      <c r="I554" s="31"/>
      <c r="J554" s="31"/>
      <c r="K554" s="22"/>
      <c r="L554" s="46"/>
      <c r="M554" s="146"/>
      <c r="N554" s="147"/>
      <c r="O554" s="147"/>
      <c r="P554" s="147"/>
      <c r="Q554" s="147"/>
    </row>
    <row r="555" ht="15.75" customHeight="1">
      <c r="A555" s="31"/>
      <c r="B555" s="31"/>
      <c r="C555" s="31"/>
      <c r="D555" s="31"/>
      <c r="E555" s="31"/>
      <c r="F555" s="144"/>
      <c r="G555" s="31"/>
      <c r="H555" s="31"/>
      <c r="I555" s="31"/>
      <c r="J555" s="31"/>
      <c r="K555" s="22"/>
      <c r="L555" s="46"/>
      <c r="M555" s="146"/>
      <c r="N555" s="147"/>
      <c r="O555" s="147"/>
      <c r="P555" s="147"/>
      <c r="Q555" s="147"/>
    </row>
    <row r="556" ht="15.75" customHeight="1">
      <c r="A556" s="31"/>
      <c r="B556" s="31"/>
      <c r="C556" s="31"/>
      <c r="D556" s="31"/>
      <c r="E556" s="31"/>
      <c r="F556" s="144"/>
      <c r="G556" s="31"/>
      <c r="H556" s="31"/>
      <c r="I556" s="31"/>
      <c r="J556" s="31"/>
      <c r="K556" s="22"/>
      <c r="L556" s="46"/>
      <c r="M556" s="146"/>
      <c r="N556" s="147"/>
      <c r="O556" s="147"/>
      <c r="P556" s="147"/>
      <c r="Q556" s="147"/>
    </row>
    <row r="557" ht="15.75" customHeight="1">
      <c r="A557" s="31"/>
      <c r="B557" s="31"/>
      <c r="C557" s="31"/>
      <c r="D557" s="31"/>
      <c r="E557" s="31"/>
      <c r="F557" s="144"/>
      <c r="G557" s="31"/>
      <c r="H557" s="31"/>
      <c r="I557" s="31"/>
      <c r="J557" s="31"/>
      <c r="K557" s="22"/>
      <c r="L557" s="46"/>
      <c r="M557" s="146"/>
      <c r="N557" s="147"/>
      <c r="O557" s="147"/>
      <c r="P557" s="147"/>
      <c r="Q557" s="147"/>
    </row>
    <row r="558" ht="15.75" customHeight="1">
      <c r="A558" s="31"/>
      <c r="B558" s="31"/>
      <c r="C558" s="31"/>
      <c r="D558" s="31"/>
      <c r="E558" s="31"/>
      <c r="F558" s="144"/>
      <c r="G558" s="31"/>
      <c r="H558" s="31"/>
      <c r="I558" s="31"/>
      <c r="J558" s="31"/>
      <c r="K558" s="22"/>
      <c r="L558" s="46"/>
      <c r="M558" s="146"/>
      <c r="N558" s="147"/>
      <c r="O558" s="147"/>
      <c r="P558" s="147"/>
      <c r="Q558" s="147"/>
    </row>
    <row r="559" ht="15.75" customHeight="1">
      <c r="A559" s="31"/>
      <c r="B559" s="31"/>
      <c r="C559" s="31"/>
      <c r="D559" s="31"/>
      <c r="E559" s="31"/>
      <c r="F559" s="144"/>
      <c r="G559" s="31"/>
      <c r="H559" s="31"/>
      <c r="I559" s="31"/>
      <c r="J559" s="31"/>
      <c r="K559" s="22"/>
      <c r="L559" s="46"/>
      <c r="M559" s="146"/>
      <c r="N559" s="147"/>
      <c r="O559" s="147"/>
      <c r="P559" s="147"/>
      <c r="Q559" s="147"/>
    </row>
    <row r="560" ht="15.75" customHeight="1">
      <c r="A560" s="31"/>
      <c r="B560" s="31"/>
      <c r="C560" s="31"/>
      <c r="D560" s="31"/>
      <c r="E560" s="31"/>
      <c r="F560" s="144"/>
      <c r="G560" s="31"/>
      <c r="H560" s="31"/>
      <c r="I560" s="31"/>
      <c r="J560" s="31"/>
      <c r="K560" s="22"/>
      <c r="L560" s="46"/>
      <c r="M560" s="146"/>
      <c r="N560" s="147"/>
      <c r="O560" s="147"/>
      <c r="P560" s="147"/>
      <c r="Q560" s="147"/>
    </row>
    <row r="561" ht="15.75" customHeight="1">
      <c r="A561" s="31"/>
      <c r="B561" s="31"/>
      <c r="C561" s="31"/>
      <c r="D561" s="31"/>
      <c r="E561" s="31"/>
      <c r="F561" s="144"/>
      <c r="G561" s="31"/>
      <c r="H561" s="31"/>
      <c r="I561" s="31"/>
      <c r="J561" s="31"/>
      <c r="K561" s="22"/>
      <c r="L561" s="46"/>
      <c r="M561" s="146"/>
      <c r="N561" s="147"/>
      <c r="O561" s="147"/>
      <c r="P561" s="147"/>
      <c r="Q561" s="147"/>
    </row>
    <row r="562" ht="15.75" customHeight="1">
      <c r="A562" s="31"/>
      <c r="B562" s="31"/>
      <c r="C562" s="31"/>
      <c r="D562" s="31"/>
      <c r="E562" s="31"/>
      <c r="F562" s="144"/>
      <c r="G562" s="31"/>
      <c r="H562" s="31"/>
      <c r="I562" s="31"/>
      <c r="J562" s="31"/>
      <c r="K562" s="22"/>
      <c r="L562" s="46"/>
      <c r="M562" s="146"/>
      <c r="N562" s="147"/>
      <c r="O562" s="147"/>
      <c r="P562" s="147"/>
      <c r="Q562" s="147"/>
    </row>
    <row r="563" ht="15.75" customHeight="1">
      <c r="A563" s="31"/>
      <c r="B563" s="31"/>
      <c r="C563" s="31"/>
      <c r="D563" s="31"/>
      <c r="E563" s="31"/>
      <c r="F563" s="144"/>
      <c r="G563" s="31"/>
      <c r="H563" s="31"/>
      <c r="I563" s="31"/>
      <c r="J563" s="31"/>
      <c r="K563" s="22"/>
      <c r="L563" s="46"/>
      <c r="M563" s="146"/>
      <c r="N563" s="147"/>
      <c r="O563" s="147"/>
      <c r="P563" s="147"/>
      <c r="Q563" s="147"/>
    </row>
    <row r="564" ht="15.75" customHeight="1">
      <c r="A564" s="31"/>
      <c r="B564" s="31"/>
      <c r="C564" s="31"/>
      <c r="D564" s="31"/>
      <c r="E564" s="31"/>
      <c r="F564" s="144"/>
      <c r="G564" s="31"/>
      <c r="H564" s="31"/>
      <c r="I564" s="31"/>
      <c r="J564" s="31"/>
      <c r="K564" s="22"/>
      <c r="L564" s="46"/>
      <c r="M564" s="146"/>
      <c r="N564" s="147"/>
      <c r="O564" s="147"/>
      <c r="P564" s="147"/>
      <c r="Q564" s="147"/>
    </row>
    <row r="565" ht="15.75" customHeight="1">
      <c r="A565" s="31"/>
      <c r="B565" s="31"/>
      <c r="C565" s="31"/>
      <c r="D565" s="31"/>
      <c r="E565" s="31"/>
      <c r="F565" s="144"/>
      <c r="G565" s="31"/>
      <c r="H565" s="31"/>
      <c r="I565" s="31"/>
      <c r="J565" s="31"/>
      <c r="K565" s="22"/>
      <c r="L565" s="46"/>
      <c r="M565" s="146"/>
      <c r="N565" s="147"/>
      <c r="O565" s="147"/>
      <c r="P565" s="147"/>
      <c r="Q565" s="147"/>
    </row>
    <row r="566" ht="15.75" customHeight="1">
      <c r="A566" s="31"/>
      <c r="B566" s="31"/>
      <c r="C566" s="31"/>
      <c r="D566" s="31"/>
      <c r="E566" s="31"/>
      <c r="F566" s="144"/>
      <c r="G566" s="31"/>
      <c r="H566" s="31"/>
      <c r="I566" s="31"/>
      <c r="J566" s="31"/>
      <c r="K566" s="22"/>
      <c r="L566" s="46"/>
      <c r="M566" s="146"/>
      <c r="N566" s="147"/>
      <c r="O566" s="147"/>
      <c r="P566" s="147"/>
      <c r="Q566" s="147"/>
    </row>
    <row r="567" ht="15.75" customHeight="1">
      <c r="A567" s="31"/>
      <c r="B567" s="31"/>
      <c r="C567" s="31"/>
      <c r="D567" s="31"/>
      <c r="E567" s="31"/>
      <c r="F567" s="144"/>
      <c r="G567" s="31"/>
      <c r="H567" s="31"/>
      <c r="I567" s="31"/>
      <c r="J567" s="31"/>
      <c r="K567" s="22"/>
      <c r="L567" s="46"/>
      <c r="M567" s="146"/>
      <c r="N567" s="147"/>
      <c r="O567" s="147"/>
      <c r="P567" s="147"/>
      <c r="Q567" s="147"/>
    </row>
    <row r="568" ht="15.75" customHeight="1">
      <c r="A568" s="31"/>
      <c r="B568" s="31"/>
      <c r="C568" s="31"/>
      <c r="D568" s="31"/>
      <c r="E568" s="31"/>
      <c r="F568" s="144"/>
      <c r="G568" s="31"/>
      <c r="H568" s="31"/>
      <c r="I568" s="31"/>
      <c r="J568" s="31"/>
      <c r="K568" s="22"/>
      <c r="L568" s="46"/>
      <c r="M568" s="146"/>
      <c r="N568" s="147"/>
      <c r="O568" s="147"/>
      <c r="P568" s="147"/>
      <c r="Q568" s="147"/>
    </row>
    <row r="569" ht="15.75" customHeight="1">
      <c r="A569" s="31"/>
      <c r="B569" s="31"/>
      <c r="C569" s="31"/>
      <c r="D569" s="31"/>
      <c r="E569" s="31"/>
      <c r="F569" s="144"/>
      <c r="G569" s="31"/>
      <c r="H569" s="31"/>
      <c r="I569" s="31"/>
      <c r="J569" s="31"/>
      <c r="K569" s="22"/>
      <c r="L569" s="46"/>
      <c r="M569" s="146"/>
      <c r="N569" s="147"/>
      <c r="O569" s="147"/>
      <c r="P569" s="147"/>
      <c r="Q569" s="147"/>
    </row>
    <row r="570" ht="15.75" customHeight="1">
      <c r="A570" s="31"/>
      <c r="B570" s="31"/>
      <c r="C570" s="31"/>
      <c r="D570" s="31"/>
      <c r="E570" s="31"/>
      <c r="F570" s="144"/>
      <c r="G570" s="31"/>
      <c r="H570" s="31"/>
      <c r="I570" s="31"/>
      <c r="J570" s="31"/>
      <c r="K570" s="22"/>
      <c r="L570" s="46"/>
      <c r="M570" s="146"/>
      <c r="N570" s="147"/>
      <c r="O570" s="147"/>
      <c r="P570" s="147"/>
      <c r="Q570" s="147"/>
    </row>
    <row r="571" ht="15.75" customHeight="1">
      <c r="A571" s="31"/>
      <c r="B571" s="31"/>
      <c r="C571" s="31"/>
      <c r="D571" s="31"/>
      <c r="E571" s="31"/>
      <c r="F571" s="144"/>
      <c r="G571" s="31"/>
      <c r="H571" s="31"/>
      <c r="I571" s="31"/>
      <c r="J571" s="31"/>
      <c r="K571" s="22"/>
      <c r="L571" s="46"/>
      <c r="M571" s="146"/>
      <c r="N571" s="147"/>
      <c r="O571" s="147"/>
      <c r="P571" s="147"/>
      <c r="Q571" s="147"/>
    </row>
    <row r="572" ht="15.75" customHeight="1">
      <c r="A572" s="31"/>
      <c r="B572" s="31"/>
      <c r="C572" s="31"/>
      <c r="D572" s="31"/>
      <c r="E572" s="31"/>
      <c r="F572" s="144"/>
      <c r="G572" s="31"/>
      <c r="H572" s="31"/>
      <c r="I572" s="31"/>
      <c r="J572" s="31"/>
      <c r="K572" s="22"/>
      <c r="L572" s="46"/>
      <c r="M572" s="146"/>
      <c r="N572" s="147"/>
      <c r="O572" s="147"/>
      <c r="P572" s="147"/>
      <c r="Q572" s="147"/>
    </row>
    <row r="573" ht="15.75" customHeight="1">
      <c r="A573" s="31"/>
      <c r="B573" s="31"/>
      <c r="C573" s="31"/>
      <c r="D573" s="31"/>
      <c r="E573" s="31"/>
      <c r="F573" s="144"/>
      <c r="G573" s="31"/>
      <c r="H573" s="31"/>
      <c r="I573" s="31"/>
      <c r="J573" s="31"/>
      <c r="K573" s="22"/>
      <c r="L573" s="46"/>
      <c r="M573" s="146"/>
      <c r="N573" s="147"/>
      <c r="O573" s="147"/>
      <c r="P573" s="147"/>
      <c r="Q573" s="147"/>
    </row>
    <row r="574" ht="15.75" customHeight="1">
      <c r="A574" s="31"/>
      <c r="B574" s="31"/>
      <c r="C574" s="31"/>
      <c r="D574" s="31"/>
      <c r="E574" s="31"/>
      <c r="F574" s="144"/>
      <c r="G574" s="31"/>
      <c r="H574" s="31"/>
      <c r="I574" s="31"/>
      <c r="J574" s="31"/>
      <c r="K574" s="22"/>
      <c r="L574" s="46"/>
      <c r="M574" s="146"/>
      <c r="N574" s="147"/>
      <c r="O574" s="147"/>
      <c r="P574" s="147"/>
      <c r="Q574" s="147"/>
    </row>
    <row r="575" ht="15.75" customHeight="1">
      <c r="A575" s="31"/>
      <c r="B575" s="31"/>
      <c r="C575" s="31"/>
      <c r="D575" s="31"/>
      <c r="E575" s="31"/>
      <c r="F575" s="144"/>
      <c r="G575" s="31"/>
      <c r="H575" s="31"/>
      <c r="I575" s="31"/>
      <c r="J575" s="31"/>
      <c r="K575" s="22"/>
      <c r="L575" s="46"/>
      <c r="M575" s="146"/>
      <c r="N575" s="147"/>
      <c r="O575" s="147"/>
      <c r="P575" s="147"/>
      <c r="Q575" s="147"/>
    </row>
    <row r="576" ht="15.75" customHeight="1">
      <c r="A576" s="31"/>
      <c r="B576" s="31"/>
      <c r="C576" s="31"/>
      <c r="D576" s="31"/>
      <c r="E576" s="31"/>
      <c r="F576" s="144"/>
      <c r="G576" s="31"/>
      <c r="H576" s="31"/>
      <c r="I576" s="31"/>
      <c r="J576" s="31"/>
      <c r="K576" s="22"/>
      <c r="L576" s="46"/>
      <c r="M576" s="146"/>
      <c r="N576" s="147"/>
      <c r="O576" s="147"/>
      <c r="P576" s="147"/>
      <c r="Q576" s="147"/>
    </row>
    <row r="577" ht="15.75" customHeight="1">
      <c r="A577" s="31"/>
      <c r="B577" s="31"/>
      <c r="C577" s="31"/>
      <c r="D577" s="31"/>
      <c r="E577" s="31"/>
      <c r="F577" s="144"/>
      <c r="G577" s="31"/>
      <c r="H577" s="31"/>
      <c r="I577" s="31"/>
      <c r="J577" s="31"/>
      <c r="K577" s="22"/>
      <c r="L577" s="46"/>
      <c r="M577" s="146"/>
      <c r="N577" s="147"/>
      <c r="O577" s="147"/>
      <c r="P577" s="147"/>
      <c r="Q577" s="147"/>
    </row>
    <row r="578" ht="15.75" customHeight="1">
      <c r="A578" s="31"/>
      <c r="B578" s="31"/>
      <c r="C578" s="31"/>
      <c r="D578" s="31"/>
      <c r="E578" s="31"/>
      <c r="F578" s="144"/>
      <c r="G578" s="31"/>
      <c r="H578" s="31"/>
      <c r="I578" s="31"/>
      <c r="J578" s="31"/>
      <c r="K578" s="22"/>
      <c r="L578" s="46"/>
      <c r="M578" s="146"/>
      <c r="N578" s="147"/>
      <c r="O578" s="147"/>
      <c r="P578" s="147"/>
      <c r="Q578" s="147"/>
    </row>
    <row r="579" ht="15.75" customHeight="1">
      <c r="A579" s="31"/>
      <c r="B579" s="31"/>
      <c r="C579" s="31"/>
      <c r="D579" s="31"/>
      <c r="E579" s="31"/>
      <c r="F579" s="144"/>
      <c r="G579" s="31"/>
      <c r="H579" s="31"/>
      <c r="I579" s="31"/>
      <c r="J579" s="31"/>
      <c r="K579" s="22"/>
      <c r="L579" s="46"/>
      <c r="M579" s="146"/>
      <c r="N579" s="147"/>
      <c r="O579" s="147"/>
      <c r="P579" s="147"/>
      <c r="Q579" s="147"/>
    </row>
    <row r="580" ht="15.75" customHeight="1">
      <c r="A580" s="31"/>
      <c r="B580" s="31"/>
      <c r="C580" s="31"/>
      <c r="D580" s="31"/>
      <c r="E580" s="31"/>
      <c r="F580" s="144"/>
      <c r="G580" s="31"/>
      <c r="H580" s="31"/>
      <c r="I580" s="31"/>
      <c r="J580" s="31"/>
      <c r="K580" s="22"/>
      <c r="L580" s="46"/>
      <c r="M580" s="146"/>
      <c r="N580" s="147"/>
      <c r="O580" s="147"/>
      <c r="P580" s="147"/>
      <c r="Q580" s="147"/>
    </row>
    <row r="581" ht="15.75" customHeight="1">
      <c r="A581" s="31"/>
      <c r="B581" s="31"/>
      <c r="C581" s="31"/>
      <c r="D581" s="31"/>
      <c r="E581" s="31"/>
      <c r="F581" s="144"/>
      <c r="G581" s="31"/>
      <c r="H581" s="31"/>
      <c r="I581" s="31"/>
      <c r="J581" s="31"/>
      <c r="K581" s="22"/>
      <c r="L581" s="46"/>
      <c r="M581" s="146"/>
      <c r="N581" s="147"/>
      <c r="O581" s="147"/>
      <c r="P581" s="147"/>
      <c r="Q581" s="147"/>
    </row>
    <row r="582" ht="15.75" customHeight="1">
      <c r="A582" s="31"/>
      <c r="B582" s="31"/>
      <c r="C582" s="31"/>
      <c r="D582" s="31"/>
      <c r="E582" s="31"/>
      <c r="F582" s="144"/>
      <c r="G582" s="31"/>
      <c r="H582" s="31"/>
      <c r="I582" s="31"/>
      <c r="J582" s="31"/>
      <c r="K582" s="22"/>
      <c r="L582" s="46"/>
      <c r="M582" s="146"/>
      <c r="N582" s="147"/>
      <c r="O582" s="147"/>
      <c r="P582" s="147"/>
      <c r="Q582" s="147"/>
    </row>
    <row r="583" ht="15.75" customHeight="1">
      <c r="A583" s="31"/>
      <c r="B583" s="31"/>
      <c r="C583" s="31"/>
      <c r="D583" s="31"/>
      <c r="E583" s="31"/>
      <c r="F583" s="144"/>
      <c r="G583" s="31"/>
      <c r="H583" s="31"/>
      <c r="I583" s="31"/>
      <c r="J583" s="31"/>
      <c r="K583" s="22"/>
      <c r="L583" s="46"/>
      <c r="M583" s="146"/>
      <c r="N583" s="147"/>
      <c r="O583" s="147"/>
      <c r="P583" s="147"/>
      <c r="Q583" s="147"/>
    </row>
    <row r="584" ht="15.75" customHeight="1">
      <c r="A584" s="31"/>
      <c r="B584" s="31"/>
      <c r="C584" s="31"/>
      <c r="D584" s="31"/>
      <c r="E584" s="31"/>
      <c r="F584" s="144"/>
      <c r="G584" s="31"/>
      <c r="H584" s="31"/>
      <c r="I584" s="31"/>
      <c r="J584" s="31"/>
      <c r="K584" s="22"/>
      <c r="L584" s="46"/>
      <c r="M584" s="146"/>
      <c r="N584" s="147"/>
      <c r="O584" s="147"/>
      <c r="P584" s="147"/>
      <c r="Q584" s="147"/>
    </row>
    <row r="585" ht="15.75" customHeight="1">
      <c r="A585" s="31"/>
      <c r="B585" s="31"/>
      <c r="C585" s="31"/>
      <c r="D585" s="31"/>
      <c r="E585" s="31"/>
      <c r="F585" s="144"/>
      <c r="G585" s="31"/>
      <c r="H585" s="31"/>
      <c r="I585" s="31"/>
      <c r="J585" s="31"/>
      <c r="K585" s="22"/>
      <c r="L585" s="46"/>
      <c r="M585" s="146"/>
      <c r="N585" s="147"/>
      <c r="O585" s="147"/>
      <c r="P585" s="147"/>
      <c r="Q585" s="147"/>
    </row>
    <row r="586" ht="15.75" customHeight="1">
      <c r="A586" s="31"/>
      <c r="B586" s="31"/>
      <c r="C586" s="31"/>
      <c r="D586" s="31"/>
      <c r="E586" s="31"/>
      <c r="F586" s="144"/>
      <c r="G586" s="31"/>
      <c r="H586" s="31"/>
      <c r="I586" s="31"/>
      <c r="J586" s="31"/>
      <c r="K586" s="22"/>
      <c r="L586" s="46"/>
      <c r="M586" s="146"/>
      <c r="N586" s="147"/>
      <c r="O586" s="147"/>
      <c r="P586" s="147"/>
      <c r="Q586" s="147"/>
    </row>
    <row r="587" ht="15.75" customHeight="1">
      <c r="A587" s="31"/>
      <c r="B587" s="31"/>
      <c r="C587" s="31"/>
      <c r="D587" s="31"/>
      <c r="E587" s="31"/>
      <c r="F587" s="144"/>
      <c r="G587" s="31"/>
      <c r="H587" s="31"/>
      <c r="I587" s="31"/>
      <c r="J587" s="31"/>
      <c r="K587" s="22"/>
      <c r="L587" s="46"/>
      <c r="M587" s="146"/>
      <c r="N587" s="147"/>
      <c r="O587" s="147"/>
      <c r="P587" s="147"/>
      <c r="Q587" s="147"/>
    </row>
    <row r="588" ht="15.75" customHeight="1">
      <c r="A588" s="31"/>
      <c r="B588" s="31"/>
      <c r="C588" s="31"/>
      <c r="D588" s="31"/>
      <c r="E588" s="31"/>
      <c r="F588" s="144"/>
      <c r="G588" s="31"/>
      <c r="H588" s="31"/>
      <c r="I588" s="31"/>
      <c r="J588" s="31"/>
      <c r="K588" s="22"/>
      <c r="L588" s="46"/>
      <c r="M588" s="146"/>
      <c r="N588" s="147"/>
      <c r="O588" s="147"/>
      <c r="P588" s="147"/>
      <c r="Q588" s="147"/>
    </row>
    <row r="589" ht="15.75" customHeight="1">
      <c r="A589" s="31"/>
      <c r="B589" s="31"/>
      <c r="C589" s="31"/>
      <c r="D589" s="31"/>
      <c r="E589" s="31"/>
      <c r="F589" s="144"/>
      <c r="G589" s="31"/>
      <c r="H589" s="31"/>
      <c r="I589" s="31"/>
      <c r="J589" s="31"/>
      <c r="K589" s="22"/>
      <c r="L589" s="46"/>
      <c r="M589" s="146"/>
      <c r="N589" s="147"/>
      <c r="O589" s="147"/>
      <c r="P589" s="147"/>
      <c r="Q589" s="147"/>
    </row>
    <row r="590" ht="15.75" customHeight="1">
      <c r="A590" s="31"/>
      <c r="B590" s="31"/>
      <c r="C590" s="31"/>
      <c r="D590" s="31"/>
      <c r="E590" s="31"/>
      <c r="F590" s="144"/>
      <c r="G590" s="31"/>
      <c r="H590" s="31"/>
      <c r="I590" s="31"/>
      <c r="J590" s="31"/>
      <c r="K590" s="22"/>
      <c r="L590" s="46"/>
      <c r="M590" s="146"/>
      <c r="N590" s="147"/>
      <c r="O590" s="147"/>
      <c r="P590" s="147"/>
      <c r="Q590" s="147"/>
    </row>
    <row r="591" ht="15.75" customHeight="1">
      <c r="A591" s="31"/>
      <c r="B591" s="31"/>
      <c r="C591" s="31"/>
      <c r="D591" s="31"/>
      <c r="E591" s="31"/>
      <c r="F591" s="144"/>
      <c r="G591" s="31"/>
      <c r="H591" s="31"/>
      <c r="I591" s="31"/>
      <c r="J591" s="31"/>
      <c r="K591" s="22"/>
      <c r="L591" s="46"/>
      <c r="M591" s="146"/>
      <c r="N591" s="147"/>
      <c r="O591" s="147"/>
      <c r="P591" s="147"/>
      <c r="Q591" s="147"/>
    </row>
    <row r="592" ht="15.75" customHeight="1">
      <c r="A592" s="31"/>
      <c r="B592" s="31"/>
      <c r="C592" s="31"/>
      <c r="D592" s="31"/>
      <c r="E592" s="31"/>
      <c r="F592" s="144"/>
      <c r="G592" s="31"/>
      <c r="H592" s="31"/>
      <c r="I592" s="31"/>
      <c r="J592" s="31"/>
      <c r="K592" s="22"/>
      <c r="L592" s="46"/>
      <c r="M592" s="146"/>
      <c r="N592" s="147"/>
      <c r="O592" s="147"/>
      <c r="P592" s="147"/>
      <c r="Q592" s="147"/>
    </row>
    <row r="593" ht="15.75" customHeight="1">
      <c r="A593" s="31"/>
      <c r="B593" s="31"/>
      <c r="C593" s="31"/>
      <c r="D593" s="31"/>
      <c r="E593" s="31"/>
      <c r="F593" s="144"/>
      <c r="G593" s="31"/>
      <c r="H593" s="31"/>
      <c r="I593" s="31"/>
      <c r="J593" s="31"/>
      <c r="K593" s="22"/>
      <c r="L593" s="46"/>
      <c r="M593" s="146"/>
      <c r="N593" s="147"/>
      <c r="O593" s="147"/>
      <c r="P593" s="147"/>
      <c r="Q593" s="147"/>
    </row>
    <row r="594" ht="15.75" customHeight="1">
      <c r="A594" s="31"/>
      <c r="B594" s="31"/>
      <c r="C594" s="31"/>
      <c r="D594" s="31"/>
      <c r="E594" s="31"/>
      <c r="F594" s="144"/>
      <c r="G594" s="31"/>
      <c r="H594" s="31"/>
      <c r="I594" s="31"/>
      <c r="J594" s="31"/>
      <c r="K594" s="22"/>
      <c r="L594" s="46"/>
      <c r="M594" s="146"/>
      <c r="N594" s="147"/>
      <c r="O594" s="147"/>
      <c r="P594" s="147"/>
      <c r="Q594" s="147"/>
    </row>
    <row r="595" ht="15.75" customHeight="1">
      <c r="A595" s="31"/>
      <c r="B595" s="31"/>
      <c r="C595" s="31"/>
      <c r="D595" s="31"/>
      <c r="E595" s="31"/>
      <c r="F595" s="144"/>
      <c r="G595" s="31"/>
      <c r="H595" s="31"/>
      <c r="I595" s="31"/>
      <c r="J595" s="31"/>
      <c r="K595" s="22"/>
      <c r="L595" s="46"/>
      <c r="M595" s="146"/>
      <c r="N595" s="147"/>
      <c r="O595" s="147"/>
      <c r="P595" s="147"/>
      <c r="Q595" s="147"/>
    </row>
    <row r="596" ht="15.75" customHeight="1">
      <c r="A596" s="31"/>
      <c r="B596" s="31"/>
      <c r="C596" s="31"/>
      <c r="D596" s="31"/>
      <c r="E596" s="31"/>
      <c r="F596" s="144"/>
      <c r="G596" s="31"/>
      <c r="H596" s="31"/>
      <c r="I596" s="31"/>
      <c r="J596" s="31"/>
      <c r="K596" s="22"/>
      <c r="L596" s="46"/>
      <c r="M596" s="146"/>
      <c r="N596" s="147"/>
      <c r="O596" s="147"/>
      <c r="P596" s="147"/>
      <c r="Q596" s="147"/>
    </row>
    <row r="597" ht="15.75" customHeight="1">
      <c r="A597" s="31"/>
      <c r="B597" s="31"/>
      <c r="C597" s="31"/>
      <c r="D597" s="31"/>
      <c r="E597" s="31"/>
      <c r="F597" s="144"/>
      <c r="G597" s="31"/>
      <c r="H597" s="31"/>
      <c r="I597" s="31"/>
      <c r="J597" s="31"/>
      <c r="K597" s="22"/>
      <c r="L597" s="46"/>
      <c r="M597" s="146"/>
      <c r="N597" s="147"/>
      <c r="O597" s="147"/>
      <c r="P597" s="147"/>
      <c r="Q597" s="147"/>
    </row>
    <row r="598" ht="15.75" customHeight="1">
      <c r="A598" s="31"/>
      <c r="B598" s="31"/>
      <c r="C598" s="31"/>
      <c r="D598" s="31"/>
      <c r="E598" s="31"/>
      <c r="F598" s="144"/>
      <c r="G598" s="31"/>
      <c r="H598" s="31"/>
      <c r="I598" s="31"/>
      <c r="J598" s="31"/>
      <c r="K598" s="22"/>
      <c r="L598" s="46"/>
      <c r="M598" s="146"/>
      <c r="N598" s="147"/>
      <c r="O598" s="147"/>
      <c r="P598" s="147"/>
      <c r="Q598" s="147"/>
    </row>
    <row r="599" ht="15.75" customHeight="1">
      <c r="A599" s="31"/>
      <c r="B599" s="31"/>
      <c r="C599" s="31"/>
      <c r="D599" s="31"/>
      <c r="E599" s="31"/>
      <c r="F599" s="144"/>
      <c r="G599" s="31"/>
      <c r="H599" s="31"/>
      <c r="I599" s="31"/>
      <c r="J599" s="31"/>
      <c r="K599" s="22"/>
      <c r="L599" s="46"/>
      <c r="M599" s="146"/>
      <c r="N599" s="147"/>
      <c r="O599" s="147"/>
      <c r="P599" s="147"/>
      <c r="Q599" s="147"/>
    </row>
    <row r="600" ht="15.75" customHeight="1">
      <c r="A600" s="31"/>
      <c r="B600" s="31"/>
      <c r="C600" s="31"/>
      <c r="D600" s="31"/>
      <c r="E600" s="31"/>
      <c r="F600" s="144"/>
      <c r="G600" s="31"/>
      <c r="H600" s="31"/>
      <c r="I600" s="31"/>
      <c r="J600" s="31"/>
      <c r="K600" s="22"/>
      <c r="L600" s="46"/>
      <c r="M600" s="146"/>
      <c r="N600" s="147"/>
      <c r="O600" s="147"/>
      <c r="P600" s="147"/>
      <c r="Q600" s="147"/>
    </row>
    <row r="601" ht="15.75" customHeight="1">
      <c r="A601" s="31"/>
      <c r="B601" s="31"/>
      <c r="C601" s="31"/>
      <c r="D601" s="31"/>
      <c r="E601" s="31"/>
      <c r="F601" s="144"/>
      <c r="G601" s="31"/>
      <c r="H601" s="31"/>
      <c r="I601" s="31"/>
      <c r="J601" s="31"/>
      <c r="K601" s="22"/>
      <c r="L601" s="46"/>
      <c r="M601" s="146"/>
      <c r="N601" s="147"/>
      <c r="O601" s="147"/>
      <c r="P601" s="147"/>
      <c r="Q601" s="147"/>
    </row>
    <row r="602" ht="15.75" customHeight="1">
      <c r="A602" s="31"/>
      <c r="B602" s="31"/>
      <c r="C602" s="31"/>
      <c r="D602" s="31"/>
      <c r="E602" s="31"/>
      <c r="F602" s="144"/>
      <c r="G602" s="31"/>
      <c r="H602" s="31"/>
      <c r="I602" s="31"/>
      <c r="J602" s="31"/>
      <c r="K602" s="22"/>
      <c r="L602" s="46"/>
      <c r="M602" s="146"/>
      <c r="N602" s="147"/>
      <c r="O602" s="147"/>
      <c r="P602" s="147"/>
      <c r="Q602" s="147"/>
    </row>
    <row r="603" ht="15.75" customHeight="1">
      <c r="A603" s="31"/>
      <c r="B603" s="31"/>
      <c r="C603" s="31"/>
      <c r="D603" s="31"/>
      <c r="E603" s="31"/>
      <c r="F603" s="144"/>
      <c r="G603" s="31"/>
      <c r="H603" s="31"/>
      <c r="I603" s="31"/>
      <c r="J603" s="31"/>
      <c r="K603" s="22"/>
      <c r="L603" s="46"/>
      <c r="M603" s="146"/>
      <c r="N603" s="147"/>
      <c r="O603" s="147"/>
      <c r="P603" s="147"/>
      <c r="Q603" s="147"/>
    </row>
    <row r="604" ht="15.75" customHeight="1">
      <c r="A604" s="31"/>
      <c r="B604" s="31"/>
      <c r="C604" s="31"/>
      <c r="D604" s="31"/>
      <c r="E604" s="31"/>
      <c r="F604" s="144"/>
      <c r="G604" s="31"/>
      <c r="H604" s="31"/>
      <c r="I604" s="31"/>
      <c r="J604" s="31"/>
      <c r="K604" s="22"/>
      <c r="L604" s="46"/>
      <c r="M604" s="146"/>
      <c r="N604" s="147"/>
      <c r="O604" s="147"/>
      <c r="P604" s="147"/>
      <c r="Q604" s="147"/>
    </row>
    <row r="605" ht="15.75" customHeight="1">
      <c r="A605" s="31"/>
      <c r="B605" s="31"/>
      <c r="C605" s="31"/>
      <c r="D605" s="31"/>
      <c r="E605" s="31"/>
      <c r="F605" s="144"/>
      <c r="G605" s="31"/>
      <c r="H605" s="31"/>
      <c r="I605" s="31"/>
      <c r="J605" s="31"/>
      <c r="K605" s="22"/>
      <c r="L605" s="46"/>
      <c r="M605" s="146"/>
      <c r="N605" s="147"/>
      <c r="O605" s="147"/>
      <c r="P605" s="147"/>
      <c r="Q605" s="147"/>
    </row>
    <row r="606" ht="15.75" customHeight="1">
      <c r="A606" s="31"/>
      <c r="B606" s="31"/>
      <c r="C606" s="31"/>
      <c r="D606" s="31"/>
      <c r="E606" s="31"/>
      <c r="F606" s="144"/>
      <c r="G606" s="31"/>
      <c r="H606" s="31"/>
      <c r="I606" s="31"/>
      <c r="J606" s="31"/>
      <c r="K606" s="22"/>
      <c r="L606" s="46"/>
      <c r="M606" s="146"/>
      <c r="N606" s="147"/>
      <c r="O606" s="147"/>
      <c r="P606" s="147"/>
      <c r="Q606" s="147"/>
    </row>
    <row r="607" ht="15.75" customHeight="1">
      <c r="A607" s="31"/>
      <c r="B607" s="31"/>
      <c r="C607" s="31"/>
      <c r="D607" s="31"/>
      <c r="E607" s="31"/>
      <c r="F607" s="144"/>
      <c r="G607" s="31"/>
      <c r="H607" s="31"/>
      <c r="I607" s="31"/>
      <c r="J607" s="31"/>
      <c r="K607" s="22"/>
      <c r="L607" s="46"/>
      <c r="M607" s="146"/>
      <c r="N607" s="147"/>
      <c r="O607" s="147"/>
      <c r="P607" s="147"/>
      <c r="Q607" s="147"/>
    </row>
    <row r="608" ht="15.75" customHeight="1">
      <c r="A608" s="31"/>
      <c r="B608" s="31"/>
      <c r="C608" s="31"/>
      <c r="D608" s="31"/>
      <c r="E608" s="31"/>
      <c r="F608" s="144"/>
      <c r="G608" s="31"/>
      <c r="H608" s="31"/>
      <c r="I608" s="31"/>
      <c r="J608" s="31"/>
      <c r="K608" s="22"/>
      <c r="L608" s="46"/>
      <c r="M608" s="146"/>
      <c r="N608" s="147"/>
      <c r="O608" s="147"/>
      <c r="P608" s="147"/>
      <c r="Q608" s="147"/>
    </row>
    <row r="609" ht="15.75" customHeight="1">
      <c r="A609" s="31"/>
      <c r="B609" s="31"/>
      <c r="C609" s="31"/>
      <c r="D609" s="31"/>
      <c r="E609" s="31"/>
      <c r="F609" s="144"/>
      <c r="G609" s="31"/>
      <c r="H609" s="31"/>
      <c r="I609" s="31"/>
      <c r="J609" s="31"/>
      <c r="K609" s="22"/>
      <c r="L609" s="46"/>
      <c r="M609" s="146"/>
      <c r="N609" s="147"/>
      <c r="O609" s="147"/>
      <c r="P609" s="147"/>
      <c r="Q609" s="147"/>
    </row>
    <row r="610" ht="15.75" customHeight="1">
      <c r="A610" s="31"/>
      <c r="B610" s="31"/>
      <c r="C610" s="31"/>
      <c r="D610" s="31"/>
      <c r="E610" s="31"/>
      <c r="F610" s="144"/>
      <c r="G610" s="31"/>
      <c r="H610" s="31"/>
      <c r="I610" s="31"/>
      <c r="J610" s="31"/>
      <c r="K610" s="22"/>
      <c r="L610" s="46"/>
      <c r="M610" s="146"/>
      <c r="N610" s="147"/>
      <c r="O610" s="147"/>
      <c r="P610" s="147"/>
      <c r="Q610" s="147"/>
    </row>
    <row r="611" ht="15.75" customHeight="1">
      <c r="A611" s="31"/>
      <c r="B611" s="31"/>
      <c r="C611" s="31"/>
      <c r="D611" s="31"/>
      <c r="E611" s="31"/>
      <c r="F611" s="144"/>
      <c r="G611" s="31"/>
      <c r="H611" s="31"/>
      <c r="I611" s="31"/>
      <c r="J611" s="31"/>
      <c r="K611" s="22"/>
      <c r="L611" s="46"/>
      <c r="M611" s="146"/>
      <c r="N611" s="147"/>
      <c r="O611" s="147"/>
      <c r="P611" s="147"/>
      <c r="Q611" s="147"/>
    </row>
    <row r="612" ht="15.75" customHeight="1">
      <c r="A612" s="31"/>
      <c r="B612" s="31"/>
      <c r="C612" s="31"/>
      <c r="D612" s="31"/>
      <c r="E612" s="31"/>
      <c r="F612" s="144"/>
      <c r="G612" s="31"/>
      <c r="H612" s="31"/>
      <c r="I612" s="31"/>
      <c r="J612" s="31"/>
      <c r="K612" s="22"/>
      <c r="L612" s="46"/>
      <c r="M612" s="146"/>
      <c r="N612" s="147"/>
      <c r="O612" s="147"/>
      <c r="P612" s="147"/>
      <c r="Q612" s="147"/>
    </row>
    <row r="613" ht="15.75" customHeight="1">
      <c r="A613" s="31"/>
      <c r="B613" s="31"/>
      <c r="C613" s="31"/>
      <c r="D613" s="31"/>
      <c r="E613" s="31"/>
      <c r="F613" s="144"/>
      <c r="G613" s="31"/>
      <c r="H613" s="31"/>
      <c r="I613" s="31"/>
      <c r="J613" s="31"/>
      <c r="K613" s="22"/>
      <c r="L613" s="46"/>
      <c r="M613" s="146"/>
      <c r="N613" s="147"/>
      <c r="O613" s="147"/>
      <c r="P613" s="147"/>
      <c r="Q613" s="147"/>
    </row>
    <row r="614" ht="15.75" customHeight="1">
      <c r="A614" s="31"/>
      <c r="B614" s="31"/>
      <c r="C614" s="31"/>
      <c r="D614" s="31"/>
      <c r="E614" s="31"/>
      <c r="F614" s="144"/>
      <c r="G614" s="31"/>
      <c r="H614" s="31"/>
      <c r="I614" s="31"/>
      <c r="J614" s="31"/>
      <c r="K614" s="22"/>
      <c r="L614" s="46"/>
      <c r="M614" s="146"/>
      <c r="N614" s="147"/>
      <c r="O614" s="147"/>
      <c r="P614" s="147"/>
      <c r="Q614" s="147"/>
    </row>
    <row r="615" ht="15.75" customHeight="1">
      <c r="A615" s="31"/>
      <c r="B615" s="31"/>
      <c r="C615" s="31"/>
      <c r="D615" s="31"/>
      <c r="E615" s="31"/>
      <c r="F615" s="144"/>
      <c r="G615" s="31"/>
      <c r="H615" s="31"/>
      <c r="I615" s="31"/>
      <c r="J615" s="31"/>
      <c r="K615" s="22"/>
      <c r="L615" s="46"/>
      <c r="M615" s="146"/>
      <c r="N615" s="147"/>
      <c r="O615" s="147"/>
      <c r="P615" s="147"/>
      <c r="Q615" s="147"/>
    </row>
    <row r="616" ht="15.75" customHeight="1">
      <c r="A616" s="31"/>
      <c r="B616" s="31"/>
      <c r="C616" s="31"/>
      <c r="D616" s="31"/>
      <c r="E616" s="31"/>
      <c r="F616" s="144"/>
      <c r="G616" s="31"/>
      <c r="H616" s="31"/>
      <c r="I616" s="31"/>
      <c r="J616" s="31"/>
      <c r="K616" s="22"/>
      <c r="L616" s="46"/>
      <c r="M616" s="146"/>
      <c r="N616" s="147"/>
      <c r="O616" s="147"/>
      <c r="P616" s="147"/>
      <c r="Q616" s="147"/>
    </row>
    <row r="617" ht="15.75" customHeight="1">
      <c r="A617" s="31"/>
      <c r="B617" s="31"/>
      <c r="C617" s="31"/>
      <c r="D617" s="31"/>
      <c r="E617" s="31"/>
      <c r="F617" s="144"/>
      <c r="G617" s="31"/>
      <c r="H617" s="31"/>
      <c r="I617" s="31"/>
      <c r="J617" s="31"/>
      <c r="K617" s="22"/>
      <c r="L617" s="46"/>
      <c r="M617" s="146"/>
      <c r="N617" s="147"/>
      <c r="O617" s="147"/>
      <c r="P617" s="147"/>
      <c r="Q617" s="147"/>
    </row>
    <row r="618" ht="15.75" customHeight="1">
      <c r="A618" s="31"/>
      <c r="B618" s="31"/>
      <c r="C618" s="31"/>
      <c r="D618" s="31"/>
      <c r="E618" s="31"/>
      <c r="F618" s="144"/>
      <c r="G618" s="31"/>
      <c r="H618" s="31"/>
      <c r="I618" s="31"/>
      <c r="J618" s="31"/>
      <c r="K618" s="22"/>
      <c r="L618" s="46"/>
      <c r="M618" s="146"/>
      <c r="N618" s="147"/>
      <c r="O618" s="147"/>
      <c r="P618" s="147"/>
      <c r="Q618" s="147"/>
    </row>
    <row r="619" ht="15.75" customHeight="1">
      <c r="A619" s="31"/>
      <c r="B619" s="31"/>
      <c r="C619" s="31"/>
      <c r="D619" s="31"/>
      <c r="E619" s="31"/>
      <c r="F619" s="144"/>
      <c r="G619" s="31"/>
      <c r="H619" s="31"/>
      <c r="I619" s="31"/>
      <c r="J619" s="31"/>
      <c r="K619" s="22"/>
      <c r="L619" s="46"/>
      <c r="M619" s="146"/>
      <c r="N619" s="147"/>
      <c r="O619" s="147"/>
      <c r="P619" s="147"/>
      <c r="Q619" s="147"/>
    </row>
    <row r="620" ht="15.75" customHeight="1">
      <c r="A620" s="31"/>
      <c r="B620" s="31"/>
      <c r="C620" s="31"/>
      <c r="D620" s="31"/>
      <c r="E620" s="31"/>
      <c r="F620" s="144"/>
      <c r="G620" s="31"/>
      <c r="H620" s="31"/>
      <c r="I620" s="31"/>
      <c r="J620" s="31"/>
      <c r="K620" s="22"/>
      <c r="L620" s="46"/>
      <c r="M620" s="146"/>
      <c r="N620" s="147"/>
      <c r="O620" s="147"/>
      <c r="P620" s="147"/>
      <c r="Q620" s="147"/>
    </row>
    <row r="621" ht="15.75" customHeight="1">
      <c r="A621" s="31"/>
      <c r="B621" s="31"/>
      <c r="C621" s="31"/>
      <c r="D621" s="31"/>
      <c r="E621" s="31"/>
      <c r="F621" s="144"/>
      <c r="G621" s="31"/>
      <c r="H621" s="31"/>
      <c r="I621" s="31"/>
      <c r="J621" s="31"/>
      <c r="K621" s="22"/>
      <c r="L621" s="46"/>
      <c r="M621" s="146"/>
      <c r="N621" s="147"/>
      <c r="O621" s="147"/>
      <c r="P621" s="147"/>
      <c r="Q621" s="147"/>
    </row>
    <row r="622" ht="15.75" customHeight="1">
      <c r="A622" s="31"/>
      <c r="B622" s="31"/>
      <c r="C622" s="31"/>
      <c r="D622" s="31"/>
      <c r="E622" s="31"/>
      <c r="F622" s="144"/>
      <c r="G622" s="31"/>
      <c r="H622" s="31"/>
      <c r="I622" s="31"/>
      <c r="J622" s="31"/>
      <c r="K622" s="22"/>
      <c r="L622" s="46"/>
      <c r="M622" s="146"/>
      <c r="N622" s="147"/>
      <c r="O622" s="147"/>
      <c r="P622" s="147"/>
      <c r="Q622" s="147"/>
    </row>
    <row r="623" ht="15.75" customHeight="1">
      <c r="A623" s="31"/>
      <c r="B623" s="31"/>
      <c r="C623" s="31"/>
      <c r="D623" s="31"/>
      <c r="E623" s="31"/>
      <c r="F623" s="144"/>
      <c r="G623" s="31"/>
      <c r="H623" s="31"/>
      <c r="I623" s="31"/>
      <c r="J623" s="31"/>
      <c r="K623" s="22"/>
      <c r="L623" s="46"/>
      <c r="M623" s="146"/>
      <c r="N623" s="147"/>
      <c r="O623" s="147"/>
      <c r="P623" s="147"/>
      <c r="Q623" s="147"/>
    </row>
    <row r="624" ht="15.75" customHeight="1">
      <c r="A624" s="31"/>
      <c r="B624" s="31"/>
      <c r="C624" s="31"/>
      <c r="D624" s="31"/>
      <c r="E624" s="31"/>
      <c r="F624" s="144"/>
      <c r="G624" s="31"/>
      <c r="H624" s="31"/>
      <c r="I624" s="31"/>
      <c r="J624" s="31"/>
      <c r="K624" s="22"/>
      <c r="L624" s="46"/>
      <c r="M624" s="146"/>
      <c r="N624" s="147"/>
      <c r="O624" s="147"/>
      <c r="P624" s="147"/>
      <c r="Q624" s="147"/>
    </row>
    <row r="625" ht="15.75" customHeight="1">
      <c r="A625" s="31"/>
      <c r="B625" s="31"/>
      <c r="C625" s="31"/>
      <c r="D625" s="31"/>
      <c r="E625" s="31"/>
      <c r="F625" s="144"/>
      <c r="G625" s="31"/>
      <c r="H625" s="31"/>
      <c r="I625" s="31"/>
      <c r="J625" s="31"/>
      <c r="K625" s="22"/>
      <c r="L625" s="46"/>
      <c r="M625" s="146"/>
      <c r="N625" s="147"/>
      <c r="O625" s="147"/>
      <c r="P625" s="147"/>
      <c r="Q625" s="147"/>
    </row>
    <row r="626" ht="15.75" customHeight="1">
      <c r="A626" s="31"/>
      <c r="B626" s="31"/>
      <c r="C626" s="31"/>
      <c r="D626" s="31"/>
      <c r="E626" s="31"/>
      <c r="F626" s="144"/>
      <c r="G626" s="31"/>
      <c r="H626" s="31"/>
      <c r="I626" s="31"/>
      <c r="J626" s="31"/>
      <c r="K626" s="22"/>
      <c r="L626" s="46"/>
      <c r="M626" s="146"/>
      <c r="N626" s="147"/>
      <c r="O626" s="147"/>
      <c r="P626" s="147"/>
      <c r="Q626" s="147"/>
    </row>
    <row r="627" ht="15.75" customHeight="1">
      <c r="A627" s="31"/>
      <c r="B627" s="31"/>
      <c r="C627" s="31"/>
      <c r="D627" s="31"/>
      <c r="E627" s="31"/>
      <c r="F627" s="144"/>
      <c r="G627" s="31"/>
      <c r="H627" s="31"/>
      <c r="I627" s="31"/>
      <c r="J627" s="31"/>
      <c r="K627" s="22"/>
      <c r="L627" s="46"/>
      <c r="M627" s="146"/>
      <c r="N627" s="147"/>
      <c r="O627" s="147"/>
      <c r="P627" s="147"/>
      <c r="Q627" s="147"/>
    </row>
    <row r="628" ht="15.75" customHeight="1">
      <c r="A628" s="31"/>
      <c r="B628" s="31"/>
      <c r="C628" s="31"/>
      <c r="D628" s="31"/>
      <c r="E628" s="31"/>
      <c r="F628" s="144"/>
      <c r="G628" s="31"/>
      <c r="H628" s="31"/>
      <c r="I628" s="31"/>
      <c r="J628" s="31"/>
      <c r="K628" s="22"/>
      <c r="L628" s="46"/>
      <c r="M628" s="146"/>
      <c r="N628" s="147"/>
      <c r="O628" s="147"/>
      <c r="P628" s="147"/>
      <c r="Q628" s="147"/>
    </row>
    <row r="629" ht="15.75" customHeight="1">
      <c r="A629" s="31"/>
      <c r="B629" s="31"/>
      <c r="C629" s="31"/>
      <c r="D629" s="31"/>
      <c r="E629" s="31"/>
      <c r="F629" s="144"/>
      <c r="G629" s="31"/>
      <c r="H629" s="31"/>
      <c r="I629" s="31"/>
      <c r="J629" s="31"/>
      <c r="K629" s="22"/>
      <c r="L629" s="46"/>
      <c r="M629" s="146"/>
      <c r="N629" s="147"/>
      <c r="O629" s="147"/>
      <c r="P629" s="147"/>
      <c r="Q629" s="147"/>
    </row>
    <row r="630" ht="15.75" customHeight="1">
      <c r="A630" s="31"/>
      <c r="B630" s="31"/>
      <c r="C630" s="31"/>
      <c r="D630" s="31"/>
      <c r="E630" s="31"/>
      <c r="F630" s="144"/>
      <c r="G630" s="31"/>
      <c r="H630" s="31"/>
      <c r="I630" s="31"/>
      <c r="J630" s="31"/>
      <c r="K630" s="22"/>
      <c r="L630" s="46"/>
      <c r="M630" s="146"/>
      <c r="N630" s="147"/>
      <c r="O630" s="147"/>
      <c r="P630" s="147"/>
      <c r="Q630" s="147"/>
    </row>
    <row r="631" ht="15.75" customHeight="1">
      <c r="A631" s="31"/>
      <c r="B631" s="31"/>
      <c r="C631" s="31"/>
      <c r="D631" s="31"/>
      <c r="E631" s="31"/>
      <c r="F631" s="144"/>
      <c r="G631" s="31"/>
      <c r="H631" s="31"/>
      <c r="I631" s="31"/>
      <c r="J631" s="31"/>
      <c r="K631" s="22"/>
      <c r="L631" s="46"/>
      <c r="M631" s="146"/>
      <c r="N631" s="147"/>
      <c r="O631" s="147"/>
      <c r="P631" s="147"/>
      <c r="Q631" s="147"/>
    </row>
    <row r="632" ht="15.75" customHeight="1">
      <c r="A632" s="31"/>
      <c r="B632" s="31"/>
      <c r="C632" s="31"/>
      <c r="D632" s="31"/>
      <c r="E632" s="31"/>
      <c r="F632" s="144"/>
      <c r="G632" s="31"/>
      <c r="H632" s="31"/>
      <c r="I632" s="31"/>
      <c r="J632" s="31"/>
      <c r="K632" s="22"/>
      <c r="L632" s="46"/>
      <c r="M632" s="146"/>
      <c r="N632" s="147"/>
      <c r="O632" s="147"/>
      <c r="P632" s="147"/>
      <c r="Q632" s="147"/>
    </row>
    <row r="633" ht="15.75" customHeight="1">
      <c r="A633" s="31"/>
      <c r="B633" s="31"/>
      <c r="C633" s="31"/>
      <c r="D633" s="31"/>
      <c r="E633" s="31"/>
      <c r="F633" s="144"/>
      <c r="G633" s="31"/>
      <c r="H633" s="31"/>
      <c r="I633" s="31"/>
      <c r="J633" s="31"/>
      <c r="K633" s="22"/>
      <c r="L633" s="46"/>
      <c r="M633" s="146"/>
      <c r="N633" s="147"/>
      <c r="O633" s="147"/>
      <c r="P633" s="147"/>
      <c r="Q633" s="147"/>
    </row>
    <row r="634" ht="15.75" customHeight="1">
      <c r="A634" s="31"/>
      <c r="B634" s="31"/>
      <c r="C634" s="31"/>
      <c r="D634" s="31"/>
      <c r="E634" s="31"/>
      <c r="F634" s="144"/>
      <c r="G634" s="31"/>
      <c r="H634" s="31"/>
      <c r="I634" s="31"/>
      <c r="J634" s="31"/>
      <c r="K634" s="22"/>
      <c r="L634" s="46"/>
      <c r="M634" s="146"/>
      <c r="N634" s="147"/>
      <c r="O634" s="147"/>
      <c r="P634" s="147"/>
      <c r="Q634" s="147"/>
    </row>
    <row r="635" ht="15.75" customHeight="1">
      <c r="A635" s="31"/>
      <c r="B635" s="31"/>
      <c r="C635" s="31"/>
      <c r="D635" s="31"/>
      <c r="E635" s="31"/>
      <c r="F635" s="144"/>
      <c r="G635" s="31"/>
      <c r="H635" s="31"/>
      <c r="I635" s="31"/>
      <c r="J635" s="31"/>
      <c r="K635" s="22"/>
      <c r="L635" s="46"/>
      <c r="M635" s="146"/>
      <c r="N635" s="147"/>
      <c r="O635" s="147"/>
      <c r="P635" s="147"/>
      <c r="Q635" s="147"/>
    </row>
    <row r="636" ht="15.75" customHeight="1">
      <c r="A636" s="31"/>
      <c r="B636" s="31"/>
      <c r="C636" s="31"/>
      <c r="D636" s="31"/>
      <c r="E636" s="31"/>
      <c r="F636" s="144"/>
      <c r="G636" s="31"/>
      <c r="H636" s="31"/>
      <c r="I636" s="31"/>
      <c r="J636" s="31"/>
      <c r="K636" s="22"/>
      <c r="L636" s="46"/>
      <c r="M636" s="146"/>
      <c r="N636" s="147"/>
      <c r="O636" s="147"/>
      <c r="P636" s="147"/>
      <c r="Q636" s="147"/>
    </row>
    <row r="637" ht="15.75" customHeight="1">
      <c r="A637" s="31"/>
      <c r="B637" s="31"/>
      <c r="C637" s="31"/>
      <c r="D637" s="31"/>
      <c r="E637" s="31"/>
      <c r="F637" s="144"/>
      <c r="G637" s="31"/>
      <c r="H637" s="31"/>
      <c r="I637" s="31"/>
      <c r="J637" s="31"/>
      <c r="K637" s="22"/>
      <c r="L637" s="46"/>
      <c r="M637" s="146"/>
      <c r="N637" s="147"/>
      <c r="O637" s="147"/>
      <c r="P637" s="147"/>
      <c r="Q637" s="147"/>
    </row>
    <row r="638" ht="15.75" customHeight="1">
      <c r="A638" s="31"/>
      <c r="B638" s="31"/>
      <c r="C638" s="31"/>
      <c r="D638" s="31"/>
      <c r="E638" s="31"/>
      <c r="F638" s="144"/>
      <c r="G638" s="31"/>
      <c r="H638" s="31"/>
      <c r="I638" s="31"/>
      <c r="J638" s="31"/>
      <c r="K638" s="22"/>
      <c r="L638" s="46"/>
      <c r="M638" s="146"/>
      <c r="N638" s="147"/>
      <c r="O638" s="147"/>
      <c r="P638" s="147"/>
      <c r="Q638" s="147"/>
    </row>
    <row r="639" ht="15.75" customHeight="1">
      <c r="A639" s="31"/>
      <c r="B639" s="31"/>
      <c r="C639" s="31"/>
      <c r="D639" s="31"/>
      <c r="E639" s="31"/>
      <c r="F639" s="144"/>
      <c r="G639" s="31"/>
      <c r="H639" s="31"/>
      <c r="I639" s="31"/>
      <c r="J639" s="31"/>
      <c r="K639" s="22"/>
      <c r="L639" s="46"/>
      <c r="M639" s="146"/>
      <c r="N639" s="147"/>
      <c r="O639" s="147"/>
      <c r="P639" s="147"/>
      <c r="Q639" s="147"/>
    </row>
    <row r="640" ht="15.75" customHeight="1">
      <c r="A640" s="31"/>
      <c r="B640" s="31"/>
      <c r="C640" s="31"/>
      <c r="D640" s="31"/>
      <c r="E640" s="31"/>
      <c r="F640" s="144"/>
      <c r="G640" s="31"/>
      <c r="H640" s="31"/>
      <c r="I640" s="31"/>
      <c r="J640" s="31"/>
      <c r="K640" s="22"/>
      <c r="L640" s="46"/>
      <c r="M640" s="146"/>
      <c r="N640" s="147"/>
      <c r="O640" s="147"/>
      <c r="P640" s="147"/>
      <c r="Q640" s="147"/>
    </row>
    <row r="641" ht="15.75" customHeight="1">
      <c r="A641" s="31"/>
      <c r="B641" s="31"/>
      <c r="C641" s="31"/>
      <c r="D641" s="31"/>
      <c r="E641" s="31"/>
      <c r="F641" s="144"/>
      <c r="G641" s="31"/>
      <c r="H641" s="31"/>
      <c r="I641" s="31"/>
      <c r="J641" s="31"/>
      <c r="K641" s="22"/>
      <c r="L641" s="46"/>
      <c r="M641" s="146"/>
      <c r="N641" s="147"/>
      <c r="O641" s="147"/>
      <c r="P641" s="147"/>
      <c r="Q641" s="147"/>
    </row>
    <row r="642" ht="15.75" customHeight="1">
      <c r="A642" s="31"/>
      <c r="B642" s="31"/>
      <c r="C642" s="31"/>
      <c r="D642" s="31"/>
      <c r="E642" s="31"/>
      <c r="F642" s="144"/>
      <c r="G642" s="31"/>
      <c r="H642" s="31"/>
      <c r="I642" s="31"/>
      <c r="J642" s="31"/>
      <c r="K642" s="22"/>
      <c r="L642" s="46"/>
      <c r="M642" s="146"/>
      <c r="N642" s="147"/>
      <c r="O642" s="147"/>
      <c r="P642" s="147"/>
      <c r="Q642" s="147"/>
    </row>
    <row r="643" ht="15.75" customHeight="1">
      <c r="A643" s="31"/>
      <c r="B643" s="31"/>
      <c r="C643" s="31"/>
      <c r="D643" s="31"/>
      <c r="E643" s="31"/>
      <c r="F643" s="144"/>
      <c r="G643" s="31"/>
      <c r="H643" s="31"/>
      <c r="I643" s="31"/>
      <c r="J643" s="31"/>
      <c r="K643" s="22"/>
      <c r="L643" s="46"/>
      <c r="M643" s="146"/>
      <c r="N643" s="147"/>
      <c r="O643" s="147"/>
      <c r="P643" s="147"/>
      <c r="Q643" s="147"/>
    </row>
    <row r="644" ht="15.75" customHeight="1">
      <c r="A644" s="31"/>
      <c r="B644" s="31"/>
      <c r="C644" s="31"/>
      <c r="D644" s="31"/>
      <c r="E644" s="31"/>
      <c r="F644" s="144"/>
      <c r="G644" s="31"/>
      <c r="H644" s="31"/>
      <c r="I644" s="31"/>
      <c r="J644" s="31"/>
      <c r="K644" s="22"/>
      <c r="L644" s="46"/>
      <c r="M644" s="146"/>
      <c r="N644" s="147"/>
      <c r="O644" s="147"/>
      <c r="P644" s="147"/>
      <c r="Q644" s="147"/>
    </row>
    <row r="645" ht="15.75" customHeight="1">
      <c r="A645" s="31"/>
      <c r="B645" s="31"/>
      <c r="C645" s="31"/>
      <c r="D645" s="31"/>
      <c r="E645" s="31"/>
      <c r="F645" s="144"/>
      <c r="G645" s="31"/>
      <c r="H645" s="31"/>
      <c r="I645" s="31"/>
      <c r="J645" s="31"/>
      <c r="K645" s="22"/>
      <c r="L645" s="46"/>
      <c r="M645" s="146"/>
      <c r="N645" s="147"/>
      <c r="O645" s="147"/>
      <c r="P645" s="147"/>
      <c r="Q645" s="147"/>
    </row>
    <row r="646" ht="15.75" customHeight="1">
      <c r="A646" s="31"/>
      <c r="B646" s="31"/>
      <c r="C646" s="31"/>
      <c r="D646" s="31"/>
      <c r="E646" s="31"/>
      <c r="F646" s="144"/>
      <c r="G646" s="31"/>
      <c r="H646" s="31"/>
      <c r="I646" s="31"/>
      <c r="J646" s="31"/>
      <c r="K646" s="22"/>
      <c r="L646" s="46"/>
      <c r="M646" s="146"/>
      <c r="N646" s="147"/>
      <c r="O646" s="147"/>
      <c r="P646" s="147"/>
      <c r="Q646" s="147"/>
    </row>
    <row r="647" ht="15.75" customHeight="1">
      <c r="A647" s="31"/>
      <c r="B647" s="31"/>
      <c r="C647" s="31"/>
      <c r="D647" s="31"/>
      <c r="E647" s="31"/>
      <c r="F647" s="144"/>
      <c r="G647" s="31"/>
      <c r="H647" s="31"/>
      <c r="I647" s="31"/>
      <c r="J647" s="31"/>
      <c r="K647" s="22"/>
      <c r="L647" s="46"/>
      <c r="M647" s="146"/>
      <c r="N647" s="147"/>
      <c r="O647" s="147"/>
      <c r="P647" s="147"/>
      <c r="Q647" s="147"/>
    </row>
    <row r="648" ht="15.75" customHeight="1">
      <c r="A648" s="31"/>
      <c r="B648" s="31"/>
      <c r="C648" s="31"/>
      <c r="D648" s="31"/>
      <c r="E648" s="31"/>
      <c r="F648" s="144"/>
      <c r="G648" s="31"/>
      <c r="H648" s="31"/>
      <c r="I648" s="31"/>
      <c r="J648" s="31"/>
      <c r="K648" s="22"/>
      <c r="L648" s="46"/>
      <c r="M648" s="146"/>
      <c r="N648" s="147"/>
      <c r="O648" s="147"/>
      <c r="P648" s="147"/>
      <c r="Q648" s="147"/>
    </row>
    <row r="649" ht="15.75" customHeight="1">
      <c r="A649" s="31"/>
      <c r="B649" s="31"/>
      <c r="C649" s="31"/>
      <c r="D649" s="31"/>
      <c r="E649" s="31"/>
      <c r="F649" s="144"/>
      <c r="G649" s="31"/>
      <c r="H649" s="31"/>
      <c r="I649" s="31"/>
      <c r="J649" s="31"/>
      <c r="K649" s="22"/>
      <c r="L649" s="46"/>
      <c r="M649" s="146"/>
      <c r="N649" s="147"/>
      <c r="O649" s="147"/>
      <c r="P649" s="147"/>
      <c r="Q649" s="147"/>
    </row>
    <row r="650" ht="15.75" customHeight="1">
      <c r="A650" s="31"/>
      <c r="B650" s="31"/>
      <c r="C650" s="31"/>
      <c r="D650" s="31"/>
      <c r="E650" s="31"/>
      <c r="F650" s="144"/>
      <c r="G650" s="31"/>
      <c r="H650" s="31"/>
      <c r="I650" s="31"/>
      <c r="J650" s="31"/>
      <c r="K650" s="22"/>
      <c r="L650" s="46"/>
      <c r="M650" s="146"/>
      <c r="N650" s="147"/>
      <c r="O650" s="147"/>
      <c r="P650" s="147"/>
      <c r="Q650" s="147"/>
    </row>
    <row r="651" ht="15.75" customHeight="1">
      <c r="A651" s="31"/>
      <c r="B651" s="31"/>
      <c r="C651" s="31"/>
      <c r="D651" s="31"/>
      <c r="E651" s="31"/>
      <c r="F651" s="144"/>
      <c r="G651" s="31"/>
      <c r="H651" s="31"/>
      <c r="I651" s="31"/>
      <c r="J651" s="31"/>
      <c r="K651" s="22"/>
      <c r="L651" s="46"/>
      <c r="M651" s="146"/>
      <c r="N651" s="147"/>
      <c r="O651" s="147"/>
      <c r="P651" s="147"/>
      <c r="Q651" s="147"/>
    </row>
    <row r="652" ht="15.75" customHeight="1">
      <c r="A652" s="31"/>
      <c r="B652" s="31"/>
      <c r="C652" s="31"/>
      <c r="D652" s="31"/>
      <c r="E652" s="31"/>
      <c r="F652" s="144"/>
      <c r="G652" s="31"/>
      <c r="H652" s="31"/>
      <c r="I652" s="31"/>
      <c r="J652" s="31"/>
      <c r="K652" s="22"/>
      <c r="L652" s="46"/>
      <c r="M652" s="146"/>
      <c r="N652" s="147"/>
      <c r="O652" s="147"/>
      <c r="P652" s="147"/>
      <c r="Q652" s="147"/>
    </row>
    <row r="653" ht="15.75" customHeight="1">
      <c r="A653" s="31"/>
      <c r="B653" s="31"/>
      <c r="C653" s="31"/>
      <c r="D653" s="31"/>
      <c r="E653" s="31"/>
      <c r="F653" s="144"/>
      <c r="G653" s="31"/>
      <c r="H653" s="31"/>
      <c r="I653" s="31"/>
      <c r="J653" s="31"/>
      <c r="K653" s="22"/>
      <c r="L653" s="46"/>
      <c r="M653" s="146"/>
      <c r="N653" s="147"/>
      <c r="O653" s="147"/>
      <c r="P653" s="147"/>
      <c r="Q653" s="147"/>
    </row>
    <row r="654" ht="15.75" customHeight="1">
      <c r="A654" s="31"/>
      <c r="B654" s="31"/>
      <c r="C654" s="31"/>
      <c r="D654" s="31"/>
      <c r="E654" s="31"/>
      <c r="F654" s="144"/>
      <c r="G654" s="31"/>
      <c r="H654" s="31"/>
      <c r="I654" s="31"/>
      <c r="J654" s="31"/>
      <c r="K654" s="22"/>
      <c r="L654" s="46"/>
      <c r="M654" s="146"/>
      <c r="N654" s="147"/>
      <c r="O654" s="147"/>
      <c r="P654" s="147"/>
      <c r="Q654" s="147"/>
    </row>
    <row r="655" ht="15.75" customHeight="1">
      <c r="A655" s="31"/>
      <c r="B655" s="31"/>
      <c r="C655" s="31"/>
      <c r="D655" s="31"/>
      <c r="E655" s="31"/>
      <c r="F655" s="144"/>
      <c r="G655" s="31"/>
      <c r="H655" s="31"/>
      <c r="I655" s="31"/>
      <c r="J655" s="31"/>
      <c r="K655" s="22"/>
      <c r="L655" s="46"/>
      <c r="M655" s="146"/>
      <c r="N655" s="147"/>
      <c r="O655" s="147"/>
      <c r="P655" s="147"/>
      <c r="Q655" s="147"/>
    </row>
    <row r="656" ht="15.75" customHeight="1">
      <c r="A656" s="31"/>
      <c r="B656" s="31"/>
      <c r="C656" s="31"/>
      <c r="D656" s="31"/>
      <c r="E656" s="31"/>
      <c r="F656" s="144"/>
      <c r="G656" s="31"/>
      <c r="H656" s="31"/>
      <c r="I656" s="31"/>
      <c r="J656" s="31"/>
      <c r="K656" s="22"/>
      <c r="L656" s="46"/>
      <c r="M656" s="146"/>
      <c r="N656" s="147"/>
      <c r="O656" s="147"/>
      <c r="P656" s="147"/>
      <c r="Q656" s="147"/>
    </row>
    <row r="657" ht="15.75" customHeight="1">
      <c r="A657" s="31"/>
      <c r="B657" s="31"/>
      <c r="C657" s="31"/>
      <c r="D657" s="31"/>
      <c r="E657" s="31"/>
      <c r="F657" s="144"/>
      <c r="G657" s="31"/>
      <c r="H657" s="31"/>
      <c r="I657" s="31"/>
      <c r="J657" s="31"/>
      <c r="K657" s="22"/>
      <c r="L657" s="46"/>
      <c r="M657" s="146"/>
      <c r="N657" s="147"/>
      <c r="O657" s="147"/>
      <c r="P657" s="147"/>
      <c r="Q657" s="147"/>
    </row>
    <row r="658" ht="15.75" customHeight="1">
      <c r="A658" s="31"/>
      <c r="B658" s="31"/>
      <c r="C658" s="31"/>
      <c r="D658" s="31"/>
      <c r="E658" s="31"/>
      <c r="F658" s="144"/>
      <c r="G658" s="31"/>
      <c r="H658" s="31"/>
      <c r="I658" s="31"/>
      <c r="J658" s="31"/>
      <c r="K658" s="22"/>
      <c r="L658" s="46"/>
      <c r="M658" s="146"/>
      <c r="N658" s="147"/>
      <c r="O658" s="147"/>
      <c r="P658" s="147"/>
      <c r="Q658" s="147"/>
    </row>
    <row r="659" ht="15.75" customHeight="1">
      <c r="A659" s="31"/>
      <c r="B659" s="31"/>
      <c r="C659" s="31"/>
      <c r="D659" s="31"/>
      <c r="E659" s="31"/>
      <c r="F659" s="144"/>
      <c r="G659" s="31"/>
      <c r="H659" s="31"/>
      <c r="I659" s="31"/>
      <c r="J659" s="31"/>
      <c r="K659" s="22"/>
      <c r="L659" s="46"/>
      <c r="M659" s="146"/>
      <c r="N659" s="147"/>
      <c r="O659" s="147"/>
      <c r="P659" s="147"/>
      <c r="Q659" s="147"/>
    </row>
    <row r="660" ht="15.75" customHeight="1">
      <c r="A660" s="31"/>
      <c r="B660" s="31"/>
      <c r="C660" s="31"/>
      <c r="D660" s="31"/>
      <c r="E660" s="31"/>
      <c r="F660" s="144"/>
      <c r="G660" s="31"/>
      <c r="H660" s="31"/>
      <c r="I660" s="31"/>
      <c r="J660" s="31"/>
      <c r="K660" s="22"/>
      <c r="L660" s="46"/>
      <c r="M660" s="146"/>
      <c r="N660" s="147"/>
      <c r="O660" s="147"/>
      <c r="P660" s="147"/>
      <c r="Q660" s="147"/>
    </row>
    <row r="661" ht="15.75" customHeight="1">
      <c r="A661" s="31"/>
      <c r="B661" s="31"/>
      <c r="C661" s="31"/>
      <c r="D661" s="31"/>
      <c r="E661" s="31"/>
      <c r="F661" s="144"/>
      <c r="G661" s="31"/>
      <c r="H661" s="31"/>
      <c r="I661" s="31"/>
      <c r="J661" s="31"/>
      <c r="K661" s="22"/>
      <c r="L661" s="46"/>
      <c r="M661" s="146"/>
      <c r="N661" s="147"/>
      <c r="O661" s="147"/>
      <c r="P661" s="147"/>
      <c r="Q661" s="147"/>
    </row>
    <row r="662" ht="15.75" customHeight="1">
      <c r="A662" s="31"/>
      <c r="B662" s="31"/>
      <c r="C662" s="31"/>
      <c r="D662" s="31"/>
      <c r="E662" s="31"/>
      <c r="F662" s="144"/>
      <c r="G662" s="31"/>
      <c r="H662" s="31"/>
      <c r="I662" s="31"/>
      <c r="J662" s="31"/>
      <c r="K662" s="22"/>
      <c r="L662" s="46"/>
      <c r="M662" s="146"/>
      <c r="N662" s="147"/>
      <c r="O662" s="147"/>
      <c r="P662" s="147"/>
      <c r="Q662" s="147"/>
    </row>
    <row r="663" ht="15.75" customHeight="1">
      <c r="A663" s="31"/>
      <c r="B663" s="31"/>
      <c r="C663" s="31"/>
      <c r="D663" s="31"/>
      <c r="E663" s="31"/>
      <c r="F663" s="144"/>
      <c r="G663" s="31"/>
      <c r="H663" s="31"/>
      <c r="I663" s="31"/>
      <c r="J663" s="31"/>
      <c r="K663" s="22"/>
      <c r="L663" s="46"/>
      <c r="M663" s="146"/>
      <c r="N663" s="147"/>
      <c r="O663" s="147"/>
      <c r="P663" s="147"/>
      <c r="Q663" s="147"/>
    </row>
    <row r="664" ht="15.75" customHeight="1">
      <c r="A664" s="31"/>
      <c r="B664" s="31"/>
      <c r="C664" s="31"/>
      <c r="D664" s="31"/>
      <c r="E664" s="31"/>
      <c r="F664" s="144"/>
      <c r="G664" s="31"/>
      <c r="H664" s="31"/>
      <c r="I664" s="31"/>
      <c r="J664" s="31"/>
      <c r="K664" s="22"/>
      <c r="L664" s="46"/>
      <c r="M664" s="146"/>
      <c r="N664" s="147"/>
      <c r="O664" s="147"/>
      <c r="P664" s="147"/>
      <c r="Q664" s="147"/>
    </row>
    <row r="665" ht="15.75" customHeight="1">
      <c r="A665" s="31"/>
      <c r="B665" s="31"/>
      <c r="C665" s="31"/>
      <c r="D665" s="31"/>
      <c r="E665" s="31"/>
      <c r="F665" s="144"/>
      <c r="G665" s="31"/>
      <c r="H665" s="31"/>
      <c r="I665" s="31"/>
      <c r="J665" s="31"/>
      <c r="K665" s="22"/>
      <c r="L665" s="46"/>
      <c r="M665" s="146"/>
      <c r="N665" s="147"/>
      <c r="O665" s="147"/>
      <c r="P665" s="147"/>
      <c r="Q665" s="147"/>
    </row>
    <row r="666" ht="15.75" customHeight="1">
      <c r="A666" s="31"/>
      <c r="B666" s="31"/>
      <c r="C666" s="31"/>
      <c r="D666" s="31"/>
      <c r="E666" s="31"/>
      <c r="F666" s="144"/>
      <c r="G666" s="31"/>
      <c r="H666" s="31"/>
      <c r="I666" s="31"/>
      <c r="J666" s="31"/>
      <c r="K666" s="22"/>
      <c r="L666" s="46"/>
      <c r="M666" s="146"/>
      <c r="N666" s="147"/>
      <c r="O666" s="147"/>
      <c r="P666" s="147"/>
      <c r="Q666" s="147"/>
    </row>
    <row r="667" ht="15.75" customHeight="1">
      <c r="A667" s="31"/>
      <c r="B667" s="31"/>
      <c r="C667" s="31"/>
      <c r="D667" s="31"/>
      <c r="E667" s="31"/>
      <c r="F667" s="144"/>
      <c r="G667" s="31"/>
      <c r="H667" s="31"/>
      <c r="I667" s="31"/>
      <c r="J667" s="31"/>
      <c r="K667" s="22"/>
      <c r="L667" s="46"/>
      <c r="M667" s="146"/>
      <c r="N667" s="147"/>
      <c r="O667" s="147"/>
      <c r="P667" s="147"/>
      <c r="Q667" s="147"/>
    </row>
    <row r="668" ht="15.75" customHeight="1">
      <c r="A668" s="31"/>
      <c r="B668" s="31"/>
      <c r="C668" s="31"/>
      <c r="D668" s="31"/>
      <c r="E668" s="31"/>
      <c r="F668" s="144"/>
      <c r="G668" s="31"/>
      <c r="H668" s="31"/>
      <c r="I668" s="31"/>
      <c r="J668" s="31"/>
      <c r="K668" s="22"/>
      <c r="L668" s="46"/>
      <c r="M668" s="146"/>
      <c r="N668" s="147"/>
      <c r="O668" s="147"/>
      <c r="P668" s="147"/>
      <c r="Q668" s="147"/>
    </row>
    <row r="669" ht="15.75" customHeight="1">
      <c r="A669" s="31"/>
      <c r="B669" s="31"/>
      <c r="C669" s="31"/>
      <c r="D669" s="31"/>
      <c r="E669" s="31"/>
      <c r="F669" s="144"/>
      <c r="G669" s="31"/>
      <c r="H669" s="31"/>
      <c r="I669" s="31"/>
      <c r="J669" s="31"/>
      <c r="K669" s="22"/>
      <c r="L669" s="46"/>
      <c r="M669" s="146"/>
      <c r="N669" s="147"/>
      <c r="O669" s="147"/>
      <c r="P669" s="147"/>
      <c r="Q669" s="147"/>
    </row>
    <row r="670" ht="15.75" customHeight="1">
      <c r="A670" s="31"/>
      <c r="B670" s="31"/>
      <c r="C670" s="31"/>
      <c r="D670" s="31"/>
      <c r="E670" s="31"/>
      <c r="F670" s="144"/>
      <c r="G670" s="31"/>
      <c r="H670" s="31"/>
      <c r="I670" s="31"/>
      <c r="J670" s="31"/>
      <c r="K670" s="22"/>
      <c r="L670" s="46"/>
      <c r="M670" s="146"/>
      <c r="N670" s="147"/>
      <c r="O670" s="147"/>
      <c r="P670" s="147"/>
      <c r="Q670" s="147"/>
    </row>
    <row r="671" ht="15.75" customHeight="1">
      <c r="A671" s="31"/>
      <c r="B671" s="31"/>
      <c r="C671" s="31"/>
      <c r="D671" s="31"/>
      <c r="E671" s="31"/>
      <c r="F671" s="144"/>
      <c r="G671" s="31"/>
      <c r="H671" s="31"/>
      <c r="I671" s="31"/>
      <c r="J671" s="31"/>
      <c r="K671" s="22"/>
      <c r="L671" s="46"/>
      <c r="M671" s="146"/>
      <c r="N671" s="147"/>
      <c r="O671" s="147"/>
      <c r="P671" s="147"/>
      <c r="Q671" s="147"/>
    </row>
    <row r="672" ht="15.75" customHeight="1">
      <c r="A672" s="31"/>
      <c r="B672" s="31"/>
      <c r="C672" s="31"/>
      <c r="D672" s="31"/>
      <c r="E672" s="31"/>
      <c r="F672" s="144"/>
      <c r="G672" s="31"/>
      <c r="H672" s="31"/>
      <c r="I672" s="31"/>
      <c r="J672" s="31"/>
      <c r="K672" s="22"/>
      <c r="L672" s="46"/>
      <c r="M672" s="146"/>
      <c r="N672" s="147"/>
      <c r="O672" s="147"/>
      <c r="P672" s="147"/>
      <c r="Q672" s="147"/>
    </row>
    <row r="673" ht="15.75" customHeight="1">
      <c r="A673" s="31"/>
      <c r="B673" s="31"/>
      <c r="C673" s="31"/>
      <c r="D673" s="31"/>
      <c r="E673" s="31"/>
      <c r="F673" s="144"/>
      <c r="G673" s="31"/>
      <c r="H673" s="31"/>
      <c r="I673" s="31"/>
      <c r="J673" s="31"/>
      <c r="K673" s="22"/>
      <c r="L673" s="46"/>
      <c r="M673" s="146"/>
      <c r="N673" s="147"/>
      <c r="O673" s="147"/>
      <c r="P673" s="147"/>
      <c r="Q673" s="147"/>
    </row>
    <row r="674" ht="15.75" customHeight="1">
      <c r="A674" s="31"/>
      <c r="B674" s="31"/>
      <c r="C674" s="31"/>
      <c r="D674" s="31"/>
      <c r="E674" s="31"/>
      <c r="F674" s="144"/>
      <c r="G674" s="31"/>
      <c r="H674" s="31"/>
      <c r="I674" s="31"/>
      <c r="J674" s="31"/>
      <c r="K674" s="22"/>
      <c r="L674" s="46"/>
      <c r="M674" s="146"/>
      <c r="N674" s="147"/>
      <c r="O674" s="147"/>
      <c r="P674" s="147"/>
      <c r="Q674" s="147"/>
    </row>
    <row r="675" ht="15.75" customHeight="1">
      <c r="A675" s="31"/>
      <c r="B675" s="31"/>
      <c r="C675" s="31"/>
      <c r="D675" s="31"/>
      <c r="E675" s="31"/>
      <c r="F675" s="144"/>
      <c r="G675" s="31"/>
      <c r="H675" s="31"/>
      <c r="I675" s="31"/>
      <c r="J675" s="31"/>
      <c r="K675" s="22"/>
      <c r="L675" s="46"/>
      <c r="M675" s="146"/>
      <c r="N675" s="147"/>
      <c r="O675" s="147"/>
      <c r="P675" s="147"/>
      <c r="Q675" s="147"/>
    </row>
    <row r="676" ht="15.75" customHeight="1">
      <c r="A676" s="31"/>
      <c r="B676" s="31"/>
      <c r="C676" s="31"/>
      <c r="D676" s="31"/>
      <c r="E676" s="31"/>
      <c r="F676" s="144"/>
      <c r="G676" s="31"/>
      <c r="H676" s="31"/>
      <c r="I676" s="31"/>
      <c r="J676" s="31"/>
      <c r="K676" s="22"/>
      <c r="L676" s="46"/>
      <c r="M676" s="146"/>
      <c r="N676" s="147"/>
      <c r="O676" s="147"/>
      <c r="P676" s="147"/>
      <c r="Q676" s="147"/>
    </row>
    <row r="677" ht="15.75" customHeight="1">
      <c r="A677" s="31"/>
      <c r="B677" s="31"/>
      <c r="C677" s="31"/>
      <c r="D677" s="31"/>
      <c r="E677" s="31"/>
      <c r="F677" s="144"/>
      <c r="G677" s="31"/>
      <c r="H677" s="31"/>
      <c r="I677" s="31"/>
      <c r="J677" s="31"/>
      <c r="K677" s="22"/>
      <c r="L677" s="46"/>
      <c r="M677" s="146"/>
      <c r="N677" s="147"/>
      <c r="O677" s="147"/>
      <c r="P677" s="147"/>
      <c r="Q677" s="147"/>
    </row>
    <row r="678" ht="15.75" customHeight="1">
      <c r="A678" s="31"/>
      <c r="B678" s="31"/>
      <c r="C678" s="31"/>
      <c r="D678" s="31"/>
      <c r="E678" s="31"/>
      <c r="F678" s="144"/>
      <c r="G678" s="31"/>
      <c r="H678" s="31"/>
      <c r="I678" s="31"/>
      <c r="J678" s="31"/>
      <c r="K678" s="22"/>
      <c r="L678" s="46"/>
      <c r="M678" s="146"/>
      <c r="N678" s="147"/>
      <c r="O678" s="147"/>
      <c r="P678" s="147"/>
      <c r="Q678" s="147"/>
    </row>
    <row r="679" ht="15.75" customHeight="1">
      <c r="A679" s="31"/>
      <c r="B679" s="31"/>
      <c r="C679" s="31"/>
      <c r="D679" s="31"/>
      <c r="E679" s="31"/>
      <c r="F679" s="144"/>
      <c r="G679" s="31"/>
      <c r="H679" s="31"/>
      <c r="I679" s="31"/>
      <c r="J679" s="31"/>
      <c r="K679" s="22"/>
      <c r="L679" s="46"/>
      <c r="M679" s="146"/>
      <c r="N679" s="147"/>
      <c r="O679" s="147"/>
      <c r="P679" s="147"/>
      <c r="Q679" s="147"/>
    </row>
    <row r="680" ht="15.75" customHeight="1">
      <c r="A680" s="31"/>
      <c r="B680" s="31"/>
      <c r="C680" s="31"/>
      <c r="D680" s="31"/>
      <c r="E680" s="31"/>
      <c r="F680" s="144"/>
      <c r="G680" s="31"/>
      <c r="H680" s="31"/>
      <c r="I680" s="31"/>
      <c r="J680" s="31"/>
      <c r="K680" s="22"/>
      <c r="L680" s="46"/>
      <c r="M680" s="146"/>
      <c r="N680" s="147"/>
      <c r="O680" s="147"/>
      <c r="P680" s="147"/>
      <c r="Q680" s="147"/>
    </row>
    <row r="681" ht="15.75" customHeight="1">
      <c r="A681" s="31"/>
      <c r="B681" s="31"/>
      <c r="C681" s="31"/>
      <c r="D681" s="31"/>
      <c r="E681" s="31"/>
      <c r="F681" s="144"/>
      <c r="G681" s="31"/>
      <c r="H681" s="31"/>
      <c r="I681" s="31"/>
      <c r="J681" s="31"/>
      <c r="K681" s="22"/>
      <c r="L681" s="46"/>
      <c r="M681" s="146"/>
      <c r="N681" s="147"/>
      <c r="O681" s="147"/>
      <c r="P681" s="147"/>
      <c r="Q681" s="147"/>
    </row>
    <row r="682" ht="15.75" customHeight="1">
      <c r="A682" s="31"/>
      <c r="B682" s="31"/>
      <c r="C682" s="31"/>
      <c r="D682" s="31"/>
      <c r="E682" s="31"/>
      <c r="F682" s="144"/>
      <c r="G682" s="31"/>
      <c r="H682" s="31"/>
      <c r="I682" s="31"/>
      <c r="J682" s="31"/>
      <c r="K682" s="22"/>
      <c r="L682" s="46"/>
      <c r="M682" s="146"/>
      <c r="N682" s="147"/>
      <c r="O682" s="147"/>
      <c r="P682" s="147"/>
      <c r="Q682" s="147"/>
    </row>
    <row r="683" ht="15.75" customHeight="1">
      <c r="A683" s="31"/>
      <c r="B683" s="31"/>
      <c r="C683" s="31"/>
      <c r="D683" s="31"/>
      <c r="E683" s="31"/>
      <c r="F683" s="144"/>
      <c r="G683" s="31"/>
      <c r="H683" s="31"/>
      <c r="I683" s="31"/>
      <c r="J683" s="31"/>
      <c r="K683" s="22"/>
      <c r="L683" s="46"/>
      <c r="M683" s="146"/>
      <c r="N683" s="147"/>
      <c r="O683" s="147"/>
      <c r="P683" s="147"/>
      <c r="Q683" s="147"/>
    </row>
    <row r="684" ht="15.75" customHeight="1">
      <c r="A684" s="31"/>
      <c r="B684" s="31"/>
      <c r="C684" s="31"/>
      <c r="D684" s="31"/>
      <c r="E684" s="31"/>
      <c r="F684" s="144"/>
      <c r="G684" s="31"/>
      <c r="H684" s="31"/>
      <c r="I684" s="31"/>
      <c r="J684" s="31"/>
      <c r="K684" s="22"/>
      <c r="L684" s="46"/>
      <c r="M684" s="146"/>
      <c r="N684" s="147"/>
      <c r="O684" s="147"/>
      <c r="P684" s="147"/>
      <c r="Q684" s="147"/>
    </row>
    <row r="685" ht="15.75" customHeight="1">
      <c r="A685" s="31"/>
      <c r="B685" s="31"/>
      <c r="C685" s="31"/>
      <c r="D685" s="31"/>
      <c r="E685" s="31"/>
      <c r="F685" s="144"/>
      <c r="G685" s="31"/>
      <c r="H685" s="31"/>
      <c r="I685" s="31"/>
      <c r="J685" s="31"/>
      <c r="K685" s="22"/>
      <c r="L685" s="46"/>
      <c r="M685" s="146"/>
      <c r="N685" s="147"/>
      <c r="O685" s="147"/>
      <c r="P685" s="147"/>
      <c r="Q685" s="147"/>
    </row>
    <row r="686" ht="15.75" customHeight="1">
      <c r="A686" s="31"/>
      <c r="B686" s="31"/>
      <c r="C686" s="31"/>
      <c r="D686" s="31"/>
      <c r="E686" s="31"/>
      <c r="F686" s="144"/>
      <c r="G686" s="31"/>
      <c r="H686" s="31"/>
      <c r="I686" s="31"/>
      <c r="J686" s="31"/>
      <c r="K686" s="22"/>
      <c r="L686" s="46"/>
      <c r="M686" s="146"/>
      <c r="N686" s="147"/>
      <c r="O686" s="147"/>
      <c r="P686" s="147"/>
      <c r="Q686" s="147"/>
    </row>
    <row r="687" ht="15.75" customHeight="1">
      <c r="A687" s="31"/>
      <c r="B687" s="31"/>
      <c r="C687" s="31"/>
      <c r="D687" s="31"/>
      <c r="E687" s="31"/>
      <c r="F687" s="144"/>
      <c r="G687" s="31"/>
      <c r="H687" s="31"/>
      <c r="I687" s="31"/>
      <c r="J687" s="31"/>
      <c r="K687" s="22"/>
      <c r="L687" s="46"/>
      <c r="M687" s="146"/>
      <c r="N687" s="147"/>
      <c r="O687" s="147"/>
      <c r="P687" s="147"/>
      <c r="Q687" s="147"/>
    </row>
    <row r="688" ht="15.75" customHeight="1">
      <c r="A688" s="31"/>
      <c r="B688" s="31"/>
      <c r="C688" s="31"/>
      <c r="D688" s="31"/>
      <c r="E688" s="31"/>
      <c r="F688" s="144"/>
      <c r="G688" s="31"/>
      <c r="H688" s="31"/>
      <c r="I688" s="31"/>
      <c r="J688" s="31"/>
      <c r="K688" s="22"/>
      <c r="L688" s="46"/>
      <c r="M688" s="146"/>
      <c r="N688" s="147"/>
      <c r="O688" s="147"/>
      <c r="P688" s="147"/>
      <c r="Q688" s="147"/>
    </row>
    <row r="689" ht="15.75" customHeight="1">
      <c r="A689" s="31"/>
      <c r="B689" s="31"/>
      <c r="C689" s="31"/>
      <c r="D689" s="31"/>
      <c r="E689" s="31"/>
      <c r="F689" s="144"/>
      <c r="G689" s="31"/>
      <c r="H689" s="31"/>
      <c r="I689" s="31"/>
      <c r="J689" s="31"/>
      <c r="K689" s="22"/>
      <c r="L689" s="46"/>
      <c r="M689" s="146"/>
      <c r="N689" s="147"/>
      <c r="O689" s="147"/>
      <c r="P689" s="147"/>
      <c r="Q689" s="147"/>
    </row>
    <row r="690" ht="15.75" customHeight="1">
      <c r="A690" s="31"/>
      <c r="B690" s="31"/>
      <c r="C690" s="31"/>
      <c r="D690" s="31"/>
      <c r="E690" s="31"/>
      <c r="F690" s="144"/>
      <c r="G690" s="31"/>
      <c r="H690" s="31"/>
      <c r="I690" s="31"/>
      <c r="J690" s="31"/>
      <c r="K690" s="22"/>
      <c r="L690" s="46"/>
      <c r="M690" s="146"/>
      <c r="N690" s="147"/>
      <c r="O690" s="147"/>
      <c r="P690" s="147"/>
      <c r="Q690" s="147"/>
    </row>
    <row r="691" ht="15.75" customHeight="1">
      <c r="A691" s="31"/>
      <c r="B691" s="31"/>
      <c r="C691" s="31"/>
      <c r="D691" s="31"/>
      <c r="E691" s="31"/>
      <c r="F691" s="144"/>
      <c r="G691" s="31"/>
      <c r="H691" s="31"/>
      <c r="I691" s="31"/>
      <c r="J691" s="31"/>
      <c r="K691" s="22"/>
      <c r="L691" s="46"/>
      <c r="M691" s="146"/>
      <c r="N691" s="147"/>
      <c r="O691" s="147"/>
      <c r="P691" s="147"/>
      <c r="Q691" s="147"/>
    </row>
    <row r="692" ht="15.75" customHeight="1">
      <c r="A692" s="31"/>
      <c r="B692" s="31"/>
      <c r="C692" s="31"/>
      <c r="D692" s="31"/>
      <c r="E692" s="31"/>
      <c r="F692" s="144"/>
      <c r="G692" s="31"/>
      <c r="H692" s="31"/>
      <c r="I692" s="31"/>
      <c r="J692" s="31"/>
      <c r="K692" s="22"/>
      <c r="L692" s="46"/>
      <c r="M692" s="146"/>
      <c r="N692" s="147"/>
      <c r="O692" s="147"/>
      <c r="P692" s="147"/>
      <c r="Q692" s="147"/>
    </row>
    <row r="693" ht="15.75" customHeight="1">
      <c r="A693" s="31"/>
      <c r="B693" s="31"/>
      <c r="C693" s="31"/>
      <c r="D693" s="31"/>
      <c r="E693" s="31"/>
      <c r="F693" s="144"/>
      <c r="G693" s="31"/>
      <c r="H693" s="31"/>
      <c r="I693" s="31"/>
      <c r="J693" s="31"/>
      <c r="K693" s="22"/>
      <c r="L693" s="46"/>
      <c r="M693" s="146"/>
      <c r="N693" s="147"/>
      <c r="O693" s="147"/>
      <c r="P693" s="147"/>
      <c r="Q693" s="147"/>
    </row>
    <row r="694" ht="15.75" customHeight="1">
      <c r="A694" s="31"/>
      <c r="B694" s="31"/>
      <c r="C694" s="31"/>
      <c r="D694" s="31"/>
      <c r="E694" s="31"/>
      <c r="F694" s="144"/>
      <c r="G694" s="31"/>
      <c r="H694" s="31"/>
      <c r="I694" s="31"/>
      <c r="J694" s="31"/>
      <c r="K694" s="22"/>
      <c r="L694" s="46"/>
      <c r="M694" s="146"/>
      <c r="N694" s="147"/>
      <c r="O694" s="147"/>
      <c r="P694" s="147"/>
      <c r="Q694" s="147"/>
    </row>
    <row r="695" ht="15.75" customHeight="1">
      <c r="A695" s="31"/>
      <c r="B695" s="31"/>
      <c r="C695" s="31"/>
      <c r="D695" s="31"/>
      <c r="E695" s="31"/>
      <c r="F695" s="144"/>
      <c r="G695" s="31"/>
      <c r="H695" s="31"/>
      <c r="I695" s="31"/>
      <c r="J695" s="31"/>
      <c r="K695" s="22"/>
      <c r="L695" s="46"/>
      <c r="M695" s="146"/>
      <c r="N695" s="147"/>
      <c r="O695" s="147"/>
      <c r="P695" s="147"/>
      <c r="Q695" s="147"/>
    </row>
    <row r="696" ht="15.75" customHeight="1">
      <c r="A696" s="31"/>
      <c r="B696" s="31"/>
      <c r="C696" s="31"/>
      <c r="D696" s="31"/>
      <c r="E696" s="31"/>
      <c r="F696" s="144"/>
      <c r="G696" s="31"/>
      <c r="H696" s="31"/>
      <c r="I696" s="31"/>
      <c r="J696" s="31"/>
      <c r="K696" s="22"/>
      <c r="L696" s="46"/>
      <c r="M696" s="146"/>
      <c r="N696" s="147"/>
      <c r="O696" s="147"/>
      <c r="P696" s="147"/>
      <c r="Q696" s="147"/>
    </row>
    <row r="697" ht="15.75" customHeight="1">
      <c r="A697" s="31"/>
      <c r="B697" s="31"/>
      <c r="C697" s="31"/>
      <c r="D697" s="31"/>
      <c r="E697" s="31"/>
      <c r="F697" s="144"/>
      <c r="G697" s="31"/>
      <c r="H697" s="31"/>
      <c r="I697" s="31"/>
      <c r="J697" s="31"/>
      <c r="K697" s="22"/>
      <c r="L697" s="46"/>
      <c r="M697" s="146"/>
      <c r="N697" s="147"/>
      <c r="O697" s="147"/>
      <c r="P697" s="147"/>
      <c r="Q697" s="147"/>
    </row>
    <row r="698" ht="15.75" customHeight="1">
      <c r="A698" s="31"/>
      <c r="B698" s="31"/>
      <c r="C698" s="31"/>
      <c r="D698" s="31"/>
      <c r="E698" s="31"/>
      <c r="F698" s="144"/>
      <c r="G698" s="31"/>
      <c r="H698" s="31"/>
      <c r="I698" s="31"/>
      <c r="J698" s="31"/>
      <c r="K698" s="22"/>
      <c r="L698" s="46"/>
      <c r="M698" s="146"/>
      <c r="N698" s="147"/>
      <c r="O698" s="147"/>
      <c r="P698" s="147"/>
      <c r="Q698" s="147"/>
    </row>
    <row r="699" ht="15.75" customHeight="1">
      <c r="A699" s="31"/>
      <c r="B699" s="31"/>
      <c r="C699" s="31"/>
      <c r="D699" s="31"/>
      <c r="E699" s="31"/>
      <c r="F699" s="144"/>
      <c r="G699" s="31"/>
      <c r="H699" s="31"/>
      <c r="I699" s="31"/>
      <c r="J699" s="31"/>
      <c r="K699" s="22"/>
      <c r="L699" s="46"/>
      <c r="M699" s="146"/>
      <c r="N699" s="147"/>
      <c r="O699" s="147"/>
      <c r="P699" s="147"/>
      <c r="Q699" s="147"/>
    </row>
    <row r="700" ht="15.75" customHeight="1">
      <c r="A700" s="31"/>
      <c r="B700" s="31"/>
      <c r="C700" s="31"/>
      <c r="D700" s="31"/>
      <c r="E700" s="31"/>
      <c r="F700" s="144"/>
      <c r="G700" s="31"/>
      <c r="H700" s="31"/>
      <c r="I700" s="31"/>
      <c r="J700" s="31"/>
      <c r="K700" s="22"/>
      <c r="L700" s="46"/>
      <c r="M700" s="146"/>
      <c r="N700" s="147"/>
      <c r="O700" s="147"/>
      <c r="P700" s="147"/>
      <c r="Q700" s="147"/>
    </row>
    <row r="701" ht="15.75" customHeight="1">
      <c r="A701" s="31"/>
      <c r="B701" s="31"/>
      <c r="C701" s="31"/>
      <c r="D701" s="31"/>
      <c r="E701" s="31"/>
      <c r="F701" s="144"/>
      <c r="G701" s="31"/>
      <c r="H701" s="31"/>
      <c r="I701" s="31"/>
      <c r="J701" s="31"/>
      <c r="K701" s="22"/>
      <c r="L701" s="46"/>
      <c r="M701" s="146"/>
      <c r="N701" s="147"/>
      <c r="O701" s="147"/>
      <c r="P701" s="147"/>
      <c r="Q701" s="147"/>
    </row>
    <row r="702" ht="15.75" customHeight="1">
      <c r="A702" s="31"/>
      <c r="B702" s="31"/>
      <c r="C702" s="31"/>
      <c r="D702" s="31"/>
      <c r="E702" s="31"/>
      <c r="F702" s="144"/>
      <c r="G702" s="31"/>
      <c r="H702" s="31"/>
      <c r="I702" s="31"/>
      <c r="J702" s="31"/>
      <c r="K702" s="22"/>
      <c r="L702" s="46"/>
      <c r="M702" s="146"/>
      <c r="N702" s="147"/>
      <c r="O702" s="147"/>
      <c r="P702" s="147"/>
      <c r="Q702" s="147"/>
    </row>
    <row r="703" ht="15.75" customHeight="1">
      <c r="A703" s="31"/>
      <c r="B703" s="31"/>
      <c r="C703" s="31"/>
      <c r="D703" s="31"/>
      <c r="E703" s="31"/>
      <c r="F703" s="144"/>
      <c r="G703" s="31"/>
      <c r="H703" s="31"/>
      <c r="I703" s="31"/>
      <c r="J703" s="31"/>
      <c r="K703" s="22"/>
      <c r="L703" s="46"/>
      <c r="M703" s="146"/>
      <c r="N703" s="147"/>
      <c r="O703" s="147"/>
      <c r="P703" s="147"/>
      <c r="Q703" s="147"/>
    </row>
    <row r="704" ht="15.75" customHeight="1">
      <c r="A704" s="31"/>
      <c r="B704" s="31"/>
      <c r="C704" s="31"/>
      <c r="D704" s="31"/>
      <c r="E704" s="31"/>
      <c r="F704" s="144"/>
      <c r="G704" s="31"/>
      <c r="H704" s="31"/>
      <c r="I704" s="31"/>
      <c r="J704" s="31"/>
      <c r="K704" s="22"/>
      <c r="L704" s="46"/>
      <c r="M704" s="146"/>
      <c r="N704" s="147"/>
      <c r="O704" s="147"/>
      <c r="P704" s="147"/>
      <c r="Q704" s="147"/>
    </row>
    <row r="705" ht="15.75" customHeight="1">
      <c r="A705" s="31"/>
      <c r="B705" s="31"/>
      <c r="C705" s="31"/>
      <c r="D705" s="31"/>
      <c r="E705" s="31"/>
      <c r="F705" s="144"/>
      <c r="G705" s="31"/>
      <c r="H705" s="31"/>
      <c r="I705" s="31"/>
      <c r="J705" s="31"/>
      <c r="K705" s="22"/>
      <c r="L705" s="46"/>
      <c r="M705" s="146"/>
      <c r="N705" s="147"/>
      <c r="O705" s="147"/>
      <c r="P705" s="147"/>
      <c r="Q705" s="147"/>
    </row>
    <row r="706" ht="15.75" customHeight="1">
      <c r="A706" s="31"/>
      <c r="B706" s="31"/>
      <c r="C706" s="31"/>
      <c r="D706" s="31"/>
      <c r="E706" s="31"/>
      <c r="F706" s="144"/>
      <c r="G706" s="31"/>
      <c r="H706" s="31"/>
      <c r="I706" s="31"/>
      <c r="J706" s="31"/>
      <c r="K706" s="22"/>
      <c r="L706" s="46"/>
      <c r="M706" s="146"/>
      <c r="N706" s="147"/>
      <c r="O706" s="147"/>
      <c r="P706" s="147"/>
      <c r="Q706" s="147"/>
    </row>
    <row r="707" ht="15.75" customHeight="1">
      <c r="A707" s="31"/>
      <c r="B707" s="31"/>
      <c r="C707" s="31"/>
      <c r="D707" s="31"/>
      <c r="E707" s="31"/>
      <c r="F707" s="144"/>
      <c r="G707" s="31"/>
      <c r="H707" s="31"/>
      <c r="I707" s="31"/>
      <c r="J707" s="31"/>
      <c r="K707" s="22"/>
      <c r="L707" s="46"/>
      <c r="M707" s="146"/>
      <c r="N707" s="147"/>
      <c r="O707" s="147"/>
      <c r="P707" s="147"/>
      <c r="Q707" s="147"/>
    </row>
    <row r="708" ht="15.75" customHeight="1">
      <c r="A708" s="31"/>
      <c r="B708" s="31"/>
      <c r="C708" s="31"/>
      <c r="D708" s="31"/>
      <c r="E708" s="31"/>
      <c r="F708" s="144"/>
      <c r="G708" s="31"/>
      <c r="H708" s="31"/>
      <c r="I708" s="31"/>
      <c r="J708" s="31"/>
      <c r="K708" s="22"/>
      <c r="L708" s="46"/>
      <c r="M708" s="146"/>
      <c r="N708" s="147"/>
      <c r="O708" s="147"/>
      <c r="P708" s="147"/>
      <c r="Q708" s="147"/>
    </row>
    <row r="709" ht="15.75" customHeight="1">
      <c r="A709" s="31"/>
      <c r="B709" s="31"/>
      <c r="C709" s="31"/>
      <c r="D709" s="31"/>
      <c r="E709" s="31"/>
      <c r="F709" s="144"/>
      <c r="G709" s="31"/>
      <c r="H709" s="31"/>
      <c r="I709" s="31"/>
      <c r="J709" s="31"/>
      <c r="K709" s="22"/>
      <c r="L709" s="46"/>
      <c r="M709" s="146"/>
      <c r="N709" s="147"/>
      <c r="O709" s="147"/>
      <c r="P709" s="147"/>
      <c r="Q709" s="147"/>
    </row>
    <row r="710" ht="15.75" customHeight="1">
      <c r="A710" s="31"/>
      <c r="B710" s="31"/>
      <c r="C710" s="31"/>
      <c r="D710" s="31"/>
      <c r="E710" s="31"/>
      <c r="F710" s="144"/>
      <c r="G710" s="31"/>
      <c r="H710" s="31"/>
      <c r="I710" s="31"/>
      <c r="J710" s="31"/>
      <c r="K710" s="22"/>
      <c r="L710" s="46"/>
      <c r="M710" s="146"/>
      <c r="N710" s="147"/>
      <c r="O710" s="147"/>
      <c r="P710" s="147"/>
      <c r="Q710" s="147"/>
    </row>
    <row r="711" ht="15.75" customHeight="1">
      <c r="A711" s="31"/>
      <c r="B711" s="31"/>
      <c r="C711" s="31"/>
      <c r="D711" s="31"/>
      <c r="E711" s="31"/>
      <c r="F711" s="144"/>
      <c r="G711" s="31"/>
      <c r="H711" s="31"/>
      <c r="I711" s="31"/>
      <c r="J711" s="31"/>
      <c r="K711" s="22"/>
      <c r="L711" s="46"/>
      <c r="M711" s="146"/>
      <c r="N711" s="147"/>
      <c r="O711" s="147"/>
      <c r="P711" s="147"/>
      <c r="Q711" s="147"/>
    </row>
    <row r="712" ht="15.75" customHeight="1">
      <c r="A712" s="31"/>
      <c r="B712" s="31"/>
      <c r="C712" s="31"/>
      <c r="D712" s="31"/>
      <c r="E712" s="31"/>
      <c r="F712" s="144"/>
      <c r="G712" s="31"/>
      <c r="H712" s="31"/>
      <c r="I712" s="31"/>
      <c r="J712" s="31"/>
      <c r="K712" s="22"/>
      <c r="L712" s="46"/>
      <c r="M712" s="146"/>
      <c r="N712" s="147"/>
      <c r="O712" s="147"/>
      <c r="P712" s="147"/>
      <c r="Q712" s="147"/>
    </row>
    <row r="713" ht="15.75" customHeight="1">
      <c r="A713" s="31"/>
      <c r="B713" s="31"/>
      <c r="C713" s="31"/>
      <c r="D713" s="31"/>
      <c r="E713" s="31"/>
      <c r="F713" s="144"/>
      <c r="G713" s="31"/>
      <c r="H713" s="31"/>
      <c r="I713" s="31"/>
      <c r="J713" s="31"/>
      <c r="K713" s="22"/>
      <c r="L713" s="46"/>
      <c r="M713" s="146"/>
      <c r="N713" s="147"/>
      <c r="O713" s="147"/>
      <c r="P713" s="147"/>
      <c r="Q713" s="147"/>
    </row>
    <row r="714" ht="15.75" customHeight="1">
      <c r="A714" s="31"/>
      <c r="B714" s="31"/>
      <c r="C714" s="31"/>
      <c r="D714" s="31"/>
      <c r="E714" s="31"/>
      <c r="F714" s="144"/>
      <c r="G714" s="31"/>
      <c r="H714" s="31"/>
      <c r="I714" s="31"/>
      <c r="J714" s="31"/>
      <c r="K714" s="22"/>
      <c r="L714" s="46"/>
      <c r="M714" s="146"/>
      <c r="N714" s="147"/>
      <c r="O714" s="147"/>
      <c r="P714" s="147"/>
      <c r="Q714" s="147"/>
    </row>
    <row r="715" ht="15.75" customHeight="1">
      <c r="A715" s="31"/>
      <c r="B715" s="31"/>
      <c r="C715" s="31"/>
      <c r="D715" s="31"/>
      <c r="E715" s="31"/>
      <c r="F715" s="144"/>
      <c r="G715" s="31"/>
      <c r="H715" s="31"/>
      <c r="I715" s="31"/>
      <c r="J715" s="31"/>
      <c r="K715" s="22"/>
      <c r="L715" s="46"/>
      <c r="M715" s="146"/>
      <c r="N715" s="147"/>
      <c r="O715" s="147"/>
      <c r="P715" s="147"/>
      <c r="Q715" s="147"/>
    </row>
    <row r="716" ht="15.75" customHeight="1">
      <c r="A716" s="31"/>
      <c r="B716" s="31"/>
      <c r="C716" s="31"/>
      <c r="D716" s="31"/>
      <c r="E716" s="31"/>
      <c r="F716" s="144"/>
      <c r="G716" s="31"/>
      <c r="H716" s="31"/>
      <c r="I716" s="31"/>
      <c r="J716" s="31"/>
      <c r="K716" s="22"/>
      <c r="L716" s="46"/>
      <c r="M716" s="146"/>
      <c r="N716" s="147"/>
      <c r="O716" s="147"/>
      <c r="P716" s="147"/>
      <c r="Q716" s="147"/>
    </row>
    <row r="717" ht="15.75" customHeight="1">
      <c r="A717" s="31"/>
      <c r="B717" s="31"/>
      <c r="C717" s="31"/>
      <c r="D717" s="31"/>
      <c r="E717" s="31"/>
      <c r="F717" s="144"/>
      <c r="G717" s="31"/>
      <c r="H717" s="31"/>
      <c r="I717" s="31"/>
      <c r="J717" s="31"/>
      <c r="K717" s="22"/>
      <c r="L717" s="46"/>
      <c r="M717" s="146"/>
      <c r="N717" s="147"/>
      <c r="O717" s="147"/>
      <c r="P717" s="147"/>
      <c r="Q717" s="147"/>
    </row>
    <row r="718" ht="15.75" customHeight="1">
      <c r="A718" s="31"/>
      <c r="B718" s="31"/>
      <c r="C718" s="31"/>
      <c r="D718" s="31"/>
      <c r="E718" s="31"/>
      <c r="F718" s="144"/>
      <c r="G718" s="31"/>
      <c r="H718" s="31"/>
      <c r="I718" s="31"/>
      <c r="J718" s="31"/>
      <c r="K718" s="22"/>
      <c r="L718" s="46"/>
      <c r="M718" s="146"/>
      <c r="N718" s="147"/>
      <c r="O718" s="147"/>
      <c r="P718" s="147"/>
      <c r="Q718" s="147"/>
    </row>
    <row r="719" ht="15.75" customHeight="1">
      <c r="A719" s="31"/>
      <c r="B719" s="31"/>
      <c r="C719" s="31"/>
      <c r="D719" s="31"/>
      <c r="E719" s="31"/>
      <c r="F719" s="144"/>
      <c r="G719" s="31"/>
      <c r="H719" s="31"/>
      <c r="I719" s="31"/>
      <c r="J719" s="31"/>
      <c r="K719" s="22"/>
      <c r="L719" s="46"/>
      <c r="M719" s="146"/>
      <c r="N719" s="147"/>
      <c r="O719" s="147"/>
      <c r="P719" s="147"/>
      <c r="Q719" s="147"/>
    </row>
    <row r="720" ht="15.75" customHeight="1">
      <c r="A720" s="31"/>
      <c r="B720" s="31"/>
      <c r="C720" s="31"/>
      <c r="D720" s="31"/>
      <c r="E720" s="31"/>
      <c r="F720" s="144"/>
      <c r="G720" s="31"/>
      <c r="H720" s="31"/>
      <c r="I720" s="31"/>
      <c r="J720" s="31"/>
      <c r="K720" s="22"/>
      <c r="L720" s="46"/>
      <c r="M720" s="146"/>
      <c r="N720" s="147"/>
      <c r="O720" s="147"/>
      <c r="P720" s="147"/>
      <c r="Q720" s="147"/>
    </row>
    <row r="721" ht="15.75" customHeight="1">
      <c r="A721" s="31"/>
      <c r="B721" s="31"/>
      <c r="C721" s="31"/>
      <c r="D721" s="31"/>
      <c r="E721" s="31"/>
      <c r="F721" s="144"/>
      <c r="G721" s="31"/>
      <c r="H721" s="31"/>
      <c r="I721" s="31"/>
      <c r="J721" s="31"/>
      <c r="K721" s="22"/>
      <c r="L721" s="46"/>
      <c r="M721" s="146"/>
      <c r="N721" s="147"/>
      <c r="O721" s="147"/>
      <c r="P721" s="147"/>
      <c r="Q721" s="147"/>
    </row>
    <row r="722" ht="15.75" customHeight="1">
      <c r="A722" s="31"/>
      <c r="B722" s="31"/>
      <c r="C722" s="31"/>
      <c r="D722" s="31"/>
      <c r="E722" s="31"/>
      <c r="F722" s="144"/>
      <c r="G722" s="31"/>
      <c r="H722" s="31"/>
      <c r="I722" s="31"/>
      <c r="J722" s="31"/>
      <c r="K722" s="22"/>
      <c r="L722" s="46"/>
      <c r="M722" s="146"/>
      <c r="N722" s="147"/>
      <c r="O722" s="147"/>
      <c r="P722" s="147"/>
      <c r="Q722" s="147"/>
    </row>
    <row r="723" ht="15.75" customHeight="1">
      <c r="A723" s="31"/>
      <c r="B723" s="31"/>
      <c r="C723" s="31"/>
      <c r="D723" s="31"/>
      <c r="E723" s="31"/>
      <c r="F723" s="144"/>
      <c r="G723" s="31"/>
      <c r="H723" s="31"/>
      <c r="I723" s="31"/>
      <c r="J723" s="31"/>
      <c r="K723" s="22"/>
      <c r="L723" s="46"/>
      <c r="M723" s="146"/>
      <c r="N723" s="147"/>
      <c r="O723" s="147"/>
      <c r="P723" s="147"/>
      <c r="Q723" s="147"/>
    </row>
    <row r="724" ht="15.75" customHeight="1">
      <c r="A724" s="31"/>
      <c r="B724" s="31"/>
      <c r="C724" s="31"/>
      <c r="D724" s="31"/>
      <c r="E724" s="31"/>
      <c r="F724" s="144"/>
      <c r="G724" s="31"/>
      <c r="H724" s="31"/>
      <c r="I724" s="31"/>
      <c r="J724" s="31"/>
      <c r="K724" s="22"/>
      <c r="L724" s="46"/>
      <c r="M724" s="146"/>
      <c r="N724" s="147"/>
      <c r="O724" s="147"/>
      <c r="P724" s="147"/>
      <c r="Q724" s="147"/>
    </row>
    <row r="725" ht="15.75" customHeight="1">
      <c r="A725" s="31"/>
      <c r="B725" s="31"/>
      <c r="C725" s="31"/>
      <c r="D725" s="31"/>
      <c r="E725" s="31"/>
      <c r="F725" s="144"/>
      <c r="G725" s="31"/>
      <c r="H725" s="31"/>
      <c r="I725" s="31"/>
      <c r="J725" s="31"/>
      <c r="K725" s="22"/>
      <c r="L725" s="46"/>
      <c r="M725" s="146"/>
      <c r="N725" s="147"/>
      <c r="O725" s="147"/>
      <c r="P725" s="147"/>
      <c r="Q725" s="147"/>
    </row>
    <row r="726" ht="15.75" customHeight="1">
      <c r="A726" s="31"/>
      <c r="B726" s="31"/>
      <c r="C726" s="31"/>
      <c r="D726" s="31"/>
      <c r="E726" s="31"/>
      <c r="F726" s="144"/>
      <c r="G726" s="31"/>
      <c r="H726" s="31"/>
      <c r="I726" s="31"/>
      <c r="J726" s="31"/>
      <c r="K726" s="22"/>
      <c r="L726" s="46"/>
      <c r="M726" s="146"/>
      <c r="N726" s="147"/>
      <c r="O726" s="147"/>
      <c r="P726" s="147"/>
      <c r="Q726" s="147"/>
    </row>
    <row r="727" ht="15.75" customHeight="1">
      <c r="A727" s="31"/>
      <c r="B727" s="31"/>
      <c r="C727" s="31"/>
      <c r="D727" s="31"/>
      <c r="E727" s="31"/>
      <c r="F727" s="144"/>
      <c r="G727" s="31"/>
      <c r="H727" s="31"/>
      <c r="I727" s="31"/>
      <c r="J727" s="31"/>
      <c r="K727" s="22"/>
      <c r="L727" s="46"/>
      <c r="M727" s="146"/>
      <c r="N727" s="147"/>
      <c r="O727" s="147"/>
      <c r="P727" s="147"/>
      <c r="Q727" s="147"/>
    </row>
    <row r="728" ht="15.75" customHeight="1">
      <c r="A728" s="31"/>
      <c r="B728" s="31"/>
      <c r="C728" s="31"/>
      <c r="D728" s="31"/>
      <c r="E728" s="31"/>
      <c r="F728" s="144"/>
      <c r="G728" s="31"/>
      <c r="H728" s="31"/>
      <c r="I728" s="31"/>
      <c r="J728" s="31"/>
      <c r="K728" s="22"/>
      <c r="L728" s="46"/>
      <c r="M728" s="146"/>
      <c r="N728" s="147"/>
      <c r="O728" s="147"/>
      <c r="P728" s="147"/>
      <c r="Q728" s="147"/>
    </row>
    <row r="729" ht="15.75" customHeight="1">
      <c r="A729" s="31"/>
      <c r="B729" s="31"/>
      <c r="C729" s="31"/>
      <c r="D729" s="31"/>
      <c r="E729" s="31"/>
      <c r="F729" s="144"/>
      <c r="G729" s="31"/>
      <c r="H729" s="31"/>
      <c r="I729" s="31"/>
      <c r="J729" s="31"/>
      <c r="K729" s="22"/>
      <c r="L729" s="46"/>
      <c r="M729" s="146"/>
      <c r="N729" s="147"/>
      <c r="O729" s="147"/>
      <c r="P729" s="147"/>
      <c r="Q729" s="147"/>
    </row>
    <row r="730" ht="15.75" customHeight="1">
      <c r="A730" s="31"/>
      <c r="B730" s="31"/>
      <c r="C730" s="31"/>
      <c r="D730" s="31"/>
      <c r="E730" s="31"/>
      <c r="F730" s="144"/>
      <c r="G730" s="31"/>
      <c r="H730" s="31"/>
      <c r="I730" s="31"/>
      <c r="J730" s="31"/>
      <c r="K730" s="22"/>
      <c r="L730" s="46"/>
      <c r="M730" s="146"/>
      <c r="N730" s="147"/>
      <c r="O730" s="147"/>
      <c r="P730" s="147"/>
      <c r="Q730" s="147"/>
    </row>
    <row r="731" ht="15.75" customHeight="1">
      <c r="A731" s="31"/>
      <c r="B731" s="31"/>
      <c r="C731" s="31"/>
      <c r="D731" s="31"/>
      <c r="E731" s="31"/>
      <c r="F731" s="144"/>
      <c r="G731" s="31"/>
      <c r="H731" s="31"/>
      <c r="I731" s="31"/>
      <c r="J731" s="31"/>
      <c r="K731" s="22"/>
      <c r="L731" s="46"/>
      <c r="M731" s="146"/>
      <c r="N731" s="147"/>
      <c r="O731" s="147"/>
      <c r="P731" s="147"/>
      <c r="Q731" s="147"/>
    </row>
    <row r="732" ht="15.75" customHeight="1">
      <c r="A732" s="31"/>
      <c r="B732" s="31"/>
      <c r="C732" s="31"/>
      <c r="D732" s="31"/>
      <c r="E732" s="31"/>
      <c r="F732" s="144"/>
      <c r="G732" s="31"/>
      <c r="H732" s="31"/>
      <c r="I732" s="31"/>
      <c r="J732" s="31"/>
      <c r="K732" s="22"/>
      <c r="L732" s="46"/>
      <c r="M732" s="146"/>
      <c r="N732" s="147"/>
      <c r="O732" s="147"/>
      <c r="P732" s="147"/>
      <c r="Q732" s="147"/>
    </row>
    <row r="733" ht="15.75" customHeight="1">
      <c r="A733" s="31"/>
      <c r="B733" s="31"/>
      <c r="C733" s="31"/>
      <c r="D733" s="31"/>
      <c r="E733" s="31"/>
      <c r="F733" s="144"/>
      <c r="G733" s="31"/>
      <c r="H733" s="31"/>
      <c r="I733" s="31"/>
      <c r="J733" s="31"/>
      <c r="K733" s="22"/>
      <c r="L733" s="46"/>
      <c r="M733" s="146"/>
      <c r="N733" s="147"/>
      <c r="O733" s="147"/>
      <c r="P733" s="147"/>
      <c r="Q733" s="147"/>
    </row>
    <row r="734" ht="15.75" customHeight="1">
      <c r="A734" s="31"/>
      <c r="B734" s="31"/>
      <c r="C734" s="31"/>
      <c r="D734" s="31"/>
      <c r="E734" s="31"/>
      <c r="F734" s="144"/>
      <c r="G734" s="31"/>
      <c r="H734" s="31"/>
      <c r="I734" s="31"/>
      <c r="J734" s="31"/>
      <c r="K734" s="22"/>
      <c r="L734" s="46"/>
      <c r="M734" s="146"/>
      <c r="N734" s="147"/>
      <c r="O734" s="147"/>
      <c r="P734" s="147"/>
      <c r="Q734" s="147"/>
    </row>
    <row r="735" ht="15.75" customHeight="1">
      <c r="A735" s="31"/>
      <c r="B735" s="31"/>
      <c r="C735" s="31"/>
      <c r="D735" s="31"/>
      <c r="E735" s="31"/>
      <c r="F735" s="144"/>
      <c r="G735" s="31"/>
      <c r="H735" s="31"/>
      <c r="I735" s="31"/>
      <c r="J735" s="31"/>
      <c r="K735" s="22"/>
      <c r="L735" s="46"/>
      <c r="M735" s="146"/>
      <c r="N735" s="147"/>
      <c r="O735" s="147"/>
      <c r="P735" s="147"/>
      <c r="Q735" s="147"/>
    </row>
    <row r="736" ht="15.75" customHeight="1">
      <c r="A736" s="31"/>
      <c r="B736" s="31"/>
      <c r="C736" s="31"/>
      <c r="D736" s="31"/>
      <c r="E736" s="31"/>
      <c r="F736" s="144"/>
      <c r="G736" s="31"/>
      <c r="H736" s="31"/>
      <c r="I736" s="31"/>
      <c r="J736" s="31"/>
      <c r="K736" s="22"/>
      <c r="L736" s="46"/>
      <c r="M736" s="146"/>
      <c r="N736" s="147"/>
      <c r="O736" s="147"/>
      <c r="P736" s="147"/>
      <c r="Q736" s="147"/>
    </row>
    <row r="737" ht="15.75" customHeight="1">
      <c r="A737" s="31"/>
      <c r="B737" s="31"/>
      <c r="C737" s="31"/>
      <c r="D737" s="31"/>
      <c r="E737" s="31"/>
      <c r="F737" s="144"/>
      <c r="G737" s="31"/>
      <c r="H737" s="31"/>
      <c r="I737" s="31"/>
      <c r="J737" s="31"/>
      <c r="K737" s="22"/>
      <c r="L737" s="46"/>
      <c r="M737" s="146"/>
      <c r="N737" s="147"/>
      <c r="O737" s="147"/>
      <c r="P737" s="147"/>
      <c r="Q737" s="147"/>
    </row>
    <row r="738" ht="15.75" customHeight="1">
      <c r="A738" s="31"/>
      <c r="B738" s="31"/>
      <c r="C738" s="31"/>
      <c r="D738" s="31"/>
      <c r="E738" s="31"/>
      <c r="F738" s="144"/>
      <c r="G738" s="31"/>
      <c r="H738" s="31"/>
      <c r="I738" s="31"/>
      <c r="J738" s="31"/>
      <c r="K738" s="22"/>
      <c r="L738" s="46"/>
      <c r="M738" s="146"/>
      <c r="N738" s="147"/>
      <c r="O738" s="147"/>
      <c r="P738" s="147"/>
      <c r="Q738" s="147"/>
    </row>
    <row r="739" ht="15.75" customHeight="1">
      <c r="A739" s="31"/>
      <c r="B739" s="31"/>
      <c r="C739" s="31"/>
      <c r="D739" s="31"/>
      <c r="E739" s="31"/>
      <c r="F739" s="144"/>
      <c r="G739" s="31"/>
      <c r="H739" s="31"/>
      <c r="I739" s="31"/>
      <c r="J739" s="31"/>
      <c r="K739" s="22"/>
      <c r="L739" s="46"/>
      <c r="M739" s="146"/>
      <c r="N739" s="147"/>
      <c r="O739" s="147"/>
      <c r="P739" s="147"/>
      <c r="Q739" s="147"/>
    </row>
    <row r="740" ht="15.75" customHeight="1">
      <c r="A740" s="31"/>
      <c r="B740" s="31"/>
      <c r="C740" s="31"/>
      <c r="D740" s="31"/>
      <c r="E740" s="31"/>
      <c r="F740" s="144"/>
      <c r="G740" s="31"/>
      <c r="H740" s="31"/>
      <c r="I740" s="31"/>
      <c r="J740" s="31"/>
      <c r="K740" s="22"/>
      <c r="L740" s="46"/>
      <c r="M740" s="146"/>
      <c r="N740" s="147"/>
      <c r="O740" s="147"/>
      <c r="P740" s="147"/>
      <c r="Q740" s="147"/>
    </row>
    <row r="741" ht="15.75" customHeight="1">
      <c r="A741" s="31"/>
      <c r="B741" s="31"/>
      <c r="C741" s="31"/>
      <c r="D741" s="31"/>
      <c r="E741" s="31"/>
      <c r="F741" s="144"/>
      <c r="G741" s="31"/>
      <c r="H741" s="31"/>
      <c r="I741" s="31"/>
      <c r="J741" s="31"/>
      <c r="K741" s="22"/>
      <c r="L741" s="46"/>
      <c r="M741" s="146"/>
      <c r="N741" s="147"/>
      <c r="O741" s="147"/>
      <c r="P741" s="147"/>
      <c r="Q741" s="147"/>
    </row>
    <row r="742" ht="15.75" customHeight="1">
      <c r="A742" s="31"/>
      <c r="B742" s="31"/>
      <c r="C742" s="31"/>
      <c r="D742" s="31"/>
      <c r="E742" s="31"/>
      <c r="F742" s="144"/>
      <c r="G742" s="31"/>
      <c r="H742" s="31"/>
      <c r="I742" s="31"/>
      <c r="J742" s="31"/>
      <c r="K742" s="22"/>
      <c r="L742" s="46"/>
      <c r="M742" s="146"/>
      <c r="N742" s="147"/>
      <c r="O742" s="147"/>
      <c r="P742" s="147"/>
      <c r="Q742" s="147"/>
    </row>
    <row r="743" ht="15.75" customHeight="1">
      <c r="A743" s="31"/>
      <c r="B743" s="31"/>
      <c r="C743" s="31"/>
      <c r="D743" s="31"/>
      <c r="E743" s="31"/>
      <c r="F743" s="144"/>
      <c r="G743" s="31"/>
      <c r="H743" s="31"/>
      <c r="I743" s="31"/>
      <c r="J743" s="31"/>
      <c r="K743" s="22"/>
      <c r="L743" s="46"/>
      <c r="M743" s="146"/>
      <c r="N743" s="147"/>
      <c r="O743" s="147"/>
      <c r="P743" s="147"/>
      <c r="Q743" s="147"/>
    </row>
    <row r="744" ht="15.75" customHeight="1">
      <c r="A744" s="31"/>
      <c r="B744" s="31"/>
      <c r="C744" s="31"/>
      <c r="D744" s="31"/>
      <c r="E744" s="31"/>
      <c r="F744" s="144"/>
      <c r="G744" s="31"/>
      <c r="H744" s="31"/>
      <c r="I744" s="31"/>
      <c r="J744" s="31"/>
      <c r="K744" s="22"/>
      <c r="L744" s="46"/>
      <c r="M744" s="146"/>
      <c r="N744" s="147"/>
      <c r="O744" s="147"/>
      <c r="P744" s="147"/>
      <c r="Q744" s="147"/>
    </row>
    <row r="745" ht="15.75" customHeight="1">
      <c r="A745" s="31"/>
      <c r="B745" s="31"/>
      <c r="C745" s="31"/>
      <c r="D745" s="31"/>
      <c r="E745" s="31"/>
      <c r="F745" s="144"/>
      <c r="G745" s="31"/>
      <c r="H745" s="31"/>
      <c r="I745" s="31"/>
      <c r="J745" s="31"/>
      <c r="K745" s="22"/>
      <c r="L745" s="46"/>
      <c r="M745" s="146"/>
      <c r="N745" s="147"/>
      <c r="O745" s="147"/>
      <c r="P745" s="147"/>
      <c r="Q745" s="147"/>
    </row>
    <row r="746" ht="15.75" customHeight="1">
      <c r="A746" s="31"/>
      <c r="B746" s="31"/>
      <c r="C746" s="31"/>
      <c r="D746" s="31"/>
      <c r="E746" s="31"/>
      <c r="F746" s="144"/>
      <c r="G746" s="31"/>
      <c r="H746" s="31"/>
      <c r="I746" s="31"/>
      <c r="J746" s="31"/>
      <c r="K746" s="22"/>
      <c r="L746" s="46"/>
      <c r="M746" s="146"/>
      <c r="N746" s="147"/>
      <c r="O746" s="147"/>
      <c r="P746" s="147"/>
      <c r="Q746" s="147"/>
    </row>
    <row r="747" ht="15.75" customHeight="1">
      <c r="A747" s="31"/>
      <c r="B747" s="31"/>
      <c r="C747" s="31"/>
      <c r="D747" s="31"/>
      <c r="E747" s="31"/>
      <c r="F747" s="144"/>
      <c r="G747" s="31"/>
      <c r="H747" s="31"/>
      <c r="I747" s="31"/>
      <c r="J747" s="31"/>
      <c r="K747" s="22"/>
      <c r="L747" s="46"/>
      <c r="M747" s="146"/>
      <c r="N747" s="147"/>
      <c r="O747" s="147"/>
      <c r="P747" s="147"/>
      <c r="Q747" s="147"/>
    </row>
    <row r="748" ht="15.75" customHeight="1">
      <c r="A748" s="31"/>
      <c r="B748" s="31"/>
      <c r="C748" s="31"/>
      <c r="D748" s="31"/>
      <c r="E748" s="31"/>
      <c r="F748" s="144"/>
      <c r="G748" s="31"/>
      <c r="H748" s="31"/>
      <c r="I748" s="31"/>
      <c r="J748" s="31"/>
      <c r="K748" s="22"/>
      <c r="L748" s="46"/>
      <c r="M748" s="146"/>
      <c r="N748" s="147"/>
      <c r="O748" s="147"/>
      <c r="P748" s="147"/>
      <c r="Q748" s="147"/>
    </row>
    <row r="749" ht="15.75" customHeight="1">
      <c r="A749" s="31"/>
      <c r="B749" s="31"/>
      <c r="C749" s="31"/>
      <c r="D749" s="31"/>
      <c r="E749" s="31"/>
      <c r="F749" s="144"/>
      <c r="G749" s="31"/>
      <c r="H749" s="31"/>
      <c r="I749" s="31"/>
      <c r="J749" s="31"/>
      <c r="K749" s="22"/>
      <c r="L749" s="46"/>
      <c r="M749" s="146"/>
      <c r="N749" s="147"/>
      <c r="O749" s="147"/>
      <c r="P749" s="147"/>
      <c r="Q749" s="147"/>
    </row>
    <row r="750" ht="15.75" customHeight="1">
      <c r="A750" s="31"/>
      <c r="B750" s="31"/>
      <c r="C750" s="31"/>
      <c r="D750" s="31"/>
      <c r="E750" s="31"/>
      <c r="F750" s="144"/>
      <c r="G750" s="31"/>
      <c r="H750" s="31"/>
      <c r="I750" s="31"/>
      <c r="J750" s="31"/>
      <c r="K750" s="22"/>
      <c r="L750" s="46"/>
      <c r="M750" s="146"/>
      <c r="N750" s="147"/>
      <c r="O750" s="147"/>
      <c r="P750" s="147"/>
      <c r="Q750" s="147"/>
    </row>
    <row r="751" ht="15.75" customHeight="1">
      <c r="A751" s="31"/>
      <c r="B751" s="31"/>
      <c r="C751" s="31"/>
      <c r="D751" s="31"/>
      <c r="E751" s="31"/>
      <c r="F751" s="144"/>
      <c r="G751" s="31"/>
      <c r="H751" s="31"/>
      <c r="I751" s="31"/>
      <c r="J751" s="31"/>
      <c r="K751" s="22"/>
      <c r="L751" s="46"/>
      <c r="M751" s="146"/>
      <c r="N751" s="147"/>
      <c r="O751" s="147"/>
      <c r="P751" s="147"/>
      <c r="Q751" s="147"/>
    </row>
    <row r="752" ht="15.75" customHeight="1">
      <c r="A752" s="31"/>
      <c r="B752" s="31"/>
      <c r="C752" s="31"/>
      <c r="D752" s="31"/>
      <c r="E752" s="31"/>
      <c r="F752" s="144"/>
      <c r="G752" s="31"/>
      <c r="H752" s="31"/>
      <c r="I752" s="31"/>
      <c r="J752" s="31"/>
      <c r="K752" s="22"/>
      <c r="L752" s="46"/>
      <c r="M752" s="146"/>
      <c r="N752" s="147"/>
      <c r="O752" s="147"/>
      <c r="P752" s="147"/>
      <c r="Q752" s="147"/>
    </row>
    <row r="753" ht="15.75" customHeight="1">
      <c r="A753" s="31"/>
      <c r="B753" s="31"/>
      <c r="C753" s="31"/>
      <c r="D753" s="31"/>
      <c r="E753" s="31"/>
      <c r="F753" s="144"/>
      <c r="G753" s="31"/>
      <c r="H753" s="31"/>
      <c r="I753" s="31"/>
      <c r="J753" s="31"/>
      <c r="K753" s="22"/>
      <c r="L753" s="46"/>
      <c r="M753" s="146"/>
      <c r="N753" s="147"/>
      <c r="O753" s="147"/>
      <c r="P753" s="147"/>
      <c r="Q753" s="147"/>
    </row>
    <row r="754" ht="15.75" customHeight="1">
      <c r="A754" s="31"/>
      <c r="B754" s="31"/>
      <c r="C754" s="31"/>
      <c r="D754" s="31"/>
      <c r="E754" s="31"/>
      <c r="F754" s="144"/>
      <c r="G754" s="31"/>
      <c r="H754" s="31"/>
      <c r="I754" s="31"/>
      <c r="J754" s="31"/>
      <c r="K754" s="22"/>
      <c r="L754" s="46"/>
      <c r="M754" s="146"/>
      <c r="N754" s="147"/>
      <c r="O754" s="147"/>
      <c r="P754" s="147"/>
      <c r="Q754" s="147"/>
    </row>
    <row r="755" ht="15.75" customHeight="1">
      <c r="A755" s="31"/>
      <c r="B755" s="31"/>
      <c r="C755" s="31"/>
      <c r="D755" s="31"/>
      <c r="E755" s="31"/>
      <c r="F755" s="144"/>
      <c r="G755" s="31"/>
      <c r="H755" s="31"/>
      <c r="I755" s="31"/>
      <c r="J755" s="31"/>
      <c r="K755" s="22"/>
      <c r="L755" s="46"/>
      <c r="M755" s="146"/>
      <c r="N755" s="147"/>
      <c r="O755" s="147"/>
      <c r="P755" s="147"/>
      <c r="Q755" s="147"/>
    </row>
    <row r="756" ht="15.75" customHeight="1">
      <c r="A756" s="31"/>
      <c r="B756" s="31"/>
      <c r="C756" s="31"/>
      <c r="D756" s="31"/>
      <c r="E756" s="31"/>
      <c r="F756" s="144"/>
      <c r="G756" s="31"/>
      <c r="H756" s="31"/>
      <c r="I756" s="31"/>
      <c r="J756" s="31"/>
      <c r="K756" s="22"/>
      <c r="L756" s="46"/>
      <c r="M756" s="146"/>
      <c r="N756" s="147"/>
      <c r="O756" s="147"/>
      <c r="P756" s="147"/>
      <c r="Q756" s="147"/>
    </row>
    <row r="757" ht="15.75" customHeight="1">
      <c r="A757" s="31"/>
      <c r="B757" s="31"/>
      <c r="C757" s="31"/>
      <c r="D757" s="31"/>
      <c r="E757" s="31"/>
      <c r="F757" s="144"/>
      <c r="G757" s="31"/>
      <c r="H757" s="31"/>
      <c r="I757" s="31"/>
      <c r="J757" s="31"/>
      <c r="K757" s="22"/>
      <c r="L757" s="46"/>
      <c r="M757" s="146"/>
      <c r="N757" s="147"/>
      <c r="O757" s="147"/>
      <c r="P757" s="147"/>
      <c r="Q757" s="147"/>
    </row>
    <row r="758" ht="15.75" customHeight="1">
      <c r="A758" s="31"/>
      <c r="B758" s="31"/>
      <c r="C758" s="31"/>
      <c r="D758" s="31"/>
      <c r="E758" s="31"/>
      <c r="F758" s="144"/>
      <c r="G758" s="31"/>
      <c r="H758" s="31"/>
      <c r="I758" s="31"/>
      <c r="J758" s="31"/>
      <c r="K758" s="22"/>
      <c r="L758" s="46"/>
      <c r="M758" s="146"/>
      <c r="N758" s="147"/>
      <c r="O758" s="147"/>
      <c r="P758" s="147"/>
      <c r="Q758" s="147"/>
    </row>
    <row r="759" ht="15.75" customHeight="1">
      <c r="A759" s="31"/>
      <c r="B759" s="31"/>
      <c r="C759" s="31"/>
      <c r="D759" s="31"/>
      <c r="E759" s="31"/>
      <c r="F759" s="144"/>
      <c r="G759" s="31"/>
      <c r="H759" s="31"/>
      <c r="I759" s="31"/>
      <c r="J759" s="31"/>
      <c r="K759" s="22"/>
      <c r="L759" s="46"/>
      <c r="M759" s="146"/>
      <c r="N759" s="147"/>
      <c r="O759" s="147"/>
      <c r="P759" s="147"/>
      <c r="Q759" s="147"/>
    </row>
    <row r="760" ht="15.75" customHeight="1">
      <c r="A760" s="31"/>
      <c r="B760" s="31"/>
      <c r="C760" s="31"/>
      <c r="D760" s="31"/>
      <c r="E760" s="31"/>
      <c r="F760" s="144"/>
      <c r="G760" s="31"/>
      <c r="H760" s="31"/>
      <c r="I760" s="31"/>
      <c r="J760" s="31"/>
      <c r="K760" s="22"/>
      <c r="L760" s="46"/>
      <c r="M760" s="146"/>
      <c r="N760" s="147"/>
      <c r="O760" s="147"/>
      <c r="P760" s="147"/>
      <c r="Q760" s="147"/>
    </row>
    <row r="761" ht="15.75" customHeight="1">
      <c r="A761" s="31"/>
      <c r="B761" s="31"/>
      <c r="C761" s="31"/>
      <c r="D761" s="31"/>
      <c r="E761" s="31"/>
      <c r="F761" s="144"/>
      <c r="G761" s="31"/>
      <c r="H761" s="31"/>
      <c r="I761" s="31"/>
      <c r="J761" s="31"/>
      <c r="K761" s="22"/>
      <c r="L761" s="46"/>
      <c r="M761" s="146"/>
      <c r="N761" s="147"/>
      <c r="O761" s="147"/>
      <c r="P761" s="147"/>
      <c r="Q761" s="147"/>
    </row>
    <row r="762" ht="15.75" customHeight="1">
      <c r="A762" s="31"/>
      <c r="B762" s="31"/>
      <c r="C762" s="31"/>
      <c r="D762" s="31"/>
      <c r="E762" s="31"/>
      <c r="F762" s="144"/>
      <c r="G762" s="31"/>
      <c r="H762" s="31"/>
      <c r="I762" s="31"/>
      <c r="J762" s="31"/>
      <c r="K762" s="22"/>
      <c r="L762" s="46"/>
      <c r="M762" s="146"/>
      <c r="N762" s="147"/>
      <c r="O762" s="147"/>
      <c r="P762" s="147"/>
      <c r="Q762" s="147"/>
    </row>
    <row r="763" ht="15.75" customHeight="1">
      <c r="A763" s="31"/>
      <c r="B763" s="31"/>
      <c r="C763" s="31"/>
      <c r="D763" s="31"/>
      <c r="E763" s="31"/>
      <c r="F763" s="144"/>
      <c r="G763" s="31"/>
      <c r="H763" s="31"/>
      <c r="I763" s="31"/>
      <c r="J763" s="31"/>
      <c r="K763" s="22"/>
      <c r="L763" s="46"/>
      <c r="M763" s="146"/>
      <c r="N763" s="147"/>
      <c r="O763" s="147"/>
      <c r="P763" s="147"/>
      <c r="Q763" s="147"/>
    </row>
    <row r="764" ht="15.75" customHeight="1">
      <c r="A764" s="31"/>
      <c r="B764" s="31"/>
      <c r="C764" s="31"/>
      <c r="D764" s="31"/>
      <c r="E764" s="31"/>
      <c r="F764" s="144"/>
      <c r="G764" s="31"/>
      <c r="H764" s="31"/>
      <c r="I764" s="31"/>
      <c r="J764" s="31"/>
      <c r="K764" s="22"/>
      <c r="L764" s="46"/>
      <c r="M764" s="146"/>
      <c r="N764" s="147"/>
      <c r="O764" s="147"/>
      <c r="P764" s="147"/>
      <c r="Q764" s="147"/>
    </row>
    <row r="765" ht="15.75" customHeight="1">
      <c r="A765" s="31"/>
      <c r="B765" s="31"/>
      <c r="C765" s="31"/>
      <c r="D765" s="31"/>
      <c r="E765" s="31"/>
      <c r="F765" s="144"/>
      <c r="G765" s="31"/>
      <c r="H765" s="31"/>
      <c r="I765" s="31"/>
      <c r="J765" s="31"/>
      <c r="K765" s="22"/>
      <c r="L765" s="46"/>
      <c r="M765" s="146"/>
      <c r="N765" s="147"/>
      <c r="O765" s="147"/>
      <c r="P765" s="147"/>
      <c r="Q765" s="147"/>
    </row>
    <row r="766" ht="15.75" customHeight="1">
      <c r="A766" s="31"/>
      <c r="B766" s="31"/>
      <c r="C766" s="31"/>
      <c r="D766" s="31"/>
      <c r="E766" s="31"/>
      <c r="F766" s="144"/>
      <c r="G766" s="31"/>
      <c r="H766" s="31"/>
      <c r="I766" s="31"/>
      <c r="J766" s="31"/>
      <c r="K766" s="22"/>
      <c r="L766" s="46"/>
      <c r="M766" s="146"/>
      <c r="N766" s="147"/>
      <c r="O766" s="147"/>
      <c r="P766" s="147"/>
      <c r="Q766" s="147"/>
    </row>
    <row r="767" ht="15.75" customHeight="1">
      <c r="A767" s="31"/>
      <c r="B767" s="31"/>
      <c r="C767" s="31"/>
      <c r="D767" s="31"/>
      <c r="E767" s="31"/>
      <c r="F767" s="144"/>
      <c r="G767" s="31"/>
      <c r="H767" s="31"/>
      <c r="I767" s="31"/>
      <c r="J767" s="31"/>
      <c r="K767" s="22"/>
      <c r="L767" s="46"/>
      <c r="M767" s="146"/>
      <c r="N767" s="147"/>
      <c r="O767" s="147"/>
      <c r="P767" s="147"/>
      <c r="Q767" s="147"/>
    </row>
    <row r="768" ht="15.75" customHeight="1">
      <c r="A768" s="31"/>
      <c r="B768" s="31"/>
      <c r="C768" s="31"/>
      <c r="D768" s="31"/>
      <c r="E768" s="31"/>
      <c r="F768" s="144"/>
      <c r="G768" s="31"/>
      <c r="H768" s="31"/>
      <c r="I768" s="31"/>
      <c r="J768" s="31"/>
      <c r="K768" s="22"/>
      <c r="L768" s="46"/>
      <c r="M768" s="146"/>
      <c r="N768" s="147"/>
      <c r="O768" s="147"/>
      <c r="P768" s="147"/>
      <c r="Q768" s="147"/>
    </row>
    <row r="769" ht="15.75" customHeight="1">
      <c r="A769" s="31"/>
      <c r="B769" s="31"/>
      <c r="C769" s="31"/>
      <c r="D769" s="31"/>
      <c r="E769" s="31"/>
      <c r="F769" s="144"/>
      <c r="G769" s="31"/>
      <c r="H769" s="31"/>
      <c r="I769" s="31"/>
      <c r="J769" s="31"/>
      <c r="K769" s="22"/>
      <c r="L769" s="46"/>
      <c r="M769" s="146"/>
      <c r="N769" s="147"/>
      <c r="O769" s="147"/>
      <c r="P769" s="147"/>
      <c r="Q769" s="147"/>
    </row>
    <row r="770" ht="15.75" customHeight="1">
      <c r="A770" s="31"/>
      <c r="B770" s="31"/>
      <c r="C770" s="31"/>
      <c r="D770" s="31"/>
      <c r="E770" s="31"/>
      <c r="F770" s="144"/>
      <c r="G770" s="31"/>
      <c r="H770" s="31"/>
      <c r="I770" s="31"/>
      <c r="J770" s="31"/>
      <c r="K770" s="22"/>
      <c r="L770" s="46"/>
      <c r="M770" s="146"/>
      <c r="N770" s="147"/>
      <c r="O770" s="147"/>
      <c r="P770" s="147"/>
      <c r="Q770" s="147"/>
    </row>
    <row r="771" ht="15.75" customHeight="1">
      <c r="A771" s="31"/>
      <c r="B771" s="31"/>
      <c r="C771" s="31"/>
      <c r="D771" s="31"/>
      <c r="E771" s="31"/>
      <c r="F771" s="144"/>
      <c r="G771" s="31"/>
      <c r="H771" s="31"/>
      <c r="I771" s="31"/>
      <c r="J771" s="31"/>
      <c r="K771" s="22"/>
      <c r="L771" s="46"/>
      <c r="M771" s="146"/>
      <c r="N771" s="147"/>
      <c r="O771" s="147"/>
      <c r="P771" s="147"/>
      <c r="Q771" s="147"/>
    </row>
    <row r="772" ht="15.75" customHeight="1">
      <c r="A772" s="31"/>
      <c r="B772" s="31"/>
      <c r="C772" s="31"/>
      <c r="D772" s="31"/>
      <c r="E772" s="31"/>
      <c r="F772" s="144"/>
      <c r="G772" s="31"/>
      <c r="H772" s="31"/>
      <c r="I772" s="31"/>
      <c r="J772" s="31"/>
      <c r="K772" s="22"/>
      <c r="L772" s="46"/>
      <c r="M772" s="146"/>
      <c r="N772" s="147"/>
      <c r="O772" s="147"/>
      <c r="P772" s="147"/>
      <c r="Q772" s="147"/>
    </row>
    <row r="773" ht="15.75" customHeight="1">
      <c r="A773" s="31"/>
      <c r="B773" s="31"/>
      <c r="C773" s="31"/>
      <c r="D773" s="31"/>
      <c r="E773" s="31"/>
      <c r="F773" s="144"/>
      <c r="G773" s="31"/>
      <c r="H773" s="31"/>
      <c r="I773" s="31"/>
      <c r="J773" s="31"/>
      <c r="K773" s="22"/>
      <c r="L773" s="46"/>
      <c r="M773" s="146"/>
      <c r="N773" s="147"/>
      <c r="O773" s="147"/>
      <c r="P773" s="147"/>
      <c r="Q773" s="147"/>
    </row>
    <row r="774" ht="15.75" customHeight="1">
      <c r="A774" s="31"/>
      <c r="B774" s="31"/>
      <c r="C774" s="31"/>
      <c r="D774" s="31"/>
      <c r="E774" s="31"/>
      <c r="F774" s="144"/>
      <c r="G774" s="31"/>
      <c r="H774" s="31"/>
      <c r="I774" s="31"/>
      <c r="J774" s="31"/>
      <c r="K774" s="22"/>
      <c r="L774" s="46"/>
      <c r="M774" s="146"/>
      <c r="N774" s="147"/>
      <c r="O774" s="147"/>
      <c r="P774" s="147"/>
      <c r="Q774" s="147"/>
    </row>
    <row r="775" ht="15.75" customHeight="1">
      <c r="A775" s="31"/>
      <c r="B775" s="31"/>
      <c r="C775" s="31"/>
      <c r="D775" s="31"/>
      <c r="E775" s="31"/>
      <c r="F775" s="144"/>
      <c r="G775" s="31"/>
      <c r="H775" s="31"/>
      <c r="I775" s="31"/>
      <c r="J775" s="31"/>
      <c r="K775" s="22"/>
      <c r="L775" s="46"/>
      <c r="M775" s="146"/>
      <c r="N775" s="147"/>
      <c r="O775" s="147"/>
      <c r="P775" s="147"/>
      <c r="Q775" s="147"/>
    </row>
    <row r="776" ht="15.75" customHeight="1">
      <c r="A776" s="31"/>
      <c r="B776" s="31"/>
      <c r="C776" s="31"/>
      <c r="D776" s="31"/>
      <c r="E776" s="31"/>
      <c r="F776" s="144"/>
      <c r="G776" s="31"/>
      <c r="H776" s="31"/>
      <c r="I776" s="31"/>
      <c r="J776" s="31"/>
      <c r="K776" s="22"/>
      <c r="L776" s="46"/>
      <c r="M776" s="146"/>
      <c r="N776" s="147"/>
      <c r="O776" s="147"/>
      <c r="P776" s="147"/>
      <c r="Q776" s="147"/>
    </row>
    <row r="777" ht="15.75" customHeight="1">
      <c r="A777" s="31"/>
      <c r="B777" s="31"/>
      <c r="C777" s="31"/>
      <c r="D777" s="31"/>
      <c r="E777" s="31"/>
      <c r="F777" s="144"/>
      <c r="G777" s="31"/>
      <c r="H777" s="31"/>
      <c r="I777" s="31"/>
      <c r="J777" s="31"/>
      <c r="K777" s="22"/>
      <c r="L777" s="46"/>
      <c r="M777" s="146"/>
      <c r="N777" s="147"/>
      <c r="O777" s="147"/>
      <c r="P777" s="147"/>
      <c r="Q777" s="147"/>
    </row>
    <row r="778" ht="15.75" customHeight="1">
      <c r="A778" s="31"/>
      <c r="B778" s="31"/>
      <c r="C778" s="31"/>
      <c r="D778" s="31"/>
      <c r="E778" s="31"/>
      <c r="F778" s="144"/>
      <c r="G778" s="31"/>
      <c r="H778" s="31"/>
      <c r="I778" s="31"/>
      <c r="J778" s="31"/>
      <c r="K778" s="22"/>
      <c r="L778" s="46"/>
      <c r="M778" s="146"/>
      <c r="N778" s="147"/>
      <c r="O778" s="147"/>
      <c r="P778" s="147"/>
      <c r="Q778" s="147"/>
    </row>
    <row r="779" ht="15.75" customHeight="1">
      <c r="A779" s="31"/>
      <c r="B779" s="31"/>
      <c r="C779" s="31"/>
      <c r="D779" s="31"/>
      <c r="E779" s="31"/>
      <c r="F779" s="144"/>
      <c r="G779" s="31"/>
      <c r="H779" s="31"/>
      <c r="I779" s="31"/>
      <c r="J779" s="31"/>
      <c r="K779" s="22"/>
      <c r="L779" s="46"/>
      <c r="M779" s="146"/>
      <c r="N779" s="147"/>
      <c r="O779" s="147"/>
      <c r="P779" s="147"/>
      <c r="Q779" s="147"/>
    </row>
    <row r="780" ht="15.75" customHeight="1">
      <c r="A780" s="31"/>
      <c r="B780" s="31"/>
      <c r="C780" s="31"/>
      <c r="D780" s="31"/>
      <c r="E780" s="31"/>
      <c r="F780" s="144"/>
      <c r="G780" s="31"/>
      <c r="H780" s="31"/>
      <c r="I780" s="31"/>
      <c r="J780" s="31"/>
      <c r="K780" s="22"/>
      <c r="L780" s="46"/>
      <c r="M780" s="146"/>
      <c r="N780" s="147"/>
      <c r="O780" s="147"/>
      <c r="P780" s="147"/>
      <c r="Q780" s="147"/>
    </row>
    <row r="781" ht="15.75" customHeight="1">
      <c r="A781" s="31"/>
      <c r="B781" s="31"/>
      <c r="C781" s="31"/>
      <c r="D781" s="31"/>
      <c r="E781" s="31"/>
      <c r="F781" s="144"/>
      <c r="G781" s="31"/>
      <c r="H781" s="31"/>
      <c r="I781" s="31"/>
      <c r="J781" s="31"/>
      <c r="K781" s="22"/>
      <c r="L781" s="46"/>
      <c r="M781" s="146"/>
      <c r="N781" s="147"/>
      <c r="O781" s="147"/>
      <c r="P781" s="147"/>
      <c r="Q781" s="147"/>
    </row>
    <row r="782" ht="15.75" customHeight="1">
      <c r="A782" s="31"/>
      <c r="B782" s="31"/>
      <c r="C782" s="31"/>
      <c r="D782" s="31"/>
      <c r="E782" s="31"/>
      <c r="F782" s="144"/>
      <c r="G782" s="31"/>
      <c r="H782" s="31"/>
      <c r="I782" s="31"/>
      <c r="J782" s="31"/>
      <c r="K782" s="22"/>
      <c r="L782" s="46"/>
      <c r="M782" s="146"/>
      <c r="N782" s="147"/>
      <c r="O782" s="147"/>
      <c r="P782" s="147"/>
      <c r="Q782" s="147"/>
    </row>
    <row r="783" ht="15.75" customHeight="1">
      <c r="A783" s="31"/>
      <c r="B783" s="31"/>
      <c r="C783" s="31"/>
      <c r="D783" s="31"/>
      <c r="E783" s="31"/>
      <c r="F783" s="144"/>
      <c r="G783" s="31"/>
      <c r="H783" s="31"/>
      <c r="I783" s="31"/>
      <c r="J783" s="31"/>
      <c r="K783" s="22"/>
      <c r="L783" s="46"/>
      <c r="M783" s="146"/>
      <c r="N783" s="147"/>
      <c r="O783" s="147"/>
      <c r="P783" s="147"/>
      <c r="Q783" s="147"/>
    </row>
    <row r="784" ht="15.75" customHeight="1">
      <c r="A784" s="31"/>
      <c r="B784" s="31"/>
      <c r="C784" s="31"/>
      <c r="D784" s="31"/>
      <c r="E784" s="31"/>
      <c r="F784" s="144"/>
      <c r="G784" s="31"/>
      <c r="H784" s="31"/>
      <c r="I784" s="31"/>
      <c r="J784" s="31"/>
      <c r="K784" s="22"/>
      <c r="L784" s="46"/>
      <c r="M784" s="146"/>
      <c r="N784" s="147"/>
      <c r="O784" s="147"/>
      <c r="P784" s="147"/>
      <c r="Q784" s="147"/>
    </row>
    <row r="785" ht="15.75" customHeight="1">
      <c r="A785" s="31"/>
      <c r="B785" s="31"/>
      <c r="C785" s="31"/>
      <c r="D785" s="31"/>
      <c r="E785" s="31"/>
      <c r="F785" s="144"/>
      <c r="G785" s="31"/>
      <c r="H785" s="31"/>
      <c r="I785" s="31"/>
      <c r="J785" s="31"/>
      <c r="K785" s="22"/>
      <c r="L785" s="46"/>
      <c r="M785" s="146"/>
      <c r="N785" s="147"/>
      <c r="O785" s="147"/>
      <c r="P785" s="147"/>
      <c r="Q785" s="147"/>
    </row>
    <row r="786" ht="15.75" customHeight="1">
      <c r="A786" s="31"/>
      <c r="B786" s="31"/>
      <c r="C786" s="31"/>
      <c r="D786" s="31"/>
      <c r="E786" s="31"/>
      <c r="F786" s="144"/>
      <c r="G786" s="31"/>
      <c r="H786" s="31"/>
      <c r="I786" s="31"/>
      <c r="J786" s="31"/>
      <c r="K786" s="22"/>
      <c r="L786" s="46"/>
      <c r="M786" s="146"/>
      <c r="N786" s="147"/>
      <c r="O786" s="147"/>
      <c r="P786" s="147"/>
      <c r="Q786" s="147"/>
    </row>
    <row r="787" ht="15.75" customHeight="1">
      <c r="A787" s="31"/>
      <c r="B787" s="31"/>
      <c r="C787" s="31"/>
      <c r="D787" s="31"/>
      <c r="E787" s="31"/>
      <c r="F787" s="144"/>
      <c r="G787" s="31"/>
      <c r="H787" s="31"/>
      <c r="I787" s="31"/>
      <c r="J787" s="31"/>
      <c r="K787" s="22"/>
      <c r="L787" s="46"/>
      <c r="M787" s="146"/>
      <c r="N787" s="147"/>
      <c r="O787" s="147"/>
      <c r="P787" s="147"/>
      <c r="Q787" s="147"/>
    </row>
    <row r="788" ht="15.75" customHeight="1">
      <c r="A788" s="31"/>
      <c r="B788" s="31"/>
      <c r="C788" s="31"/>
      <c r="D788" s="31"/>
      <c r="E788" s="31"/>
      <c r="F788" s="144"/>
      <c r="G788" s="31"/>
      <c r="H788" s="31"/>
      <c r="I788" s="31"/>
      <c r="J788" s="31"/>
      <c r="K788" s="22"/>
      <c r="L788" s="46"/>
      <c r="M788" s="146"/>
      <c r="N788" s="147"/>
      <c r="O788" s="147"/>
      <c r="P788" s="147"/>
      <c r="Q788" s="147"/>
    </row>
    <row r="789" ht="15.75" customHeight="1">
      <c r="A789" s="31"/>
      <c r="B789" s="31"/>
      <c r="C789" s="31"/>
      <c r="D789" s="31"/>
      <c r="E789" s="31"/>
      <c r="F789" s="144"/>
      <c r="G789" s="31"/>
      <c r="H789" s="31"/>
      <c r="I789" s="31"/>
      <c r="J789" s="31"/>
      <c r="K789" s="22"/>
      <c r="L789" s="46"/>
      <c r="M789" s="146"/>
      <c r="N789" s="147"/>
      <c r="O789" s="147"/>
      <c r="P789" s="147"/>
      <c r="Q789" s="147"/>
    </row>
    <row r="790" ht="15.75" customHeight="1">
      <c r="A790" s="31"/>
      <c r="B790" s="31"/>
      <c r="C790" s="31"/>
      <c r="D790" s="31"/>
      <c r="E790" s="31"/>
      <c r="F790" s="144"/>
      <c r="G790" s="31"/>
      <c r="H790" s="31"/>
      <c r="I790" s="31"/>
      <c r="J790" s="31"/>
      <c r="K790" s="22"/>
      <c r="L790" s="46"/>
      <c r="M790" s="146"/>
      <c r="N790" s="147"/>
      <c r="O790" s="147"/>
      <c r="P790" s="147"/>
      <c r="Q790" s="147"/>
    </row>
    <row r="791" ht="15.75" customHeight="1">
      <c r="A791" s="31"/>
      <c r="B791" s="31"/>
      <c r="C791" s="31"/>
      <c r="D791" s="31"/>
      <c r="E791" s="31"/>
      <c r="F791" s="144"/>
      <c r="G791" s="31"/>
      <c r="H791" s="31"/>
      <c r="I791" s="31"/>
      <c r="J791" s="31"/>
      <c r="K791" s="22"/>
      <c r="L791" s="46"/>
      <c r="M791" s="146"/>
      <c r="N791" s="147"/>
      <c r="O791" s="147"/>
      <c r="P791" s="147"/>
      <c r="Q791" s="147"/>
    </row>
    <row r="792" ht="15.75" customHeight="1">
      <c r="A792" s="31"/>
      <c r="B792" s="31"/>
      <c r="C792" s="31"/>
      <c r="D792" s="31"/>
      <c r="E792" s="31"/>
      <c r="F792" s="144"/>
      <c r="G792" s="31"/>
      <c r="H792" s="31"/>
      <c r="I792" s="31"/>
      <c r="J792" s="31"/>
      <c r="K792" s="22"/>
      <c r="L792" s="46"/>
      <c r="M792" s="146"/>
      <c r="N792" s="147"/>
      <c r="O792" s="147"/>
      <c r="P792" s="147"/>
      <c r="Q792" s="147"/>
    </row>
    <row r="793" ht="15.75" customHeight="1">
      <c r="A793" s="31"/>
      <c r="B793" s="31"/>
      <c r="C793" s="31"/>
      <c r="D793" s="31"/>
      <c r="E793" s="31"/>
      <c r="F793" s="144"/>
      <c r="G793" s="31"/>
      <c r="H793" s="31"/>
      <c r="I793" s="31"/>
      <c r="J793" s="31"/>
      <c r="K793" s="22"/>
      <c r="L793" s="46"/>
      <c r="M793" s="146"/>
      <c r="N793" s="147"/>
      <c r="O793" s="147"/>
      <c r="P793" s="147"/>
      <c r="Q793" s="147"/>
    </row>
    <row r="794" ht="15.75" customHeight="1">
      <c r="A794" s="31"/>
      <c r="B794" s="31"/>
      <c r="C794" s="31"/>
      <c r="D794" s="31"/>
      <c r="E794" s="31"/>
      <c r="F794" s="144"/>
      <c r="G794" s="31"/>
      <c r="H794" s="31"/>
      <c r="I794" s="31"/>
      <c r="J794" s="31"/>
      <c r="K794" s="22"/>
      <c r="L794" s="46"/>
      <c r="M794" s="146"/>
      <c r="N794" s="147"/>
      <c r="O794" s="147"/>
      <c r="P794" s="147"/>
      <c r="Q794" s="147"/>
    </row>
    <row r="795" ht="15.75" customHeight="1">
      <c r="A795" s="31"/>
      <c r="B795" s="31"/>
      <c r="C795" s="31"/>
      <c r="D795" s="31"/>
      <c r="E795" s="31"/>
      <c r="F795" s="144"/>
      <c r="G795" s="31"/>
      <c r="H795" s="31"/>
      <c r="I795" s="31"/>
      <c r="J795" s="31"/>
      <c r="K795" s="22"/>
      <c r="L795" s="46"/>
      <c r="M795" s="146"/>
      <c r="N795" s="147"/>
      <c r="O795" s="147"/>
      <c r="P795" s="147"/>
      <c r="Q795" s="147"/>
    </row>
    <row r="796" ht="15.75" customHeight="1">
      <c r="A796" s="31"/>
      <c r="B796" s="31"/>
      <c r="C796" s="31"/>
      <c r="D796" s="31"/>
      <c r="E796" s="31"/>
      <c r="F796" s="144"/>
      <c r="G796" s="31"/>
      <c r="H796" s="31"/>
      <c r="I796" s="31"/>
      <c r="J796" s="31"/>
      <c r="K796" s="22"/>
      <c r="L796" s="46"/>
      <c r="M796" s="146"/>
      <c r="N796" s="147"/>
      <c r="O796" s="147"/>
      <c r="P796" s="147"/>
      <c r="Q796" s="147"/>
    </row>
    <row r="797" ht="15.75" customHeight="1">
      <c r="A797" s="31"/>
      <c r="B797" s="31"/>
      <c r="C797" s="31"/>
      <c r="D797" s="31"/>
      <c r="E797" s="31"/>
      <c r="F797" s="144"/>
      <c r="G797" s="31"/>
      <c r="H797" s="31"/>
      <c r="I797" s="31"/>
      <c r="J797" s="31"/>
      <c r="K797" s="22"/>
      <c r="L797" s="46"/>
      <c r="M797" s="146"/>
      <c r="N797" s="147"/>
      <c r="O797" s="147"/>
      <c r="P797" s="147"/>
      <c r="Q797" s="147"/>
    </row>
    <row r="798" ht="15.75" customHeight="1">
      <c r="A798" s="31"/>
      <c r="B798" s="31"/>
      <c r="C798" s="31"/>
      <c r="D798" s="31"/>
      <c r="E798" s="31"/>
      <c r="F798" s="144"/>
      <c r="G798" s="31"/>
      <c r="H798" s="31"/>
      <c r="I798" s="31"/>
      <c r="J798" s="31"/>
      <c r="K798" s="22"/>
      <c r="L798" s="46"/>
      <c r="M798" s="146"/>
      <c r="N798" s="147"/>
      <c r="O798" s="147"/>
      <c r="P798" s="147"/>
      <c r="Q798" s="147"/>
    </row>
    <row r="799" ht="15.75" customHeight="1">
      <c r="A799" s="31"/>
      <c r="B799" s="31"/>
      <c r="C799" s="31"/>
      <c r="D799" s="31"/>
      <c r="E799" s="31"/>
      <c r="F799" s="144"/>
      <c r="G799" s="31"/>
      <c r="H799" s="31"/>
      <c r="I799" s="31"/>
      <c r="J799" s="31"/>
      <c r="K799" s="22"/>
      <c r="L799" s="46"/>
      <c r="M799" s="146"/>
      <c r="N799" s="147"/>
      <c r="O799" s="147"/>
      <c r="P799" s="147"/>
      <c r="Q799" s="147"/>
    </row>
    <row r="800" ht="15.75" customHeight="1">
      <c r="A800" s="31"/>
      <c r="B800" s="31"/>
      <c r="C800" s="31"/>
      <c r="D800" s="31"/>
      <c r="E800" s="31"/>
      <c r="F800" s="144"/>
      <c r="G800" s="31"/>
      <c r="H800" s="31"/>
      <c r="I800" s="31"/>
      <c r="J800" s="31"/>
      <c r="K800" s="22"/>
      <c r="L800" s="46"/>
      <c r="M800" s="146"/>
      <c r="N800" s="147"/>
      <c r="O800" s="147"/>
      <c r="P800" s="147"/>
      <c r="Q800" s="147"/>
    </row>
    <row r="801" ht="15.75" customHeight="1">
      <c r="A801" s="31"/>
      <c r="B801" s="31"/>
      <c r="C801" s="31"/>
      <c r="D801" s="31"/>
      <c r="E801" s="31"/>
      <c r="F801" s="144"/>
      <c r="G801" s="31"/>
      <c r="H801" s="31"/>
      <c r="I801" s="31"/>
      <c r="J801" s="31"/>
      <c r="K801" s="22"/>
      <c r="L801" s="46"/>
      <c r="M801" s="146"/>
      <c r="N801" s="147"/>
      <c r="O801" s="147"/>
      <c r="P801" s="147"/>
      <c r="Q801" s="147"/>
    </row>
    <row r="802" ht="15.75" customHeight="1">
      <c r="A802" s="31"/>
      <c r="B802" s="31"/>
      <c r="C802" s="31"/>
      <c r="D802" s="31"/>
      <c r="E802" s="31"/>
      <c r="F802" s="144"/>
      <c r="G802" s="31"/>
      <c r="H802" s="31"/>
      <c r="I802" s="31"/>
      <c r="J802" s="31"/>
      <c r="K802" s="22"/>
      <c r="L802" s="46"/>
      <c r="M802" s="146"/>
      <c r="N802" s="147"/>
      <c r="O802" s="147"/>
      <c r="P802" s="147"/>
      <c r="Q802" s="147"/>
    </row>
    <row r="803" ht="15.75" customHeight="1">
      <c r="A803" s="31"/>
      <c r="B803" s="31"/>
      <c r="C803" s="31"/>
      <c r="D803" s="31"/>
      <c r="E803" s="31"/>
      <c r="F803" s="144"/>
      <c r="G803" s="31"/>
      <c r="H803" s="31"/>
      <c r="I803" s="31"/>
      <c r="J803" s="31"/>
      <c r="K803" s="22"/>
      <c r="L803" s="46"/>
      <c r="M803" s="146"/>
      <c r="N803" s="147"/>
      <c r="O803" s="147"/>
      <c r="P803" s="147"/>
      <c r="Q803" s="147"/>
    </row>
    <row r="804" ht="15.75" customHeight="1">
      <c r="A804" s="31"/>
      <c r="B804" s="31"/>
      <c r="C804" s="31"/>
      <c r="D804" s="31"/>
      <c r="E804" s="31"/>
      <c r="F804" s="144"/>
      <c r="G804" s="31"/>
      <c r="H804" s="31"/>
      <c r="I804" s="31"/>
      <c r="J804" s="31"/>
      <c r="K804" s="22"/>
      <c r="L804" s="46"/>
      <c r="M804" s="146"/>
      <c r="N804" s="147"/>
      <c r="O804" s="147"/>
      <c r="P804" s="147"/>
      <c r="Q804" s="147"/>
    </row>
    <row r="805" ht="15.75" customHeight="1">
      <c r="A805" s="31"/>
      <c r="B805" s="31"/>
      <c r="C805" s="31"/>
      <c r="D805" s="31"/>
      <c r="E805" s="31"/>
      <c r="F805" s="144"/>
      <c r="G805" s="31"/>
      <c r="H805" s="31"/>
      <c r="I805" s="31"/>
      <c r="J805" s="31"/>
      <c r="K805" s="22"/>
      <c r="L805" s="46"/>
      <c r="M805" s="146"/>
      <c r="N805" s="147"/>
      <c r="O805" s="147"/>
      <c r="P805" s="147"/>
      <c r="Q805" s="147"/>
    </row>
    <row r="806" ht="15.75" customHeight="1">
      <c r="A806" s="31"/>
      <c r="B806" s="31"/>
      <c r="C806" s="31"/>
      <c r="D806" s="31"/>
      <c r="E806" s="31"/>
      <c r="F806" s="144"/>
      <c r="G806" s="31"/>
      <c r="H806" s="31"/>
      <c r="I806" s="31"/>
      <c r="J806" s="31"/>
      <c r="K806" s="22"/>
      <c r="L806" s="46"/>
      <c r="M806" s="146"/>
      <c r="N806" s="147"/>
      <c r="O806" s="147"/>
      <c r="P806" s="147"/>
      <c r="Q806" s="147"/>
    </row>
    <row r="807" ht="15.75" customHeight="1">
      <c r="A807" s="31"/>
      <c r="B807" s="31"/>
      <c r="C807" s="31"/>
      <c r="D807" s="31"/>
      <c r="E807" s="31"/>
      <c r="F807" s="144"/>
      <c r="G807" s="31"/>
      <c r="H807" s="31"/>
      <c r="I807" s="31"/>
      <c r="J807" s="31"/>
      <c r="K807" s="22"/>
      <c r="L807" s="46"/>
      <c r="M807" s="146"/>
      <c r="N807" s="147"/>
      <c r="O807" s="147"/>
      <c r="P807" s="147"/>
      <c r="Q807" s="147"/>
    </row>
    <row r="808" ht="15.75" customHeight="1">
      <c r="A808" s="31"/>
      <c r="B808" s="31"/>
      <c r="C808" s="31"/>
      <c r="D808" s="31"/>
      <c r="E808" s="31"/>
      <c r="F808" s="144"/>
      <c r="G808" s="31"/>
      <c r="H808" s="31"/>
      <c r="I808" s="31"/>
      <c r="J808" s="31"/>
      <c r="K808" s="22"/>
      <c r="L808" s="46"/>
      <c r="M808" s="146"/>
      <c r="N808" s="147"/>
      <c r="O808" s="147"/>
      <c r="P808" s="147"/>
      <c r="Q808" s="147"/>
    </row>
    <row r="809" ht="15.75" customHeight="1">
      <c r="A809" s="31"/>
      <c r="B809" s="31"/>
      <c r="C809" s="31"/>
      <c r="D809" s="31"/>
      <c r="E809" s="31"/>
      <c r="F809" s="144"/>
      <c r="G809" s="31"/>
      <c r="H809" s="31"/>
      <c r="I809" s="31"/>
      <c r="J809" s="31"/>
      <c r="K809" s="22"/>
      <c r="L809" s="46"/>
      <c r="M809" s="146"/>
      <c r="N809" s="147"/>
      <c r="O809" s="147"/>
      <c r="P809" s="147"/>
      <c r="Q809" s="147"/>
    </row>
    <row r="810" ht="15.75" customHeight="1">
      <c r="A810" s="31"/>
      <c r="B810" s="31"/>
      <c r="C810" s="31"/>
      <c r="D810" s="31"/>
      <c r="E810" s="31"/>
      <c r="F810" s="144"/>
      <c r="G810" s="31"/>
      <c r="H810" s="31"/>
      <c r="I810" s="31"/>
      <c r="J810" s="31"/>
      <c r="K810" s="22"/>
      <c r="L810" s="46"/>
      <c r="M810" s="146"/>
      <c r="N810" s="147"/>
      <c r="O810" s="147"/>
      <c r="P810" s="147"/>
      <c r="Q810" s="147"/>
    </row>
    <row r="811" ht="15.75" customHeight="1">
      <c r="A811" s="31"/>
      <c r="B811" s="31"/>
      <c r="C811" s="31"/>
      <c r="D811" s="31"/>
      <c r="E811" s="31"/>
      <c r="F811" s="144"/>
      <c r="G811" s="31"/>
      <c r="H811" s="31"/>
      <c r="I811" s="31"/>
      <c r="J811" s="31"/>
      <c r="K811" s="22"/>
      <c r="L811" s="46"/>
      <c r="M811" s="146"/>
      <c r="N811" s="147"/>
      <c r="O811" s="147"/>
      <c r="P811" s="147"/>
      <c r="Q811" s="147"/>
    </row>
    <row r="812" ht="15.75" customHeight="1">
      <c r="A812" s="31"/>
      <c r="B812" s="31"/>
      <c r="C812" s="31"/>
      <c r="D812" s="31"/>
      <c r="E812" s="31"/>
      <c r="F812" s="144"/>
      <c r="G812" s="31"/>
      <c r="H812" s="31"/>
      <c r="I812" s="31"/>
      <c r="J812" s="31"/>
      <c r="K812" s="22"/>
      <c r="L812" s="46"/>
      <c r="M812" s="146"/>
      <c r="N812" s="147"/>
      <c r="O812" s="147"/>
      <c r="P812" s="147"/>
      <c r="Q812" s="147"/>
    </row>
    <row r="813" ht="15.75" customHeight="1">
      <c r="A813" s="31"/>
      <c r="B813" s="31"/>
      <c r="C813" s="31"/>
      <c r="D813" s="31"/>
      <c r="E813" s="31"/>
      <c r="F813" s="144"/>
      <c r="G813" s="31"/>
      <c r="H813" s="31"/>
      <c r="I813" s="31"/>
      <c r="J813" s="31"/>
      <c r="K813" s="22"/>
      <c r="L813" s="46"/>
      <c r="M813" s="146"/>
      <c r="N813" s="147"/>
      <c r="O813" s="147"/>
      <c r="P813" s="147"/>
      <c r="Q813" s="147"/>
    </row>
    <row r="814" ht="15.75" customHeight="1">
      <c r="A814" s="31"/>
      <c r="B814" s="31"/>
      <c r="C814" s="31"/>
      <c r="D814" s="31"/>
      <c r="E814" s="31"/>
      <c r="F814" s="144"/>
      <c r="G814" s="31"/>
      <c r="H814" s="31"/>
      <c r="I814" s="31"/>
      <c r="J814" s="31"/>
      <c r="K814" s="22"/>
      <c r="L814" s="46"/>
      <c r="M814" s="146"/>
      <c r="N814" s="147"/>
      <c r="O814" s="147"/>
      <c r="P814" s="147"/>
      <c r="Q814" s="147"/>
    </row>
    <row r="815" ht="15.75" customHeight="1">
      <c r="A815" s="31"/>
      <c r="B815" s="31"/>
      <c r="C815" s="31"/>
      <c r="D815" s="31"/>
      <c r="E815" s="31"/>
      <c r="F815" s="144"/>
      <c r="G815" s="31"/>
      <c r="H815" s="31"/>
      <c r="I815" s="31"/>
      <c r="J815" s="31"/>
      <c r="K815" s="22"/>
      <c r="L815" s="46"/>
      <c r="M815" s="146"/>
      <c r="N815" s="147"/>
      <c r="O815" s="147"/>
      <c r="P815" s="147"/>
      <c r="Q815" s="147"/>
    </row>
    <row r="816" ht="15.75" customHeight="1">
      <c r="A816" s="31"/>
      <c r="B816" s="31"/>
      <c r="C816" s="31"/>
      <c r="D816" s="31"/>
      <c r="E816" s="31"/>
      <c r="F816" s="144"/>
      <c r="G816" s="31"/>
      <c r="H816" s="31"/>
      <c r="I816" s="31"/>
      <c r="J816" s="31"/>
      <c r="K816" s="22"/>
      <c r="L816" s="46"/>
      <c r="M816" s="146"/>
      <c r="N816" s="147"/>
      <c r="O816" s="147"/>
      <c r="P816" s="147"/>
      <c r="Q816" s="147"/>
    </row>
    <row r="817" ht="15.75" customHeight="1">
      <c r="A817" s="31"/>
      <c r="B817" s="31"/>
      <c r="C817" s="31"/>
      <c r="D817" s="31"/>
      <c r="E817" s="31"/>
      <c r="F817" s="144"/>
      <c r="G817" s="31"/>
      <c r="H817" s="31"/>
      <c r="I817" s="31"/>
      <c r="J817" s="31"/>
      <c r="K817" s="22"/>
      <c r="L817" s="46"/>
      <c r="M817" s="146"/>
      <c r="N817" s="147"/>
      <c r="O817" s="147"/>
      <c r="P817" s="147"/>
      <c r="Q817" s="147"/>
    </row>
    <row r="818" ht="15.75" customHeight="1">
      <c r="A818" s="31"/>
      <c r="B818" s="31"/>
      <c r="C818" s="31"/>
      <c r="D818" s="31"/>
      <c r="E818" s="31"/>
      <c r="F818" s="144"/>
      <c r="G818" s="31"/>
      <c r="H818" s="31"/>
      <c r="I818" s="31"/>
      <c r="J818" s="31"/>
      <c r="K818" s="22"/>
      <c r="L818" s="46"/>
      <c r="M818" s="146"/>
      <c r="N818" s="147"/>
      <c r="O818" s="147"/>
      <c r="P818" s="147"/>
      <c r="Q818" s="147"/>
    </row>
    <row r="819" ht="15.75" customHeight="1">
      <c r="A819" s="31"/>
      <c r="B819" s="31"/>
      <c r="C819" s="31"/>
      <c r="D819" s="31"/>
      <c r="E819" s="31"/>
      <c r="F819" s="144"/>
      <c r="G819" s="31"/>
      <c r="H819" s="31"/>
      <c r="I819" s="31"/>
      <c r="J819" s="31"/>
      <c r="K819" s="22"/>
      <c r="L819" s="46"/>
      <c r="M819" s="146"/>
      <c r="N819" s="147"/>
      <c r="O819" s="147"/>
      <c r="P819" s="147"/>
      <c r="Q819" s="147"/>
    </row>
    <row r="820" ht="15.75" customHeight="1">
      <c r="A820" s="31"/>
      <c r="B820" s="31"/>
      <c r="C820" s="31"/>
      <c r="D820" s="31"/>
      <c r="E820" s="31"/>
      <c r="F820" s="144"/>
      <c r="G820" s="31"/>
      <c r="H820" s="31"/>
      <c r="I820" s="31"/>
      <c r="J820" s="31"/>
      <c r="K820" s="22"/>
      <c r="L820" s="46"/>
      <c r="M820" s="146"/>
      <c r="N820" s="147"/>
      <c r="O820" s="147"/>
      <c r="P820" s="147"/>
      <c r="Q820" s="147"/>
    </row>
    <row r="821" ht="15.75" customHeight="1">
      <c r="A821" s="31"/>
      <c r="B821" s="31"/>
      <c r="C821" s="31"/>
      <c r="D821" s="31"/>
      <c r="E821" s="31"/>
      <c r="F821" s="144"/>
      <c r="G821" s="31"/>
      <c r="H821" s="31"/>
      <c r="I821" s="31"/>
      <c r="J821" s="31"/>
      <c r="K821" s="22"/>
      <c r="L821" s="46"/>
      <c r="M821" s="146"/>
      <c r="N821" s="147"/>
      <c r="O821" s="147"/>
      <c r="P821" s="147"/>
      <c r="Q821" s="147"/>
    </row>
    <row r="822" ht="15.75" customHeight="1">
      <c r="A822" s="31"/>
      <c r="B822" s="31"/>
      <c r="C822" s="31"/>
      <c r="D822" s="31"/>
      <c r="E822" s="31"/>
      <c r="F822" s="144"/>
      <c r="G822" s="31"/>
      <c r="H822" s="31"/>
      <c r="I822" s="31"/>
      <c r="J822" s="31"/>
      <c r="K822" s="22"/>
      <c r="L822" s="46"/>
      <c r="M822" s="146"/>
      <c r="N822" s="147"/>
      <c r="O822" s="147"/>
      <c r="P822" s="147"/>
      <c r="Q822" s="147"/>
    </row>
    <row r="823" ht="15.75" customHeight="1">
      <c r="A823" s="31"/>
      <c r="B823" s="31"/>
      <c r="C823" s="31"/>
      <c r="D823" s="31"/>
      <c r="E823" s="31"/>
      <c r="F823" s="144"/>
      <c r="G823" s="31"/>
      <c r="H823" s="31"/>
      <c r="I823" s="31"/>
      <c r="J823" s="31"/>
      <c r="K823" s="22"/>
      <c r="L823" s="46"/>
      <c r="M823" s="146"/>
      <c r="N823" s="147"/>
      <c r="O823" s="147"/>
      <c r="P823" s="147"/>
      <c r="Q823" s="147"/>
    </row>
    <row r="824" ht="15.75" customHeight="1">
      <c r="A824" s="31"/>
      <c r="B824" s="31"/>
      <c r="C824" s="31"/>
      <c r="D824" s="31"/>
      <c r="E824" s="31"/>
      <c r="F824" s="144"/>
      <c r="G824" s="31"/>
      <c r="H824" s="31"/>
      <c r="I824" s="31"/>
      <c r="J824" s="31"/>
      <c r="K824" s="22"/>
      <c r="L824" s="46"/>
      <c r="M824" s="146"/>
      <c r="N824" s="147"/>
      <c r="O824" s="147"/>
      <c r="P824" s="147"/>
      <c r="Q824" s="147"/>
    </row>
    <row r="825" ht="15.75" customHeight="1">
      <c r="A825" s="31"/>
      <c r="B825" s="31"/>
      <c r="C825" s="31"/>
      <c r="D825" s="31"/>
      <c r="E825" s="31"/>
      <c r="F825" s="144"/>
      <c r="G825" s="31"/>
      <c r="H825" s="31"/>
      <c r="I825" s="31"/>
      <c r="J825" s="31"/>
      <c r="K825" s="22"/>
      <c r="L825" s="46"/>
      <c r="M825" s="146"/>
      <c r="N825" s="147"/>
      <c r="O825" s="147"/>
      <c r="P825" s="147"/>
      <c r="Q825" s="147"/>
    </row>
    <row r="826" ht="15.75" customHeight="1">
      <c r="A826" s="31"/>
      <c r="B826" s="31"/>
      <c r="C826" s="31"/>
      <c r="D826" s="31"/>
      <c r="E826" s="31"/>
      <c r="F826" s="144"/>
      <c r="G826" s="31"/>
      <c r="H826" s="31"/>
      <c r="I826" s="31"/>
      <c r="J826" s="31"/>
      <c r="K826" s="22"/>
      <c r="L826" s="46"/>
      <c r="M826" s="146"/>
      <c r="N826" s="147"/>
      <c r="O826" s="147"/>
      <c r="P826" s="147"/>
      <c r="Q826" s="147"/>
    </row>
    <row r="827" ht="15.75" customHeight="1">
      <c r="A827" s="31"/>
      <c r="B827" s="31"/>
      <c r="C827" s="31"/>
      <c r="D827" s="31"/>
      <c r="E827" s="31"/>
      <c r="F827" s="144"/>
      <c r="G827" s="31"/>
      <c r="H827" s="31"/>
      <c r="I827" s="31"/>
      <c r="J827" s="31"/>
      <c r="K827" s="22"/>
      <c r="L827" s="46"/>
      <c r="M827" s="146"/>
      <c r="N827" s="147"/>
      <c r="O827" s="147"/>
      <c r="P827" s="147"/>
      <c r="Q827" s="147"/>
    </row>
    <row r="828" ht="15.75" customHeight="1">
      <c r="A828" s="31"/>
      <c r="B828" s="31"/>
      <c r="C828" s="31"/>
      <c r="D828" s="31"/>
      <c r="E828" s="31"/>
      <c r="F828" s="144"/>
      <c r="G828" s="31"/>
      <c r="H828" s="31"/>
      <c r="I828" s="31"/>
      <c r="J828" s="31"/>
      <c r="K828" s="22"/>
      <c r="L828" s="46"/>
      <c r="M828" s="146"/>
      <c r="N828" s="147"/>
      <c r="O828" s="147"/>
      <c r="P828" s="147"/>
      <c r="Q828" s="147"/>
    </row>
    <row r="829" ht="15.75" customHeight="1">
      <c r="A829" s="31"/>
      <c r="B829" s="31"/>
      <c r="C829" s="31"/>
      <c r="D829" s="31"/>
      <c r="E829" s="31"/>
      <c r="F829" s="144"/>
      <c r="G829" s="31"/>
      <c r="H829" s="31"/>
      <c r="I829" s="31"/>
      <c r="J829" s="31"/>
      <c r="K829" s="22"/>
      <c r="L829" s="46"/>
      <c r="M829" s="146"/>
      <c r="N829" s="147"/>
      <c r="O829" s="147"/>
      <c r="P829" s="147"/>
      <c r="Q829" s="147"/>
    </row>
    <row r="830" ht="15.75" customHeight="1">
      <c r="A830" s="31"/>
      <c r="B830" s="31"/>
      <c r="C830" s="31"/>
      <c r="D830" s="31"/>
      <c r="E830" s="31"/>
      <c r="F830" s="144"/>
      <c r="G830" s="31"/>
      <c r="H830" s="31"/>
      <c r="I830" s="31"/>
      <c r="J830" s="31"/>
      <c r="K830" s="22"/>
      <c r="L830" s="46"/>
      <c r="M830" s="146"/>
      <c r="N830" s="147"/>
      <c r="O830" s="147"/>
      <c r="P830" s="147"/>
      <c r="Q830" s="147"/>
    </row>
    <row r="831" ht="15.75" customHeight="1">
      <c r="A831" s="31"/>
      <c r="B831" s="31"/>
      <c r="C831" s="31"/>
      <c r="D831" s="31"/>
      <c r="E831" s="31"/>
      <c r="F831" s="144"/>
      <c r="G831" s="31"/>
      <c r="H831" s="31"/>
      <c r="I831" s="31"/>
      <c r="J831" s="31"/>
      <c r="K831" s="22"/>
      <c r="L831" s="46"/>
      <c r="M831" s="146"/>
      <c r="N831" s="147"/>
      <c r="O831" s="147"/>
      <c r="P831" s="147"/>
      <c r="Q831" s="147"/>
    </row>
    <row r="832" ht="15.75" customHeight="1">
      <c r="A832" s="31"/>
      <c r="B832" s="31"/>
      <c r="C832" s="31"/>
      <c r="D832" s="31"/>
      <c r="E832" s="31"/>
      <c r="F832" s="144"/>
      <c r="G832" s="31"/>
      <c r="H832" s="31"/>
      <c r="I832" s="31"/>
      <c r="J832" s="31"/>
      <c r="K832" s="22"/>
      <c r="L832" s="46"/>
      <c r="M832" s="146"/>
      <c r="N832" s="147"/>
      <c r="O832" s="147"/>
      <c r="P832" s="147"/>
      <c r="Q832" s="147"/>
    </row>
    <row r="833" ht="15.75" customHeight="1">
      <c r="A833" s="31"/>
      <c r="B833" s="31"/>
      <c r="C833" s="31"/>
      <c r="D833" s="31"/>
      <c r="E833" s="31"/>
      <c r="F833" s="144"/>
      <c r="G833" s="31"/>
      <c r="H833" s="31"/>
      <c r="I833" s="31"/>
      <c r="J833" s="31"/>
      <c r="K833" s="22"/>
      <c r="L833" s="46"/>
      <c r="M833" s="146"/>
      <c r="N833" s="147"/>
      <c r="O833" s="147"/>
      <c r="P833" s="147"/>
      <c r="Q833" s="147"/>
    </row>
    <row r="834" ht="15.75" customHeight="1">
      <c r="A834" s="31"/>
      <c r="B834" s="31"/>
      <c r="C834" s="31"/>
      <c r="D834" s="31"/>
      <c r="E834" s="31"/>
      <c r="F834" s="144"/>
      <c r="G834" s="31"/>
      <c r="H834" s="31"/>
      <c r="I834" s="31"/>
      <c r="J834" s="31"/>
      <c r="K834" s="22"/>
      <c r="L834" s="46"/>
      <c r="M834" s="146"/>
      <c r="N834" s="147"/>
      <c r="O834" s="147"/>
      <c r="P834" s="147"/>
      <c r="Q834" s="147"/>
    </row>
    <row r="835" ht="15.75" customHeight="1">
      <c r="A835" s="31"/>
      <c r="B835" s="31"/>
      <c r="C835" s="31"/>
      <c r="D835" s="31"/>
      <c r="E835" s="31"/>
      <c r="F835" s="144"/>
      <c r="G835" s="31"/>
      <c r="H835" s="31"/>
      <c r="I835" s="31"/>
      <c r="J835" s="31"/>
      <c r="K835" s="22"/>
      <c r="L835" s="46"/>
      <c r="M835" s="146"/>
      <c r="N835" s="147"/>
      <c r="O835" s="147"/>
      <c r="P835" s="147"/>
      <c r="Q835" s="147"/>
    </row>
    <row r="836" ht="15.75" customHeight="1">
      <c r="A836" s="31"/>
      <c r="B836" s="31"/>
      <c r="C836" s="31"/>
      <c r="D836" s="31"/>
      <c r="E836" s="31"/>
      <c r="F836" s="144"/>
      <c r="G836" s="31"/>
      <c r="H836" s="31"/>
      <c r="I836" s="31"/>
      <c r="J836" s="31"/>
      <c r="K836" s="22"/>
      <c r="L836" s="46"/>
      <c r="M836" s="146"/>
      <c r="N836" s="147"/>
      <c r="O836" s="147"/>
      <c r="P836" s="147"/>
      <c r="Q836" s="147"/>
    </row>
    <row r="837" ht="15.75" customHeight="1">
      <c r="A837" s="31"/>
      <c r="B837" s="31"/>
      <c r="C837" s="31"/>
      <c r="D837" s="31"/>
      <c r="E837" s="31"/>
      <c r="F837" s="144"/>
      <c r="G837" s="31"/>
      <c r="H837" s="31"/>
      <c r="I837" s="31"/>
      <c r="J837" s="31"/>
      <c r="K837" s="22"/>
      <c r="L837" s="46"/>
      <c r="M837" s="146"/>
      <c r="N837" s="147"/>
      <c r="O837" s="147"/>
      <c r="P837" s="147"/>
      <c r="Q837" s="147"/>
    </row>
    <row r="838" ht="15.75" customHeight="1">
      <c r="A838" s="31"/>
      <c r="B838" s="31"/>
      <c r="C838" s="31"/>
      <c r="D838" s="31"/>
      <c r="E838" s="31"/>
      <c r="F838" s="144"/>
      <c r="G838" s="31"/>
      <c r="H838" s="31"/>
      <c r="I838" s="31"/>
      <c r="J838" s="31"/>
      <c r="K838" s="22"/>
      <c r="L838" s="46"/>
      <c r="M838" s="146"/>
      <c r="N838" s="147"/>
      <c r="O838" s="147"/>
      <c r="P838" s="147"/>
      <c r="Q838" s="147"/>
    </row>
    <row r="839" ht="15.75" customHeight="1">
      <c r="A839" s="31"/>
      <c r="B839" s="31"/>
      <c r="C839" s="31"/>
      <c r="D839" s="31"/>
      <c r="E839" s="31"/>
      <c r="F839" s="144"/>
      <c r="G839" s="31"/>
      <c r="H839" s="31"/>
      <c r="I839" s="31"/>
      <c r="J839" s="31"/>
      <c r="K839" s="22"/>
      <c r="L839" s="46"/>
      <c r="M839" s="146"/>
      <c r="N839" s="147"/>
      <c r="O839" s="147"/>
      <c r="P839" s="147"/>
      <c r="Q839" s="147"/>
    </row>
    <row r="840" ht="15.75" customHeight="1">
      <c r="A840" s="31"/>
      <c r="B840" s="31"/>
      <c r="C840" s="31"/>
      <c r="D840" s="31"/>
      <c r="E840" s="31"/>
      <c r="F840" s="144"/>
      <c r="G840" s="31"/>
      <c r="H840" s="31"/>
      <c r="I840" s="31"/>
      <c r="J840" s="31"/>
      <c r="K840" s="22"/>
      <c r="L840" s="46"/>
      <c r="M840" s="146"/>
      <c r="N840" s="147"/>
      <c r="O840" s="147"/>
      <c r="P840" s="147"/>
      <c r="Q840" s="147"/>
    </row>
    <row r="841" ht="15.75" customHeight="1">
      <c r="A841" s="31"/>
      <c r="B841" s="31"/>
      <c r="C841" s="31"/>
      <c r="D841" s="31"/>
      <c r="E841" s="31"/>
      <c r="F841" s="144"/>
      <c r="G841" s="31"/>
      <c r="H841" s="31"/>
      <c r="I841" s="31"/>
      <c r="J841" s="31"/>
      <c r="K841" s="22"/>
      <c r="L841" s="46"/>
      <c r="M841" s="146"/>
      <c r="N841" s="147"/>
      <c r="O841" s="147"/>
      <c r="P841" s="147"/>
      <c r="Q841" s="147"/>
    </row>
    <row r="842" ht="15.75" customHeight="1">
      <c r="A842" s="31"/>
      <c r="B842" s="31"/>
      <c r="C842" s="31"/>
      <c r="D842" s="31"/>
      <c r="E842" s="31"/>
      <c r="F842" s="144"/>
      <c r="G842" s="31"/>
      <c r="H842" s="31"/>
      <c r="I842" s="31"/>
      <c r="J842" s="31"/>
      <c r="K842" s="22"/>
      <c r="L842" s="46"/>
      <c r="M842" s="146"/>
      <c r="N842" s="147"/>
      <c r="O842" s="147"/>
      <c r="P842" s="147"/>
      <c r="Q842" s="147"/>
    </row>
    <row r="843" ht="15.75" customHeight="1">
      <c r="A843" s="31"/>
      <c r="B843" s="31"/>
      <c r="C843" s="31"/>
      <c r="D843" s="31"/>
      <c r="E843" s="31"/>
      <c r="F843" s="144"/>
      <c r="G843" s="31"/>
      <c r="H843" s="31"/>
      <c r="I843" s="31"/>
      <c r="J843" s="31"/>
      <c r="K843" s="22"/>
      <c r="L843" s="46"/>
      <c r="M843" s="146"/>
      <c r="N843" s="147"/>
      <c r="O843" s="147"/>
      <c r="P843" s="147"/>
      <c r="Q843" s="147"/>
    </row>
    <row r="844" ht="15.75" customHeight="1">
      <c r="A844" s="31"/>
      <c r="B844" s="31"/>
      <c r="C844" s="31"/>
      <c r="D844" s="31"/>
      <c r="E844" s="31"/>
      <c r="F844" s="144"/>
      <c r="G844" s="31"/>
      <c r="H844" s="31"/>
      <c r="I844" s="31"/>
      <c r="J844" s="31"/>
      <c r="K844" s="22"/>
      <c r="L844" s="46"/>
      <c r="M844" s="146"/>
      <c r="N844" s="147"/>
      <c r="O844" s="147"/>
      <c r="P844" s="147"/>
      <c r="Q844" s="147"/>
    </row>
    <row r="845" ht="15.75" customHeight="1">
      <c r="A845" s="31"/>
      <c r="B845" s="31"/>
      <c r="C845" s="31"/>
      <c r="D845" s="31"/>
      <c r="E845" s="31"/>
      <c r="F845" s="144"/>
      <c r="G845" s="31"/>
      <c r="H845" s="31"/>
      <c r="I845" s="31"/>
      <c r="J845" s="31"/>
      <c r="K845" s="22"/>
      <c r="L845" s="46"/>
      <c r="M845" s="146"/>
      <c r="N845" s="147"/>
      <c r="O845" s="147"/>
      <c r="P845" s="147"/>
      <c r="Q845" s="147"/>
    </row>
    <row r="846" ht="15.75" customHeight="1">
      <c r="A846" s="31"/>
      <c r="B846" s="31"/>
      <c r="C846" s="31"/>
      <c r="D846" s="31"/>
      <c r="E846" s="31"/>
      <c r="F846" s="144"/>
      <c r="G846" s="31"/>
      <c r="H846" s="31"/>
      <c r="I846" s="31"/>
      <c r="J846" s="31"/>
      <c r="K846" s="22"/>
      <c r="L846" s="46"/>
      <c r="M846" s="146"/>
      <c r="N846" s="147"/>
      <c r="O846" s="147"/>
      <c r="P846" s="147"/>
      <c r="Q846" s="147"/>
    </row>
    <row r="847" ht="15.75" customHeight="1">
      <c r="A847" s="31"/>
      <c r="B847" s="31"/>
      <c r="C847" s="31"/>
      <c r="D847" s="31"/>
      <c r="E847" s="31"/>
      <c r="F847" s="144"/>
      <c r="G847" s="31"/>
      <c r="H847" s="31"/>
      <c r="I847" s="31"/>
      <c r="J847" s="31"/>
      <c r="K847" s="22"/>
      <c r="L847" s="46"/>
      <c r="M847" s="146"/>
      <c r="N847" s="147"/>
      <c r="O847" s="147"/>
      <c r="P847" s="147"/>
      <c r="Q847" s="147"/>
    </row>
    <row r="848" ht="15.75" customHeight="1">
      <c r="A848" s="31"/>
      <c r="B848" s="31"/>
      <c r="C848" s="31"/>
      <c r="D848" s="31"/>
      <c r="E848" s="31"/>
      <c r="F848" s="144"/>
      <c r="G848" s="31"/>
      <c r="H848" s="31"/>
      <c r="I848" s="31"/>
      <c r="J848" s="31"/>
      <c r="K848" s="22"/>
      <c r="L848" s="46"/>
      <c r="M848" s="146"/>
      <c r="N848" s="147"/>
      <c r="O848" s="147"/>
      <c r="P848" s="147"/>
      <c r="Q848" s="147"/>
    </row>
    <row r="849" ht="15.75" customHeight="1">
      <c r="A849" s="31"/>
      <c r="B849" s="31"/>
      <c r="C849" s="31"/>
      <c r="D849" s="31"/>
      <c r="E849" s="31"/>
      <c r="F849" s="144"/>
      <c r="G849" s="31"/>
      <c r="H849" s="31"/>
      <c r="I849" s="31"/>
      <c r="J849" s="31"/>
      <c r="K849" s="22"/>
      <c r="L849" s="46"/>
      <c r="M849" s="146"/>
      <c r="N849" s="147"/>
      <c r="O849" s="147"/>
      <c r="P849" s="147"/>
      <c r="Q849" s="147"/>
    </row>
    <row r="850" ht="15.75" customHeight="1">
      <c r="A850" s="31"/>
      <c r="B850" s="31"/>
      <c r="C850" s="31"/>
      <c r="D850" s="31"/>
      <c r="E850" s="31"/>
      <c r="F850" s="144"/>
      <c r="G850" s="31"/>
      <c r="H850" s="31"/>
      <c r="I850" s="31"/>
      <c r="J850" s="31"/>
      <c r="K850" s="22"/>
      <c r="L850" s="46"/>
      <c r="M850" s="146"/>
      <c r="N850" s="147"/>
      <c r="O850" s="147"/>
      <c r="P850" s="147"/>
      <c r="Q850" s="147"/>
    </row>
    <row r="851" ht="15.75" customHeight="1">
      <c r="A851" s="31"/>
      <c r="B851" s="31"/>
      <c r="C851" s="31"/>
      <c r="D851" s="31"/>
      <c r="E851" s="31"/>
      <c r="F851" s="144"/>
      <c r="G851" s="31"/>
      <c r="H851" s="31"/>
      <c r="I851" s="31"/>
      <c r="J851" s="31"/>
      <c r="K851" s="22"/>
      <c r="L851" s="46"/>
      <c r="M851" s="146"/>
      <c r="N851" s="147"/>
      <c r="O851" s="147"/>
      <c r="P851" s="147"/>
      <c r="Q851" s="147"/>
    </row>
    <row r="852" ht="15.75" customHeight="1">
      <c r="A852" s="31"/>
      <c r="B852" s="31"/>
      <c r="C852" s="31"/>
      <c r="D852" s="31"/>
      <c r="E852" s="31"/>
      <c r="F852" s="144"/>
      <c r="G852" s="31"/>
      <c r="H852" s="31"/>
      <c r="I852" s="31"/>
      <c r="J852" s="31"/>
      <c r="K852" s="22"/>
      <c r="L852" s="46"/>
      <c r="M852" s="146"/>
      <c r="N852" s="147"/>
      <c r="O852" s="147"/>
      <c r="P852" s="147"/>
      <c r="Q852" s="147"/>
    </row>
    <row r="853" ht="15.75" customHeight="1">
      <c r="A853" s="31"/>
      <c r="B853" s="31"/>
      <c r="C853" s="31"/>
      <c r="D853" s="31"/>
      <c r="E853" s="31"/>
      <c r="F853" s="144"/>
      <c r="G853" s="31"/>
      <c r="H853" s="31"/>
      <c r="I853" s="31"/>
      <c r="J853" s="31"/>
      <c r="K853" s="22"/>
      <c r="L853" s="46"/>
      <c r="M853" s="146"/>
      <c r="N853" s="147"/>
      <c r="O853" s="147"/>
      <c r="P853" s="147"/>
      <c r="Q853" s="147"/>
    </row>
    <row r="854" ht="15.75" customHeight="1">
      <c r="A854" s="31"/>
      <c r="B854" s="31"/>
      <c r="C854" s="31"/>
      <c r="D854" s="31"/>
      <c r="E854" s="31"/>
      <c r="F854" s="144"/>
      <c r="G854" s="31"/>
      <c r="H854" s="31"/>
      <c r="I854" s="31"/>
      <c r="J854" s="31"/>
      <c r="K854" s="22"/>
      <c r="L854" s="46"/>
      <c r="M854" s="146"/>
      <c r="N854" s="147"/>
      <c r="O854" s="147"/>
      <c r="P854" s="147"/>
      <c r="Q854" s="147"/>
    </row>
    <row r="855" ht="15.75" customHeight="1">
      <c r="A855" s="31"/>
      <c r="B855" s="31"/>
      <c r="C855" s="31"/>
      <c r="D855" s="31"/>
      <c r="E855" s="31"/>
      <c r="F855" s="144"/>
      <c r="G855" s="31"/>
      <c r="H855" s="31"/>
      <c r="I855" s="31"/>
      <c r="J855" s="31"/>
      <c r="K855" s="22"/>
      <c r="L855" s="46"/>
      <c r="M855" s="146"/>
      <c r="N855" s="147"/>
      <c r="O855" s="147"/>
      <c r="P855" s="147"/>
      <c r="Q855" s="147"/>
    </row>
    <row r="856" ht="15.75" customHeight="1">
      <c r="A856" s="31"/>
      <c r="B856" s="31"/>
      <c r="C856" s="31"/>
      <c r="D856" s="31"/>
      <c r="E856" s="31"/>
      <c r="F856" s="144"/>
      <c r="G856" s="31"/>
      <c r="H856" s="31"/>
      <c r="I856" s="31"/>
      <c r="J856" s="31"/>
      <c r="K856" s="22"/>
      <c r="L856" s="46"/>
      <c r="M856" s="146"/>
      <c r="N856" s="147"/>
      <c r="O856" s="147"/>
      <c r="P856" s="147"/>
      <c r="Q856" s="147"/>
    </row>
    <row r="857" ht="15.75" customHeight="1">
      <c r="A857" s="31"/>
      <c r="B857" s="31"/>
      <c r="C857" s="31"/>
      <c r="D857" s="31"/>
      <c r="E857" s="31"/>
      <c r="F857" s="144"/>
      <c r="G857" s="31"/>
      <c r="H857" s="31"/>
      <c r="I857" s="31"/>
      <c r="J857" s="31"/>
      <c r="K857" s="22"/>
      <c r="L857" s="46"/>
      <c r="M857" s="146"/>
      <c r="N857" s="147"/>
      <c r="O857" s="147"/>
      <c r="P857" s="147"/>
      <c r="Q857" s="147"/>
    </row>
    <row r="858" ht="15.75" customHeight="1">
      <c r="A858" s="31"/>
      <c r="B858" s="31"/>
      <c r="C858" s="31"/>
      <c r="D858" s="31"/>
      <c r="E858" s="31"/>
      <c r="F858" s="144"/>
      <c r="G858" s="31"/>
      <c r="H858" s="31"/>
      <c r="I858" s="31"/>
      <c r="J858" s="31"/>
      <c r="K858" s="22"/>
      <c r="L858" s="46"/>
      <c r="M858" s="146"/>
      <c r="N858" s="147"/>
      <c r="O858" s="147"/>
      <c r="P858" s="147"/>
      <c r="Q858" s="147"/>
    </row>
    <row r="859" ht="15.75" customHeight="1">
      <c r="A859" s="31"/>
      <c r="B859" s="31"/>
      <c r="C859" s="31"/>
      <c r="D859" s="31"/>
      <c r="E859" s="31"/>
      <c r="F859" s="144"/>
      <c r="G859" s="31"/>
      <c r="H859" s="31"/>
      <c r="I859" s="31"/>
      <c r="J859" s="31"/>
      <c r="K859" s="22"/>
      <c r="L859" s="46"/>
      <c r="M859" s="146"/>
      <c r="N859" s="147"/>
      <c r="O859" s="147"/>
      <c r="P859" s="147"/>
      <c r="Q859" s="147"/>
    </row>
    <row r="860" ht="15.75" customHeight="1">
      <c r="A860" s="31"/>
      <c r="B860" s="31"/>
      <c r="C860" s="31"/>
      <c r="D860" s="31"/>
      <c r="E860" s="31"/>
      <c r="F860" s="144"/>
      <c r="G860" s="31"/>
      <c r="H860" s="31"/>
      <c r="I860" s="31"/>
      <c r="J860" s="31"/>
      <c r="K860" s="22"/>
      <c r="L860" s="46"/>
      <c r="M860" s="146"/>
      <c r="N860" s="147"/>
      <c r="O860" s="147"/>
      <c r="P860" s="147"/>
      <c r="Q860" s="147"/>
    </row>
    <row r="861" ht="15.75" customHeight="1">
      <c r="A861" s="31"/>
      <c r="B861" s="31"/>
      <c r="C861" s="31"/>
      <c r="D861" s="31"/>
      <c r="E861" s="31"/>
      <c r="F861" s="144"/>
      <c r="G861" s="31"/>
      <c r="H861" s="31"/>
      <c r="I861" s="31"/>
      <c r="J861" s="31"/>
      <c r="K861" s="22"/>
      <c r="L861" s="46"/>
      <c r="M861" s="146"/>
      <c r="N861" s="147"/>
      <c r="O861" s="147"/>
      <c r="P861" s="147"/>
      <c r="Q861" s="147"/>
    </row>
    <row r="862" ht="15.75" customHeight="1">
      <c r="A862" s="31"/>
      <c r="B862" s="31"/>
      <c r="C862" s="31"/>
      <c r="D862" s="31"/>
      <c r="E862" s="31"/>
      <c r="F862" s="144"/>
      <c r="G862" s="31"/>
      <c r="H862" s="31"/>
      <c r="I862" s="31"/>
      <c r="J862" s="31"/>
      <c r="K862" s="22"/>
      <c r="L862" s="46"/>
      <c r="M862" s="146"/>
      <c r="N862" s="147"/>
      <c r="O862" s="147"/>
      <c r="P862" s="147"/>
      <c r="Q862" s="147"/>
    </row>
    <row r="863" ht="15.75" customHeight="1">
      <c r="A863" s="31"/>
      <c r="B863" s="31"/>
      <c r="C863" s="31"/>
      <c r="D863" s="31"/>
      <c r="E863" s="31"/>
      <c r="F863" s="144"/>
      <c r="G863" s="31"/>
      <c r="H863" s="31"/>
      <c r="I863" s="31"/>
      <c r="J863" s="31"/>
      <c r="K863" s="22"/>
      <c r="L863" s="46"/>
      <c r="M863" s="146"/>
      <c r="N863" s="147"/>
      <c r="O863" s="147"/>
      <c r="P863" s="147"/>
      <c r="Q863" s="147"/>
    </row>
    <row r="864" ht="15.75" customHeight="1">
      <c r="A864" s="31"/>
      <c r="B864" s="31"/>
      <c r="C864" s="31"/>
      <c r="D864" s="31"/>
      <c r="E864" s="31"/>
      <c r="F864" s="144"/>
      <c r="G864" s="31"/>
      <c r="H864" s="31"/>
      <c r="I864" s="31"/>
      <c r="J864" s="31"/>
      <c r="K864" s="22"/>
      <c r="L864" s="46"/>
      <c r="M864" s="146"/>
      <c r="N864" s="147"/>
      <c r="O864" s="147"/>
      <c r="P864" s="147"/>
      <c r="Q864" s="147"/>
    </row>
    <row r="865" ht="15.75" customHeight="1">
      <c r="A865" s="31"/>
      <c r="B865" s="31"/>
      <c r="C865" s="31"/>
      <c r="D865" s="31"/>
      <c r="E865" s="31"/>
      <c r="F865" s="144"/>
      <c r="G865" s="31"/>
      <c r="H865" s="31"/>
      <c r="I865" s="31"/>
      <c r="J865" s="31"/>
      <c r="K865" s="22"/>
      <c r="L865" s="46"/>
      <c r="M865" s="146"/>
      <c r="N865" s="147"/>
      <c r="O865" s="147"/>
      <c r="P865" s="147"/>
      <c r="Q865" s="147"/>
    </row>
    <row r="866" ht="15.75" customHeight="1">
      <c r="A866" s="31"/>
      <c r="B866" s="31"/>
      <c r="C866" s="31"/>
      <c r="D866" s="31"/>
      <c r="E866" s="31"/>
      <c r="F866" s="144"/>
      <c r="G866" s="31"/>
      <c r="H866" s="31"/>
      <c r="I866" s="31"/>
      <c r="J866" s="31"/>
      <c r="K866" s="22"/>
      <c r="L866" s="46"/>
      <c r="M866" s="146"/>
      <c r="N866" s="147"/>
      <c r="O866" s="147"/>
      <c r="P866" s="147"/>
      <c r="Q866" s="147"/>
    </row>
    <row r="867" ht="15.75" customHeight="1">
      <c r="A867" s="31"/>
      <c r="B867" s="31"/>
      <c r="C867" s="31"/>
      <c r="D867" s="31"/>
      <c r="E867" s="31"/>
      <c r="F867" s="144"/>
      <c r="G867" s="31"/>
      <c r="H867" s="31"/>
      <c r="I867" s="31"/>
      <c r="J867" s="31"/>
      <c r="K867" s="22"/>
      <c r="L867" s="46"/>
      <c r="M867" s="146"/>
      <c r="N867" s="147"/>
      <c r="O867" s="147"/>
      <c r="P867" s="147"/>
      <c r="Q867" s="147"/>
    </row>
    <row r="868" ht="15.75" customHeight="1">
      <c r="A868" s="31"/>
      <c r="B868" s="31"/>
      <c r="C868" s="31"/>
      <c r="D868" s="31"/>
      <c r="E868" s="31"/>
      <c r="F868" s="144"/>
      <c r="G868" s="31"/>
      <c r="H868" s="31"/>
      <c r="I868" s="31"/>
      <c r="J868" s="31"/>
      <c r="K868" s="22"/>
      <c r="L868" s="46"/>
      <c r="M868" s="146"/>
      <c r="N868" s="147"/>
      <c r="O868" s="147"/>
      <c r="P868" s="147"/>
      <c r="Q868" s="147"/>
    </row>
    <row r="869" ht="15.75" customHeight="1">
      <c r="A869" s="31"/>
      <c r="B869" s="31"/>
      <c r="C869" s="31"/>
      <c r="D869" s="31"/>
      <c r="E869" s="31"/>
      <c r="F869" s="144"/>
      <c r="G869" s="31"/>
      <c r="H869" s="31"/>
      <c r="I869" s="31"/>
      <c r="J869" s="31"/>
      <c r="K869" s="22"/>
      <c r="L869" s="46"/>
      <c r="M869" s="146"/>
      <c r="N869" s="147"/>
      <c r="O869" s="147"/>
      <c r="P869" s="147"/>
      <c r="Q869" s="147"/>
    </row>
    <row r="870" ht="15.75" customHeight="1">
      <c r="A870" s="31"/>
      <c r="B870" s="31"/>
      <c r="C870" s="31"/>
      <c r="D870" s="31"/>
      <c r="E870" s="31"/>
      <c r="F870" s="144"/>
      <c r="G870" s="31"/>
      <c r="H870" s="31"/>
      <c r="I870" s="31"/>
      <c r="J870" s="31"/>
      <c r="K870" s="22"/>
      <c r="L870" s="46"/>
      <c r="M870" s="146"/>
      <c r="N870" s="147"/>
      <c r="O870" s="147"/>
      <c r="P870" s="147"/>
      <c r="Q870" s="147"/>
    </row>
    <row r="871" ht="15.75" customHeight="1">
      <c r="A871" s="31"/>
      <c r="B871" s="31"/>
      <c r="C871" s="31"/>
      <c r="D871" s="31"/>
      <c r="E871" s="31"/>
      <c r="F871" s="144"/>
      <c r="G871" s="31"/>
      <c r="H871" s="31"/>
      <c r="I871" s="31"/>
      <c r="J871" s="31"/>
      <c r="K871" s="22"/>
      <c r="L871" s="46"/>
      <c r="M871" s="146"/>
      <c r="N871" s="147"/>
      <c r="O871" s="147"/>
      <c r="P871" s="147"/>
      <c r="Q871" s="147"/>
    </row>
    <row r="872" ht="15.75" customHeight="1">
      <c r="A872" s="31"/>
      <c r="B872" s="31"/>
      <c r="C872" s="31"/>
      <c r="D872" s="31"/>
      <c r="E872" s="31"/>
      <c r="F872" s="144"/>
      <c r="G872" s="31"/>
      <c r="H872" s="31"/>
      <c r="I872" s="31"/>
      <c r="J872" s="31"/>
      <c r="K872" s="22"/>
      <c r="L872" s="46"/>
      <c r="M872" s="146"/>
      <c r="N872" s="147"/>
      <c r="O872" s="147"/>
      <c r="P872" s="147"/>
      <c r="Q872" s="147"/>
    </row>
    <row r="873" ht="15.75" customHeight="1">
      <c r="A873" s="31"/>
      <c r="B873" s="31"/>
      <c r="C873" s="31"/>
      <c r="D873" s="31"/>
      <c r="E873" s="31"/>
      <c r="F873" s="144"/>
      <c r="G873" s="31"/>
      <c r="H873" s="31"/>
      <c r="I873" s="31"/>
      <c r="J873" s="31"/>
      <c r="K873" s="22"/>
      <c r="L873" s="46"/>
      <c r="M873" s="146"/>
      <c r="N873" s="147"/>
      <c r="O873" s="147"/>
      <c r="P873" s="147"/>
      <c r="Q873" s="147"/>
    </row>
    <row r="874" ht="15.75" customHeight="1">
      <c r="A874" s="31"/>
      <c r="B874" s="31"/>
      <c r="C874" s="31"/>
      <c r="D874" s="31"/>
      <c r="E874" s="31"/>
      <c r="F874" s="144"/>
      <c r="G874" s="31"/>
      <c r="H874" s="31"/>
      <c r="I874" s="31"/>
      <c r="J874" s="31"/>
      <c r="K874" s="22"/>
      <c r="L874" s="46"/>
      <c r="M874" s="146"/>
      <c r="N874" s="147"/>
      <c r="O874" s="147"/>
      <c r="P874" s="147"/>
      <c r="Q874" s="147"/>
    </row>
    <row r="875" ht="15.75" customHeight="1">
      <c r="A875" s="31"/>
      <c r="B875" s="31"/>
      <c r="C875" s="31"/>
      <c r="D875" s="31"/>
      <c r="E875" s="31"/>
      <c r="F875" s="144"/>
      <c r="G875" s="31"/>
      <c r="H875" s="31"/>
      <c r="I875" s="31"/>
      <c r="J875" s="31"/>
      <c r="K875" s="22"/>
      <c r="L875" s="46"/>
      <c r="M875" s="146"/>
      <c r="N875" s="147"/>
      <c r="O875" s="147"/>
      <c r="P875" s="147"/>
      <c r="Q875" s="147"/>
    </row>
    <row r="876" ht="15.75" customHeight="1">
      <c r="A876" s="31"/>
      <c r="B876" s="31"/>
      <c r="C876" s="31"/>
      <c r="D876" s="31"/>
      <c r="E876" s="31"/>
      <c r="F876" s="144"/>
      <c r="G876" s="31"/>
      <c r="H876" s="31"/>
      <c r="I876" s="31"/>
      <c r="J876" s="31"/>
      <c r="K876" s="22"/>
      <c r="L876" s="46"/>
      <c r="M876" s="146"/>
      <c r="N876" s="147"/>
      <c r="O876" s="147"/>
      <c r="P876" s="147"/>
      <c r="Q876" s="147"/>
    </row>
    <row r="877" ht="15.75" customHeight="1">
      <c r="A877" s="31"/>
      <c r="B877" s="31"/>
      <c r="C877" s="31"/>
      <c r="D877" s="31"/>
      <c r="E877" s="31"/>
      <c r="F877" s="144"/>
      <c r="G877" s="31"/>
      <c r="H877" s="31"/>
      <c r="I877" s="31"/>
      <c r="J877" s="31"/>
      <c r="K877" s="22"/>
      <c r="L877" s="46"/>
      <c r="M877" s="146"/>
      <c r="N877" s="147"/>
      <c r="O877" s="147"/>
      <c r="P877" s="147"/>
      <c r="Q877" s="147"/>
    </row>
    <row r="878" ht="15.75" customHeight="1">
      <c r="A878" s="31"/>
      <c r="B878" s="31"/>
      <c r="C878" s="31"/>
      <c r="D878" s="31"/>
      <c r="E878" s="31"/>
      <c r="F878" s="144"/>
      <c r="G878" s="31"/>
      <c r="H878" s="31"/>
      <c r="I878" s="31"/>
      <c r="J878" s="31"/>
      <c r="K878" s="22"/>
      <c r="L878" s="46"/>
      <c r="M878" s="146"/>
      <c r="N878" s="147"/>
      <c r="O878" s="147"/>
      <c r="P878" s="147"/>
      <c r="Q878" s="147"/>
    </row>
    <row r="879" ht="15.75" customHeight="1">
      <c r="A879" s="31"/>
      <c r="B879" s="31"/>
      <c r="C879" s="31"/>
      <c r="D879" s="31"/>
      <c r="E879" s="31"/>
      <c r="F879" s="144"/>
      <c r="G879" s="31"/>
      <c r="H879" s="31"/>
      <c r="I879" s="31"/>
      <c r="J879" s="31"/>
      <c r="K879" s="22"/>
      <c r="L879" s="46"/>
      <c r="M879" s="146"/>
      <c r="N879" s="147"/>
      <c r="O879" s="147"/>
      <c r="P879" s="147"/>
      <c r="Q879" s="147"/>
    </row>
    <row r="880" ht="15.75" customHeight="1">
      <c r="A880" s="31"/>
      <c r="B880" s="31"/>
      <c r="C880" s="31"/>
      <c r="D880" s="31"/>
      <c r="E880" s="31"/>
      <c r="F880" s="144"/>
      <c r="G880" s="31"/>
      <c r="H880" s="31"/>
      <c r="I880" s="31"/>
      <c r="J880" s="31"/>
      <c r="K880" s="22"/>
      <c r="L880" s="46"/>
      <c r="M880" s="146"/>
      <c r="N880" s="147"/>
      <c r="O880" s="147"/>
      <c r="P880" s="147"/>
      <c r="Q880" s="147"/>
    </row>
    <row r="881" ht="15.75" customHeight="1">
      <c r="A881" s="31"/>
      <c r="B881" s="31"/>
      <c r="C881" s="31"/>
      <c r="D881" s="31"/>
      <c r="E881" s="31"/>
      <c r="F881" s="144"/>
      <c r="G881" s="31"/>
      <c r="H881" s="31"/>
      <c r="I881" s="31"/>
      <c r="J881" s="31"/>
      <c r="K881" s="22"/>
      <c r="L881" s="46"/>
      <c r="M881" s="146"/>
      <c r="N881" s="147"/>
      <c r="O881" s="147"/>
      <c r="P881" s="147"/>
      <c r="Q881" s="147"/>
    </row>
    <row r="882" ht="15.75" customHeight="1">
      <c r="A882" s="31"/>
      <c r="B882" s="31"/>
      <c r="C882" s="31"/>
      <c r="D882" s="31"/>
      <c r="E882" s="31"/>
      <c r="F882" s="144"/>
      <c r="G882" s="31"/>
      <c r="H882" s="31"/>
      <c r="I882" s="31"/>
      <c r="J882" s="31"/>
      <c r="K882" s="22"/>
      <c r="L882" s="46"/>
      <c r="M882" s="146"/>
      <c r="N882" s="147"/>
      <c r="O882" s="147"/>
      <c r="P882" s="147"/>
      <c r="Q882" s="147"/>
    </row>
    <row r="883" ht="15.75" customHeight="1">
      <c r="A883" s="31"/>
      <c r="B883" s="31"/>
      <c r="C883" s="31"/>
      <c r="D883" s="31"/>
      <c r="E883" s="31"/>
      <c r="F883" s="144"/>
      <c r="G883" s="31"/>
      <c r="H883" s="31"/>
      <c r="I883" s="31"/>
      <c r="J883" s="31"/>
      <c r="K883" s="22"/>
      <c r="L883" s="46"/>
      <c r="M883" s="146"/>
      <c r="N883" s="147"/>
      <c r="O883" s="147"/>
      <c r="P883" s="147"/>
      <c r="Q883" s="147"/>
    </row>
    <row r="884" ht="15.75" customHeight="1">
      <c r="A884" s="31"/>
      <c r="B884" s="31"/>
      <c r="C884" s="31"/>
      <c r="D884" s="31"/>
      <c r="E884" s="31"/>
      <c r="F884" s="144"/>
      <c r="G884" s="31"/>
      <c r="H884" s="31"/>
      <c r="I884" s="31"/>
      <c r="J884" s="31"/>
      <c r="K884" s="22"/>
      <c r="L884" s="46"/>
      <c r="M884" s="146"/>
      <c r="N884" s="147"/>
      <c r="O884" s="147"/>
      <c r="P884" s="147"/>
      <c r="Q884" s="147"/>
    </row>
    <row r="885" ht="15.75" customHeight="1">
      <c r="A885" s="31"/>
      <c r="B885" s="31"/>
      <c r="C885" s="31"/>
      <c r="D885" s="31"/>
      <c r="E885" s="31"/>
      <c r="F885" s="144"/>
      <c r="G885" s="31"/>
      <c r="H885" s="31"/>
      <c r="I885" s="31"/>
      <c r="J885" s="31"/>
      <c r="K885" s="22"/>
      <c r="L885" s="46"/>
      <c r="M885" s="146"/>
      <c r="N885" s="147"/>
      <c r="O885" s="147"/>
      <c r="P885" s="147"/>
      <c r="Q885" s="147"/>
    </row>
    <row r="886" ht="15.75" customHeight="1">
      <c r="A886" s="31"/>
      <c r="B886" s="31"/>
      <c r="C886" s="31"/>
      <c r="D886" s="31"/>
      <c r="E886" s="31"/>
      <c r="F886" s="144"/>
      <c r="G886" s="31"/>
      <c r="H886" s="31"/>
      <c r="I886" s="31"/>
      <c r="J886" s="31"/>
      <c r="K886" s="22"/>
      <c r="L886" s="46"/>
      <c r="M886" s="146"/>
      <c r="N886" s="147"/>
      <c r="O886" s="147"/>
      <c r="P886" s="147"/>
      <c r="Q886" s="147"/>
    </row>
    <row r="887" ht="15.75" customHeight="1">
      <c r="A887" s="31"/>
      <c r="B887" s="31"/>
      <c r="C887" s="31"/>
      <c r="D887" s="31"/>
      <c r="E887" s="31"/>
      <c r="F887" s="144"/>
      <c r="G887" s="31"/>
      <c r="H887" s="31"/>
      <c r="I887" s="31"/>
      <c r="J887" s="31"/>
      <c r="K887" s="22"/>
      <c r="L887" s="46"/>
      <c r="M887" s="146"/>
      <c r="N887" s="147"/>
      <c r="O887" s="147"/>
      <c r="P887" s="147"/>
      <c r="Q887" s="147"/>
    </row>
    <row r="888" ht="15.75" customHeight="1">
      <c r="A888" s="31"/>
      <c r="B888" s="31"/>
      <c r="C888" s="31"/>
      <c r="D888" s="31"/>
      <c r="E888" s="31"/>
      <c r="F888" s="144"/>
      <c r="G888" s="31"/>
      <c r="H888" s="31"/>
      <c r="I888" s="31"/>
      <c r="J888" s="31"/>
      <c r="K888" s="22"/>
      <c r="L888" s="46"/>
      <c r="M888" s="146"/>
      <c r="N888" s="147"/>
      <c r="O888" s="147"/>
      <c r="P888" s="147"/>
      <c r="Q888" s="147"/>
    </row>
    <row r="889" ht="15.75" customHeight="1">
      <c r="A889" s="31"/>
      <c r="B889" s="31"/>
      <c r="C889" s="31"/>
      <c r="D889" s="31"/>
      <c r="E889" s="31"/>
      <c r="F889" s="144"/>
      <c r="G889" s="31"/>
      <c r="H889" s="31"/>
      <c r="I889" s="31"/>
      <c r="J889" s="31"/>
      <c r="K889" s="22"/>
      <c r="L889" s="46"/>
      <c r="M889" s="146"/>
      <c r="N889" s="147"/>
      <c r="O889" s="147"/>
      <c r="P889" s="147"/>
      <c r="Q889" s="147"/>
    </row>
    <row r="890" ht="15.75" customHeight="1">
      <c r="A890" s="31"/>
      <c r="B890" s="31"/>
      <c r="C890" s="31"/>
      <c r="D890" s="31"/>
      <c r="E890" s="31"/>
      <c r="F890" s="144"/>
      <c r="G890" s="31"/>
      <c r="H890" s="31"/>
      <c r="I890" s="31"/>
      <c r="J890" s="31"/>
      <c r="K890" s="22"/>
      <c r="L890" s="46"/>
      <c r="M890" s="146"/>
      <c r="N890" s="147"/>
      <c r="O890" s="147"/>
      <c r="P890" s="147"/>
      <c r="Q890" s="147"/>
    </row>
    <row r="891" ht="15.75" customHeight="1">
      <c r="A891" s="31"/>
      <c r="B891" s="31"/>
      <c r="C891" s="31"/>
      <c r="D891" s="31"/>
      <c r="E891" s="31"/>
      <c r="F891" s="144"/>
      <c r="G891" s="31"/>
      <c r="H891" s="31"/>
      <c r="I891" s="31"/>
      <c r="J891" s="31"/>
      <c r="K891" s="22"/>
      <c r="L891" s="46"/>
      <c r="M891" s="146"/>
      <c r="N891" s="147"/>
      <c r="O891" s="147"/>
      <c r="P891" s="147"/>
      <c r="Q891" s="147"/>
    </row>
    <row r="892" ht="15.75" customHeight="1">
      <c r="A892" s="31"/>
      <c r="B892" s="31"/>
      <c r="C892" s="31"/>
      <c r="D892" s="31"/>
      <c r="E892" s="31"/>
      <c r="F892" s="144"/>
      <c r="G892" s="31"/>
      <c r="H892" s="31"/>
      <c r="I892" s="31"/>
      <c r="J892" s="31"/>
      <c r="K892" s="22"/>
      <c r="L892" s="46"/>
      <c r="M892" s="146"/>
      <c r="N892" s="147"/>
      <c r="O892" s="147"/>
      <c r="P892" s="147"/>
      <c r="Q892" s="147"/>
    </row>
    <row r="893" ht="15.75" customHeight="1">
      <c r="A893" s="31"/>
      <c r="B893" s="31"/>
      <c r="C893" s="31"/>
      <c r="D893" s="31"/>
      <c r="E893" s="31"/>
      <c r="F893" s="144"/>
      <c r="G893" s="31"/>
      <c r="H893" s="31"/>
      <c r="I893" s="31"/>
      <c r="J893" s="31"/>
      <c r="K893" s="22"/>
      <c r="L893" s="46"/>
      <c r="M893" s="146"/>
      <c r="N893" s="147"/>
      <c r="O893" s="147"/>
      <c r="P893" s="147"/>
      <c r="Q893" s="147"/>
    </row>
    <row r="894" ht="15.75" customHeight="1">
      <c r="A894" s="31"/>
      <c r="B894" s="31"/>
      <c r="C894" s="31"/>
      <c r="D894" s="31"/>
      <c r="E894" s="31"/>
      <c r="F894" s="144"/>
      <c r="G894" s="31"/>
      <c r="H894" s="31"/>
      <c r="I894" s="31"/>
      <c r="J894" s="31"/>
      <c r="K894" s="22"/>
      <c r="L894" s="46"/>
      <c r="M894" s="146"/>
      <c r="N894" s="147"/>
      <c r="O894" s="147"/>
      <c r="P894" s="147"/>
      <c r="Q894" s="147"/>
    </row>
    <row r="895" ht="15.75" customHeight="1">
      <c r="A895" s="31"/>
      <c r="B895" s="31"/>
      <c r="C895" s="31"/>
      <c r="D895" s="31"/>
      <c r="E895" s="31"/>
      <c r="F895" s="144"/>
      <c r="G895" s="31"/>
      <c r="H895" s="31"/>
      <c r="I895" s="31"/>
      <c r="J895" s="31"/>
      <c r="K895" s="22"/>
      <c r="L895" s="46"/>
      <c r="M895" s="146"/>
      <c r="N895" s="147"/>
      <c r="O895" s="147"/>
      <c r="P895" s="147"/>
      <c r="Q895" s="147"/>
    </row>
    <row r="896" ht="15.75" customHeight="1">
      <c r="A896" s="31"/>
      <c r="B896" s="31"/>
      <c r="C896" s="31"/>
      <c r="D896" s="31"/>
      <c r="E896" s="31"/>
      <c r="F896" s="144"/>
      <c r="G896" s="31"/>
      <c r="H896" s="31"/>
      <c r="I896" s="31"/>
      <c r="J896" s="31"/>
      <c r="K896" s="22"/>
      <c r="L896" s="46"/>
      <c r="M896" s="146"/>
      <c r="N896" s="147"/>
      <c r="O896" s="147"/>
      <c r="P896" s="147"/>
      <c r="Q896" s="147"/>
    </row>
    <row r="897" ht="15.75" customHeight="1">
      <c r="A897" s="31"/>
      <c r="B897" s="31"/>
      <c r="C897" s="31"/>
      <c r="D897" s="31"/>
      <c r="E897" s="31"/>
      <c r="F897" s="144"/>
      <c r="G897" s="31"/>
      <c r="H897" s="31"/>
      <c r="I897" s="31"/>
      <c r="J897" s="31"/>
      <c r="K897" s="22"/>
      <c r="L897" s="46"/>
      <c r="M897" s="146"/>
      <c r="N897" s="147"/>
      <c r="O897" s="147"/>
      <c r="P897" s="147"/>
      <c r="Q897" s="147"/>
    </row>
    <row r="898" ht="15.75" customHeight="1">
      <c r="A898" s="31"/>
      <c r="B898" s="31"/>
      <c r="C898" s="31"/>
      <c r="D898" s="31"/>
      <c r="E898" s="31"/>
      <c r="F898" s="144"/>
      <c r="G898" s="31"/>
      <c r="H898" s="31"/>
      <c r="I898" s="31"/>
      <c r="J898" s="31"/>
      <c r="K898" s="22"/>
      <c r="L898" s="46"/>
      <c r="M898" s="146"/>
      <c r="N898" s="147"/>
      <c r="O898" s="147"/>
      <c r="P898" s="147"/>
      <c r="Q898" s="147"/>
    </row>
    <row r="899" ht="15.75" customHeight="1">
      <c r="A899" s="31"/>
      <c r="B899" s="31"/>
      <c r="C899" s="31"/>
      <c r="D899" s="31"/>
      <c r="E899" s="31"/>
      <c r="F899" s="144"/>
      <c r="G899" s="31"/>
      <c r="H899" s="31"/>
      <c r="I899" s="31"/>
      <c r="J899" s="31"/>
      <c r="K899" s="22"/>
      <c r="L899" s="46"/>
      <c r="M899" s="146"/>
      <c r="N899" s="147"/>
      <c r="O899" s="147"/>
      <c r="P899" s="147"/>
      <c r="Q899" s="147"/>
    </row>
    <row r="900" ht="15.75" customHeight="1">
      <c r="A900" s="31"/>
      <c r="B900" s="31"/>
      <c r="C900" s="31"/>
      <c r="D900" s="31"/>
      <c r="E900" s="31"/>
      <c r="F900" s="144"/>
      <c r="G900" s="31"/>
      <c r="H900" s="31"/>
      <c r="I900" s="31"/>
      <c r="J900" s="31"/>
      <c r="K900" s="22"/>
      <c r="L900" s="46"/>
      <c r="M900" s="146"/>
      <c r="N900" s="147"/>
      <c r="O900" s="147"/>
      <c r="P900" s="147"/>
      <c r="Q900" s="147"/>
    </row>
    <row r="901" ht="15.75" customHeight="1">
      <c r="A901" s="31"/>
      <c r="B901" s="31"/>
      <c r="C901" s="31"/>
      <c r="D901" s="31"/>
      <c r="E901" s="31"/>
      <c r="F901" s="144"/>
      <c r="G901" s="31"/>
      <c r="H901" s="31"/>
      <c r="I901" s="31"/>
      <c r="J901" s="31"/>
      <c r="K901" s="22"/>
      <c r="L901" s="46"/>
      <c r="M901" s="146"/>
      <c r="N901" s="147"/>
      <c r="O901" s="147"/>
      <c r="P901" s="147"/>
      <c r="Q901" s="147"/>
    </row>
    <row r="902" ht="15.75" customHeight="1">
      <c r="A902" s="31"/>
      <c r="B902" s="31"/>
      <c r="C902" s="31"/>
      <c r="D902" s="31"/>
      <c r="E902" s="31"/>
      <c r="F902" s="144"/>
      <c r="G902" s="31"/>
      <c r="H902" s="31"/>
      <c r="I902" s="31"/>
      <c r="J902" s="31"/>
      <c r="K902" s="22"/>
      <c r="L902" s="46"/>
      <c r="M902" s="146"/>
      <c r="N902" s="147"/>
      <c r="O902" s="147"/>
      <c r="P902" s="147"/>
      <c r="Q902" s="147"/>
    </row>
    <row r="903" ht="15.75" customHeight="1">
      <c r="A903" s="31"/>
      <c r="B903" s="31"/>
      <c r="C903" s="31"/>
      <c r="D903" s="31"/>
      <c r="E903" s="31"/>
      <c r="F903" s="144"/>
      <c r="G903" s="31"/>
      <c r="H903" s="31"/>
      <c r="I903" s="31"/>
      <c r="J903" s="31"/>
      <c r="K903" s="22"/>
      <c r="L903" s="46"/>
      <c r="M903" s="146"/>
      <c r="N903" s="147"/>
      <c r="O903" s="147"/>
      <c r="P903" s="147"/>
      <c r="Q903" s="147"/>
    </row>
    <row r="904" ht="15.75" customHeight="1">
      <c r="A904" s="31"/>
      <c r="B904" s="31"/>
      <c r="C904" s="31"/>
      <c r="D904" s="31"/>
      <c r="E904" s="31"/>
      <c r="F904" s="144"/>
      <c r="G904" s="31"/>
      <c r="H904" s="31"/>
      <c r="I904" s="31"/>
      <c r="J904" s="31"/>
      <c r="K904" s="22"/>
      <c r="L904" s="46"/>
      <c r="M904" s="146"/>
      <c r="N904" s="147"/>
      <c r="O904" s="147"/>
      <c r="P904" s="147"/>
      <c r="Q904" s="147"/>
    </row>
    <row r="905" ht="15.75" customHeight="1">
      <c r="A905" s="31"/>
      <c r="B905" s="31"/>
      <c r="C905" s="31"/>
      <c r="D905" s="31"/>
      <c r="E905" s="31"/>
      <c r="F905" s="144"/>
      <c r="G905" s="31"/>
      <c r="H905" s="31"/>
      <c r="I905" s="31"/>
      <c r="J905" s="31"/>
      <c r="K905" s="22"/>
      <c r="L905" s="46"/>
      <c r="M905" s="146"/>
      <c r="N905" s="147"/>
      <c r="O905" s="147"/>
      <c r="P905" s="147"/>
      <c r="Q905" s="147"/>
    </row>
    <row r="906" ht="15.75" customHeight="1">
      <c r="A906" s="31"/>
      <c r="B906" s="31"/>
      <c r="C906" s="31"/>
      <c r="D906" s="31"/>
      <c r="E906" s="31"/>
      <c r="F906" s="144"/>
      <c r="G906" s="31"/>
      <c r="H906" s="31"/>
      <c r="I906" s="31"/>
      <c r="J906" s="31"/>
      <c r="K906" s="22"/>
      <c r="L906" s="46"/>
      <c r="M906" s="146"/>
      <c r="N906" s="147"/>
      <c r="O906" s="147"/>
      <c r="P906" s="147"/>
      <c r="Q906" s="147"/>
    </row>
    <row r="907" ht="15.75" customHeight="1">
      <c r="A907" s="31"/>
      <c r="B907" s="31"/>
      <c r="C907" s="31"/>
      <c r="D907" s="31"/>
      <c r="E907" s="31"/>
      <c r="F907" s="144"/>
      <c r="G907" s="31"/>
      <c r="H907" s="31"/>
      <c r="I907" s="31"/>
      <c r="J907" s="31"/>
      <c r="K907" s="22"/>
      <c r="L907" s="46"/>
      <c r="M907" s="146"/>
      <c r="N907" s="147"/>
      <c r="O907" s="147"/>
      <c r="P907" s="147"/>
      <c r="Q907" s="147"/>
    </row>
    <row r="908" ht="15.75" customHeight="1">
      <c r="A908" s="31"/>
      <c r="B908" s="31"/>
      <c r="C908" s="31"/>
      <c r="D908" s="31"/>
      <c r="E908" s="31"/>
      <c r="F908" s="144"/>
      <c r="G908" s="31"/>
      <c r="H908" s="31"/>
      <c r="I908" s="31"/>
      <c r="J908" s="31"/>
      <c r="K908" s="22"/>
      <c r="L908" s="46"/>
      <c r="M908" s="146"/>
      <c r="N908" s="147"/>
      <c r="O908" s="147"/>
      <c r="P908" s="147"/>
      <c r="Q908" s="147"/>
    </row>
    <row r="909" ht="15.75" customHeight="1">
      <c r="A909" s="31"/>
      <c r="B909" s="31"/>
      <c r="C909" s="31"/>
      <c r="D909" s="31"/>
      <c r="E909" s="31"/>
      <c r="F909" s="144"/>
      <c r="G909" s="31"/>
      <c r="H909" s="31"/>
      <c r="I909" s="31"/>
      <c r="J909" s="31"/>
      <c r="K909" s="22"/>
      <c r="L909" s="46"/>
      <c r="M909" s="146"/>
      <c r="N909" s="147"/>
      <c r="O909" s="147"/>
      <c r="P909" s="147"/>
      <c r="Q909" s="147"/>
    </row>
    <row r="910" ht="15.75" customHeight="1">
      <c r="A910" s="31"/>
      <c r="B910" s="31"/>
      <c r="C910" s="31"/>
      <c r="D910" s="31"/>
      <c r="E910" s="31"/>
      <c r="F910" s="144"/>
      <c r="G910" s="31"/>
      <c r="H910" s="31"/>
      <c r="I910" s="31"/>
      <c r="J910" s="31"/>
      <c r="K910" s="22"/>
      <c r="L910" s="46"/>
      <c r="M910" s="146"/>
      <c r="N910" s="147"/>
      <c r="O910" s="147"/>
      <c r="P910" s="147"/>
      <c r="Q910" s="147"/>
    </row>
    <row r="911" ht="15.75" customHeight="1">
      <c r="A911" s="31"/>
      <c r="B911" s="31"/>
      <c r="C911" s="31"/>
      <c r="D911" s="31"/>
      <c r="E911" s="31"/>
      <c r="F911" s="144"/>
      <c r="G911" s="31"/>
      <c r="H911" s="31"/>
      <c r="I911" s="31"/>
      <c r="J911" s="31"/>
      <c r="K911" s="22"/>
      <c r="L911" s="46"/>
      <c r="M911" s="146"/>
      <c r="N911" s="147"/>
      <c r="O911" s="147"/>
      <c r="P911" s="147"/>
      <c r="Q911" s="147"/>
    </row>
    <row r="912" ht="15.75" customHeight="1">
      <c r="A912" s="31"/>
      <c r="B912" s="31"/>
      <c r="C912" s="31"/>
      <c r="D912" s="31"/>
      <c r="E912" s="31"/>
      <c r="F912" s="144"/>
      <c r="G912" s="31"/>
      <c r="H912" s="31"/>
      <c r="I912" s="31"/>
      <c r="J912" s="31"/>
      <c r="K912" s="22"/>
      <c r="L912" s="46"/>
      <c r="M912" s="146"/>
      <c r="N912" s="147"/>
      <c r="O912" s="147"/>
      <c r="P912" s="147"/>
      <c r="Q912" s="147"/>
    </row>
    <row r="913" ht="15.75" customHeight="1">
      <c r="A913" s="31"/>
      <c r="B913" s="31"/>
      <c r="C913" s="31"/>
      <c r="D913" s="31"/>
      <c r="E913" s="31"/>
      <c r="F913" s="144"/>
      <c r="G913" s="31"/>
      <c r="H913" s="31"/>
      <c r="I913" s="31"/>
      <c r="J913" s="31"/>
      <c r="K913" s="22"/>
      <c r="L913" s="46"/>
      <c r="M913" s="146"/>
      <c r="N913" s="147"/>
      <c r="O913" s="147"/>
      <c r="P913" s="147"/>
      <c r="Q913" s="147"/>
    </row>
    <row r="914" ht="15.75" customHeight="1">
      <c r="A914" s="31"/>
      <c r="B914" s="31"/>
      <c r="C914" s="31"/>
      <c r="D914" s="31"/>
      <c r="E914" s="31"/>
      <c r="F914" s="144"/>
      <c r="G914" s="31"/>
      <c r="H914" s="31"/>
      <c r="I914" s="31"/>
      <c r="J914" s="31"/>
      <c r="K914" s="22"/>
      <c r="L914" s="46"/>
      <c r="M914" s="146"/>
      <c r="N914" s="147"/>
      <c r="O914" s="147"/>
      <c r="P914" s="147"/>
      <c r="Q914" s="147"/>
    </row>
    <row r="915" ht="15.75" customHeight="1">
      <c r="A915" s="31"/>
      <c r="B915" s="31"/>
      <c r="C915" s="31"/>
      <c r="D915" s="31"/>
      <c r="E915" s="31"/>
      <c r="F915" s="144"/>
      <c r="G915" s="31"/>
      <c r="H915" s="31"/>
      <c r="I915" s="31"/>
      <c r="J915" s="31"/>
      <c r="K915" s="22"/>
      <c r="L915" s="46"/>
      <c r="M915" s="146"/>
      <c r="N915" s="147"/>
      <c r="O915" s="147"/>
      <c r="P915" s="147"/>
      <c r="Q915" s="147"/>
    </row>
    <row r="916" ht="15.75" customHeight="1">
      <c r="A916" s="31"/>
      <c r="B916" s="31"/>
      <c r="C916" s="31"/>
      <c r="D916" s="31"/>
      <c r="E916" s="31"/>
      <c r="F916" s="144"/>
      <c r="G916" s="31"/>
      <c r="H916" s="31"/>
      <c r="I916" s="31"/>
      <c r="J916" s="31"/>
      <c r="K916" s="22"/>
      <c r="L916" s="46"/>
      <c r="M916" s="146"/>
      <c r="N916" s="147"/>
      <c r="O916" s="147"/>
      <c r="P916" s="147"/>
      <c r="Q916" s="147"/>
    </row>
    <row r="917" ht="15.75" customHeight="1">
      <c r="A917" s="31"/>
      <c r="B917" s="31"/>
      <c r="C917" s="31"/>
      <c r="D917" s="31"/>
      <c r="E917" s="31"/>
      <c r="F917" s="144"/>
      <c r="G917" s="31"/>
      <c r="H917" s="31"/>
      <c r="I917" s="31"/>
      <c r="J917" s="31"/>
      <c r="K917" s="22"/>
      <c r="L917" s="46"/>
      <c r="M917" s="146"/>
      <c r="N917" s="147"/>
      <c r="O917" s="147"/>
      <c r="P917" s="147"/>
      <c r="Q917" s="147"/>
    </row>
    <row r="918" ht="15.75" customHeight="1">
      <c r="A918" s="31"/>
      <c r="B918" s="31"/>
      <c r="C918" s="31"/>
      <c r="D918" s="31"/>
      <c r="E918" s="31"/>
      <c r="F918" s="144"/>
      <c r="G918" s="31"/>
      <c r="H918" s="31"/>
      <c r="I918" s="31"/>
      <c r="J918" s="31"/>
      <c r="K918" s="22"/>
      <c r="L918" s="46"/>
      <c r="M918" s="146"/>
      <c r="N918" s="147"/>
      <c r="O918" s="147"/>
      <c r="P918" s="147"/>
      <c r="Q918" s="147"/>
    </row>
    <row r="919" ht="15.75" customHeight="1">
      <c r="A919" s="31"/>
      <c r="B919" s="31"/>
      <c r="C919" s="31"/>
      <c r="D919" s="31"/>
      <c r="E919" s="31"/>
      <c r="F919" s="144"/>
      <c r="G919" s="31"/>
      <c r="H919" s="31"/>
      <c r="I919" s="31"/>
      <c r="J919" s="31"/>
      <c r="K919" s="22"/>
      <c r="L919" s="46"/>
      <c r="M919" s="146"/>
      <c r="N919" s="147"/>
      <c r="O919" s="147"/>
      <c r="P919" s="147"/>
      <c r="Q919" s="147"/>
    </row>
    <row r="920" ht="15.75" customHeight="1">
      <c r="A920" s="31"/>
      <c r="B920" s="31"/>
      <c r="C920" s="31"/>
      <c r="D920" s="31"/>
      <c r="E920" s="31"/>
      <c r="F920" s="144"/>
      <c r="G920" s="31"/>
      <c r="H920" s="31"/>
      <c r="I920" s="31"/>
      <c r="J920" s="31"/>
      <c r="K920" s="22"/>
      <c r="L920" s="46"/>
      <c r="M920" s="146"/>
      <c r="N920" s="147"/>
      <c r="O920" s="147"/>
      <c r="P920" s="147"/>
      <c r="Q920" s="147"/>
    </row>
    <row r="921" ht="15.75" customHeight="1">
      <c r="A921" s="31"/>
      <c r="B921" s="31"/>
      <c r="C921" s="31"/>
      <c r="D921" s="31"/>
      <c r="E921" s="31"/>
      <c r="F921" s="144"/>
      <c r="G921" s="31"/>
      <c r="H921" s="31"/>
      <c r="I921" s="31"/>
      <c r="J921" s="31"/>
      <c r="K921" s="22"/>
      <c r="L921" s="46"/>
      <c r="M921" s="146"/>
      <c r="N921" s="147"/>
      <c r="O921" s="147"/>
      <c r="P921" s="147"/>
      <c r="Q921" s="147"/>
    </row>
    <row r="922" ht="15.75" customHeight="1">
      <c r="A922" s="31"/>
      <c r="B922" s="31"/>
      <c r="C922" s="31"/>
      <c r="D922" s="31"/>
      <c r="E922" s="31"/>
      <c r="F922" s="144"/>
      <c r="G922" s="31"/>
      <c r="H922" s="31"/>
      <c r="I922" s="31"/>
      <c r="J922" s="31"/>
      <c r="K922" s="22"/>
      <c r="L922" s="46"/>
      <c r="M922" s="146"/>
      <c r="N922" s="147"/>
      <c r="O922" s="147"/>
      <c r="P922" s="147"/>
      <c r="Q922" s="147"/>
    </row>
    <row r="923" ht="15.75" customHeight="1">
      <c r="A923" s="31"/>
      <c r="B923" s="31"/>
      <c r="C923" s="31"/>
      <c r="D923" s="31"/>
      <c r="E923" s="31"/>
      <c r="F923" s="144"/>
      <c r="G923" s="31"/>
      <c r="H923" s="31"/>
      <c r="I923" s="31"/>
      <c r="J923" s="31"/>
      <c r="K923" s="22"/>
      <c r="L923" s="46"/>
      <c r="M923" s="146"/>
      <c r="N923" s="147"/>
      <c r="O923" s="147"/>
      <c r="P923" s="147"/>
      <c r="Q923" s="147"/>
    </row>
    <row r="924" ht="15.75" customHeight="1">
      <c r="A924" s="31"/>
      <c r="B924" s="31"/>
      <c r="C924" s="31"/>
      <c r="D924" s="31"/>
      <c r="E924" s="31"/>
      <c r="F924" s="144"/>
      <c r="G924" s="31"/>
      <c r="H924" s="31"/>
      <c r="I924" s="31"/>
      <c r="J924" s="31"/>
      <c r="K924" s="22"/>
      <c r="L924" s="46"/>
      <c r="M924" s="146"/>
      <c r="N924" s="147"/>
      <c r="O924" s="147"/>
      <c r="P924" s="147"/>
      <c r="Q924" s="147"/>
    </row>
    <row r="925" ht="15.75" customHeight="1">
      <c r="A925" s="31"/>
      <c r="B925" s="31"/>
      <c r="C925" s="31"/>
      <c r="D925" s="31"/>
      <c r="E925" s="31"/>
      <c r="F925" s="144"/>
      <c r="G925" s="31"/>
      <c r="H925" s="31"/>
      <c r="I925" s="31"/>
      <c r="J925" s="31"/>
      <c r="K925" s="22"/>
      <c r="L925" s="46"/>
      <c r="M925" s="146"/>
      <c r="N925" s="147"/>
      <c r="O925" s="147"/>
      <c r="P925" s="147"/>
      <c r="Q925" s="147"/>
    </row>
    <row r="926" ht="15.75" customHeight="1">
      <c r="A926" s="31"/>
      <c r="B926" s="31"/>
      <c r="C926" s="31"/>
      <c r="D926" s="31"/>
      <c r="E926" s="31"/>
      <c r="F926" s="144"/>
      <c r="G926" s="31"/>
      <c r="H926" s="31"/>
      <c r="I926" s="31"/>
      <c r="J926" s="31"/>
      <c r="K926" s="22"/>
      <c r="L926" s="46"/>
      <c r="M926" s="146"/>
      <c r="N926" s="147"/>
      <c r="O926" s="147"/>
      <c r="P926" s="147"/>
      <c r="Q926" s="147"/>
    </row>
    <row r="927" ht="15.75" customHeight="1">
      <c r="A927" s="31"/>
      <c r="B927" s="31"/>
      <c r="C927" s="31"/>
      <c r="D927" s="31"/>
      <c r="E927" s="31"/>
      <c r="F927" s="144"/>
      <c r="G927" s="31"/>
      <c r="H927" s="31"/>
      <c r="I927" s="31"/>
      <c r="J927" s="31"/>
      <c r="K927" s="22"/>
      <c r="L927" s="46"/>
      <c r="M927" s="146"/>
      <c r="N927" s="147"/>
      <c r="O927" s="147"/>
      <c r="P927" s="147"/>
      <c r="Q927" s="147"/>
    </row>
    <row r="928" ht="15.75" customHeight="1">
      <c r="A928" s="31"/>
      <c r="B928" s="31"/>
      <c r="C928" s="31"/>
      <c r="D928" s="31"/>
      <c r="E928" s="31"/>
      <c r="F928" s="144"/>
      <c r="G928" s="31"/>
      <c r="H928" s="31"/>
      <c r="I928" s="31"/>
      <c r="J928" s="31"/>
      <c r="K928" s="22"/>
      <c r="L928" s="46"/>
      <c r="M928" s="146"/>
      <c r="N928" s="147"/>
      <c r="O928" s="147"/>
      <c r="P928" s="147"/>
      <c r="Q928" s="147"/>
    </row>
    <row r="929" ht="15.75" customHeight="1">
      <c r="A929" s="31"/>
      <c r="B929" s="31"/>
      <c r="C929" s="31"/>
      <c r="D929" s="31"/>
      <c r="E929" s="31"/>
      <c r="F929" s="144"/>
      <c r="G929" s="31"/>
      <c r="H929" s="31"/>
      <c r="I929" s="31"/>
      <c r="J929" s="31"/>
      <c r="K929" s="22"/>
      <c r="L929" s="46"/>
      <c r="M929" s="146"/>
      <c r="N929" s="147"/>
      <c r="O929" s="147"/>
      <c r="P929" s="147"/>
      <c r="Q929" s="147"/>
    </row>
    <row r="930" ht="15.75" customHeight="1">
      <c r="A930" s="31"/>
      <c r="B930" s="31"/>
      <c r="C930" s="31"/>
      <c r="D930" s="31"/>
      <c r="E930" s="31"/>
      <c r="F930" s="144"/>
      <c r="G930" s="31"/>
      <c r="H930" s="31"/>
      <c r="I930" s="31"/>
      <c r="J930" s="31"/>
      <c r="K930" s="22"/>
      <c r="L930" s="46"/>
      <c r="M930" s="146"/>
      <c r="N930" s="147"/>
      <c r="O930" s="147"/>
      <c r="P930" s="147"/>
      <c r="Q930" s="147"/>
    </row>
    <row r="931" ht="15.75" customHeight="1">
      <c r="A931" s="31"/>
      <c r="B931" s="31"/>
      <c r="C931" s="31"/>
      <c r="D931" s="31"/>
      <c r="E931" s="31"/>
      <c r="F931" s="144"/>
      <c r="G931" s="31"/>
      <c r="H931" s="31"/>
      <c r="I931" s="31"/>
      <c r="J931" s="31"/>
      <c r="K931" s="22"/>
      <c r="L931" s="46"/>
      <c r="M931" s="146"/>
      <c r="N931" s="147"/>
      <c r="O931" s="147"/>
      <c r="P931" s="147"/>
      <c r="Q931" s="147"/>
    </row>
    <row r="932" ht="15.75" customHeight="1">
      <c r="A932" s="31"/>
      <c r="B932" s="31"/>
      <c r="C932" s="31"/>
      <c r="D932" s="31"/>
      <c r="E932" s="31"/>
      <c r="F932" s="144"/>
      <c r="G932" s="31"/>
      <c r="H932" s="31"/>
      <c r="I932" s="31"/>
      <c r="J932" s="31"/>
      <c r="K932" s="22"/>
      <c r="L932" s="46"/>
      <c r="M932" s="146"/>
      <c r="N932" s="147"/>
      <c r="O932" s="147"/>
      <c r="P932" s="147"/>
      <c r="Q932" s="147"/>
    </row>
    <row r="933" ht="15.75" customHeight="1">
      <c r="A933" s="31"/>
      <c r="B933" s="31"/>
      <c r="C933" s="31"/>
      <c r="D933" s="31"/>
      <c r="E933" s="31"/>
      <c r="F933" s="144"/>
      <c r="G933" s="31"/>
      <c r="H933" s="31"/>
      <c r="I933" s="31"/>
      <c r="J933" s="31"/>
      <c r="K933" s="22"/>
      <c r="L933" s="46"/>
      <c r="M933" s="146"/>
      <c r="N933" s="147"/>
      <c r="O933" s="147"/>
      <c r="P933" s="147"/>
      <c r="Q933" s="147"/>
    </row>
    <row r="934" ht="15.75" customHeight="1">
      <c r="A934" s="31"/>
      <c r="B934" s="31"/>
      <c r="C934" s="31"/>
      <c r="D934" s="31"/>
      <c r="E934" s="31"/>
      <c r="F934" s="144"/>
      <c r="G934" s="31"/>
      <c r="H934" s="31"/>
      <c r="I934" s="31"/>
      <c r="J934" s="31"/>
      <c r="K934" s="22"/>
      <c r="L934" s="46"/>
      <c r="M934" s="146"/>
      <c r="N934" s="147"/>
      <c r="O934" s="147"/>
      <c r="P934" s="147"/>
      <c r="Q934" s="147"/>
    </row>
    <row r="935" ht="15.75" customHeight="1">
      <c r="A935" s="31"/>
      <c r="B935" s="31"/>
      <c r="C935" s="31"/>
      <c r="D935" s="31"/>
      <c r="E935" s="31"/>
      <c r="F935" s="144"/>
      <c r="G935" s="31"/>
      <c r="H935" s="31"/>
      <c r="I935" s="31"/>
      <c r="J935" s="31"/>
      <c r="K935" s="22"/>
      <c r="L935" s="46"/>
      <c r="M935" s="146"/>
      <c r="N935" s="147"/>
      <c r="O935" s="147"/>
      <c r="P935" s="147"/>
      <c r="Q935" s="147"/>
    </row>
    <row r="936" ht="15.75" customHeight="1">
      <c r="A936" s="31"/>
      <c r="B936" s="31"/>
      <c r="C936" s="31"/>
      <c r="D936" s="31"/>
      <c r="E936" s="31"/>
      <c r="F936" s="144"/>
      <c r="G936" s="31"/>
      <c r="H936" s="31"/>
      <c r="I936" s="31"/>
      <c r="J936" s="31"/>
      <c r="K936" s="22"/>
      <c r="L936" s="46"/>
      <c r="M936" s="146"/>
      <c r="N936" s="147"/>
      <c r="O936" s="147"/>
      <c r="P936" s="147"/>
      <c r="Q936" s="147"/>
    </row>
    <row r="937" ht="15.75" customHeight="1">
      <c r="A937" s="31"/>
      <c r="B937" s="31"/>
      <c r="C937" s="31"/>
      <c r="D937" s="31"/>
      <c r="E937" s="31"/>
      <c r="F937" s="144"/>
      <c r="G937" s="31"/>
      <c r="H937" s="31"/>
      <c r="I937" s="31"/>
      <c r="J937" s="31"/>
      <c r="K937" s="22"/>
      <c r="L937" s="46"/>
      <c r="M937" s="146"/>
      <c r="N937" s="147"/>
      <c r="O937" s="147"/>
      <c r="P937" s="147"/>
      <c r="Q937" s="147"/>
    </row>
    <row r="938" ht="15.75" customHeight="1">
      <c r="A938" s="31"/>
      <c r="B938" s="31"/>
      <c r="C938" s="31"/>
      <c r="D938" s="31"/>
      <c r="E938" s="31"/>
      <c r="F938" s="144"/>
      <c r="G938" s="31"/>
      <c r="H938" s="31"/>
      <c r="I938" s="31"/>
      <c r="J938" s="31"/>
      <c r="K938" s="22"/>
      <c r="L938" s="46"/>
      <c r="M938" s="146"/>
      <c r="N938" s="147"/>
      <c r="O938" s="147"/>
      <c r="P938" s="147"/>
      <c r="Q938" s="147"/>
    </row>
    <row r="939" ht="15.75" customHeight="1">
      <c r="A939" s="31"/>
      <c r="B939" s="31"/>
      <c r="C939" s="31"/>
      <c r="D939" s="31"/>
      <c r="E939" s="31"/>
      <c r="F939" s="144"/>
      <c r="G939" s="31"/>
      <c r="H939" s="31"/>
      <c r="I939" s="31"/>
      <c r="J939" s="31"/>
      <c r="K939" s="22"/>
      <c r="L939" s="46"/>
      <c r="M939" s="146"/>
      <c r="N939" s="147"/>
      <c r="O939" s="147"/>
      <c r="P939" s="147"/>
      <c r="Q939" s="147"/>
    </row>
    <row r="940" ht="15.75" customHeight="1">
      <c r="A940" s="31"/>
      <c r="B940" s="31"/>
      <c r="C940" s="31"/>
      <c r="D940" s="31"/>
      <c r="E940" s="31"/>
      <c r="F940" s="144"/>
      <c r="G940" s="31"/>
      <c r="H940" s="31"/>
      <c r="I940" s="31"/>
      <c r="J940" s="31"/>
      <c r="K940" s="22"/>
      <c r="L940" s="46"/>
      <c r="M940" s="146"/>
      <c r="N940" s="147"/>
      <c r="O940" s="147"/>
      <c r="P940" s="147"/>
      <c r="Q940" s="147"/>
    </row>
    <row r="941" ht="15.75" customHeight="1">
      <c r="A941" s="31"/>
      <c r="B941" s="31"/>
      <c r="C941" s="31"/>
      <c r="D941" s="31"/>
      <c r="E941" s="31"/>
      <c r="F941" s="144"/>
      <c r="G941" s="31"/>
      <c r="H941" s="31"/>
      <c r="I941" s="31"/>
      <c r="J941" s="31"/>
      <c r="K941" s="22"/>
      <c r="L941" s="46"/>
      <c r="M941" s="146"/>
      <c r="N941" s="147"/>
      <c r="O941" s="147"/>
      <c r="P941" s="147"/>
      <c r="Q941" s="147"/>
    </row>
    <row r="942" ht="15.75" customHeight="1">
      <c r="A942" s="31"/>
      <c r="B942" s="31"/>
      <c r="C942" s="31"/>
      <c r="D942" s="31"/>
      <c r="E942" s="31"/>
      <c r="F942" s="144"/>
      <c r="G942" s="31"/>
      <c r="H942" s="31"/>
      <c r="I942" s="31"/>
      <c r="J942" s="31"/>
      <c r="K942" s="22"/>
      <c r="L942" s="46"/>
      <c r="M942" s="146"/>
      <c r="N942" s="147"/>
      <c r="O942" s="147"/>
      <c r="P942" s="147"/>
      <c r="Q942" s="147"/>
    </row>
    <row r="943" ht="15.75" customHeight="1">
      <c r="A943" s="31"/>
      <c r="B943" s="31"/>
      <c r="C943" s="31"/>
      <c r="D943" s="31"/>
      <c r="E943" s="31"/>
      <c r="F943" s="144"/>
      <c r="G943" s="31"/>
      <c r="H943" s="31"/>
      <c r="I943" s="31"/>
      <c r="J943" s="31"/>
      <c r="K943" s="22"/>
      <c r="L943" s="46"/>
      <c r="M943" s="146"/>
      <c r="N943" s="147"/>
      <c r="O943" s="147"/>
      <c r="P943" s="147"/>
      <c r="Q943" s="147"/>
    </row>
    <row r="944" ht="15.75" customHeight="1">
      <c r="A944" s="31"/>
      <c r="B944" s="31"/>
      <c r="C944" s="31"/>
      <c r="D944" s="31"/>
      <c r="E944" s="31"/>
      <c r="F944" s="144"/>
      <c r="G944" s="31"/>
      <c r="H944" s="31"/>
      <c r="I944" s="31"/>
      <c r="J944" s="31"/>
      <c r="K944" s="22"/>
      <c r="L944" s="46"/>
      <c r="M944" s="146"/>
      <c r="N944" s="147"/>
      <c r="O944" s="147"/>
      <c r="P944" s="147"/>
      <c r="Q944" s="147"/>
    </row>
    <row r="945" ht="15.75" customHeight="1">
      <c r="A945" s="31"/>
      <c r="B945" s="31"/>
      <c r="C945" s="31"/>
      <c r="D945" s="31"/>
      <c r="E945" s="31"/>
      <c r="F945" s="144"/>
      <c r="G945" s="31"/>
      <c r="H945" s="31"/>
      <c r="I945" s="31"/>
      <c r="J945" s="31"/>
      <c r="K945" s="22"/>
      <c r="L945" s="46"/>
      <c r="M945" s="146"/>
      <c r="N945" s="147"/>
      <c r="O945" s="147"/>
      <c r="P945" s="147"/>
      <c r="Q945" s="147"/>
    </row>
    <row r="946" ht="15.75" customHeight="1">
      <c r="A946" s="31"/>
      <c r="B946" s="31"/>
      <c r="C946" s="31"/>
      <c r="D946" s="31"/>
      <c r="E946" s="31"/>
      <c r="F946" s="144"/>
      <c r="G946" s="31"/>
      <c r="H946" s="31"/>
      <c r="I946" s="31"/>
      <c r="J946" s="31"/>
      <c r="K946" s="22"/>
      <c r="L946" s="46"/>
      <c r="M946" s="146"/>
      <c r="N946" s="147"/>
      <c r="O946" s="147"/>
      <c r="P946" s="147"/>
      <c r="Q946" s="147"/>
    </row>
    <row r="947" ht="15.75" customHeight="1">
      <c r="A947" s="31"/>
      <c r="B947" s="31"/>
      <c r="C947" s="31"/>
      <c r="D947" s="31"/>
      <c r="E947" s="31"/>
      <c r="F947" s="144"/>
      <c r="G947" s="31"/>
      <c r="H947" s="31"/>
      <c r="I947" s="31"/>
      <c r="J947" s="31"/>
      <c r="K947" s="22"/>
      <c r="L947" s="46"/>
      <c r="M947" s="146"/>
      <c r="N947" s="147"/>
      <c r="O947" s="147"/>
      <c r="P947" s="147"/>
      <c r="Q947" s="147"/>
    </row>
    <row r="948" ht="15.75" customHeight="1">
      <c r="A948" s="31"/>
      <c r="B948" s="31"/>
      <c r="C948" s="31"/>
      <c r="D948" s="31"/>
      <c r="E948" s="31"/>
      <c r="F948" s="144"/>
      <c r="G948" s="31"/>
      <c r="H948" s="31"/>
      <c r="I948" s="31"/>
      <c r="J948" s="31"/>
      <c r="K948" s="22"/>
      <c r="L948" s="46"/>
      <c r="M948" s="146"/>
      <c r="N948" s="147"/>
      <c r="O948" s="147"/>
      <c r="P948" s="147"/>
      <c r="Q948" s="147"/>
    </row>
    <row r="949" ht="15.75" customHeight="1">
      <c r="A949" s="31"/>
      <c r="B949" s="31"/>
      <c r="C949" s="31"/>
      <c r="D949" s="31"/>
      <c r="E949" s="31"/>
      <c r="F949" s="144"/>
      <c r="G949" s="31"/>
      <c r="H949" s="31"/>
      <c r="I949" s="31"/>
      <c r="J949" s="31"/>
      <c r="K949" s="22"/>
      <c r="L949" s="46"/>
      <c r="M949" s="146"/>
      <c r="N949" s="147"/>
      <c r="O949" s="147"/>
      <c r="P949" s="147"/>
      <c r="Q949" s="147"/>
    </row>
    <row r="950" ht="15.75" customHeight="1">
      <c r="A950" s="31"/>
      <c r="B950" s="31"/>
      <c r="C950" s="31"/>
      <c r="D950" s="31"/>
      <c r="E950" s="31"/>
      <c r="F950" s="144"/>
      <c r="G950" s="31"/>
      <c r="H950" s="31"/>
      <c r="I950" s="31"/>
      <c r="J950" s="31"/>
      <c r="K950" s="22"/>
      <c r="L950" s="46"/>
      <c r="M950" s="146"/>
      <c r="N950" s="147"/>
      <c r="O950" s="147"/>
      <c r="P950" s="147"/>
      <c r="Q950" s="147"/>
    </row>
    <row r="951" ht="15.75" customHeight="1">
      <c r="A951" s="31"/>
      <c r="B951" s="31"/>
      <c r="C951" s="31"/>
      <c r="D951" s="31"/>
      <c r="E951" s="31"/>
      <c r="F951" s="144"/>
      <c r="G951" s="31"/>
      <c r="H951" s="31"/>
      <c r="I951" s="31"/>
      <c r="J951" s="31"/>
      <c r="K951" s="22"/>
      <c r="L951" s="46"/>
      <c r="M951" s="146"/>
      <c r="N951" s="147"/>
      <c r="O951" s="147"/>
      <c r="P951" s="147"/>
      <c r="Q951" s="147"/>
    </row>
    <row r="952" ht="15.75" customHeight="1">
      <c r="A952" s="31"/>
      <c r="B952" s="31"/>
      <c r="C952" s="31"/>
      <c r="D952" s="31"/>
      <c r="E952" s="31"/>
      <c r="F952" s="144"/>
      <c r="G952" s="31"/>
      <c r="H952" s="31"/>
      <c r="I952" s="31"/>
      <c r="J952" s="31"/>
      <c r="K952" s="22"/>
      <c r="L952" s="46"/>
      <c r="M952" s="146"/>
      <c r="N952" s="147"/>
      <c r="O952" s="147"/>
      <c r="P952" s="147"/>
      <c r="Q952" s="147"/>
    </row>
    <row r="953" ht="15.75" customHeight="1">
      <c r="A953" s="31"/>
      <c r="B953" s="31"/>
      <c r="C953" s="31"/>
      <c r="D953" s="31"/>
      <c r="E953" s="31"/>
      <c r="F953" s="144"/>
      <c r="G953" s="31"/>
      <c r="H953" s="31"/>
      <c r="I953" s="31"/>
      <c r="J953" s="31"/>
      <c r="K953" s="22"/>
      <c r="L953" s="46"/>
      <c r="M953" s="146"/>
      <c r="N953" s="147"/>
      <c r="O953" s="147"/>
      <c r="P953" s="147"/>
      <c r="Q953" s="147"/>
    </row>
    <row r="954" ht="15.75" customHeight="1">
      <c r="A954" s="31"/>
      <c r="B954" s="31"/>
      <c r="C954" s="31"/>
      <c r="D954" s="31"/>
      <c r="E954" s="31"/>
      <c r="F954" s="144"/>
      <c r="G954" s="31"/>
      <c r="H954" s="31"/>
      <c r="I954" s="31"/>
      <c r="J954" s="31"/>
      <c r="K954" s="22"/>
      <c r="L954" s="46"/>
      <c r="M954" s="146"/>
      <c r="N954" s="147"/>
      <c r="O954" s="147"/>
      <c r="P954" s="147"/>
      <c r="Q954" s="147"/>
    </row>
    <row r="955" ht="15.75" customHeight="1">
      <c r="A955" s="31"/>
      <c r="B955" s="31"/>
      <c r="C955" s="31"/>
      <c r="D955" s="31"/>
      <c r="E955" s="31"/>
      <c r="F955" s="144"/>
      <c r="G955" s="31"/>
      <c r="H955" s="31"/>
      <c r="I955" s="31"/>
      <c r="J955" s="31"/>
      <c r="K955" s="22"/>
      <c r="L955" s="46"/>
      <c r="M955" s="146"/>
      <c r="N955" s="147"/>
      <c r="O955" s="147"/>
      <c r="P955" s="147"/>
      <c r="Q955" s="147"/>
    </row>
    <row r="956" ht="15.75" customHeight="1">
      <c r="A956" s="31"/>
      <c r="B956" s="31"/>
      <c r="C956" s="31"/>
      <c r="D956" s="31"/>
      <c r="E956" s="31"/>
      <c r="F956" s="144"/>
      <c r="G956" s="31"/>
      <c r="H956" s="31"/>
      <c r="I956" s="31"/>
      <c r="J956" s="31"/>
      <c r="K956" s="22"/>
      <c r="L956" s="46"/>
      <c r="M956" s="146"/>
      <c r="N956" s="147"/>
      <c r="O956" s="147"/>
      <c r="P956" s="147"/>
      <c r="Q956" s="147"/>
    </row>
    <row r="957" ht="15.75" customHeight="1">
      <c r="A957" s="31"/>
      <c r="B957" s="31"/>
      <c r="C957" s="31"/>
      <c r="D957" s="31"/>
      <c r="E957" s="31"/>
      <c r="F957" s="144"/>
      <c r="G957" s="31"/>
      <c r="H957" s="31"/>
      <c r="I957" s="31"/>
      <c r="J957" s="31"/>
      <c r="K957" s="22"/>
      <c r="L957" s="46"/>
      <c r="M957" s="146"/>
      <c r="N957" s="147"/>
      <c r="O957" s="147"/>
      <c r="P957" s="147"/>
      <c r="Q957" s="147"/>
    </row>
    <row r="958" ht="15.75" customHeight="1">
      <c r="A958" s="31"/>
      <c r="B958" s="31"/>
      <c r="C958" s="31"/>
      <c r="D958" s="31"/>
      <c r="E958" s="31"/>
      <c r="F958" s="144"/>
      <c r="G958" s="31"/>
      <c r="H958" s="31"/>
      <c r="I958" s="31"/>
      <c r="J958" s="31"/>
      <c r="K958" s="22"/>
      <c r="L958" s="46"/>
      <c r="M958" s="146"/>
      <c r="N958" s="147"/>
      <c r="O958" s="147"/>
      <c r="P958" s="147"/>
      <c r="Q958" s="147"/>
    </row>
    <row r="959" ht="15.75" customHeight="1">
      <c r="A959" s="31"/>
      <c r="B959" s="31"/>
      <c r="C959" s="31"/>
      <c r="D959" s="31"/>
      <c r="E959" s="31"/>
      <c r="F959" s="144"/>
      <c r="G959" s="31"/>
      <c r="H959" s="31"/>
      <c r="I959" s="31"/>
      <c r="J959" s="31"/>
      <c r="K959" s="22"/>
      <c r="L959" s="46"/>
      <c r="M959" s="146"/>
      <c r="N959" s="147"/>
      <c r="O959" s="147"/>
      <c r="P959" s="147"/>
      <c r="Q959" s="147"/>
    </row>
    <row r="960" ht="15.75" customHeight="1">
      <c r="A960" s="31"/>
      <c r="B960" s="31"/>
      <c r="C960" s="31"/>
      <c r="D960" s="31"/>
      <c r="E960" s="31"/>
      <c r="F960" s="144"/>
      <c r="G960" s="31"/>
      <c r="H960" s="31"/>
      <c r="I960" s="31"/>
      <c r="J960" s="31"/>
      <c r="K960" s="22"/>
      <c r="L960" s="46"/>
      <c r="M960" s="146"/>
      <c r="N960" s="147"/>
      <c r="O960" s="147"/>
      <c r="P960" s="147"/>
      <c r="Q960" s="147"/>
    </row>
    <row r="961" ht="15.75" customHeight="1">
      <c r="A961" s="31"/>
      <c r="B961" s="31"/>
      <c r="C961" s="31"/>
      <c r="D961" s="31"/>
      <c r="E961" s="31"/>
      <c r="F961" s="144"/>
      <c r="G961" s="31"/>
      <c r="H961" s="31"/>
      <c r="I961" s="31"/>
      <c r="J961" s="31"/>
      <c r="K961" s="22"/>
      <c r="L961" s="46"/>
      <c r="M961" s="146"/>
      <c r="N961" s="147"/>
      <c r="O961" s="147"/>
      <c r="P961" s="147"/>
      <c r="Q961" s="147"/>
    </row>
    <row r="962" ht="15.75" customHeight="1">
      <c r="A962" s="31"/>
      <c r="B962" s="31"/>
      <c r="C962" s="31"/>
      <c r="D962" s="31"/>
      <c r="E962" s="31"/>
      <c r="F962" s="144"/>
      <c r="G962" s="31"/>
      <c r="H962" s="31"/>
      <c r="I962" s="31"/>
      <c r="J962" s="31"/>
      <c r="K962" s="22"/>
      <c r="L962" s="46"/>
      <c r="M962" s="146"/>
      <c r="N962" s="147"/>
      <c r="O962" s="147"/>
      <c r="P962" s="147"/>
      <c r="Q962" s="147"/>
    </row>
    <row r="963" ht="15.75" customHeight="1">
      <c r="A963" s="31"/>
      <c r="B963" s="31"/>
      <c r="C963" s="31"/>
      <c r="D963" s="31"/>
      <c r="E963" s="31"/>
      <c r="F963" s="144"/>
      <c r="G963" s="31"/>
      <c r="H963" s="31"/>
      <c r="I963" s="31"/>
      <c r="J963" s="31"/>
      <c r="K963" s="22"/>
      <c r="L963" s="46"/>
      <c r="M963" s="146"/>
      <c r="N963" s="147"/>
      <c r="O963" s="147"/>
      <c r="P963" s="147"/>
      <c r="Q963" s="147"/>
    </row>
    <row r="964" ht="15.75" customHeight="1">
      <c r="A964" s="31"/>
      <c r="B964" s="31"/>
      <c r="C964" s="31"/>
      <c r="D964" s="31"/>
      <c r="E964" s="31"/>
      <c r="F964" s="144"/>
      <c r="G964" s="31"/>
      <c r="H964" s="31"/>
      <c r="I964" s="31"/>
      <c r="J964" s="31"/>
      <c r="K964" s="22"/>
      <c r="L964" s="46"/>
      <c r="M964" s="146"/>
      <c r="N964" s="147"/>
      <c r="O964" s="147"/>
      <c r="P964" s="147"/>
      <c r="Q964" s="147"/>
    </row>
    <row r="965" ht="15.75" customHeight="1">
      <c r="A965" s="31"/>
      <c r="B965" s="31"/>
      <c r="C965" s="31"/>
      <c r="D965" s="31"/>
      <c r="E965" s="31"/>
      <c r="F965" s="144"/>
      <c r="G965" s="31"/>
      <c r="H965" s="31"/>
      <c r="I965" s="31"/>
      <c r="J965" s="31"/>
      <c r="K965" s="22"/>
      <c r="L965" s="46"/>
      <c r="M965" s="146"/>
      <c r="N965" s="147"/>
      <c r="O965" s="147"/>
      <c r="P965" s="147"/>
      <c r="Q965" s="147"/>
    </row>
    <row r="966" ht="15.75" customHeight="1">
      <c r="A966" s="31"/>
      <c r="B966" s="31"/>
      <c r="C966" s="31"/>
      <c r="D966" s="31"/>
      <c r="E966" s="31"/>
      <c r="F966" s="144"/>
      <c r="G966" s="31"/>
      <c r="H966" s="31"/>
      <c r="I966" s="31"/>
      <c r="J966" s="31"/>
      <c r="K966" s="22"/>
      <c r="L966" s="46"/>
      <c r="M966" s="146"/>
      <c r="N966" s="147"/>
      <c r="O966" s="147"/>
      <c r="P966" s="147"/>
      <c r="Q966" s="147"/>
    </row>
    <row r="967" ht="15.75" customHeight="1">
      <c r="A967" s="31"/>
      <c r="B967" s="31"/>
      <c r="C967" s="31"/>
      <c r="D967" s="31"/>
      <c r="E967" s="31"/>
      <c r="F967" s="144"/>
      <c r="G967" s="31"/>
      <c r="H967" s="31"/>
      <c r="I967" s="31"/>
      <c r="J967" s="31"/>
      <c r="K967" s="22"/>
      <c r="L967" s="46"/>
      <c r="M967" s="146"/>
      <c r="N967" s="147"/>
      <c r="O967" s="147"/>
      <c r="P967" s="147"/>
      <c r="Q967" s="147"/>
    </row>
    <row r="968" ht="15.75" customHeight="1">
      <c r="A968" s="31"/>
      <c r="B968" s="31"/>
      <c r="C968" s="31"/>
      <c r="D968" s="31"/>
      <c r="E968" s="31"/>
      <c r="F968" s="144"/>
      <c r="G968" s="31"/>
      <c r="H968" s="31"/>
      <c r="I968" s="31"/>
      <c r="J968" s="31"/>
      <c r="K968" s="22"/>
      <c r="L968" s="46"/>
      <c r="M968" s="146"/>
      <c r="N968" s="147"/>
      <c r="O968" s="147"/>
      <c r="P968" s="147"/>
      <c r="Q968" s="147"/>
    </row>
    <row r="969" ht="15.75" customHeight="1">
      <c r="A969" s="31"/>
      <c r="B969" s="31"/>
      <c r="C969" s="31"/>
      <c r="D969" s="31"/>
      <c r="E969" s="31"/>
      <c r="F969" s="144"/>
      <c r="G969" s="31"/>
      <c r="H969" s="31"/>
      <c r="I969" s="31"/>
      <c r="J969" s="31"/>
      <c r="K969" s="22"/>
      <c r="L969" s="46"/>
      <c r="M969" s="146"/>
      <c r="N969" s="147"/>
      <c r="O969" s="147"/>
      <c r="P969" s="147"/>
      <c r="Q969" s="147"/>
    </row>
    <row r="970" ht="15.75" customHeight="1">
      <c r="A970" s="31"/>
      <c r="B970" s="31"/>
      <c r="C970" s="31"/>
      <c r="D970" s="31"/>
      <c r="E970" s="31"/>
      <c r="F970" s="144"/>
      <c r="G970" s="31"/>
      <c r="H970" s="31"/>
      <c r="I970" s="31"/>
      <c r="J970" s="31"/>
      <c r="K970" s="22"/>
      <c r="L970" s="46"/>
      <c r="M970" s="146"/>
      <c r="N970" s="147"/>
      <c r="O970" s="147"/>
      <c r="P970" s="147"/>
      <c r="Q970" s="147"/>
    </row>
    <row r="971" ht="15.75" customHeight="1">
      <c r="A971" s="31"/>
      <c r="B971" s="31"/>
      <c r="C971" s="31"/>
      <c r="D971" s="31"/>
      <c r="E971" s="31"/>
      <c r="F971" s="144"/>
      <c r="G971" s="31"/>
      <c r="H971" s="31"/>
      <c r="I971" s="31"/>
      <c r="J971" s="31"/>
      <c r="K971" s="22"/>
      <c r="L971" s="46"/>
      <c r="M971" s="146"/>
      <c r="N971" s="147"/>
      <c r="O971" s="147"/>
      <c r="P971" s="147"/>
      <c r="Q971" s="147"/>
    </row>
    <row r="972" ht="15.75" customHeight="1">
      <c r="A972" s="31"/>
      <c r="B972" s="31"/>
      <c r="C972" s="31"/>
      <c r="D972" s="31"/>
      <c r="E972" s="31"/>
      <c r="F972" s="144"/>
      <c r="G972" s="31"/>
      <c r="H972" s="31"/>
      <c r="I972" s="31"/>
      <c r="J972" s="31"/>
      <c r="K972" s="22"/>
      <c r="L972" s="46"/>
      <c r="M972" s="146"/>
      <c r="N972" s="147"/>
      <c r="O972" s="147"/>
      <c r="P972" s="147"/>
      <c r="Q972" s="147"/>
    </row>
    <row r="973" ht="15.75" customHeight="1">
      <c r="A973" s="31"/>
      <c r="B973" s="31"/>
      <c r="C973" s="31"/>
      <c r="D973" s="31"/>
      <c r="E973" s="31"/>
      <c r="F973" s="144"/>
      <c r="G973" s="31"/>
      <c r="H973" s="31"/>
      <c r="I973" s="31"/>
      <c r="J973" s="31"/>
      <c r="K973" s="22"/>
      <c r="L973" s="46"/>
      <c r="M973" s="146"/>
      <c r="N973" s="147"/>
      <c r="O973" s="147"/>
      <c r="P973" s="147"/>
      <c r="Q973" s="147"/>
    </row>
    <row r="974" ht="15.75" customHeight="1">
      <c r="A974" s="31"/>
      <c r="B974" s="31"/>
      <c r="C974" s="31"/>
      <c r="D974" s="31"/>
      <c r="E974" s="31"/>
      <c r="F974" s="144"/>
      <c r="G974" s="31"/>
      <c r="H974" s="31"/>
      <c r="I974" s="31"/>
      <c r="J974" s="31"/>
      <c r="K974" s="22"/>
      <c r="L974" s="46"/>
      <c r="M974" s="146"/>
      <c r="N974" s="147"/>
      <c r="O974" s="147"/>
      <c r="P974" s="147"/>
      <c r="Q974" s="147"/>
    </row>
    <row r="975" ht="15.75" customHeight="1">
      <c r="A975" s="31"/>
      <c r="B975" s="31"/>
      <c r="C975" s="31"/>
      <c r="D975" s="31"/>
      <c r="E975" s="31"/>
      <c r="F975" s="144"/>
      <c r="G975" s="31"/>
      <c r="H975" s="31"/>
      <c r="I975" s="31"/>
      <c r="J975" s="31"/>
      <c r="K975" s="22"/>
      <c r="L975" s="46"/>
      <c r="M975" s="146"/>
      <c r="N975" s="147"/>
      <c r="O975" s="147"/>
      <c r="P975" s="147"/>
      <c r="Q975" s="147"/>
    </row>
    <row r="976" ht="15.75" customHeight="1">
      <c r="A976" s="31"/>
      <c r="B976" s="31"/>
      <c r="C976" s="31"/>
      <c r="D976" s="31"/>
      <c r="E976" s="31"/>
      <c r="F976" s="144"/>
      <c r="G976" s="31"/>
      <c r="H976" s="31"/>
      <c r="I976" s="31"/>
      <c r="J976" s="31"/>
      <c r="K976" s="22"/>
      <c r="L976" s="46"/>
      <c r="M976" s="146"/>
      <c r="N976" s="147"/>
      <c r="O976" s="147"/>
      <c r="P976" s="147"/>
      <c r="Q976" s="147"/>
    </row>
    <row r="977" ht="15.75" customHeight="1">
      <c r="A977" s="31"/>
      <c r="B977" s="31"/>
      <c r="C977" s="31"/>
      <c r="D977" s="31"/>
      <c r="E977" s="31"/>
      <c r="F977" s="144"/>
      <c r="G977" s="31"/>
      <c r="H977" s="31"/>
      <c r="I977" s="31"/>
      <c r="J977" s="31"/>
      <c r="K977" s="22"/>
      <c r="L977" s="46"/>
      <c r="M977" s="146"/>
      <c r="N977" s="147"/>
      <c r="O977" s="147"/>
      <c r="P977" s="147"/>
      <c r="Q977" s="147"/>
    </row>
    <row r="978" ht="15.75" customHeight="1">
      <c r="A978" s="31"/>
      <c r="B978" s="31"/>
      <c r="C978" s="31"/>
      <c r="D978" s="31"/>
      <c r="E978" s="31"/>
      <c r="F978" s="144"/>
      <c r="G978" s="31"/>
      <c r="H978" s="31"/>
      <c r="I978" s="31"/>
      <c r="J978" s="31"/>
      <c r="K978" s="22"/>
      <c r="L978" s="46"/>
      <c r="M978" s="146"/>
      <c r="N978" s="147"/>
      <c r="O978" s="147"/>
      <c r="P978" s="147"/>
      <c r="Q978" s="147"/>
    </row>
    <row r="979" ht="15.75" customHeight="1">
      <c r="A979" s="31"/>
      <c r="B979" s="31"/>
      <c r="C979" s="31"/>
      <c r="D979" s="31"/>
      <c r="E979" s="31"/>
      <c r="F979" s="144"/>
      <c r="G979" s="31"/>
      <c r="H979" s="31"/>
      <c r="I979" s="31"/>
      <c r="J979" s="31"/>
      <c r="K979" s="22"/>
      <c r="L979" s="46"/>
      <c r="M979" s="146"/>
      <c r="N979" s="147"/>
      <c r="O979" s="147"/>
      <c r="P979" s="147"/>
      <c r="Q979" s="147"/>
    </row>
    <row r="980" ht="15.75" customHeight="1">
      <c r="A980" s="31"/>
      <c r="B980" s="31"/>
      <c r="C980" s="31"/>
      <c r="D980" s="31"/>
      <c r="E980" s="31"/>
      <c r="F980" s="144"/>
      <c r="G980" s="31"/>
      <c r="H980" s="31"/>
      <c r="I980" s="31"/>
      <c r="J980" s="31"/>
      <c r="K980" s="22"/>
      <c r="L980" s="46"/>
      <c r="M980" s="146"/>
      <c r="N980" s="147"/>
      <c r="O980" s="147"/>
      <c r="P980" s="147"/>
      <c r="Q980" s="147"/>
    </row>
    <row r="981" ht="15.75" customHeight="1">
      <c r="A981" s="31"/>
      <c r="B981" s="31"/>
      <c r="C981" s="31"/>
      <c r="D981" s="31"/>
      <c r="E981" s="31"/>
      <c r="F981" s="144"/>
      <c r="G981" s="31"/>
      <c r="H981" s="31"/>
      <c r="I981" s="31"/>
      <c r="J981" s="31"/>
      <c r="K981" s="22"/>
      <c r="L981" s="46"/>
      <c r="M981" s="146"/>
      <c r="N981" s="147"/>
      <c r="O981" s="147"/>
      <c r="P981" s="147"/>
      <c r="Q981" s="147"/>
    </row>
    <row r="982" ht="15.75" customHeight="1">
      <c r="A982" s="31"/>
      <c r="B982" s="31"/>
      <c r="C982" s="31"/>
      <c r="D982" s="31"/>
      <c r="E982" s="31"/>
      <c r="F982" s="144"/>
      <c r="G982" s="31"/>
      <c r="H982" s="31"/>
      <c r="I982" s="31"/>
      <c r="J982" s="31"/>
      <c r="K982" s="22"/>
      <c r="L982" s="46"/>
      <c r="M982" s="146"/>
      <c r="N982" s="147"/>
      <c r="O982" s="147"/>
      <c r="P982" s="147"/>
      <c r="Q982" s="147"/>
    </row>
    <row r="983" ht="15.75" customHeight="1">
      <c r="A983" s="31"/>
      <c r="B983" s="31"/>
      <c r="C983" s="31"/>
      <c r="D983" s="31"/>
      <c r="E983" s="31"/>
      <c r="F983" s="144"/>
      <c r="G983" s="31"/>
      <c r="H983" s="31"/>
      <c r="I983" s="31"/>
      <c r="J983" s="31"/>
      <c r="K983" s="22"/>
      <c r="L983" s="46"/>
      <c r="M983" s="146"/>
      <c r="N983" s="147"/>
      <c r="O983" s="147"/>
      <c r="P983" s="147"/>
      <c r="Q983" s="147"/>
    </row>
    <row r="984" ht="15.75" customHeight="1">
      <c r="A984" s="31"/>
      <c r="B984" s="31"/>
      <c r="C984" s="31"/>
      <c r="D984" s="31"/>
      <c r="E984" s="31"/>
      <c r="F984" s="144"/>
      <c r="G984" s="31"/>
      <c r="H984" s="31"/>
      <c r="I984" s="31"/>
      <c r="J984" s="31"/>
      <c r="K984" s="22"/>
      <c r="L984" s="46"/>
      <c r="M984" s="146"/>
      <c r="N984" s="147"/>
      <c r="O984" s="147"/>
      <c r="P984" s="147"/>
      <c r="Q984" s="147"/>
    </row>
    <row r="985" ht="15.75" customHeight="1">
      <c r="A985" s="31"/>
      <c r="B985" s="31"/>
      <c r="C985" s="31"/>
      <c r="D985" s="31"/>
      <c r="E985" s="31"/>
      <c r="F985" s="144"/>
      <c r="G985" s="31"/>
      <c r="H985" s="31"/>
      <c r="I985" s="31"/>
      <c r="J985" s="31"/>
      <c r="K985" s="22"/>
      <c r="L985" s="46"/>
      <c r="M985" s="146"/>
      <c r="N985" s="147"/>
      <c r="O985" s="147"/>
      <c r="P985" s="147"/>
      <c r="Q985" s="147"/>
    </row>
    <row r="986" ht="15.75" customHeight="1">
      <c r="A986" s="31"/>
      <c r="B986" s="31"/>
      <c r="C986" s="31"/>
      <c r="D986" s="31"/>
      <c r="E986" s="31"/>
      <c r="F986" s="144"/>
      <c r="G986" s="31"/>
      <c r="H986" s="31"/>
      <c r="I986" s="31"/>
      <c r="J986" s="31"/>
      <c r="K986" s="22"/>
      <c r="L986" s="46"/>
      <c r="M986" s="146"/>
      <c r="N986" s="147"/>
      <c r="O986" s="147"/>
      <c r="P986" s="147"/>
      <c r="Q986" s="147"/>
    </row>
    <row r="987" ht="15.75" customHeight="1">
      <c r="A987" s="31"/>
      <c r="B987" s="31"/>
      <c r="C987" s="31"/>
      <c r="D987" s="31"/>
      <c r="E987" s="31"/>
      <c r="F987" s="144"/>
      <c r="G987" s="31"/>
      <c r="H987" s="31"/>
      <c r="I987" s="31"/>
      <c r="J987" s="31"/>
      <c r="K987" s="22"/>
      <c r="L987" s="46"/>
      <c r="M987" s="146"/>
      <c r="N987" s="147"/>
      <c r="O987" s="147"/>
      <c r="P987" s="147"/>
      <c r="Q987" s="147"/>
    </row>
    <row r="988" ht="15.75" customHeight="1">
      <c r="A988" s="31"/>
      <c r="B988" s="31"/>
      <c r="C988" s="31"/>
      <c r="D988" s="31"/>
      <c r="E988" s="31"/>
      <c r="F988" s="144"/>
      <c r="G988" s="31"/>
      <c r="H988" s="31"/>
      <c r="I988" s="31"/>
      <c r="J988" s="31"/>
      <c r="K988" s="22"/>
      <c r="L988" s="46"/>
      <c r="M988" s="146"/>
      <c r="N988" s="147"/>
      <c r="O988" s="147"/>
      <c r="P988" s="147"/>
      <c r="Q988" s="147"/>
    </row>
    <row r="989" ht="15.75" customHeight="1">
      <c r="A989" s="31"/>
      <c r="B989" s="31"/>
      <c r="C989" s="31"/>
      <c r="D989" s="31"/>
      <c r="E989" s="31"/>
      <c r="F989" s="144"/>
      <c r="G989" s="31"/>
      <c r="H989" s="31"/>
      <c r="I989" s="31"/>
      <c r="J989" s="31"/>
      <c r="K989" s="22"/>
      <c r="L989" s="46"/>
      <c r="M989" s="146"/>
      <c r="N989" s="147"/>
      <c r="O989" s="147"/>
      <c r="P989" s="147"/>
      <c r="Q989" s="147"/>
    </row>
    <row r="990" ht="15.75" customHeight="1">
      <c r="A990" s="31"/>
      <c r="B990" s="31"/>
      <c r="C990" s="31"/>
      <c r="D990" s="31"/>
      <c r="E990" s="31"/>
      <c r="F990" s="144"/>
      <c r="G990" s="31"/>
      <c r="H990" s="31"/>
      <c r="I990" s="31"/>
      <c r="J990" s="31"/>
      <c r="K990" s="22"/>
      <c r="L990" s="46"/>
      <c r="M990" s="146"/>
      <c r="N990" s="147"/>
      <c r="O990" s="147"/>
      <c r="P990" s="147"/>
      <c r="Q990" s="147"/>
    </row>
    <row r="991" ht="15.75" customHeight="1">
      <c r="A991" s="31"/>
      <c r="B991" s="31"/>
      <c r="C991" s="31"/>
      <c r="D991" s="31"/>
      <c r="E991" s="31"/>
      <c r="F991" s="144"/>
      <c r="G991" s="31"/>
      <c r="H991" s="31"/>
      <c r="I991" s="31"/>
      <c r="J991" s="31"/>
      <c r="K991" s="22"/>
      <c r="L991" s="46"/>
      <c r="M991" s="146"/>
      <c r="N991" s="147"/>
      <c r="O991" s="147"/>
      <c r="P991" s="147"/>
      <c r="Q991" s="147"/>
    </row>
    <row r="992" ht="15.75" customHeight="1">
      <c r="A992" s="31"/>
      <c r="B992" s="31"/>
      <c r="C992" s="31"/>
      <c r="D992" s="31"/>
      <c r="E992" s="31"/>
      <c r="F992" s="144"/>
      <c r="G992" s="31"/>
      <c r="H992" s="31"/>
      <c r="I992" s="31"/>
      <c r="J992" s="31"/>
      <c r="K992" s="22"/>
      <c r="L992" s="46"/>
      <c r="M992" s="146"/>
      <c r="N992" s="147"/>
      <c r="O992" s="147"/>
      <c r="P992" s="147"/>
      <c r="Q992" s="147"/>
    </row>
    <row r="993" ht="15.75" customHeight="1">
      <c r="A993" s="31"/>
      <c r="B993" s="31"/>
      <c r="C993" s="31"/>
      <c r="D993" s="31"/>
      <c r="E993" s="31"/>
      <c r="F993" s="144"/>
      <c r="G993" s="31"/>
      <c r="H993" s="31"/>
      <c r="I993" s="31"/>
      <c r="J993" s="31"/>
      <c r="K993" s="22"/>
      <c r="L993" s="46"/>
      <c r="M993" s="146"/>
      <c r="N993" s="147"/>
      <c r="O993" s="147"/>
      <c r="P993" s="147"/>
      <c r="Q993" s="147"/>
    </row>
    <row r="994" ht="15.75" customHeight="1">
      <c r="A994" s="31"/>
      <c r="B994" s="31"/>
      <c r="C994" s="31"/>
      <c r="D994" s="31"/>
      <c r="E994" s="31"/>
      <c r="F994" s="144"/>
      <c r="G994" s="31"/>
      <c r="H994" s="31"/>
      <c r="I994" s="31"/>
      <c r="J994" s="31"/>
      <c r="K994" s="22"/>
      <c r="L994" s="46"/>
      <c r="M994" s="146"/>
      <c r="N994" s="147"/>
      <c r="O994" s="147"/>
      <c r="P994" s="147"/>
      <c r="Q994" s="147"/>
    </row>
    <row r="995" ht="15.75" customHeight="1">
      <c r="A995" s="31"/>
      <c r="B995" s="31"/>
      <c r="C995" s="31"/>
      <c r="D995" s="31"/>
      <c r="E995" s="31"/>
      <c r="F995" s="144"/>
      <c r="G995" s="31"/>
      <c r="H995" s="31"/>
      <c r="I995" s="31"/>
      <c r="J995" s="31"/>
      <c r="K995" s="22"/>
      <c r="L995" s="46"/>
      <c r="M995" s="146"/>
      <c r="N995" s="147"/>
      <c r="O995" s="147"/>
      <c r="P995" s="147"/>
      <c r="Q995" s="147"/>
    </row>
    <row r="996" ht="15.75" customHeight="1">
      <c r="A996" s="31"/>
      <c r="B996" s="31"/>
      <c r="C996" s="31"/>
      <c r="D996" s="31"/>
      <c r="E996" s="31"/>
      <c r="F996" s="144"/>
      <c r="G996" s="31"/>
      <c r="H996" s="31"/>
      <c r="I996" s="31"/>
      <c r="J996" s="31"/>
      <c r="K996" s="22"/>
      <c r="L996" s="46"/>
      <c r="M996" s="146"/>
      <c r="N996" s="147"/>
      <c r="O996" s="147"/>
      <c r="P996" s="147"/>
      <c r="Q996" s="147"/>
    </row>
    <row r="997" ht="15.75" customHeight="1">
      <c r="A997" s="31"/>
      <c r="B997" s="31"/>
      <c r="C997" s="31"/>
      <c r="D997" s="31"/>
      <c r="E997" s="31"/>
      <c r="F997" s="144"/>
      <c r="G997" s="31"/>
      <c r="H997" s="31"/>
      <c r="I997" s="31"/>
      <c r="J997" s="31"/>
      <c r="K997" s="22"/>
      <c r="L997" s="46"/>
      <c r="M997" s="146"/>
      <c r="N997" s="147"/>
      <c r="O997" s="147"/>
      <c r="P997" s="147"/>
      <c r="Q997" s="147"/>
    </row>
    <row r="998" ht="15.75" customHeight="1">
      <c r="A998" s="31"/>
      <c r="B998" s="31"/>
      <c r="C998" s="31"/>
      <c r="D998" s="31"/>
      <c r="E998" s="31"/>
      <c r="F998" s="144"/>
      <c r="G998" s="31"/>
      <c r="H998" s="31"/>
      <c r="I998" s="31"/>
      <c r="J998" s="31"/>
      <c r="K998" s="22"/>
      <c r="L998" s="46"/>
      <c r="M998" s="146"/>
      <c r="N998" s="147"/>
      <c r="O998" s="147"/>
      <c r="P998" s="147"/>
      <c r="Q998" s="147"/>
    </row>
    <row r="999" ht="15.75" customHeight="1">
      <c r="A999" s="31"/>
      <c r="B999" s="31"/>
      <c r="C999" s="31"/>
      <c r="D999" s="31"/>
      <c r="E999" s="31"/>
      <c r="F999" s="144"/>
      <c r="G999" s="31"/>
      <c r="H999" s="31"/>
      <c r="I999" s="31"/>
      <c r="J999" s="31"/>
      <c r="K999" s="22"/>
      <c r="L999" s="46"/>
      <c r="M999" s="146"/>
      <c r="N999" s="147"/>
      <c r="O999" s="147"/>
      <c r="P999" s="147"/>
      <c r="Q999" s="147"/>
    </row>
    <row r="1000" ht="15.75" customHeight="1">
      <c r="A1000" s="31"/>
      <c r="B1000" s="31"/>
      <c r="C1000" s="31"/>
      <c r="D1000" s="31"/>
      <c r="E1000" s="31"/>
      <c r="F1000" s="144"/>
      <c r="G1000" s="31"/>
      <c r="H1000" s="31"/>
      <c r="I1000" s="31"/>
      <c r="J1000" s="31"/>
      <c r="K1000" s="22"/>
      <c r="L1000" s="46"/>
      <c r="M1000" s="146"/>
      <c r="N1000" s="147"/>
      <c r="O1000" s="147"/>
      <c r="P1000" s="147"/>
      <c r="Q1000" s="147"/>
    </row>
    <row r="1001" ht="15.75" customHeight="1">
      <c r="A1001" s="31"/>
      <c r="B1001" s="31"/>
      <c r="C1001" s="31"/>
      <c r="D1001" s="31"/>
      <c r="E1001" s="31"/>
      <c r="F1001" s="144"/>
      <c r="G1001" s="31"/>
      <c r="H1001" s="31"/>
      <c r="I1001" s="31"/>
      <c r="J1001" s="31"/>
      <c r="K1001" s="22"/>
      <c r="L1001" s="46"/>
      <c r="M1001" s="146"/>
      <c r="N1001" s="147"/>
      <c r="O1001" s="147"/>
      <c r="P1001" s="147"/>
      <c r="Q1001" s="147"/>
    </row>
  </sheetData>
  <mergeCells count="30">
    <mergeCell ref="A3:I3"/>
    <mergeCell ref="N3:Q3"/>
    <mergeCell ref="A32:I32"/>
    <mergeCell ref="I33:I51"/>
    <mergeCell ref="J33:J51"/>
    <mergeCell ref="I56:I58"/>
    <mergeCell ref="A89:I89"/>
    <mergeCell ref="A111:I111"/>
    <mergeCell ref="J56:J58"/>
    <mergeCell ref="L90:L109"/>
    <mergeCell ref="M90:M109"/>
    <mergeCell ref="I112:I124"/>
    <mergeCell ref="J112:J124"/>
    <mergeCell ref="L112:L114"/>
    <mergeCell ref="M112:M114"/>
    <mergeCell ref="L142:L145"/>
    <mergeCell ref="A147:I147"/>
    <mergeCell ref="L156:L157"/>
    <mergeCell ref="M156:M157"/>
    <mergeCell ref="A163:I163"/>
    <mergeCell ref="I167:I172"/>
    <mergeCell ref="J167:J172"/>
    <mergeCell ref="A187:I187"/>
    <mergeCell ref="L130:L132"/>
    <mergeCell ref="M130:M132"/>
    <mergeCell ref="L133:L135"/>
    <mergeCell ref="M133:M135"/>
    <mergeCell ref="L136:L139"/>
    <mergeCell ref="M136:M139"/>
    <mergeCell ref="M142:M145"/>
  </mergeCells>
  <hyperlinks>
    <hyperlink display="国家" location="'国家-nation'!A1" ref="G28"/>
  </hyperlink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7.0"/>
    <col customWidth="1" min="2" max="2" width="27.57"/>
    <col customWidth="1" min="3" max="3" width="22.57"/>
    <col customWidth="1" min="4" max="4" width="14.43"/>
    <col customWidth="1" min="5" max="6" width="13.43"/>
    <col customWidth="1" min="7" max="7" width="18.86"/>
    <col customWidth="1" min="8" max="9" width="19.29"/>
    <col customWidth="1" min="10" max="10" width="31.43"/>
    <col customWidth="1" min="11" max="11" width="45.57"/>
    <col customWidth="1" min="12" max="12" width="15.86"/>
    <col customWidth="1" min="13" max="13" width="9.0"/>
    <col customWidth="1" min="14" max="14" width="42.57"/>
    <col customWidth="1" min="15" max="16" width="24.86"/>
    <col customWidth="1" min="17" max="17" width="5.43"/>
    <col customWidth="1" min="18" max="18" width="5.86"/>
    <col customWidth="1" min="19" max="20" width="6.14"/>
    <col customWidth="1" min="21" max="31" width="9.0"/>
  </cols>
  <sheetData>
    <row r="1" ht="15.75" customHeight="1">
      <c r="A1" s="33" t="str">
        <f>IFERROR(__xludf.DUMMYFUNCTION("GOOGLETRANSLATE(A2, ""zh_CN"", ""en"")"),"name")</f>
        <v>name</v>
      </c>
      <c r="B1" s="33" t="str">
        <f>IFERROR(__xludf.DUMMYFUNCTION("GOOGLETRANSLATE(B2, ""zh_CN"", ""en"")"),"Translation")</f>
        <v>Translation</v>
      </c>
      <c r="C1" s="33" t="str">
        <f>IFERROR(__xludf.DUMMYFUNCTION("GOOGLETRANSLATE(C2, ""zh_CN"", ""en"")"),"English")</f>
        <v>English</v>
      </c>
      <c r="D1" s="33" t="str">
        <f>IFERROR(__xludf.DUMMYFUNCTION("GOOGLETRANSLATE(D2, ""zh_CN"", ""en"")"),"address")</f>
        <v>address</v>
      </c>
      <c r="E1" s="33" t="str">
        <f>IFERROR(__xludf.DUMMYFUNCTION("GOOGLETRANSLATE(E2, ""zh_CN"", ""en"")"),"data type")</f>
        <v>data type</v>
      </c>
      <c r="F1" s="33" t="str">
        <f>IFERROR(__xludf.DUMMYFUNCTION("GOOGLETRANSLATE(F2, ""zh_CN"", ""en"")"),"Number of bytes")</f>
        <v>Number of bytes</v>
      </c>
      <c r="G1" s="33" t="str">
        <f>IFERROR(__xludf.DUMMYFUNCTION("GOOGLETRANSLATE(G2, ""zh_CN"", ""en"")"),"data range")</f>
        <v>data range</v>
      </c>
      <c r="H1" s="33"/>
      <c r="I1" s="33" t="str">
        <f>IFERROR(__xludf.DUMMYFUNCTION("GOOGLETRANSLATE(I2, ""zh_CN"", ""en"")"),"unit")</f>
        <v>unit</v>
      </c>
      <c r="J1" s="33" t="str">
        <f>IFERROR(__xludf.DUMMYFUNCTION("GOOGLETRANSLATE(J2, ""zh_CN"", ""en"")"),"Remark")</f>
        <v>Remark</v>
      </c>
      <c r="K1" s="33"/>
      <c r="L1" s="33" t="str">
        <f>IFERROR(__xludf.DUMMYFUNCTION("GOOGLETRANSLATE(L2, ""zh_CN"", ""en"")"),"Whether to store to external flash")</f>
        <v>Whether to store to external flash</v>
      </c>
      <c r="M1" s="33"/>
      <c r="N1" s="33" t="str">
        <f>IFERROR(__xludf.DUMMYFUNCTION("GOOGLETRANSLATE(N2, ""zh_CN"", ""en"")"),"Revise")</f>
        <v>Revise</v>
      </c>
      <c r="O1" s="33"/>
      <c r="P1" s="33" t="str">
        <f>IFERROR(__xludf.DUMMYFUNCTION("GOOGLETRANSLATE(P2, ""zh_CN"", ""en"")"),"variable name")</f>
        <v>variable name</v>
      </c>
      <c r="Q1" s="36"/>
      <c r="R1" s="36"/>
      <c r="S1" s="36"/>
      <c r="T1" s="36"/>
    </row>
    <row r="2" ht="15.75" customHeight="1">
      <c r="A2" s="38" t="s">
        <v>927</v>
      </c>
      <c r="B2" s="149" t="s">
        <v>2</v>
      </c>
      <c r="C2" s="38" t="s">
        <v>928</v>
      </c>
      <c r="D2" s="38" t="s">
        <v>929</v>
      </c>
      <c r="E2" s="38" t="s">
        <v>930</v>
      </c>
      <c r="F2" s="38" t="s">
        <v>931</v>
      </c>
      <c r="G2" s="38" t="s">
        <v>932</v>
      </c>
      <c r="H2" s="149" t="s">
        <v>2</v>
      </c>
      <c r="I2" s="38" t="s">
        <v>933</v>
      </c>
      <c r="J2" s="38" t="s">
        <v>934</v>
      </c>
      <c r="K2" s="38"/>
      <c r="L2" s="38" t="s">
        <v>935</v>
      </c>
      <c r="M2" s="149" t="s">
        <v>2</v>
      </c>
      <c r="N2" s="150" t="s">
        <v>936</v>
      </c>
      <c r="O2" s="149" t="s">
        <v>2</v>
      </c>
      <c r="P2" s="150" t="s">
        <v>937</v>
      </c>
      <c r="Q2" s="41" t="s">
        <v>87</v>
      </c>
      <c r="R2" s="41" t="s">
        <v>88</v>
      </c>
      <c r="S2" s="41" t="s">
        <v>89</v>
      </c>
      <c r="T2" s="41" t="s">
        <v>90</v>
      </c>
    </row>
    <row r="3" ht="15.75" customHeight="1">
      <c r="A3" s="151" t="s">
        <v>938</v>
      </c>
      <c r="B3" s="43"/>
      <c r="C3" s="43"/>
      <c r="D3" s="43"/>
      <c r="E3" s="43"/>
      <c r="F3" s="43"/>
      <c r="G3" s="43"/>
      <c r="H3" s="43"/>
      <c r="I3" s="43"/>
      <c r="J3" s="44"/>
      <c r="K3" s="152"/>
      <c r="L3" s="152"/>
      <c r="M3" s="152"/>
      <c r="N3" s="152"/>
      <c r="O3" s="152"/>
      <c r="P3" s="152"/>
      <c r="Q3" s="153" t="s">
        <v>939</v>
      </c>
      <c r="R3" s="43"/>
      <c r="S3" s="43"/>
      <c r="T3" s="44"/>
    </row>
    <row r="4" ht="15.75" customHeight="1">
      <c r="A4" s="136" t="s">
        <v>940</v>
      </c>
      <c r="B4" s="154" t="str">
        <f>IFERROR(__xludf.DUMMYFUNCTION("GOOGLETRANSLATE(A4,""zh-CN"", ""en"")"),"Rated active power")</f>
        <v>Rated active power</v>
      </c>
      <c r="C4" s="136" t="s">
        <v>941</v>
      </c>
      <c r="D4" s="136" t="s">
        <v>942</v>
      </c>
      <c r="E4" s="136" t="s">
        <v>110</v>
      </c>
      <c r="F4" s="137">
        <v>4.0</v>
      </c>
      <c r="G4" s="136"/>
      <c r="H4" s="155"/>
      <c r="I4" s="155" t="s">
        <v>286</v>
      </c>
      <c r="J4" s="136"/>
      <c r="K4" s="136" t="str">
        <f>IFERROR(__xludf.DUMMYFUNCTION("GOOGLETRANSLATE(J4,""zh-CN"", ""en"")"),"#VALUE!")</f>
        <v>#VALUE!</v>
      </c>
      <c r="L4" s="136"/>
      <c r="M4" s="136"/>
      <c r="N4" s="136"/>
      <c r="O4" s="136"/>
      <c r="P4" s="136" t="s">
        <v>943</v>
      </c>
      <c r="Q4" s="55" t="s">
        <v>944</v>
      </c>
      <c r="R4" s="55" t="s">
        <v>99</v>
      </c>
      <c r="S4" s="55" t="s">
        <v>945</v>
      </c>
      <c r="T4" s="55" t="s">
        <v>946</v>
      </c>
    </row>
    <row r="5" ht="15.75" customHeight="1">
      <c r="A5" s="136" t="s">
        <v>947</v>
      </c>
      <c r="B5" s="154" t="str">
        <f>IFERROR(__xludf.DUMMYFUNCTION("GOOGLETRANSLATE(A5,""zh-CN"", ""en"")"),"Rated apparent power")</f>
        <v>Rated apparent power</v>
      </c>
      <c r="C5" s="136" t="s">
        <v>108</v>
      </c>
      <c r="D5" s="136" t="s">
        <v>948</v>
      </c>
      <c r="E5" s="136" t="s">
        <v>110</v>
      </c>
      <c r="F5" s="137">
        <v>4.0</v>
      </c>
      <c r="G5" s="136"/>
      <c r="H5" s="155"/>
      <c r="I5" s="155" t="s">
        <v>311</v>
      </c>
      <c r="J5" s="136"/>
      <c r="K5" s="136"/>
      <c r="L5" s="136"/>
      <c r="M5" s="136"/>
      <c r="N5" s="136"/>
      <c r="O5" s="136"/>
      <c r="P5" s="136" t="s">
        <v>949</v>
      </c>
      <c r="Q5" s="55" t="s">
        <v>950</v>
      </c>
      <c r="R5" s="55" t="s">
        <v>99</v>
      </c>
      <c r="S5" s="55" t="s">
        <v>951</v>
      </c>
      <c r="T5" s="55" t="s">
        <v>952</v>
      </c>
    </row>
    <row r="6" ht="15.75" customHeight="1">
      <c r="A6" s="136" t="s">
        <v>953</v>
      </c>
      <c r="B6" s="154" t="str">
        <f>IFERROR(__xludf.DUMMYFUNCTION("GOOGLETRANSLATE(A6,""zh-CN"", ""en"")"),"Country selection")</f>
        <v>Country selection</v>
      </c>
      <c r="C6" s="136" t="s">
        <v>190</v>
      </c>
      <c r="D6" s="136" t="s">
        <v>954</v>
      </c>
      <c r="E6" s="136" t="s">
        <v>104</v>
      </c>
      <c r="F6" s="137">
        <v>2.0</v>
      </c>
      <c r="G6" s="156" t="s">
        <v>192</v>
      </c>
      <c r="H6" s="136" t="str">
        <f>IFERROR(__xludf.DUMMYFUNCTION("GOOGLETRANSLATE(G6,""zh-CN"", ""en"")"),"nation")</f>
        <v>nation</v>
      </c>
      <c r="I6" s="136"/>
      <c r="J6" s="136" t="s">
        <v>955</v>
      </c>
      <c r="K6" s="136" t="str">
        <f>IFERROR(__xludf.DUMMYFUNCTION("GOOGLETRANSLATE(J6,""zh-CN"", ""en"")"),"After setting, you need to restart the inverter.")</f>
        <v>After setting, you need to restart the inverter.</v>
      </c>
      <c r="L6" s="136" t="s">
        <v>956</v>
      </c>
      <c r="M6" s="136" t="str">
        <f>IFERROR(__xludf.DUMMYFUNCTION("GOOGLETRANSLATE(L6,""zh-CN"", ""en"")"),"yes")</f>
        <v>yes</v>
      </c>
      <c r="N6" s="136"/>
      <c r="O6" s="136"/>
      <c r="P6" s="136" t="s">
        <v>957</v>
      </c>
      <c r="Q6" s="55" t="s">
        <v>958</v>
      </c>
      <c r="R6" s="55" t="s">
        <v>99</v>
      </c>
      <c r="S6" s="55" t="s">
        <v>959</v>
      </c>
      <c r="T6" s="55" t="s">
        <v>960</v>
      </c>
    </row>
    <row r="7" ht="15.75" customHeight="1">
      <c r="A7" s="136" t="s">
        <v>961</v>
      </c>
      <c r="B7" s="154" t="str">
        <f>IFERROR(__xludf.DUMMYFUNCTION("GOOGLETRANSLATE(A7,""zh-CN"", ""en"")"),"PV input mode")</f>
        <v>PV input mode</v>
      </c>
      <c r="C7" s="136" t="s">
        <v>962</v>
      </c>
      <c r="D7" s="136" t="s">
        <v>963</v>
      </c>
      <c r="E7" s="136" t="s">
        <v>104</v>
      </c>
      <c r="F7" s="137">
        <v>2.0</v>
      </c>
      <c r="G7" s="136"/>
      <c r="H7" s="136"/>
      <c r="I7" s="136"/>
      <c r="J7" s="136" t="s">
        <v>964</v>
      </c>
      <c r="K7" s="136" t="str">
        <f>IFERROR(__xludf.DUMMYFUNCTION("GOOGLETRANSLATE(J7,""zh-CN"", ""en"")"),"0: independent
1: Parallel connection
2: No PV")</f>
        <v>0: independent
1: Parallel connection
2: No PV</v>
      </c>
      <c r="L7" s="136" t="s">
        <v>965</v>
      </c>
      <c r="M7" s="136" t="str">
        <f>IFERROR(__xludf.DUMMYFUNCTION("GOOGLETRANSLATE(L7,""zh-CN"", ""en"")"),"yes")</f>
        <v>yes</v>
      </c>
      <c r="N7" s="157" t="s">
        <v>966</v>
      </c>
      <c r="O7" s="136" t="str">
        <f>IFERROR(__xludf.DUMMYFUNCTION("GOOGLETRANSLATE(N7,""zh-CN"", ""en"")"),"Added 2: No PV")</f>
        <v>Added 2: No PV</v>
      </c>
      <c r="P7" s="136" t="s">
        <v>967</v>
      </c>
      <c r="Q7" s="55" t="s">
        <v>968</v>
      </c>
      <c r="R7" s="55" t="s">
        <v>99</v>
      </c>
      <c r="S7" s="55" t="s">
        <v>969</v>
      </c>
      <c r="T7" s="55" t="s">
        <v>970</v>
      </c>
    </row>
    <row r="8" ht="15.75" customHeight="1">
      <c r="A8" s="157" t="s">
        <v>971</v>
      </c>
      <c r="B8" s="154" t="str">
        <f>IFERROR(__xludf.DUMMYFUNCTION("GOOGLETRANSLATE(A8,""zh-CN"", ""en"")"),"Run function enable")</f>
        <v>Run function enable</v>
      </c>
      <c r="C8" s="136" t="s">
        <v>972</v>
      </c>
      <c r="D8" s="136" t="s">
        <v>973</v>
      </c>
      <c r="E8" s="136" t="s">
        <v>110</v>
      </c>
      <c r="F8" s="137">
        <v>4.0</v>
      </c>
      <c r="G8" s="136"/>
      <c r="H8" s="136"/>
      <c r="I8" s="136"/>
      <c r="J8" s="136" t="s">
        <v>974</v>
      </c>
      <c r="K8" s="157" t="str">
        <f>IFERROR(__xludf.DUMMYFUNCTION("GOOGLETRANSLATE(J8,""zh-CN"", ""en"")"),"B0: On/off machine
B1:Soft start enable
B2:Power soft
B3:EPS Mode enable
B4:Timing AC charge enable
B5:Timing charge enable
B6:Timing discharge enable
B7:JET simulating test
B8:DRMS enable
B9:ripple control
B10: Grid high voltage load reduction
B11: Grid "&amp;"low voltage load boosting
B12: Grid overfrequency and load reduction
B13: Grid underfrequency and load increase
B14:HVRT
B15:LVRT
B16:Timing Forbid discharge enable
B17~B31 Reseved")</f>
        <v>B0: On/off machine
B1:Soft start enable
B2:Power soft
B3:EPS Mode enable
B4:Timing AC charge enable
B5:Timing charge enable
B6:Timing discharge enable
B7:JET simulating test
B8:DRMS enable
B9:ripple control
B10: Grid high voltage load reduction
B11: Grid low voltage load boosting
B12: Grid overfrequency and load reduction
B13: Grid underfrequency and load increase
B14:HVRT
B15:LVRT
B16:Timing Forbid discharge enable
B17~B31 Reseved</v>
      </c>
      <c r="L8" s="157" t="s">
        <v>975</v>
      </c>
      <c r="M8" s="136" t="str">
        <f>IFERROR(__xludf.DUMMYFUNCTION("GOOGLETRANSLATE(L8,""zh-CN"", ""en"")"),"yes")</f>
        <v>yes</v>
      </c>
      <c r="N8" s="157" t="s">
        <v>976</v>
      </c>
      <c r="O8" s="136" t="str">
        <f>IFERROR(__xludf.DUMMYFUNCTION("GOOGLETRANSLATE(N8,""zh-CN"", ""en"")"),"1. Change the positions of B5 and B6, modify B16 to Forbid discharge enable, and remove B17.
2. Change ""AC charge enable"" to ""Timing AC charge enable""
   ""Forced charge enable"" is changed to ""Timing charge enable""
   ""Forced discharge enable"" is"&amp;" changed to ""Timing discharge enable""
   ""Forbid discharge enable"" is changed to ""Timing Forbid discharge enable""")</f>
        <v>1. Change the positions of B5 and B6, modify B16 to Forbid discharge enable, and remove B17.
2. Change "AC charge enable" to "Timing AC charge enable"
   "Forced charge enable" is changed to "Timing charge enable"
   "Forced discharge enable" is changed to "Timing discharge enable"
   "Forbid discharge enable" is changed to "Timing Forbid discharge enable"</v>
      </c>
      <c r="P8" s="136" t="s">
        <v>977</v>
      </c>
      <c r="Q8" s="55" t="s">
        <v>978</v>
      </c>
      <c r="R8" s="55" t="s">
        <v>99</v>
      </c>
      <c r="S8" s="55" t="s">
        <v>979</v>
      </c>
      <c r="T8" s="55" t="s">
        <v>980</v>
      </c>
    </row>
    <row r="9" ht="374.25" customHeight="1">
      <c r="A9" s="136" t="s">
        <v>981</v>
      </c>
      <c r="B9" s="154" t="str">
        <f>IFERROR(__xludf.DUMMYFUNCTION("GOOGLETRANSLATE(A9,""zh-CN"", ""en"")"),"Protection function enabled")</f>
        <v>Protection function enabled</v>
      </c>
      <c r="C9" s="136" t="s">
        <v>982</v>
      </c>
      <c r="D9" s="136" t="s">
        <v>983</v>
      </c>
      <c r="E9" s="136" t="s">
        <v>110</v>
      </c>
      <c r="F9" s="137">
        <v>4.0</v>
      </c>
      <c r="G9" s="136"/>
      <c r="H9" s="136"/>
      <c r="I9" s="136"/>
      <c r="J9" s="136" t="s">
        <v>984</v>
      </c>
      <c r="K9" s="136" t="str">
        <f>IFERROR(__xludf.DUMMYFUNCTION("GOOGLETRANSLATE(J9,""zh-CN"", ""en"")"),"B0: Judgment of grid connection range
B1:AactiveIsland;
B2:PassiveIsland;
B3:OverVolt;
B4:UnderVolt;
B5:OverFreq;
B6:UnderFreq;
B7:10minOverVolt;
B8:IsoChk;
B9:DciChk;
B10:GfciChk;
B11:EarthChk;
B12: Three-phase unbalance;
B13: Grid transient voltage prot"&amp;"ection;
B14: Bus midpoint imbalance protection;
B15: PV reverse connection;
B16: Abnormal PV;
B17: Sampling and testing;
B18: Abnormal temperature sampling;
B19: High and low temperature protection;
B20: GEN voltage frequency detection;
B21: Relay detecti"&amp;"on;
B22: Internal communication detection;
B23: Fan detection;
B24: Electric meter &amp; CT detection
B25~B31 Reseved")</f>
        <v>B0: Judgment of grid connection range
B1:AactiveIsland;
B2:PassiveIsland;
B3:OverVolt;
B4:UnderVolt;
B5:OverFreq;
B6:UnderFreq;
B7:10minOverVolt;
B8:IsoChk;
B9:DciChk;
B10:GfciChk;
B11:EarthChk;
B12: Three-phase unbalance;
B13: Grid transient voltage protection;
B14: Bus midpoint imbalance protection;
B15: PV reverse connection;
B16: Abnormal PV;
B17: Sampling and testing;
B18: Abnormal temperature sampling;
B19: High and low temperature protection;
B20: GEN voltage frequency detection;
B21: Relay detection;
B22: Internal communication detection;
B23: Fan detection;
B24: Electric meter &amp; CT detection
B25~B31 Reseved</v>
      </c>
      <c r="L9" s="136" t="s">
        <v>985</v>
      </c>
      <c r="M9" s="136" t="str">
        <f>IFERROR(__xludf.DUMMYFUNCTION("GOOGLETRANSLATE(L9,""zh-CN"", ""en"")"),"yes")</f>
        <v>yes</v>
      </c>
      <c r="N9" s="136"/>
      <c r="O9" s="136"/>
      <c r="P9" s="136" t="s">
        <v>986</v>
      </c>
      <c r="Q9" s="55" t="s">
        <v>987</v>
      </c>
      <c r="R9" s="55" t="s">
        <v>99</v>
      </c>
      <c r="S9" s="55" t="s">
        <v>988</v>
      </c>
      <c r="T9" s="55" t="s">
        <v>989</v>
      </c>
    </row>
    <row r="10" ht="15.75" customHeight="1">
      <c r="A10" s="136" t="s">
        <v>990</v>
      </c>
      <c r="B10" s="154" t="str">
        <f>IFERROR(__xludf.DUMMYFUNCTION("GOOGLETRANSLATE(A10,""zh-CN"", ""en"")"),"PV starting voltage")</f>
        <v>PV starting voltage</v>
      </c>
      <c r="C10" s="136" t="s">
        <v>991</v>
      </c>
      <c r="D10" s="136" t="s">
        <v>992</v>
      </c>
      <c r="E10" s="136" t="s">
        <v>104</v>
      </c>
      <c r="F10" s="137">
        <v>2.0</v>
      </c>
      <c r="G10" s="136"/>
      <c r="H10" s="136"/>
      <c r="I10" s="136" t="s">
        <v>215</v>
      </c>
      <c r="J10" s="136"/>
      <c r="K10" s="136"/>
      <c r="L10" s="136" t="s">
        <v>993</v>
      </c>
      <c r="M10" s="136" t="str">
        <f>IFERROR(__xludf.DUMMYFUNCTION("GOOGLETRANSLATE(L10,""zh-CN"", ""en"")"),"yes")</f>
        <v>yes</v>
      </c>
      <c r="N10" s="136"/>
      <c r="O10" s="136"/>
      <c r="P10" s="136" t="s">
        <v>994</v>
      </c>
      <c r="Q10" s="55" t="s">
        <v>995</v>
      </c>
      <c r="R10" s="55" t="s">
        <v>99</v>
      </c>
      <c r="S10" s="55" t="s">
        <v>996</v>
      </c>
      <c r="T10" s="55" t="s">
        <v>997</v>
      </c>
    </row>
    <row r="11" ht="15.75" customHeight="1">
      <c r="A11" s="141" t="s">
        <v>998</v>
      </c>
      <c r="B11" s="154" t="str">
        <f>IFERROR(__xludf.DUMMYFUNCTION("GOOGLETRANSLATE(A11,""zh-CN"", ""en"")"),"CT or Meter")</f>
        <v>CT or Meter</v>
      </c>
      <c r="C11" s="141" t="s">
        <v>999</v>
      </c>
      <c r="D11" s="136" t="s">
        <v>1000</v>
      </c>
      <c r="E11" s="141" t="s">
        <v>104</v>
      </c>
      <c r="F11" s="137">
        <v>2.0</v>
      </c>
      <c r="G11" s="141" t="s">
        <v>1001</v>
      </c>
      <c r="H11" s="158"/>
      <c r="I11" s="158"/>
      <c r="J11" s="141"/>
      <c r="K11" s="141"/>
      <c r="L11" s="141" t="s">
        <v>1002</v>
      </c>
      <c r="M11" s="136" t="str">
        <f>IFERROR(__xludf.DUMMYFUNCTION("GOOGLETRANSLATE(L11,""zh-CN"", ""en"")"),"yes")</f>
        <v>yes</v>
      </c>
      <c r="N11" s="141"/>
      <c r="O11" s="141"/>
      <c r="P11" s="141" t="s">
        <v>1003</v>
      </c>
      <c r="Q11" s="55" t="s">
        <v>1004</v>
      </c>
      <c r="R11" s="55" t="s">
        <v>99</v>
      </c>
      <c r="S11" s="55" t="s">
        <v>1005</v>
      </c>
      <c r="T11" s="55" t="s">
        <v>1006</v>
      </c>
    </row>
    <row r="12" ht="15.75" customHeight="1">
      <c r="A12" s="159" t="s">
        <v>1007</v>
      </c>
      <c r="B12" s="154" t="str">
        <f>IFERROR(__xludf.DUMMYFUNCTION("GOOGLETRANSLATE(A12,""zh-CN"", ""en"")"),"Meter manufacturer")</f>
        <v>Meter manufacturer</v>
      </c>
      <c r="C12" s="160" t="s">
        <v>1008</v>
      </c>
      <c r="D12" s="136" t="s">
        <v>1009</v>
      </c>
      <c r="E12" s="141" t="s">
        <v>104</v>
      </c>
      <c r="F12" s="137">
        <v>2.0</v>
      </c>
      <c r="G12" s="141" t="s">
        <v>1010</v>
      </c>
      <c r="H12" s="161"/>
      <c r="I12" s="161"/>
      <c r="J12" s="161"/>
      <c r="K12" s="161"/>
      <c r="L12" s="161" t="s">
        <v>1011</v>
      </c>
      <c r="M12" s="136" t="str">
        <f>IFERROR(__xludf.DUMMYFUNCTION("GOOGLETRANSLATE(L12,""zh-CN"", ""en"")"),"yes")</f>
        <v>yes</v>
      </c>
      <c r="N12" s="161"/>
      <c r="O12" s="161"/>
      <c r="P12" s="161" t="s">
        <v>1012</v>
      </c>
      <c r="Q12" s="55" t="s">
        <v>1013</v>
      </c>
      <c r="R12" s="55" t="s">
        <v>99</v>
      </c>
      <c r="S12" s="55" t="s">
        <v>1014</v>
      </c>
      <c r="T12" s="55" t="s">
        <v>1015</v>
      </c>
    </row>
    <row r="13" ht="15.75" customHeight="1">
      <c r="A13" s="159" t="s">
        <v>1016</v>
      </c>
      <c r="B13" s="154" t="str">
        <f>IFERROR(__xludf.DUMMYFUNCTION("GOOGLETRANSLATE(A13,""zh-CN"", ""en"")"),"CT coefficient")</f>
        <v>CT coefficient</v>
      </c>
      <c r="C13" s="160" t="s">
        <v>1017</v>
      </c>
      <c r="D13" s="136" t="s">
        <v>1018</v>
      </c>
      <c r="E13" s="141" t="s">
        <v>104</v>
      </c>
      <c r="F13" s="137">
        <v>2.0</v>
      </c>
      <c r="G13" s="141"/>
      <c r="H13" s="161"/>
      <c r="I13" s="161"/>
      <c r="J13" s="161"/>
      <c r="K13" s="161"/>
      <c r="L13" s="161" t="s">
        <v>1019</v>
      </c>
      <c r="M13" s="136" t="str">
        <f>IFERROR(__xludf.DUMMYFUNCTION("GOOGLETRANSLATE(L13,""zh-CN"", ""en"")"),"yes")</f>
        <v>yes</v>
      </c>
      <c r="N13" s="161"/>
      <c r="O13" s="161"/>
      <c r="P13" s="161"/>
      <c r="Q13" s="55" t="s">
        <v>1020</v>
      </c>
      <c r="R13" s="55" t="s">
        <v>99</v>
      </c>
      <c r="S13" s="55" t="s">
        <v>1021</v>
      </c>
      <c r="T13" s="55" t="s">
        <v>1022</v>
      </c>
    </row>
    <row r="14" ht="15.75" customHeight="1">
      <c r="A14" s="141" t="s">
        <v>1023</v>
      </c>
      <c r="B14" s="154" t="str">
        <f>IFERROR(__xludf.DUMMYFUNCTION("GOOGLETRANSLATE(A14,""zh-CN"", ""en"")"),"LoadMinLoad")</f>
        <v>LoadMinLoad</v>
      </c>
      <c r="C14" s="141" t="s">
        <v>1024</v>
      </c>
      <c r="D14" s="136" t="s">
        <v>1025</v>
      </c>
      <c r="E14" s="141" t="s">
        <v>285</v>
      </c>
      <c r="F14" s="137">
        <v>4.0</v>
      </c>
      <c r="G14" s="141"/>
      <c r="H14" s="141"/>
      <c r="I14" s="141" t="s">
        <v>286</v>
      </c>
      <c r="J14" s="141" t="s">
        <v>1026</v>
      </c>
      <c r="K14" s="161" t="str">
        <f>IFERROR(__xludf.DUMMYFUNCTION("GOOGLETRANSLATE(J14,""zh-CN"", ""en"")"),"Used for load balancing function, taking power from the grid during load hours")</f>
        <v>Used for load balancing function, taking power from the grid during load hours</v>
      </c>
      <c r="L14" s="161"/>
      <c r="M14" s="136" t="str">
        <f>IFERROR(__xludf.DUMMYFUNCTION("GOOGLETRANSLATE(L14,""zh-CN"", ""en"")"),"#VALUE!")</f>
        <v>#VALUE!</v>
      </c>
      <c r="N14" s="161"/>
      <c r="O14" s="161"/>
      <c r="P14" s="161"/>
      <c r="Q14" s="55" t="s">
        <v>1027</v>
      </c>
      <c r="R14" s="55" t="s">
        <v>99</v>
      </c>
      <c r="S14" s="55" t="s">
        <v>1028</v>
      </c>
      <c r="T14" s="55" t="s">
        <v>1029</v>
      </c>
    </row>
    <row r="15" ht="15.75" customHeight="1">
      <c r="A15" s="136" t="s">
        <v>1030</v>
      </c>
      <c r="B15" s="154" t="str">
        <f>IFERROR(__xludf.DUMMYFUNCTION("GOOGLETRANSLATE(A15,""zh-CN"", ""en"")"),"PV scan mode")</f>
        <v>PV scan mode</v>
      </c>
      <c r="C15" s="136" t="s">
        <v>1031</v>
      </c>
      <c r="D15" s="136">
        <v>216.0</v>
      </c>
      <c r="E15" s="141" t="s">
        <v>104</v>
      </c>
      <c r="F15" s="137">
        <v>2.0</v>
      </c>
      <c r="G15" s="136" t="s">
        <v>1032</v>
      </c>
      <c r="H15" s="136" t="str">
        <f>IFERROR(__xludf.DUMMYFUNCTION("GOOGLETRANSLATE(G15,""zh-CN"", ""en"")"),"0: off
1: Open once
2: Periodic timing
3: Absolute time timing")</f>
        <v>0: off
1: Open once
2: Periodic timing
3: Absolute time timing</v>
      </c>
      <c r="I15" s="136"/>
      <c r="J15" s="136"/>
      <c r="K15" s="136"/>
      <c r="L15" s="136"/>
      <c r="M15" s="136" t="str">
        <f>IFERROR(__xludf.DUMMYFUNCTION("GOOGLETRANSLATE(L15,""zh-CN"", ""en"")"),"#VALUE!")</f>
        <v>#VALUE!</v>
      </c>
      <c r="N15" s="136"/>
      <c r="O15" s="136"/>
      <c r="P15" s="136" t="s">
        <v>1033</v>
      </c>
      <c r="Q15" s="55" t="s">
        <v>1034</v>
      </c>
      <c r="R15" s="55" t="s">
        <v>99</v>
      </c>
      <c r="S15" s="55" t="s">
        <v>1035</v>
      </c>
      <c r="T15" s="55" t="s">
        <v>1036</v>
      </c>
    </row>
    <row r="16" ht="15.75" customHeight="1">
      <c r="A16" s="136" t="s">
        <v>1037</v>
      </c>
      <c r="B16" s="154" t="str">
        <f>IFERROR(__xludf.DUMMYFUNCTION("GOOGLETRANSLATE(A16,""zh-CN"", ""en"")"),"PV scan cycle")</f>
        <v>PV scan cycle</v>
      </c>
      <c r="C16" s="136" t="s">
        <v>1038</v>
      </c>
      <c r="D16" s="136">
        <v>217.0</v>
      </c>
      <c r="E16" s="141" t="s">
        <v>104</v>
      </c>
      <c r="F16" s="137">
        <v>2.0</v>
      </c>
      <c r="G16" s="136"/>
      <c r="H16" s="136"/>
      <c r="I16" s="136"/>
      <c r="J16" s="136"/>
      <c r="K16" s="136"/>
      <c r="L16" s="136"/>
      <c r="M16" s="136" t="str">
        <f>IFERROR(__xludf.DUMMYFUNCTION("GOOGLETRANSLATE(L16,""zh-CN"", ""en"")"),"#VALUE!")</f>
        <v>#VALUE!</v>
      </c>
      <c r="N16" s="136"/>
      <c r="O16" s="136"/>
      <c r="P16" s="136" t="s">
        <v>1039</v>
      </c>
      <c r="Q16" s="55" t="s">
        <v>1040</v>
      </c>
      <c r="R16" s="55" t="s">
        <v>99</v>
      </c>
      <c r="S16" s="55" t="s">
        <v>1041</v>
      </c>
      <c r="T16" s="55" t="s">
        <v>1042</v>
      </c>
    </row>
    <row r="17" ht="15.75" customHeight="1">
      <c r="A17" s="136" t="s">
        <v>1043</v>
      </c>
      <c r="B17" s="154" t="str">
        <f>IFERROR(__xludf.DUMMYFUNCTION("GOOGLETRANSLATE(A17,""zh-CN"", ""en"")"),"PV scan time 1")</f>
        <v>PV scan time 1</v>
      </c>
      <c r="C17" s="136" t="s">
        <v>1044</v>
      </c>
      <c r="D17" s="136">
        <v>218.0</v>
      </c>
      <c r="E17" s="141" t="s">
        <v>104</v>
      </c>
      <c r="F17" s="137">
        <v>2.0</v>
      </c>
      <c r="G17" s="136"/>
      <c r="H17" s="136"/>
      <c r="I17" s="136"/>
      <c r="J17" s="136"/>
      <c r="K17" s="136"/>
      <c r="L17" s="136"/>
      <c r="M17" s="136" t="str">
        <f>IFERROR(__xludf.DUMMYFUNCTION("GOOGLETRANSLATE(L17,""zh-CN"", ""en"")"),"#VALUE!")</f>
        <v>#VALUE!</v>
      </c>
      <c r="N17" s="136"/>
      <c r="O17" s="136"/>
      <c r="P17" s="136" t="s">
        <v>1045</v>
      </c>
      <c r="Q17" s="55" t="s">
        <v>1046</v>
      </c>
      <c r="R17" s="55" t="s">
        <v>99</v>
      </c>
      <c r="S17" s="55" t="s">
        <v>1047</v>
      </c>
      <c r="T17" s="55" t="s">
        <v>1048</v>
      </c>
    </row>
    <row r="18" ht="15.75" customHeight="1">
      <c r="A18" s="136" t="s">
        <v>1049</v>
      </c>
      <c r="B18" s="154" t="str">
        <f>IFERROR(__xludf.DUMMYFUNCTION("GOOGLETRANSLATE(A18,""zh-CN"", ""en"")"),"PV scan time 2")</f>
        <v>PV scan time 2</v>
      </c>
      <c r="C18" s="136" t="s">
        <v>1050</v>
      </c>
      <c r="D18" s="136">
        <v>219.0</v>
      </c>
      <c r="E18" s="141" t="s">
        <v>104</v>
      </c>
      <c r="F18" s="137">
        <v>2.0</v>
      </c>
      <c r="G18" s="136"/>
      <c r="H18" s="136"/>
      <c r="I18" s="136"/>
      <c r="J18" s="136"/>
      <c r="K18" s="136"/>
      <c r="L18" s="136"/>
      <c r="M18" s="136" t="str">
        <f>IFERROR(__xludf.DUMMYFUNCTION("GOOGLETRANSLATE(L18,""zh-CN"", ""en"")"),"#VALUE!")</f>
        <v>#VALUE!</v>
      </c>
      <c r="N18" s="136"/>
      <c r="O18" s="136"/>
      <c r="P18" s="136" t="s">
        <v>1051</v>
      </c>
      <c r="Q18" s="55" t="s">
        <v>1052</v>
      </c>
      <c r="R18" s="55" t="s">
        <v>99</v>
      </c>
      <c r="S18" s="55" t="s">
        <v>1053</v>
      </c>
      <c r="T18" s="55" t="s">
        <v>1054</v>
      </c>
    </row>
    <row r="19" ht="15.75" customHeight="1">
      <c r="A19" s="136" t="s">
        <v>1055</v>
      </c>
      <c r="B19" s="154" t="str">
        <f>IFERROR(__xludf.DUMMYFUNCTION("GOOGLETRANSLATE(A19,""zh-CN"", ""en"")"),"PV scan time 3")</f>
        <v>PV scan time 3</v>
      </c>
      <c r="C19" s="136" t="s">
        <v>1056</v>
      </c>
      <c r="D19" s="136">
        <v>220.0</v>
      </c>
      <c r="E19" s="141" t="s">
        <v>104</v>
      </c>
      <c r="F19" s="137">
        <v>2.0</v>
      </c>
      <c r="G19" s="136"/>
      <c r="H19" s="136"/>
      <c r="I19" s="136"/>
      <c r="J19" s="136"/>
      <c r="K19" s="136"/>
      <c r="L19" s="136"/>
      <c r="M19" s="136" t="str">
        <f>IFERROR(__xludf.DUMMYFUNCTION("GOOGLETRANSLATE(L19,""zh-CN"", ""en"")"),"#VALUE!")</f>
        <v>#VALUE!</v>
      </c>
      <c r="N19" s="136"/>
      <c r="O19" s="136"/>
      <c r="P19" s="136" t="s">
        <v>1057</v>
      </c>
      <c r="Q19" s="55" t="s">
        <v>1058</v>
      </c>
      <c r="R19" s="55" t="s">
        <v>99</v>
      </c>
      <c r="S19" s="55" t="s">
        <v>1059</v>
      </c>
      <c r="T19" s="55" t="s">
        <v>1060</v>
      </c>
    </row>
    <row r="20" ht="15.75" customHeight="1">
      <c r="A20" s="157" t="s">
        <v>194</v>
      </c>
      <c r="B20" s="154" t="str">
        <f>IFERROR(__xludf.DUMMYFUNCTION("GOOGLETRANSLATE(A20,""zh-CN"", ""en"")"),"Maximum AC output current")</f>
        <v>Maximum AC output current</v>
      </c>
      <c r="C20" s="136" t="s">
        <v>195</v>
      </c>
      <c r="D20" s="136" t="s">
        <v>1061</v>
      </c>
      <c r="E20" s="141" t="s">
        <v>110</v>
      </c>
      <c r="F20" s="137">
        <v>4.0</v>
      </c>
      <c r="G20" s="136"/>
      <c r="H20" s="136"/>
      <c r="I20" s="136" t="s">
        <v>197</v>
      </c>
      <c r="J20" s="136"/>
      <c r="K20" s="136"/>
      <c r="L20" s="136" t="s">
        <v>1062</v>
      </c>
      <c r="M20" s="136" t="str">
        <f>IFERROR(__xludf.DUMMYFUNCTION("GOOGLETRANSLATE(L20,""zh-CN"", ""en"")"),"yes")</f>
        <v>yes</v>
      </c>
      <c r="N20" s="136"/>
      <c r="O20" s="136"/>
      <c r="P20" s="136" t="s">
        <v>1063</v>
      </c>
      <c r="Q20" s="55" t="s">
        <v>1064</v>
      </c>
      <c r="R20" s="55" t="s">
        <v>99</v>
      </c>
      <c r="S20" s="55" t="s">
        <v>1065</v>
      </c>
      <c r="T20" s="55" t="s">
        <v>1066</v>
      </c>
    </row>
    <row r="21" ht="15.75" customHeight="1">
      <c r="A21" s="91" t="s">
        <v>1067</v>
      </c>
      <c r="B21" s="154" t="str">
        <f>IFERROR(__xludf.DUMMYFUNCTION("GOOGLETRANSLATE(A21,""zh-CN"", ""en"")"),"reserved")</f>
        <v>reserved</v>
      </c>
      <c r="C21" s="91" t="s">
        <v>207</v>
      </c>
      <c r="D21" s="91" t="s">
        <v>1068</v>
      </c>
      <c r="E21" s="91"/>
      <c r="F21" s="93"/>
      <c r="G21" s="91"/>
      <c r="H21" s="91"/>
      <c r="I21" s="91"/>
      <c r="J21" s="91"/>
      <c r="K21" s="91"/>
      <c r="L21" s="91"/>
      <c r="M21" s="136" t="str">
        <f>IFERROR(__xludf.DUMMYFUNCTION("GOOGLETRANSLATE(L21,""zh-CN"", ""en"")"),"#VALUE!")</f>
        <v>#VALUE!</v>
      </c>
      <c r="N21" s="91"/>
      <c r="O21" s="91"/>
      <c r="P21" s="91"/>
      <c r="Q21" s="55" t="s">
        <v>1069</v>
      </c>
      <c r="R21" s="55" t="s">
        <v>99</v>
      </c>
      <c r="S21" s="55" t="s">
        <v>1070</v>
      </c>
      <c r="T21" s="55" t="s">
        <v>1071</v>
      </c>
    </row>
    <row r="22" ht="15.75" customHeight="1">
      <c r="A22" s="162" t="s">
        <v>1072</v>
      </c>
      <c r="B22" s="154" t="str">
        <f>IFERROR(__xludf.DUMMYFUNCTION("GOOGLETRANSLATE(A22,""zh-CN"", ""en"")"),"Set parameter 2 (system command)")</f>
        <v>Set parameter 2 (system command)</v>
      </c>
      <c r="C22" s="163"/>
      <c r="D22" s="163"/>
      <c r="E22" s="163"/>
      <c r="F22" s="163"/>
      <c r="G22" s="163"/>
      <c r="H22" s="163"/>
      <c r="I22" s="163"/>
      <c r="J22" s="164"/>
      <c r="K22" s="164"/>
      <c r="L22" s="152"/>
      <c r="M22" s="136" t="str">
        <f>IFERROR(__xludf.DUMMYFUNCTION("GOOGLETRANSLATE(L22,""zh-CN"", ""en"")"),"#VALUE!")</f>
        <v>#VALUE!</v>
      </c>
      <c r="N22" s="152"/>
      <c r="O22" s="152"/>
      <c r="P22" s="152"/>
      <c r="Q22" s="55" t="s">
        <v>1073</v>
      </c>
      <c r="R22" s="55" t="s">
        <v>99</v>
      </c>
      <c r="S22" s="55" t="s">
        <v>1074</v>
      </c>
      <c r="T22" s="55" t="s">
        <v>1075</v>
      </c>
    </row>
    <row r="23" ht="15.75" customHeight="1">
      <c r="A23" s="110" t="s">
        <v>1076</v>
      </c>
      <c r="B23" s="154" t="str">
        <f>IFERROR(__xludf.DUMMYFUNCTION("GOOGLETRANSLATE(A23,""zh-CN"", ""en"")"),"time")</f>
        <v>time</v>
      </c>
      <c r="C23" s="110" t="s">
        <v>1077</v>
      </c>
      <c r="D23" s="110" t="s">
        <v>214</v>
      </c>
      <c r="E23" s="110" t="s">
        <v>104</v>
      </c>
      <c r="F23" s="111">
        <v>2.0</v>
      </c>
      <c r="G23" s="110" t="s">
        <v>1078</v>
      </c>
      <c r="H23" s="110"/>
      <c r="I23" s="110"/>
      <c r="J23" s="110"/>
      <c r="K23" s="110"/>
      <c r="L23" s="110" t="s">
        <v>1079</v>
      </c>
      <c r="M23" s="136" t="str">
        <f>IFERROR(__xludf.DUMMYFUNCTION("GOOGLETRANSLATE(L23,""zh-CN"", ""en"")"),"no")</f>
        <v>no</v>
      </c>
      <c r="N23" s="110"/>
      <c r="O23" s="110"/>
      <c r="P23" s="110" t="s">
        <v>1080</v>
      </c>
      <c r="Q23" s="55" t="s">
        <v>1081</v>
      </c>
      <c r="R23" s="55" t="s">
        <v>99</v>
      </c>
      <c r="S23" s="55" t="s">
        <v>1082</v>
      </c>
      <c r="T23" s="55" t="s">
        <v>1083</v>
      </c>
    </row>
    <row r="24" ht="15.75" customHeight="1">
      <c r="A24" s="110"/>
      <c r="B24" s="154" t="str">
        <f>IFERROR(__xludf.DUMMYFUNCTION("GOOGLETRANSLATE(A24,""zh-CN"", ""en"")"),"#VALUE!")</f>
        <v>#VALUE!</v>
      </c>
      <c r="C24" s="110" t="s">
        <v>1084</v>
      </c>
      <c r="D24" s="110" t="s">
        <v>220</v>
      </c>
      <c r="E24" s="110" t="s">
        <v>104</v>
      </c>
      <c r="F24" s="111">
        <v>2.0</v>
      </c>
      <c r="G24" s="110" t="s">
        <v>1085</v>
      </c>
      <c r="H24" s="110"/>
      <c r="I24" s="110"/>
      <c r="J24" s="110"/>
      <c r="K24" s="110"/>
      <c r="L24" s="110" t="s">
        <v>1086</v>
      </c>
      <c r="M24" s="136" t="str">
        <f>IFERROR(__xludf.DUMMYFUNCTION("GOOGLETRANSLATE(L24,""zh-CN"", ""en"")"),"no")</f>
        <v>no</v>
      </c>
      <c r="N24" s="110"/>
      <c r="O24" s="110"/>
      <c r="P24" s="110" t="s">
        <v>1087</v>
      </c>
      <c r="Q24" s="55" t="s">
        <v>1088</v>
      </c>
      <c r="R24" s="55" t="s">
        <v>99</v>
      </c>
      <c r="S24" s="55" t="s">
        <v>1089</v>
      </c>
      <c r="T24" s="55" t="s">
        <v>1090</v>
      </c>
    </row>
    <row r="25" ht="15.75" customHeight="1">
      <c r="A25" s="110"/>
      <c r="B25" s="154" t="str">
        <f>IFERROR(__xludf.DUMMYFUNCTION("GOOGLETRANSLATE(A25,""zh-CN"", ""en"")"),"#VALUE!")</f>
        <v>#VALUE!</v>
      </c>
      <c r="C25" s="110" t="s">
        <v>1091</v>
      </c>
      <c r="D25" s="110" t="s">
        <v>224</v>
      </c>
      <c r="E25" s="110" t="s">
        <v>104</v>
      </c>
      <c r="F25" s="111">
        <v>2.0</v>
      </c>
      <c r="G25" s="110" t="s">
        <v>1092</v>
      </c>
      <c r="H25" s="110"/>
      <c r="I25" s="110"/>
      <c r="J25" s="110"/>
      <c r="K25" s="110"/>
      <c r="L25" s="110" t="s">
        <v>1093</v>
      </c>
      <c r="M25" s="136" t="str">
        <f>IFERROR(__xludf.DUMMYFUNCTION("GOOGLETRANSLATE(L25,""zh-CN"", ""en"")"),"no")</f>
        <v>no</v>
      </c>
      <c r="N25" s="110"/>
      <c r="O25" s="110"/>
      <c r="P25" s="110" t="s">
        <v>1094</v>
      </c>
      <c r="Q25" s="55" t="s">
        <v>1095</v>
      </c>
      <c r="R25" s="55" t="s">
        <v>99</v>
      </c>
      <c r="S25" s="55" t="s">
        <v>1096</v>
      </c>
      <c r="T25" s="55" t="s">
        <v>1097</v>
      </c>
    </row>
    <row r="26" ht="15.75" customHeight="1">
      <c r="A26" s="110" t="s">
        <v>1098</v>
      </c>
      <c r="B26" s="154" t="str">
        <f>IFERROR(__xludf.DUMMYFUNCTION("GOOGLETRANSLATE(A26,""zh-CN"", ""en"")"),"Collector IP address and SN")</f>
        <v>Collector IP address and SN</v>
      </c>
      <c r="C26" s="110" t="s">
        <v>1099</v>
      </c>
      <c r="D26" s="110">
        <v>503.0</v>
      </c>
      <c r="E26" s="110" t="s">
        <v>104</v>
      </c>
      <c r="F26" s="111">
        <v>2.0</v>
      </c>
      <c r="G26" s="110" t="s">
        <v>123</v>
      </c>
      <c r="H26" s="110"/>
      <c r="I26" s="110"/>
      <c r="J26" s="110"/>
      <c r="K26" s="110"/>
      <c r="L26" s="110" t="s">
        <v>1100</v>
      </c>
      <c r="M26" s="136" t="str">
        <f>IFERROR(__xludf.DUMMYFUNCTION("GOOGLETRANSLATE(L26,""zh-CN"", ""en"")"),"no")</f>
        <v>no</v>
      </c>
      <c r="N26" s="110"/>
      <c r="O26" s="110"/>
      <c r="P26" s="110" t="s">
        <v>1101</v>
      </c>
      <c r="Q26" s="55" t="s">
        <v>1102</v>
      </c>
      <c r="R26" s="55" t="s">
        <v>99</v>
      </c>
      <c r="S26" s="55" t="s">
        <v>1103</v>
      </c>
      <c r="T26" s="55" t="s">
        <v>1104</v>
      </c>
    </row>
    <row r="27" ht="15.75" customHeight="1">
      <c r="A27" s="110"/>
      <c r="B27" s="154" t="str">
        <f>IFERROR(__xludf.DUMMYFUNCTION("GOOGLETRANSLATE(A27,""zh-CN"", ""en"")"),"#VALUE!")</f>
        <v>#VALUE!</v>
      </c>
      <c r="C27" s="110" t="s">
        <v>1105</v>
      </c>
      <c r="D27" s="110">
        <v>504.0</v>
      </c>
      <c r="E27" s="110" t="s">
        <v>104</v>
      </c>
      <c r="F27" s="111">
        <v>2.0</v>
      </c>
      <c r="G27" s="110" t="s">
        <v>123</v>
      </c>
      <c r="H27" s="110"/>
      <c r="I27" s="110"/>
      <c r="J27" s="110"/>
      <c r="K27" s="110"/>
      <c r="L27" s="110" t="s">
        <v>1106</v>
      </c>
      <c r="M27" s="136" t="str">
        <f>IFERROR(__xludf.DUMMYFUNCTION("GOOGLETRANSLATE(L27,""zh-CN"", ""en"")"),"no")</f>
        <v>no</v>
      </c>
      <c r="N27" s="110"/>
      <c r="O27" s="110"/>
      <c r="P27" s="110" t="s">
        <v>1107</v>
      </c>
      <c r="Q27" s="55" t="s">
        <v>1108</v>
      </c>
      <c r="R27" s="55" t="s">
        <v>99</v>
      </c>
      <c r="S27" s="55" t="s">
        <v>1109</v>
      </c>
      <c r="T27" s="55" t="s">
        <v>1110</v>
      </c>
    </row>
    <row r="28" ht="15.75" customHeight="1">
      <c r="A28" s="110"/>
      <c r="B28" s="154" t="str">
        <f>IFERROR(__xludf.DUMMYFUNCTION("GOOGLETRANSLATE(A28,""zh-CN"", ""en"")"),"#VALUE!")</f>
        <v>#VALUE!</v>
      </c>
      <c r="C28" s="110" t="s">
        <v>1111</v>
      </c>
      <c r="D28" s="110">
        <v>505.0</v>
      </c>
      <c r="E28" s="110" t="s">
        <v>104</v>
      </c>
      <c r="F28" s="111">
        <v>2.0</v>
      </c>
      <c r="G28" s="110" t="s">
        <v>123</v>
      </c>
      <c r="H28" s="110"/>
      <c r="I28" s="110"/>
      <c r="J28" s="110"/>
      <c r="K28" s="110"/>
      <c r="L28" s="110" t="s">
        <v>1112</v>
      </c>
      <c r="M28" s="136" t="str">
        <f>IFERROR(__xludf.DUMMYFUNCTION("GOOGLETRANSLATE(L28,""zh-CN"", ""en"")"),"no")</f>
        <v>no</v>
      </c>
      <c r="N28" s="110"/>
      <c r="O28" s="110"/>
      <c r="P28" s="110" t="s">
        <v>1113</v>
      </c>
      <c r="Q28" s="55" t="s">
        <v>1114</v>
      </c>
      <c r="R28" s="55" t="s">
        <v>99</v>
      </c>
      <c r="S28" s="55" t="s">
        <v>1115</v>
      </c>
      <c r="T28" s="55" t="s">
        <v>1116</v>
      </c>
    </row>
    <row r="29" ht="15.75" customHeight="1">
      <c r="A29" s="110"/>
      <c r="B29" s="154" t="str">
        <f>IFERROR(__xludf.DUMMYFUNCTION("GOOGLETRANSLATE(A29,""zh-CN"", ""en"")"),"#VALUE!")</f>
        <v>#VALUE!</v>
      </c>
      <c r="C29" s="110" t="s">
        <v>1117</v>
      </c>
      <c r="D29" s="110">
        <v>506.0</v>
      </c>
      <c r="E29" s="110" t="s">
        <v>104</v>
      </c>
      <c r="F29" s="111">
        <v>2.0</v>
      </c>
      <c r="G29" s="110" t="s">
        <v>123</v>
      </c>
      <c r="H29" s="110"/>
      <c r="I29" s="110"/>
      <c r="J29" s="110"/>
      <c r="K29" s="110"/>
      <c r="L29" s="110" t="s">
        <v>1118</v>
      </c>
      <c r="M29" s="136" t="str">
        <f>IFERROR(__xludf.DUMMYFUNCTION("GOOGLETRANSLATE(L29,""zh-CN"", ""en"")"),"no")</f>
        <v>no</v>
      </c>
      <c r="N29" s="110"/>
      <c r="O29" s="110"/>
      <c r="P29" s="110" t="s">
        <v>1119</v>
      </c>
      <c r="Q29" s="55" t="s">
        <v>1120</v>
      </c>
      <c r="R29" s="55" t="s">
        <v>99</v>
      </c>
      <c r="S29" s="55" t="s">
        <v>1121</v>
      </c>
      <c r="T29" s="55" t="s">
        <v>1122</v>
      </c>
    </row>
    <row r="30" ht="15.75" customHeight="1">
      <c r="A30" s="110"/>
      <c r="B30" s="154" t="str">
        <f>IFERROR(__xludf.DUMMYFUNCTION("GOOGLETRANSLATE(A30,""zh-CN"", ""en"")"),"#VALUE!")</f>
        <v>#VALUE!</v>
      </c>
      <c r="C30" s="110" t="s">
        <v>1123</v>
      </c>
      <c r="D30" s="110">
        <v>507.0</v>
      </c>
      <c r="E30" s="110" t="s">
        <v>104</v>
      </c>
      <c r="F30" s="111">
        <v>2.0</v>
      </c>
      <c r="G30" s="110" t="s">
        <v>123</v>
      </c>
      <c r="H30" s="110"/>
      <c r="I30" s="110"/>
      <c r="J30" s="110"/>
      <c r="K30" s="110"/>
      <c r="L30" s="110" t="s">
        <v>1124</v>
      </c>
      <c r="M30" s="136" t="str">
        <f>IFERROR(__xludf.DUMMYFUNCTION("GOOGLETRANSLATE(L30,""zh-CN"", ""en"")"),"no")</f>
        <v>no</v>
      </c>
      <c r="N30" s="110"/>
      <c r="O30" s="110"/>
      <c r="P30" s="110" t="s">
        <v>1125</v>
      </c>
      <c r="Q30" s="55" t="s">
        <v>1126</v>
      </c>
      <c r="R30" s="55" t="s">
        <v>99</v>
      </c>
      <c r="S30" s="55" t="s">
        <v>1127</v>
      </c>
      <c r="T30" s="55" t="s">
        <v>1128</v>
      </c>
    </row>
    <row r="31" ht="15.75" customHeight="1">
      <c r="A31" s="110"/>
      <c r="B31" s="154" t="str">
        <f>IFERROR(__xludf.DUMMYFUNCTION("GOOGLETRANSLATE(A31,""zh-CN"", ""en"")"),"#VALUE!")</f>
        <v>#VALUE!</v>
      </c>
      <c r="C31" s="110" t="s">
        <v>1129</v>
      </c>
      <c r="D31" s="110">
        <v>508.0</v>
      </c>
      <c r="E31" s="110" t="s">
        <v>104</v>
      </c>
      <c r="F31" s="111">
        <v>2.0</v>
      </c>
      <c r="G31" s="110" t="s">
        <v>123</v>
      </c>
      <c r="H31" s="110"/>
      <c r="I31" s="110"/>
      <c r="J31" s="110"/>
      <c r="K31" s="110"/>
      <c r="L31" s="110" t="s">
        <v>1130</v>
      </c>
      <c r="M31" s="136" t="str">
        <f>IFERROR(__xludf.DUMMYFUNCTION("GOOGLETRANSLATE(L31,""zh-CN"", ""en"")"),"no")</f>
        <v>no</v>
      </c>
      <c r="N31" s="110"/>
      <c r="O31" s="110"/>
      <c r="P31" s="110" t="s">
        <v>1131</v>
      </c>
      <c r="Q31" s="55" t="s">
        <v>1132</v>
      </c>
      <c r="R31" s="55" t="s">
        <v>99</v>
      </c>
      <c r="S31" s="55" t="s">
        <v>1133</v>
      </c>
      <c r="T31" s="55" t="s">
        <v>1134</v>
      </c>
    </row>
    <row r="32" ht="15.75" customHeight="1">
      <c r="A32" s="110"/>
      <c r="B32" s="154" t="str">
        <f>IFERROR(__xludf.DUMMYFUNCTION("GOOGLETRANSLATE(A32,""zh-CN"", ""en"")"),"#VALUE!")</f>
        <v>#VALUE!</v>
      </c>
      <c r="C32" s="110" t="s">
        <v>1135</v>
      </c>
      <c r="D32" s="110">
        <v>509.0</v>
      </c>
      <c r="E32" s="110" t="s">
        <v>104</v>
      </c>
      <c r="F32" s="111">
        <v>2.0</v>
      </c>
      <c r="G32" s="110" t="s">
        <v>123</v>
      </c>
      <c r="H32" s="110"/>
      <c r="I32" s="110"/>
      <c r="J32" s="110"/>
      <c r="K32" s="110"/>
      <c r="L32" s="110" t="s">
        <v>1136</v>
      </c>
      <c r="M32" s="136" t="str">
        <f>IFERROR(__xludf.DUMMYFUNCTION("GOOGLETRANSLATE(L32,""zh-CN"", ""en"")"),"no")</f>
        <v>no</v>
      </c>
      <c r="N32" s="110"/>
      <c r="O32" s="110"/>
      <c r="P32" s="110" t="s">
        <v>1137</v>
      </c>
      <c r="Q32" s="55" t="s">
        <v>1138</v>
      </c>
      <c r="R32" s="55" t="s">
        <v>99</v>
      </c>
      <c r="S32" s="55" t="s">
        <v>1139</v>
      </c>
      <c r="T32" s="55" t="s">
        <v>1140</v>
      </c>
    </row>
    <row r="33" ht="15.75" customHeight="1">
      <c r="A33" s="110"/>
      <c r="B33" s="154" t="str">
        <f>IFERROR(__xludf.DUMMYFUNCTION("GOOGLETRANSLATE(A33,""zh-CN"", ""en"")"),"#VALUE!")</f>
        <v>#VALUE!</v>
      </c>
      <c r="C33" s="110" t="s">
        <v>1141</v>
      </c>
      <c r="D33" s="110">
        <v>510.0</v>
      </c>
      <c r="E33" s="110" t="s">
        <v>104</v>
      </c>
      <c r="F33" s="111">
        <v>2.0</v>
      </c>
      <c r="G33" s="110" t="s">
        <v>123</v>
      </c>
      <c r="H33" s="110"/>
      <c r="I33" s="110"/>
      <c r="J33" s="110"/>
      <c r="K33" s="110"/>
      <c r="L33" s="110" t="s">
        <v>1142</v>
      </c>
      <c r="M33" s="136" t="str">
        <f>IFERROR(__xludf.DUMMYFUNCTION("GOOGLETRANSLATE(L33,""zh-CN"", ""en"")"),"no")</f>
        <v>no</v>
      </c>
      <c r="N33" s="110"/>
      <c r="O33" s="110"/>
      <c r="P33" s="110" t="s">
        <v>1143</v>
      </c>
      <c r="Q33" s="55" t="s">
        <v>1144</v>
      </c>
      <c r="R33" s="55" t="s">
        <v>99</v>
      </c>
      <c r="S33" s="55" t="s">
        <v>1145</v>
      </c>
      <c r="T33" s="55" t="s">
        <v>1146</v>
      </c>
    </row>
    <row r="34" ht="15.75" customHeight="1">
      <c r="A34" s="110"/>
      <c r="B34" s="154" t="str">
        <f>IFERROR(__xludf.DUMMYFUNCTION("GOOGLETRANSLATE(A34,""zh-CN"", ""en"")"),"#VALUE!")</f>
        <v>#VALUE!</v>
      </c>
      <c r="C34" s="110" t="s">
        <v>173</v>
      </c>
      <c r="D34" s="110">
        <v>511.0</v>
      </c>
      <c r="E34" s="110" t="s">
        <v>104</v>
      </c>
      <c r="F34" s="111">
        <v>2.0</v>
      </c>
      <c r="G34" s="110" t="s">
        <v>123</v>
      </c>
      <c r="H34" s="110"/>
      <c r="I34" s="110"/>
      <c r="J34" s="110"/>
      <c r="K34" s="110"/>
      <c r="L34" s="110" t="s">
        <v>1147</v>
      </c>
      <c r="M34" s="136" t="str">
        <f>IFERROR(__xludf.DUMMYFUNCTION("GOOGLETRANSLATE(L34,""zh-CN"", ""en"")"),"no")</f>
        <v>no</v>
      </c>
      <c r="N34" s="110"/>
      <c r="O34" s="110"/>
      <c r="P34" s="110" t="s">
        <v>1148</v>
      </c>
      <c r="Q34" s="55" t="s">
        <v>1149</v>
      </c>
      <c r="R34" s="55" t="s">
        <v>99</v>
      </c>
      <c r="S34" s="55" t="s">
        <v>1150</v>
      </c>
      <c r="T34" s="55" t="s">
        <v>1151</v>
      </c>
    </row>
    <row r="35" ht="15.75" customHeight="1">
      <c r="A35" s="110"/>
      <c r="B35" s="154" t="str">
        <f>IFERROR(__xludf.DUMMYFUNCTION("GOOGLETRANSLATE(A35,""zh-CN"", ""en"")"),"#VALUE!")</f>
        <v>#VALUE!</v>
      </c>
      <c r="C35" s="110" t="s">
        <v>175</v>
      </c>
      <c r="D35" s="110">
        <v>512.0</v>
      </c>
      <c r="E35" s="110" t="s">
        <v>104</v>
      </c>
      <c r="F35" s="111">
        <v>2.0</v>
      </c>
      <c r="G35" s="110" t="s">
        <v>123</v>
      </c>
      <c r="H35" s="110"/>
      <c r="I35" s="110"/>
      <c r="J35" s="110"/>
      <c r="K35" s="110"/>
      <c r="L35" s="110" t="s">
        <v>1152</v>
      </c>
      <c r="M35" s="136" t="str">
        <f>IFERROR(__xludf.DUMMYFUNCTION("GOOGLETRANSLATE(L35,""zh-CN"", ""en"")"),"no")</f>
        <v>no</v>
      </c>
      <c r="N35" s="110"/>
      <c r="O35" s="110"/>
      <c r="P35" s="110" t="s">
        <v>1153</v>
      </c>
      <c r="Q35" s="55" t="s">
        <v>1154</v>
      </c>
      <c r="R35" s="55" t="s">
        <v>99</v>
      </c>
      <c r="S35" s="55" t="s">
        <v>1155</v>
      </c>
      <c r="T35" s="55" t="s">
        <v>1156</v>
      </c>
    </row>
    <row r="36" ht="15.75" customHeight="1">
      <c r="A36" s="110"/>
      <c r="B36" s="154" t="str">
        <f>IFERROR(__xludf.DUMMYFUNCTION("GOOGLETRANSLATE(A36,""zh-CN"", ""en"")"),"#VALUE!")</f>
        <v>#VALUE!</v>
      </c>
      <c r="C36" s="110" t="s">
        <v>177</v>
      </c>
      <c r="D36" s="110">
        <v>513.0</v>
      </c>
      <c r="E36" s="110" t="s">
        <v>104</v>
      </c>
      <c r="F36" s="111">
        <v>2.0</v>
      </c>
      <c r="G36" s="110" t="s">
        <v>123</v>
      </c>
      <c r="H36" s="110"/>
      <c r="I36" s="110"/>
      <c r="J36" s="110"/>
      <c r="K36" s="110"/>
      <c r="L36" s="110" t="s">
        <v>1157</v>
      </c>
      <c r="M36" s="136" t="str">
        <f>IFERROR(__xludf.DUMMYFUNCTION("GOOGLETRANSLATE(L36,""zh-CN"", ""en"")"),"no")</f>
        <v>no</v>
      </c>
      <c r="N36" s="110"/>
      <c r="O36" s="110"/>
      <c r="P36" s="110" t="s">
        <v>1158</v>
      </c>
      <c r="Q36" s="55" t="s">
        <v>1159</v>
      </c>
      <c r="R36" s="55" t="s">
        <v>99</v>
      </c>
      <c r="S36" s="55" t="s">
        <v>1160</v>
      </c>
      <c r="T36" s="55" t="s">
        <v>1161</v>
      </c>
    </row>
    <row r="37" ht="15.75" customHeight="1">
      <c r="A37" s="110"/>
      <c r="B37" s="154" t="str">
        <f>IFERROR(__xludf.DUMMYFUNCTION("GOOGLETRANSLATE(A37,""zh-CN"", ""en"")"),"#VALUE!")</f>
        <v>#VALUE!</v>
      </c>
      <c r="C37" s="110" t="s">
        <v>179</v>
      </c>
      <c r="D37" s="110">
        <v>514.0</v>
      </c>
      <c r="E37" s="110" t="s">
        <v>104</v>
      </c>
      <c r="F37" s="111">
        <v>2.0</v>
      </c>
      <c r="G37" s="110" t="s">
        <v>123</v>
      </c>
      <c r="H37" s="110"/>
      <c r="I37" s="110"/>
      <c r="J37" s="110"/>
      <c r="K37" s="110"/>
      <c r="L37" s="110" t="s">
        <v>1162</v>
      </c>
      <c r="M37" s="136" t="str">
        <f>IFERROR(__xludf.DUMMYFUNCTION("GOOGLETRANSLATE(L37,""zh-CN"", ""en"")"),"no")</f>
        <v>no</v>
      </c>
      <c r="N37" s="110"/>
      <c r="O37" s="110"/>
      <c r="P37" s="110" t="s">
        <v>1163</v>
      </c>
      <c r="Q37" s="55" t="s">
        <v>1164</v>
      </c>
      <c r="R37" s="55" t="s">
        <v>99</v>
      </c>
      <c r="S37" s="55" t="s">
        <v>1165</v>
      </c>
      <c r="T37" s="55" t="s">
        <v>1166</v>
      </c>
    </row>
    <row r="38" ht="15.75" customHeight="1">
      <c r="A38" s="110"/>
      <c r="B38" s="154" t="str">
        <f>IFERROR(__xludf.DUMMYFUNCTION("GOOGLETRANSLATE(A38,""zh-CN"", ""en"")"),"#VALUE!")</f>
        <v>#VALUE!</v>
      </c>
      <c r="C38" s="110" t="s">
        <v>181</v>
      </c>
      <c r="D38" s="110">
        <v>515.0</v>
      </c>
      <c r="E38" s="110" t="s">
        <v>104</v>
      </c>
      <c r="F38" s="111">
        <v>2.0</v>
      </c>
      <c r="G38" s="110" t="s">
        <v>123</v>
      </c>
      <c r="H38" s="110"/>
      <c r="I38" s="110"/>
      <c r="J38" s="110"/>
      <c r="K38" s="110"/>
      <c r="L38" s="110" t="s">
        <v>1167</v>
      </c>
      <c r="M38" s="136" t="str">
        <f>IFERROR(__xludf.DUMMYFUNCTION("GOOGLETRANSLATE(L38,""zh-CN"", ""en"")"),"no")</f>
        <v>no</v>
      </c>
      <c r="N38" s="110"/>
      <c r="O38" s="110"/>
      <c r="P38" s="110" t="s">
        <v>1168</v>
      </c>
      <c r="Q38" s="55" t="s">
        <v>1169</v>
      </c>
      <c r="R38" s="55" t="s">
        <v>99</v>
      </c>
      <c r="S38" s="55" t="s">
        <v>1170</v>
      </c>
      <c r="T38" s="55" t="s">
        <v>1171</v>
      </c>
    </row>
    <row r="39" ht="15.75" customHeight="1">
      <c r="A39" s="110"/>
      <c r="B39" s="154" t="str">
        <f>IFERROR(__xludf.DUMMYFUNCTION("GOOGLETRANSLATE(A39,""zh-CN"", ""en"")"),"#VALUE!")</f>
        <v>#VALUE!</v>
      </c>
      <c r="C39" s="110" t="s">
        <v>183</v>
      </c>
      <c r="D39" s="110">
        <v>516.0</v>
      </c>
      <c r="E39" s="110" t="s">
        <v>104</v>
      </c>
      <c r="F39" s="111">
        <v>2.0</v>
      </c>
      <c r="G39" s="110" t="s">
        <v>123</v>
      </c>
      <c r="H39" s="110"/>
      <c r="I39" s="110"/>
      <c r="J39" s="110"/>
      <c r="K39" s="110"/>
      <c r="L39" s="110" t="s">
        <v>1172</v>
      </c>
      <c r="M39" s="136" t="str">
        <f>IFERROR(__xludf.DUMMYFUNCTION("GOOGLETRANSLATE(L39,""zh-CN"", ""en"")"),"no")</f>
        <v>no</v>
      </c>
      <c r="N39" s="110"/>
      <c r="O39" s="110"/>
      <c r="P39" s="110" t="s">
        <v>1173</v>
      </c>
      <c r="Q39" s="55" t="s">
        <v>1174</v>
      </c>
      <c r="R39" s="55" t="s">
        <v>99</v>
      </c>
      <c r="S39" s="55" t="s">
        <v>1175</v>
      </c>
      <c r="T39" s="55" t="s">
        <v>1176</v>
      </c>
    </row>
    <row r="40" ht="15.75" customHeight="1">
      <c r="A40" s="110"/>
      <c r="B40" s="154" t="str">
        <f>IFERROR(__xludf.DUMMYFUNCTION("GOOGLETRANSLATE(A40,""zh-CN"", ""en"")"),"#VALUE!")</f>
        <v>#VALUE!</v>
      </c>
      <c r="C40" s="110" t="s">
        <v>185</v>
      </c>
      <c r="D40" s="110">
        <v>517.0</v>
      </c>
      <c r="E40" s="110" t="s">
        <v>104</v>
      </c>
      <c r="F40" s="111">
        <v>2.0</v>
      </c>
      <c r="G40" s="110" t="s">
        <v>123</v>
      </c>
      <c r="H40" s="110"/>
      <c r="I40" s="110"/>
      <c r="J40" s="110"/>
      <c r="K40" s="110"/>
      <c r="L40" s="110" t="s">
        <v>1177</v>
      </c>
      <c r="M40" s="136" t="str">
        <f>IFERROR(__xludf.DUMMYFUNCTION("GOOGLETRANSLATE(L40,""zh-CN"", ""en"")"),"no")</f>
        <v>no</v>
      </c>
      <c r="N40" s="110"/>
      <c r="O40" s="110"/>
      <c r="P40" s="110" t="s">
        <v>1178</v>
      </c>
      <c r="Q40" s="55" t="s">
        <v>1179</v>
      </c>
      <c r="R40" s="55" t="s">
        <v>99</v>
      </c>
      <c r="S40" s="55" t="s">
        <v>1180</v>
      </c>
      <c r="T40" s="55" t="s">
        <v>1181</v>
      </c>
    </row>
    <row r="41" ht="15.75" customHeight="1">
      <c r="A41" s="110"/>
      <c r="B41" s="154" t="str">
        <f>IFERROR(__xludf.DUMMYFUNCTION("GOOGLETRANSLATE(A41,""zh-CN"", ""en"")"),"#VALUE!")</f>
        <v>#VALUE!</v>
      </c>
      <c r="C41" s="110" t="s">
        <v>187</v>
      </c>
      <c r="D41" s="110">
        <v>518.0</v>
      </c>
      <c r="E41" s="110" t="s">
        <v>104</v>
      </c>
      <c r="F41" s="111">
        <v>2.0</v>
      </c>
      <c r="G41" s="110" t="s">
        <v>123</v>
      </c>
      <c r="H41" s="110"/>
      <c r="I41" s="110"/>
      <c r="J41" s="110"/>
      <c r="K41" s="110"/>
      <c r="L41" s="110" t="s">
        <v>1182</v>
      </c>
      <c r="M41" s="136" t="str">
        <f>IFERROR(__xludf.DUMMYFUNCTION("GOOGLETRANSLATE(L41,""zh-CN"", ""en"")"),"no")</f>
        <v>no</v>
      </c>
      <c r="N41" s="110"/>
      <c r="O41" s="110"/>
      <c r="P41" s="110" t="s">
        <v>1183</v>
      </c>
      <c r="Q41" s="55" t="s">
        <v>1184</v>
      </c>
      <c r="R41" s="55" t="s">
        <v>99</v>
      </c>
      <c r="S41" s="55" t="s">
        <v>1185</v>
      </c>
      <c r="T41" s="55" t="s">
        <v>1186</v>
      </c>
    </row>
    <row r="42" ht="15.75" customHeight="1">
      <c r="A42" s="110" t="s">
        <v>1187</v>
      </c>
      <c r="B42" s="154" t="str">
        <f>IFERROR(__xludf.DUMMYFUNCTION("GOOGLETRANSLATE(A42,""zh-CN"", ""en"")"),"Allow write operation password")</f>
        <v>Allow write operation password</v>
      </c>
      <c r="C42" s="110" t="s">
        <v>1188</v>
      </c>
      <c r="D42" s="110" t="s">
        <v>1189</v>
      </c>
      <c r="E42" s="110" t="s">
        <v>110</v>
      </c>
      <c r="F42" s="111">
        <v>4.0</v>
      </c>
      <c r="G42" s="110" t="s">
        <v>123</v>
      </c>
      <c r="H42" s="110"/>
      <c r="I42" s="110"/>
      <c r="J42" s="110" t="s">
        <v>1190</v>
      </c>
      <c r="K42" s="110" t="str">
        <f>IFERROR(__xludf.DUMMYFUNCTION("GOOGLETRANSLATE(J42,""zh-CN"", ""en"")"),"Communication password can only be written when the password is passed. Only ARM operation is required.")</f>
        <v>Communication password can only be written when the password is passed. Only ARM operation is required.</v>
      </c>
      <c r="L42" s="110" t="s">
        <v>1191</v>
      </c>
      <c r="M42" s="136" t="str">
        <f>IFERROR(__xludf.DUMMYFUNCTION("GOOGLETRANSLATE(L42,""zh-CN"", ""en"")"),"no")</f>
        <v>no</v>
      </c>
      <c r="N42" s="110"/>
      <c r="O42" s="110"/>
      <c r="P42" s="110" t="s">
        <v>1192</v>
      </c>
      <c r="Q42" s="55" t="s">
        <v>1193</v>
      </c>
      <c r="R42" s="55" t="s">
        <v>99</v>
      </c>
      <c r="S42" s="55" t="s">
        <v>99</v>
      </c>
      <c r="T42" s="55" t="s">
        <v>99</v>
      </c>
    </row>
    <row r="43" ht="15.75" customHeight="1">
      <c r="A43" s="165" t="s">
        <v>1194</v>
      </c>
      <c r="B43" s="154" t="str">
        <f>IFERROR(__xludf.DUMMYFUNCTION("GOOGLETRANSLATE(A43,""zh-CN"", ""en"")"),"Upgrade enabled")</f>
        <v>Upgrade enabled</v>
      </c>
      <c r="C43" s="165" t="s">
        <v>1195</v>
      </c>
      <c r="D43" s="165" t="s">
        <v>1196</v>
      </c>
      <c r="E43" s="165" t="s">
        <v>104</v>
      </c>
      <c r="F43" s="166">
        <v>2.0</v>
      </c>
      <c r="G43" s="165"/>
      <c r="H43" s="165"/>
      <c r="I43" s="165"/>
      <c r="J43" s="165" t="s">
        <v>1197</v>
      </c>
      <c r="K43" s="165" t="str">
        <f>IFERROR(__xludf.DUMMYFUNCTION("GOOGLETRANSLATE(J43,""zh-CN"", ""en"")"),"0xAA is valid")</f>
        <v>0xAA is valid</v>
      </c>
      <c r="L43" s="165" t="s">
        <v>1198</v>
      </c>
      <c r="M43" s="136" t="str">
        <f>IFERROR(__xludf.DUMMYFUNCTION("GOOGLETRANSLATE(L43,""zh-CN"", ""en"")"),"no")</f>
        <v>no</v>
      </c>
      <c r="N43" s="165"/>
      <c r="O43" s="165"/>
      <c r="P43" s="165" t="s">
        <v>1199</v>
      </c>
      <c r="Q43" s="64" t="s">
        <v>1200</v>
      </c>
      <c r="R43" s="64" t="s">
        <v>99</v>
      </c>
      <c r="S43" s="64" t="s">
        <v>99</v>
      </c>
      <c r="T43" s="64" t="s">
        <v>1201</v>
      </c>
    </row>
    <row r="44" ht="15.75" customHeight="1">
      <c r="A44" s="165" t="s">
        <v>1202</v>
      </c>
      <c r="B44" s="154" t="str">
        <f>IFERROR(__xludf.DUMMYFUNCTION("GOOGLETRANSLATE(A44,""zh-CN"", ""en"")"),"Upgrade baud rate")</f>
        <v>Upgrade baud rate</v>
      </c>
      <c r="C44" s="165" t="s">
        <v>1203</v>
      </c>
      <c r="D44" s="165" t="s">
        <v>1204</v>
      </c>
      <c r="E44" s="165" t="s">
        <v>104</v>
      </c>
      <c r="F44" s="166">
        <v>2.0</v>
      </c>
      <c r="G44" s="165"/>
      <c r="H44" s="165"/>
      <c r="I44" s="165"/>
      <c r="J44" s="165" t="s">
        <v>1205</v>
      </c>
      <c r="K44" s="165" t="str">
        <f>IFERROR(__xludf.DUMMYFUNCTION("GOOGLETRANSLATE(J44,""zh-CN"", ""en"")"),"0: 9600 1: 115200")</f>
        <v>0: 9600 1: 115200</v>
      </c>
      <c r="L44" s="165" t="s">
        <v>1206</v>
      </c>
      <c r="M44" s="136" t="str">
        <f>IFERROR(__xludf.DUMMYFUNCTION("GOOGLETRANSLATE(L44,""zh-CN"", ""en"")"),"no")</f>
        <v>no</v>
      </c>
      <c r="N44" s="165"/>
      <c r="O44" s="165"/>
      <c r="P44" s="165" t="s">
        <v>1207</v>
      </c>
      <c r="Q44" s="64" t="s">
        <v>1208</v>
      </c>
      <c r="R44" s="64" t="s">
        <v>99</v>
      </c>
      <c r="S44" s="64" t="s">
        <v>99</v>
      </c>
      <c r="T44" s="64" t="s">
        <v>1209</v>
      </c>
    </row>
    <row r="45" ht="15.75" customHeight="1">
      <c r="A45" s="165" t="s">
        <v>1210</v>
      </c>
      <c r="B45" s="154" t="str">
        <f>IFERROR(__xludf.DUMMYFUNCTION("GOOGLETRANSLATE(A45,""zh-CN"", ""en"")"),"Which program to upgrade")</f>
        <v>Which program to upgrade</v>
      </c>
      <c r="C45" s="165" t="s">
        <v>1211</v>
      </c>
      <c r="D45" s="165" t="s">
        <v>1212</v>
      </c>
      <c r="E45" s="165" t="s">
        <v>104</v>
      </c>
      <c r="F45" s="166">
        <v>2.0</v>
      </c>
      <c r="G45" s="165"/>
      <c r="H45" s="165"/>
      <c r="I45" s="165"/>
      <c r="J45" s="165" t="s">
        <v>1213</v>
      </c>
      <c r="K45" s="165" t="str">
        <f>IFERROR(__xludf.DUMMYFUNCTION("GOOGLETRANSLATE(J45,""zh-CN"", ""en"")"),"1: HMI (display panel)
2: Master (main DSP)
3: Slave(Slave DSP)")</f>
        <v>1: HMI (display panel)
2: Master (main DSP)
3: Slave(Slave DSP)</v>
      </c>
      <c r="L45" s="165" t="s">
        <v>1214</v>
      </c>
      <c r="M45" s="136" t="str">
        <f>IFERROR(__xludf.DUMMYFUNCTION("GOOGLETRANSLATE(L45,""zh-CN"", ""en"")"),"no")</f>
        <v>no</v>
      </c>
      <c r="N45" s="165"/>
      <c r="O45" s="165"/>
      <c r="P45" s="165" t="s">
        <v>1215</v>
      </c>
      <c r="Q45" s="64" t="s">
        <v>1216</v>
      </c>
      <c r="R45" s="64" t="s">
        <v>99</v>
      </c>
      <c r="S45" s="64" t="s">
        <v>99</v>
      </c>
      <c r="T45" s="64" t="s">
        <v>1217</v>
      </c>
    </row>
    <row r="46" ht="15.75" customHeight="1">
      <c r="A46" s="165"/>
      <c r="B46" s="154" t="str">
        <f>IFERROR(__xludf.DUMMYFUNCTION("GOOGLETRANSLATE(A46,""zh-CN"", ""en"")"),"#VALUE!")</f>
        <v>#VALUE!</v>
      </c>
      <c r="C46" s="165" t="s">
        <v>1218</v>
      </c>
      <c r="D46" s="165" t="s">
        <v>1219</v>
      </c>
      <c r="E46" s="165" t="s">
        <v>104</v>
      </c>
      <c r="F46" s="166">
        <v>2.0</v>
      </c>
      <c r="G46" s="165"/>
      <c r="H46" s="165"/>
      <c r="I46" s="165"/>
      <c r="J46" s="165"/>
      <c r="K46" s="165"/>
      <c r="L46" s="165" t="s">
        <v>1220</v>
      </c>
      <c r="M46" s="136" t="str">
        <f>IFERROR(__xludf.DUMMYFUNCTION("GOOGLETRANSLATE(L46,""zh-CN"", ""en"")"),"no")</f>
        <v>no</v>
      </c>
      <c r="N46" s="165"/>
      <c r="O46" s="165"/>
      <c r="P46" s="165" t="s">
        <v>1221</v>
      </c>
      <c r="Q46" s="64" t="s">
        <v>1222</v>
      </c>
      <c r="R46" s="64" t="s">
        <v>99</v>
      </c>
      <c r="S46" s="64" t="s">
        <v>99</v>
      </c>
      <c r="T46" s="64" t="s">
        <v>1223</v>
      </c>
    </row>
    <row r="47" ht="15.75" customHeight="1">
      <c r="A47" s="110" t="s">
        <v>1224</v>
      </c>
      <c r="B47" s="154" t="str">
        <f>IFERROR(__xludf.DUMMYFUNCTION("GOOGLETRANSLATE(A47,""zh-CN"", ""en"")"),"Password to start fault recording")</f>
        <v>Password to start fault recording</v>
      </c>
      <c r="C47" s="110" t="s">
        <v>1225</v>
      </c>
      <c r="D47" s="110" t="s">
        <v>1226</v>
      </c>
      <c r="E47" s="110" t="s">
        <v>104</v>
      </c>
      <c r="F47" s="111">
        <v>2.0</v>
      </c>
      <c r="G47" s="110"/>
      <c r="H47" s="110"/>
      <c r="I47" s="110"/>
      <c r="J47" s="110"/>
      <c r="K47" s="110"/>
      <c r="L47" s="110" t="s">
        <v>1227</v>
      </c>
      <c r="M47" s="136" t="str">
        <f>IFERROR(__xludf.DUMMYFUNCTION("GOOGLETRANSLATE(L47,""zh-CN"", ""en"")"),"no")</f>
        <v>no</v>
      </c>
      <c r="N47" s="110"/>
      <c r="O47" s="110"/>
      <c r="P47" s="110" t="s">
        <v>1228</v>
      </c>
      <c r="Q47" s="55" t="s">
        <v>1229</v>
      </c>
      <c r="R47" s="55" t="s">
        <v>99</v>
      </c>
      <c r="S47" s="55" t="s">
        <v>1230</v>
      </c>
      <c r="T47" s="55" t="s">
        <v>1231</v>
      </c>
    </row>
    <row r="48" ht="15.75" customHeight="1">
      <c r="A48" s="110" t="s">
        <v>1232</v>
      </c>
      <c r="B48" s="154" t="str">
        <f>IFERROR(__xludf.DUMMYFUNCTION("GOOGLETRANSLATE(A48,""zh-CN"", ""en"")"),"Read fault recording information")</f>
        <v>Read fault recording information</v>
      </c>
      <c r="C48" s="110" t="s">
        <v>1233</v>
      </c>
      <c r="D48" s="110" t="s">
        <v>306</v>
      </c>
      <c r="E48" s="110" t="s">
        <v>104</v>
      </c>
      <c r="F48" s="111">
        <v>2.0</v>
      </c>
      <c r="G48" s="110"/>
      <c r="H48" s="110"/>
      <c r="I48" s="110"/>
      <c r="J48" s="110" t="s">
        <v>1234</v>
      </c>
      <c r="K48" s="110" t="str">
        <f>IFERROR(__xludf.DUMMYFUNCTION("GOOGLETRANSLATE(J48,""zh-CN"", ""en"")"),"0xAA: latest one 0x55: all faults")</f>
        <v>0xAA: latest one 0x55: all faults</v>
      </c>
      <c r="L48" s="110" t="s">
        <v>1235</v>
      </c>
      <c r="M48" s="136" t="str">
        <f>IFERROR(__xludf.DUMMYFUNCTION("GOOGLETRANSLATE(L48,""zh-CN"", ""en"")"),"no")</f>
        <v>no</v>
      </c>
      <c r="N48" s="110"/>
      <c r="O48" s="110"/>
      <c r="P48" s="110" t="s">
        <v>1236</v>
      </c>
      <c r="Q48" s="55" t="s">
        <v>1237</v>
      </c>
      <c r="R48" s="55" t="s">
        <v>99</v>
      </c>
      <c r="S48" s="55" t="s">
        <v>1238</v>
      </c>
      <c r="T48" s="55" t="s">
        <v>1239</v>
      </c>
    </row>
    <row r="49" ht="15.75" customHeight="1">
      <c r="A49" s="110" t="s">
        <v>1240</v>
      </c>
      <c r="B49" s="154" t="str">
        <f>IFERROR(__xludf.DUMMYFUNCTION("GOOGLETRANSLATE(A49,""zh-CN"", ""en"")"),"Function execution instructions")</f>
        <v>Function execution instructions</v>
      </c>
      <c r="C49" s="110" t="s">
        <v>1241</v>
      </c>
      <c r="D49" s="110" t="s">
        <v>310</v>
      </c>
      <c r="E49" s="110" t="s">
        <v>110</v>
      </c>
      <c r="F49" s="111">
        <v>4.0</v>
      </c>
      <c r="G49" s="110" t="s">
        <v>1242</v>
      </c>
      <c r="H49" s="110" t="str">
        <f>IFERROR(__xludf.DUMMYFUNCTION("GOOGLETRANSLATE(G49,""zh-CN"", ""en"")"),"B0-B2: 0 closed loop, 1 aging, 2 calibration, 3 open loop, 4 single board debugging
B3: Forced reset
B4: Factory reset
B5: Clear record information
B6: Restore default parameters
B7: Permanent failure recovery
B8: Meter active detection command
B9: Fan st"&amp;"arts
B10: Load switch")</f>
        <v>B0-B2: 0 closed loop, 1 aging, 2 calibration, 3 open loop, 4 single board debugging
B3: Forced reset
B4: Factory reset
B5: Clear record information
B6: Restore default parameters
B7: Permanent failure recovery
B8: Meter active detection command
B9: Fan starts
B10: Load switch</v>
      </c>
      <c r="I49" s="110"/>
      <c r="J49" s="110"/>
      <c r="K49" s="110"/>
      <c r="L49" s="110"/>
      <c r="M49" s="136" t="str">
        <f>IFERROR(__xludf.DUMMYFUNCTION("GOOGLETRANSLATE(L49,""zh-CN"", ""en"")"),"#VALUE!")</f>
        <v>#VALUE!</v>
      </c>
      <c r="N49" s="110"/>
      <c r="O49" s="110"/>
      <c r="P49" s="110" t="s">
        <v>1243</v>
      </c>
      <c r="Q49" s="55" t="s">
        <v>1244</v>
      </c>
      <c r="R49" s="55" t="s">
        <v>99</v>
      </c>
      <c r="S49" s="55" t="s">
        <v>1245</v>
      </c>
      <c r="T49" s="55" t="s">
        <v>1246</v>
      </c>
    </row>
    <row r="50" ht="15.75" customHeight="1">
      <c r="A50" s="86" t="s">
        <v>1247</v>
      </c>
      <c r="B50" s="154" t="str">
        <f>IFERROR(__xludf.DUMMYFUNCTION("GOOGLETRANSLATE(A50,""zh-CN"", ""en"")"),"Debugging parameter channel 1")</f>
        <v>Debugging parameter channel 1</v>
      </c>
      <c r="C50" s="48" t="s">
        <v>1248</v>
      </c>
      <c r="D50" s="110" t="s">
        <v>1249</v>
      </c>
      <c r="E50" s="51" t="s">
        <v>104</v>
      </c>
      <c r="F50" s="52">
        <v>2.0</v>
      </c>
      <c r="G50" s="48"/>
      <c r="H50" s="48"/>
      <c r="I50" s="48"/>
      <c r="J50" s="48"/>
      <c r="K50" s="48"/>
      <c r="L50" s="48" t="s">
        <v>1250</v>
      </c>
      <c r="M50" s="136" t="str">
        <f>IFERROR(__xludf.DUMMYFUNCTION("GOOGLETRANSLATE(L50,""zh-CN"", ""en"")"),"no")</f>
        <v>no</v>
      </c>
      <c r="N50" s="48"/>
      <c r="O50" s="48"/>
      <c r="P50" s="48" t="s">
        <v>1251</v>
      </c>
      <c r="Q50" s="55" t="s">
        <v>1252</v>
      </c>
      <c r="R50" s="55" t="s">
        <v>99</v>
      </c>
      <c r="S50" s="55" t="s">
        <v>1253</v>
      </c>
      <c r="T50" s="55" t="s">
        <v>1254</v>
      </c>
    </row>
    <row r="51" ht="15.75" customHeight="1">
      <c r="A51" s="86" t="s">
        <v>1255</v>
      </c>
      <c r="B51" s="154" t="str">
        <f>IFERROR(__xludf.DUMMYFUNCTION("GOOGLETRANSLATE(A51,""zh-CN"", ""en"")"),"Debug parameter channel 2")</f>
        <v>Debug parameter channel 2</v>
      </c>
      <c r="C51" s="48" t="s">
        <v>1256</v>
      </c>
      <c r="D51" s="110" t="s">
        <v>1257</v>
      </c>
      <c r="E51" s="51" t="s">
        <v>104</v>
      </c>
      <c r="F51" s="52">
        <v>2.0</v>
      </c>
      <c r="G51" s="48"/>
      <c r="H51" s="48"/>
      <c r="I51" s="48"/>
      <c r="J51" s="48"/>
      <c r="K51" s="48"/>
      <c r="L51" s="48" t="s">
        <v>1258</v>
      </c>
      <c r="M51" s="136" t="str">
        <f>IFERROR(__xludf.DUMMYFUNCTION("GOOGLETRANSLATE(L51,""zh-CN"", ""en"")"),"no")</f>
        <v>no</v>
      </c>
      <c r="N51" s="48"/>
      <c r="O51" s="48"/>
      <c r="P51" s="48" t="s">
        <v>1259</v>
      </c>
      <c r="Q51" s="55" t="s">
        <v>1260</v>
      </c>
      <c r="R51" s="55" t="s">
        <v>99</v>
      </c>
      <c r="S51" s="55" t="s">
        <v>1261</v>
      </c>
      <c r="T51" s="55" t="s">
        <v>1262</v>
      </c>
    </row>
    <row r="52" ht="15.75" customHeight="1">
      <c r="A52" s="86" t="s">
        <v>1263</v>
      </c>
      <c r="B52" s="154" t="str">
        <f>IFERROR(__xludf.DUMMYFUNCTION("GOOGLETRANSLATE(A52,""zh-CN"", ""en"")"),"Debug parameter channel 3")</f>
        <v>Debug parameter channel 3</v>
      </c>
      <c r="C52" s="48" t="s">
        <v>1264</v>
      </c>
      <c r="D52" s="110" t="s">
        <v>1265</v>
      </c>
      <c r="E52" s="51" t="s">
        <v>104</v>
      </c>
      <c r="F52" s="52">
        <v>2.0</v>
      </c>
      <c r="G52" s="48"/>
      <c r="H52" s="48"/>
      <c r="I52" s="48"/>
      <c r="J52" s="48"/>
      <c r="K52" s="48"/>
      <c r="L52" s="48" t="s">
        <v>1266</v>
      </c>
      <c r="M52" s="136" t="str">
        <f>IFERROR(__xludf.DUMMYFUNCTION("GOOGLETRANSLATE(L52,""zh-CN"", ""en"")"),"no")</f>
        <v>no</v>
      </c>
      <c r="N52" s="48"/>
      <c r="O52" s="48"/>
      <c r="P52" s="48" t="s">
        <v>1267</v>
      </c>
      <c r="Q52" s="55" t="s">
        <v>1268</v>
      </c>
      <c r="R52" s="55" t="s">
        <v>99</v>
      </c>
      <c r="S52" s="55" t="s">
        <v>1269</v>
      </c>
      <c r="T52" s="55" t="s">
        <v>1270</v>
      </c>
    </row>
    <row r="53" ht="15.75" customHeight="1">
      <c r="A53" s="86" t="s">
        <v>1271</v>
      </c>
      <c r="B53" s="154" t="str">
        <f>IFERROR(__xludf.DUMMYFUNCTION("GOOGLETRANSLATE(A53,""zh-CN"", ""en"")"),"Debug parameter channel 4")</f>
        <v>Debug parameter channel 4</v>
      </c>
      <c r="C53" s="48" t="s">
        <v>1272</v>
      </c>
      <c r="D53" s="110" t="s">
        <v>1273</v>
      </c>
      <c r="E53" s="51" t="s">
        <v>104</v>
      </c>
      <c r="F53" s="52">
        <v>2.0</v>
      </c>
      <c r="G53" s="48"/>
      <c r="H53" s="48"/>
      <c r="I53" s="48"/>
      <c r="J53" s="48"/>
      <c r="K53" s="48"/>
      <c r="L53" s="48" t="s">
        <v>1274</v>
      </c>
      <c r="M53" s="136" t="str">
        <f>IFERROR(__xludf.DUMMYFUNCTION("GOOGLETRANSLATE(L53,""zh-CN"", ""en"")"),"no")</f>
        <v>no</v>
      </c>
      <c r="N53" s="48"/>
      <c r="O53" s="48"/>
      <c r="P53" s="48" t="s">
        <v>1275</v>
      </c>
      <c r="Q53" s="55" t="s">
        <v>1276</v>
      </c>
      <c r="R53" s="55" t="s">
        <v>99</v>
      </c>
      <c r="S53" s="55" t="s">
        <v>1277</v>
      </c>
      <c r="T53" s="55" t="s">
        <v>1278</v>
      </c>
    </row>
    <row r="54" ht="15.75" customHeight="1">
      <c r="A54" s="86" t="s">
        <v>1279</v>
      </c>
      <c r="B54" s="154" t="str">
        <f>IFERROR(__xludf.DUMMYFUNCTION("GOOGLETRANSLATE(A54,""zh-CN"", ""en"")"),"Debug parameter channel 5")</f>
        <v>Debug parameter channel 5</v>
      </c>
      <c r="C54" s="48" t="s">
        <v>1280</v>
      </c>
      <c r="D54" s="110" t="s">
        <v>1281</v>
      </c>
      <c r="E54" s="51" t="s">
        <v>104</v>
      </c>
      <c r="F54" s="52">
        <v>2.0</v>
      </c>
      <c r="G54" s="48"/>
      <c r="H54" s="48"/>
      <c r="I54" s="48"/>
      <c r="J54" s="48"/>
      <c r="K54" s="48"/>
      <c r="L54" s="48" t="s">
        <v>1282</v>
      </c>
      <c r="M54" s="136" t="str">
        <f>IFERROR(__xludf.DUMMYFUNCTION("GOOGLETRANSLATE(L54,""zh-CN"", ""en"")"),"no")</f>
        <v>no</v>
      </c>
      <c r="N54" s="48"/>
      <c r="O54" s="48"/>
      <c r="P54" s="48" t="s">
        <v>1283</v>
      </c>
      <c r="Q54" s="55" t="s">
        <v>1284</v>
      </c>
      <c r="R54" s="55" t="s">
        <v>99</v>
      </c>
      <c r="S54" s="55" t="s">
        <v>1285</v>
      </c>
      <c r="T54" s="55" t="s">
        <v>1286</v>
      </c>
    </row>
    <row r="55" ht="15.75" customHeight="1">
      <c r="A55" s="86" t="s">
        <v>1287</v>
      </c>
      <c r="B55" s="154" t="str">
        <f>IFERROR(__xludf.DUMMYFUNCTION("GOOGLETRANSLATE(A55,""zh-CN"", ""en"")"),"Debug parameter channel 6")</f>
        <v>Debug parameter channel 6</v>
      </c>
      <c r="C55" s="48" t="s">
        <v>1288</v>
      </c>
      <c r="D55" s="110" t="s">
        <v>1289</v>
      </c>
      <c r="E55" s="51" t="s">
        <v>104</v>
      </c>
      <c r="F55" s="52">
        <v>2.0</v>
      </c>
      <c r="G55" s="48"/>
      <c r="H55" s="48"/>
      <c r="I55" s="48"/>
      <c r="J55" s="48"/>
      <c r="K55" s="48"/>
      <c r="L55" s="48" t="s">
        <v>1290</v>
      </c>
      <c r="M55" s="136" t="str">
        <f>IFERROR(__xludf.DUMMYFUNCTION("GOOGLETRANSLATE(L55,""zh-CN"", ""en"")"),"no")</f>
        <v>no</v>
      </c>
      <c r="N55" s="48"/>
      <c r="O55" s="48"/>
      <c r="P55" s="48" t="s">
        <v>1291</v>
      </c>
      <c r="Q55" s="55" t="s">
        <v>1292</v>
      </c>
      <c r="R55" s="55" t="s">
        <v>99</v>
      </c>
      <c r="S55" s="55" t="s">
        <v>1293</v>
      </c>
      <c r="T55" s="55" t="s">
        <v>1294</v>
      </c>
    </row>
    <row r="56" ht="15.75" customHeight="1">
      <c r="A56" s="48" t="s">
        <v>1295</v>
      </c>
      <c r="B56" s="154" t="str">
        <f>IFERROR(__xludf.DUMMYFUNCTION("GOOGLETRANSLATE(A56,""zh-CN"", ""en"")"),"reserved")</f>
        <v>reserved</v>
      </c>
      <c r="C56" s="48" t="s">
        <v>207</v>
      </c>
      <c r="D56" s="167" t="s">
        <v>1296</v>
      </c>
      <c r="E56" s="48"/>
      <c r="F56" s="52">
        <v>930.0</v>
      </c>
      <c r="G56" s="48"/>
      <c r="H56" s="48"/>
      <c r="I56" s="48"/>
      <c r="J56" s="48"/>
      <c r="K56" s="48"/>
      <c r="L56" s="48"/>
      <c r="M56" s="136" t="str">
        <f>IFERROR(__xludf.DUMMYFUNCTION("GOOGLETRANSLATE(L56,""zh-CN"", ""en"")"),"#VALUE!")</f>
        <v>#VALUE!</v>
      </c>
      <c r="N56" s="48"/>
      <c r="O56" s="48"/>
      <c r="P56" s="48"/>
      <c r="Q56" s="55" t="s">
        <v>1297</v>
      </c>
      <c r="R56" s="55" t="s">
        <v>99</v>
      </c>
      <c r="S56" s="55" t="s">
        <v>1298</v>
      </c>
      <c r="T56" s="55" t="s">
        <v>1299</v>
      </c>
    </row>
    <row r="57" ht="15.75" customHeight="1">
      <c r="A57" s="162" t="s">
        <v>1300</v>
      </c>
      <c r="B57" s="154" t="str">
        <f>IFERROR(__xludf.DUMMYFUNCTION("GOOGLETRANSLATE(A57,""zh-CN"", ""en"")"),"Set parameter 3 (protection parameters)")</f>
        <v>Set parameter 3 (protection parameters)</v>
      </c>
      <c r="C57" s="163"/>
      <c r="D57" s="163"/>
      <c r="E57" s="163"/>
      <c r="F57" s="163"/>
      <c r="G57" s="163"/>
      <c r="H57" s="163"/>
      <c r="I57" s="163"/>
      <c r="J57" s="164"/>
      <c r="K57" s="164"/>
      <c r="L57" s="152"/>
      <c r="M57" s="136" t="str">
        <f>IFERROR(__xludf.DUMMYFUNCTION("GOOGLETRANSLATE(L57,""zh-CN"", ""en"")"),"#VALUE!")</f>
        <v>#VALUE!</v>
      </c>
      <c r="N57" s="152"/>
      <c r="O57" s="152"/>
      <c r="P57" s="152"/>
      <c r="Q57" s="55" t="s">
        <v>1301</v>
      </c>
      <c r="R57" s="55" t="s">
        <v>99</v>
      </c>
      <c r="S57" s="55" t="s">
        <v>1302</v>
      </c>
      <c r="T57" s="55" t="s">
        <v>1303</v>
      </c>
    </row>
    <row r="58" ht="15.75" customHeight="1">
      <c r="A58" s="141" t="s">
        <v>1304</v>
      </c>
      <c r="B58" s="154" t="str">
        <f>IFERROR(__xludf.DUMMYFUNCTION("GOOGLETRANSLATE(A58,""zh-CN"", ""en"")"),"Grid connection condition judgment time")</f>
        <v>Grid connection condition judgment time</v>
      </c>
      <c r="C58" s="141" t="s">
        <v>1305</v>
      </c>
      <c r="D58" s="136" t="s">
        <v>459</v>
      </c>
      <c r="E58" s="141" t="s">
        <v>104</v>
      </c>
      <c r="F58" s="137">
        <v>2.0</v>
      </c>
      <c r="G58" s="141" t="s">
        <v>1306</v>
      </c>
      <c r="H58" s="141"/>
      <c r="I58" s="141" t="s">
        <v>817</v>
      </c>
      <c r="J58" s="141"/>
      <c r="K58" s="141"/>
      <c r="L58" s="141" t="s">
        <v>1307</v>
      </c>
      <c r="M58" s="136" t="str">
        <f>IFERROR(__xludf.DUMMYFUNCTION("GOOGLETRANSLATE(L58,""zh-CN"", ""en"")"),"yes")</f>
        <v>yes</v>
      </c>
      <c r="N58" s="141"/>
      <c r="O58" s="141"/>
      <c r="P58" s="141" t="s">
        <v>1308</v>
      </c>
      <c r="Q58" s="55" t="s">
        <v>1309</v>
      </c>
      <c r="R58" s="55" t="s">
        <v>99</v>
      </c>
      <c r="S58" s="55" t="s">
        <v>1310</v>
      </c>
      <c r="T58" s="55" t="s">
        <v>1311</v>
      </c>
    </row>
    <row r="59" ht="15.75" customHeight="1">
      <c r="A59" s="141" t="s">
        <v>1312</v>
      </c>
      <c r="B59" s="154" t="str">
        <f>IFERROR(__xludf.DUMMYFUNCTION("GOOGLETRANSLATE(A59,""zh-CN"", ""en"")"),"Maximum voltage allowed for grid connection")</f>
        <v>Maximum voltage allowed for grid connection</v>
      </c>
      <c r="C59" s="141" t="s">
        <v>1313</v>
      </c>
      <c r="D59" s="136" t="s">
        <v>466</v>
      </c>
      <c r="E59" s="141" t="s">
        <v>104</v>
      </c>
      <c r="F59" s="137">
        <v>2.0</v>
      </c>
      <c r="G59" s="141" t="s">
        <v>1314</v>
      </c>
      <c r="H59" s="141"/>
      <c r="I59" s="141" t="s">
        <v>215</v>
      </c>
      <c r="J59" s="141"/>
      <c r="K59" s="141"/>
      <c r="L59" s="141" t="s">
        <v>1315</v>
      </c>
      <c r="M59" s="136" t="str">
        <f>IFERROR(__xludf.DUMMYFUNCTION("GOOGLETRANSLATE(L59,""zh-CN"", ""en"")"),"yes")</f>
        <v>yes</v>
      </c>
      <c r="N59" s="141"/>
      <c r="O59" s="141"/>
      <c r="P59" s="141" t="s">
        <v>1316</v>
      </c>
      <c r="Q59" s="55" t="s">
        <v>1317</v>
      </c>
      <c r="R59" s="55" t="s">
        <v>99</v>
      </c>
      <c r="S59" s="55" t="s">
        <v>1318</v>
      </c>
      <c r="T59" s="55" t="s">
        <v>1319</v>
      </c>
    </row>
    <row r="60" ht="15.75" customHeight="1">
      <c r="A60" s="141" t="s">
        <v>1320</v>
      </c>
      <c r="B60" s="154" t="str">
        <f>IFERROR(__xludf.DUMMYFUNCTION("GOOGLETRANSLATE(A60,""zh-CN"", ""en"")"),"Minimum voltage allowed for grid connection")</f>
        <v>Minimum voltage allowed for grid connection</v>
      </c>
      <c r="C60" s="141" t="s">
        <v>1321</v>
      </c>
      <c r="D60" s="136" t="s">
        <v>471</v>
      </c>
      <c r="E60" s="141" t="s">
        <v>104</v>
      </c>
      <c r="F60" s="137">
        <v>2.0</v>
      </c>
      <c r="G60" s="141" t="s">
        <v>1322</v>
      </c>
      <c r="H60" s="141"/>
      <c r="I60" s="141" t="s">
        <v>215</v>
      </c>
      <c r="J60" s="141"/>
      <c r="K60" s="141"/>
      <c r="L60" s="141" t="s">
        <v>1323</v>
      </c>
      <c r="M60" s="136" t="str">
        <f>IFERROR(__xludf.DUMMYFUNCTION("GOOGLETRANSLATE(L60,""zh-CN"", ""en"")"),"yes")</f>
        <v>yes</v>
      </c>
      <c r="N60" s="141"/>
      <c r="O60" s="141"/>
      <c r="P60" s="141" t="s">
        <v>1324</v>
      </c>
      <c r="Q60" s="55" t="s">
        <v>1325</v>
      </c>
      <c r="R60" s="55" t="s">
        <v>99</v>
      </c>
      <c r="S60" s="55" t="s">
        <v>1326</v>
      </c>
      <c r="T60" s="55" t="s">
        <v>1327</v>
      </c>
    </row>
    <row r="61" ht="15.75" customHeight="1">
      <c r="A61" s="141" t="s">
        <v>1328</v>
      </c>
      <c r="B61" s="154" t="str">
        <f>IFERROR(__xludf.DUMMYFUNCTION("GOOGLETRANSLATE(A61,""zh-CN"", ""en"")"),"Maximum frequency allowed for grid connection")</f>
        <v>Maximum frequency allowed for grid connection</v>
      </c>
      <c r="C61" s="141" t="s">
        <v>1329</v>
      </c>
      <c r="D61" s="136" t="s">
        <v>476</v>
      </c>
      <c r="E61" s="141" t="s">
        <v>104</v>
      </c>
      <c r="F61" s="137">
        <v>2.0</v>
      </c>
      <c r="G61" s="141" t="s">
        <v>1330</v>
      </c>
      <c r="H61" s="141"/>
      <c r="I61" s="141" t="s">
        <v>272</v>
      </c>
      <c r="J61" s="141"/>
      <c r="K61" s="141"/>
      <c r="L61" s="141" t="s">
        <v>1331</v>
      </c>
      <c r="M61" s="136" t="str">
        <f>IFERROR(__xludf.DUMMYFUNCTION("GOOGLETRANSLATE(L61,""zh-CN"", ""en"")"),"yes")</f>
        <v>yes</v>
      </c>
      <c r="N61" s="141"/>
      <c r="O61" s="141"/>
      <c r="P61" s="141" t="s">
        <v>1332</v>
      </c>
      <c r="Q61" s="55" t="s">
        <v>1333</v>
      </c>
      <c r="R61" s="55" t="s">
        <v>99</v>
      </c>
      <c r="S61" s="55" t="s">
        <v>1334</v>
      </c>
      <c r="T61" s="55" t="s">
        <v>1335</v>
      </c>
    </row>
    <row r="62" ht="15.75" customHeight="1">
      <c r="A62" s="141" t="s">
        <v>1336</v>
      </c>
      <c r="B62" s="154" t="str">
        <f>IFERROR(__xludf.DUMMYFUNCTION("GOOGLETRANSLATE(A62,""zh-CN"", ""en"")"),"Minimum frequency allowed for grid connection")</f>
        <v>Minimum frequency allowed for grid connection</v>
      </c>
      <c r="C62" s="141" t="s">
        <v>1337</v>
      </c>
      <c r="D62" s="136" t="s">
        <v>480</v>
      </c>
      <c r="E62" s="141" t="s">
        <v>104</v>
      </c>
      <c r="F62" s="137">
        <v>2.0</v>
      </c>
      <c r="G62" s="141" t="s">
        <v>1338</v>
      </c>
      <c r="H62" s="141"/>
      <c r="I62" s="141"/>
      <c r="J62" s="141"/>
      <c r="K62" s="141"/>
      <c r="L62" s="141" t="s">
        <v>1339</v>
      </c>
      <c r="M62" s="136" t="str">
        <f>IFERROR(__xludf.DUMMYFUNCTION("GOOGLETRANSLATE(L62,""zh-CN"", ""en"")"),"yes")</f>
        <v>yes</v>
      </c>
      <c r="N62" s="141"/>
      <c r="O62" s="141"/>
      <c r="P62" s="141" t="s">
        <v>1340</v>
      </c>
      <c r="Q62" s="55" t="s">
        <v>1341</v>
      </c>
      <c r="R62" s="55" t="s">
        <v>99</v>
      </c>
      <c r="S62" s="55" t="s">
        <v>1342</v>
      </c>
      <c r="T62" s="55" t="s">
        <v>1343</v>
      </c>
    </row>
    <row r="63" ht="15.75" customHeight="1">
      <c r="A63" s="141" t="s">
        <v>1344</v>
      </c>
      <c r="B63" s="154" t="str">
        <f>IFERROR(__xludf.DUMMYFUNCTION("GOOGLETRANSLATE(A63,""zh-CN"", ""en"")"),"Voltage protection level trip selection")</f>
        <v>Voltage protection level trip selection</v>
      </c>
      <c r="C63" s="141" t="s">
        <v>1345</v>
      </c>
      <c r="D63" s="136" t="s">
        <v>485</v>
      </c>
      <c r="E63" s="141" t="s">
        <v>104</v>
      </c>
      <c r="F63" s="137">
        <v>2.0</v>
      </c>
      <c r="G63" s="168" t="s">
        <v>1346</v>
      </c>
      <c r="H63" s="141"/>
      <c r="I63" s="141"/>
      <c r="J63" s="141" t="s">
        <v>1347</v>
      </c>
      <c r="K63" s="141" t="str">
        <f>IFERROR(__xludf.DUMMYFUNCTION("GOOGLETRANSLATE(J63,""zh-CN"", ""en"")"),"1: Level 1 Default level 1 2: Level 2 3: Level 3 4: Level 4 5: Level 5")</f>
        <v>1: Level 1 Default level 1 2: Level 2 3: Level 3 4: Level 4 5: Level 5</v>
      </c>
      <c r="L63" s="141" t="s">
        <v>1348</v>
      </c>
      <c r="M63" s="136" t="str">
        <f>IFERROR(__xludf.DUMMYFUNCTION("GOOGLETRANSLATE(L63,""zh-CN"", ""en"")"),"yes")</f>
        <v>yes</v>
      </c>
      <c r="N63" s="141"/>
      <c r="O63" s="141"/>
      <c r="P63" s="141" t="s">
        <v>1349</v>
      </c>
      <c r="Q63" s="55" t="s">
        <v>1350</v>
      </c>
      <c r="R63" s="55" t="s">
        <v>99</v>
      </c>
      <c r="S63" s="55" t="s">
        <v>1351</v>
      </c>
      <c r="T63" s="55" t="s">
        <v>1352</v>
      </c>
    </row>
    <row r="64" ht="15.75" customHeight="1">
      <c r="A64" s="141" t="s">
        <v>1353</v>
      </c>
      <c r="B64" s="154" t="str">
        <f>IFERROR(__xludf.DUMMYFUNCTION("GOOGLETRANSLATE(A64,""zh-CN"", ""en"")"),"Frequency protection level trip selection")</f>
        <v>Frequency protection level trip selection</v>
      </c>
      <c r="C64" s="141" t="s">
        <v>1354</v>
      </c>
      <c r="D64" s="136" t="s">
        <v>1355</v>
      </c>
      <c r="E64" s="141" t="s">
        <v>104</v>
      </c>
      <c r="F64" s="137">
        <v>2.0</v>
      </c>
      <c r="G64" s="168" t="s">
        <v>1346</v>
      </c>
      <c r="H64" s="141"/>
      <c r="I64" s="141"/>
      <c r="J64" s="141" t="s">
        <v>1356</v>
      </c>
      <c r="K64" s="141" t="str">
        <f>IFERROR(__xludf.DUMMYFUNCTION("GOOGLETRANSLATE(J64,""zh-CN"", ""en"")"),"1: Level 1 Default level 1 2: Level 2 3: Level 3 4: Level 4 5: Level 5")</f>
        <v>1: Level 1 Default level 1 2: Level 2 3: Level 3 4: Level 4 5: Level 5</v>
      </c>
      <c r="L64" s="141" t="s">
        <v>1357</v>
      </c>
      <c r="M64" s="136" t="str">
        <f>IFERROR(__xludf.DUMMYFUNCTION("GOOGLETRANSLATE(L64,""zh-CN"", ""en"")"),"yes")</f>
        <v>yes</v>
      </c>
      <c r="N64" s="141"/>
      <c r="O64" s="141"/>
      <c r="P64" s="141" t="s">
        <v>1358</v>
      </c>
      <c r="Q64" s="55" t="s">
        <v>1359</v>
      </c>
      <c r="R64" s="55" t="s">
        <v>99</v>
      </c>
      <c r="S64" s="55" t="s">
        <v>1360</v>
      </c>
      <c r="T64" s="55" t="s">
        <v>1361</v>
      </c>
    </row>
    <row r="65" ht="15.75" customHeight="1">
      <c r="A65" s="141" t="s">
        <v>1362</v>
      </c>
      <c r="B65" s="154" t="str">
        <f>IFERROR(__xludf.DUMMYFUNCTION("GOOGLETRANSLATE(A65,""zh-CN"", ""en"")"),"Grid overvoltage recovery point")</f>
        <v>Grid overvoltage recovery point</v>
      </c>
      <c r="C65" s="141" t="s">
        <v>1363</v>
      </c>
      <c r="D65" s="136" t="s">
        <v>1364</v>
      </c>
      <c r="E65" s="141" t="s">
        <v>104</v>
      </c>
      <c r="F65" s="137">
        <v>2.0</v>
      </c>
      <c r="G65" s="141" t="s">
        <v>1314</v>
      </c>
      <c r="H65" s="141"/>
      <c r="I65" s="141" t="s">
        <v>215</v>
      </c>
      <c r="J65" s="141"/>
      <c r="K65" s="141"/>
      <c r="L65" s="141" t="s">
        <v>1365</v>
      </c>
      <c r="M65" s="136" t="str">
        <f>IFERROR(__xludf.DUMMYFUNCTION("GOOGLETRANSLATE(L65,""zh-CN"", ""en"")"),"yes")</f>
        <v>yes</v>
      </c>
      <c r="N65" s="141"/>
      <c r="O65" s="141"/>
      <c r="P65" s="141" t="s">
        <v>1366</v>
      </c>
      <c r="Q65" s="55" t="s">
        <v>1367</v>
      </c>
      <c r="R65" s="55" t="s">
        <v>99</v>
      </c>
      <c r="S65" s="55" t="s">
        <v>1368</v>
      </c>
      <c r="T65" s="55" t="s">
        <v>1369</v>
      </c>
    </row>
    <row r="66" ht="15.75" customHeight="1">
      <c r="A66" s="141" t="s">
        <v>1370</v>
      </c>
      <c r="B66" s="154" t="str">
        <f>IFERROR(__xludf.DUMMYFUNCTION("GOOGLETRANSLATE(A66,""zh-CN"", ""en"")"),"Grid undervoltage recovery point")</f>
        <v>Grid undervoltage recovery point</v>
      </c>
      <c r="C66" s="141" t="s">
        <v>1371</v>
      </c>
      <c r="D66" s="136" t="s">
        <v>494</v>
      </c>
      <c r="E66" s="141" t="s">
        <v>104</v>
      </c>
      <c r="F66" s="137">
        <v>2.0</v>
      </c>
      <c r="G66" s="141" t="s">
        <v>1322</v>
      </c>
      <c r="H66" s="141"/>
      <c r="I66" s="141" t="s">
        <v>215</v>
      </c>
      <c r="J66" s="141"/>
      <c r="K66" s="141"/>
      <c r="L66" s="141" t="s">
        <v>1372</v>
      </c>
      <c r="M66" s="136" t="str">
        <f>IFERROR(__xludf.DUMMYFUNCTION("GOOGLETRANSLATE(L66,""zh-CN"", ""en"")"),"yes")</f>
        <v>yes</v>
      </c>
      <c r="N66" s="141"/>
      <c r="O66" s="141"/>
      <c r="P66" s="141" t="s">
        <v>1373</v>
      </c>
      <c r="Q66" s="55" t="s">
        <v>1374</v>
      </c>
      <c r="R66" s="55" t="s">
        <v>99</v>
      </c>
      <c r="S66" s="55" t="s">
        <v>1375</v>
      </c>
      <c r="T66" s="55" t="s">
        <v>1376</v>
      </c>
    </row>
    <row r="67" ht="15.75" customHeight="1">
      <c r="A67" s="141" t="s">
        <v>1377</v>
      </c>
      <c r="B67" s="154" t="str">
        <f>IFERROR(__xludf.DUMMYFUNCTION("GOOGLETRANSLATE(A67,""zh-CN"", ""en"")"),"Grid overfrequency recovery point")</f>
        <v>Grid overfrequency recovery point</v>
      </c>
      <c r="C67" s="141" t="s">
        <v>1378</v>
      </c>
      <c r="D67" s="136" t="s">
        <v>499</v>
      </c>
      <c r="E67" s="141" t="s">
        <v>104</v>
      </c>
      <c r="F67" s="137">
        <v>2.0</v>
      </c>
      <c r="G67" s="141" t="s">
        <v>1330</v>
      </c>
      <c r="H67" s="141"/>
      <c r="I67" s="141" t="s">
        <v>272</v>
      </c>
      <c r="J67" s="141"/>
      <c r="K67" s="141"/>
      <c r="L67" s="141" t="s">
        <v>1379</v>
      </c>
      <c r="M67" s="136" t="str">
        <f>IFERROR(__xludf.DUMMYFUNCTION("GOOGLETRANSLATE(L67,""zh-CN"", ""en"")"),"yes")</f>
        <v>yes</v>
      </c>
      <c r="N67" s="141"/>
      <c r="O67" s="141"/>
      <c r="P67" s="141" t="s">
        <v>1380</v>
      </c>
      <c r="Q67" s="55" t="s">
        <v>1381</v>
      </c>
      <c r="R67" s="55" t="s">
        <v>99</v>
      </c>
      <c r="S67" s="55" t="s">
        <v>1382</v>
      </c>
      <c r="T67" s="55" t="s">
        <v>1383</v>
      </c>
    </row>
    <row r="68" ht="15.75" customHeight="1">
      <c r="A68" s="141" t="s">
        <v>1384</v>
      </c>
      <c r="B68" s="154" t="str">
        <f>IFERROR(__xludf.DUMMYFUNCTION("GOOGLETRANSLATE(A68,""zh-CN"", ""en"")"),"Grid underfrequency recovery point")</f>
        <v>Grid underfrequency recovery point</v>
      </c>
      <c r="C68" s="141" t="s">
        <v>1385</v>
      </c>
      <c r="D68" s="136" t="s">
        <v>504</v>
      </c>
      <c r="E68" s="141" t="s">
        <v>104</v>
      </c>
      <c r="F68" s="137">
        <v>2.0</v>
      </c>
      <c r="G68" s="141" t="s">
        <v>1338</v>
      </c>
      <c r="H68" s="141"/>
      <c r="I68" s="141" t="s">
        <v>272</v>
      </c>
      <c r="J68" s="141"/>
      <c r="K68" s="141"/>
      <c r="L68" s="141" t="s">
        <v>1386</v>
      </c>
      <c r="M68" s="136" t="str">
        <f>IFERROR(__xludf.DUMMYFUNCTION("GOOGLETRANSLATE(L68,""zh-CN"", ""en"")"),"yes")</f>
        <v>yes</v>
      </c>
      <c r="N68" s="141"/>
      <c r="O68" s="141"/>
      <c r="P68" s="141" t="s">
        <v>1387</v>
      </c>
      <c r="Q68" s="55" t="s">
        <v>1388</v>
      </c>
      <c r="R68" s="55" t="s">
        <v>99</v>
      </c>
      <c r="S68" s="55" t="s">
        <v>1389</v>
      </c>
      <c r="T68" s="55" t="s">
        <v>1390</v>
      </c>
    </row>
    <row r="69" ht="15.75" customHeight="1">
      <c r="A69" s="169" t="s">
        <v>1391</v>
      </c>
      <c r="B69" s="154" t="str">
        <f>IFERROR(__xludf.DUMMYFUNCTION("GOOGLETRANSLATE(A69,""zh-CN"", ""en"")"),"Grid overvoltage level one protection value
(default single level)")</f>
        <v>Grid overvoltage level one protection value
(default single level)</v>
      </c>
      <c r="C69" s="169" t="s">
        <v>1392</v>
      </c>
      <c r="D69" s="170" t="s">
        <v>509</v>
      </c>
      <c r="E69" s="169" t="s">
        <v>104</v>
      </c>
      <c r="F69" s="171">
        <v>2.0</v>
      </c>
      <c r="G69" s="172" t="s">
        <v>1393</v>
      </c>
      <c r="H69" s="169"/>
      <c r="I69" s="169" t="s">
        <v>215</v>
      </c>
      <c r="J69" s="169"/>
      <c r="K69" s="169"/>
      <c r="L69" s="169" t="s">
        <v>1394</v>
      </c>
      <c r="M69" s="136" t="str">
        <f>IFERROR(__xludf.DUMMYFUNCTION("GOOGLETRANSLATE(L69,""zh-CN"", ""en"")"),"yes")</f>
        <v>yes</v>
      </c>
      <c r="N69" s="169"/>
      <c r="O69" s="169"/>
      <c r="P69" s="169" t="s">
        <v>1395</v>
      </c>
      <c r="Q69" s="173" t="s">
        <v>1396</v>
      </c>
      <c r="R69" s="173" t="s">
        <v>99</v>
      </c>
      <c r="S69" s="173" t="s">
        <v>1397</v>
      </c>
      <c r="T69" s="173" t="s">
        <v>1398</v>
      </c>
      <c r="U69" s="174"/>
      <c r="V69" s="174"/>
      <c r="W69" s="174"/>
      <c r="X69" s="174"/>
      <c r="Y69" s="174"/>
      <c r="Z69" s="174"/>
      <c r="AA69" s="174"/>
      <c r="AB69" s="174"/>
      <c r="AC69" s="174"/>
      <c r="AD69" s="174"/>
      <c r="AE69" s="174"/>
    </row>
    <row r="70" ht="15.75" customHeight="1">
      <c r="A70" s="141" t="s">
        <v>1399</v>
      </c>
      <c r="B70" s="154" t="str">
        <f>IFERROR(__xludf.DUMMYFUNCTION("GOOGLETRANSLATE(A70,""zh-CN"", ""en"")"),"Grid overvoltage level one protection time
(default single level)")</f>
        <v>Grid overvoltage level one protection time
(default single level)</v>
      </c>
      <c r="C70" s="141" t="s">
        <v>1400</v>
      </c>
      <c r="D70" s="136" t="s">
        <v>514</v>
      </c>
      <c r="E70" s="141" t="s">
        <v>104</v>
      </c>
      <c r="F70" s="137">
        <v>2.0</v>
      </c>
      <c r="G70" s="141" t="s">
        <v>1401</v>
      </c>
      <c r="H70" s="141" t="str">
        <f>IFERROR(__xludf.DUMMYFUNCTION("GOOGLETRANSLATE(G70,""zh-CN"", ""en"")"),"0-30000 (all protections)")</f>
        <v>0-30000 (all protections)</v>
      </c>
      <c r="I70" s="141" t="s">
        <v>1402</v>
      </c>
      <c r="J70" s="141"/>
      <c r="K70" s="141"/>
      <c r="L70" s="141" t="s">
        <v>1403</v>
      </c>
      <c r="M70" s="136" t="str">
        <f>IFERROR(__xludf.DUMMYFUNCTION("GOOGLETRANSLATE(L70,""zh-CN"", ""en"")"),"yes")</f>
        <v>yes</v>
      </c>
      <c r="N70" s="141"/>
      <c r="O70" s="141"/>
      <c r="P70" s="141" t="s">
        <v>1404</v>
      </c>
      <c r="Q70" s="55" t="s">
        <v>1405</v>
      </c>
      <c r="R70" s="55" t="s">
        <v>99</v>
      </c>
      <c r="S70" s="55" t="s">
        <v>1406</v>
      </c>
      <c r="T70" s="55" t="s">
        <v>1407</v>
      </c>
    </row>
    <row r="71" ht="15.75" customHeight="1">
      <c r="A71" s="169" t="s">
        <v>1408</v>
      </c>
      <c r="B71" s="154" t="str">
        <f>IFERROR(__xludf.DUMMYFUNCTION("GOOGLETRANSLATE(A71,""zh-CN"", ""en"")"),"Grid undervoltage first-level protection value
(default single level)")</f>
        <v>Grid undervoltage first-level protection value
(default single level)</v>
      </c>
      <c r="C71" s="169" t="s">
        <v>1409</v>
      </c>
      <c r="D71" s="170" t="s">
        <v>519</v>
      </c>
      <c r="E71" s="169" t="s">
        <v>104</v>
      </c>
      <c r="F71" s="171">
        <v>2.0</v>
      </c>
      <c r="G71" s="172" t="s">
        <v>1410</v>
      </c>
      <c r="H71" s="169" t="str">
        <f>IFERROR(__xludf.DUMMYFUNCTION("GOOGLETRANSLATE(G71,""zh-CN"", ""en"")"),"500-2500")</f>
        <v>500-2500</v>
      </c>
      <c r="I71" s="169" t="s">
        <v>215</v>
      </c>
      <c r="J71" s="169"/>
      <c r="K71" s="169"/>
      <c r="L71" s="169" t="s">
        <v>1411</v>
      </c>
      <c r="M71" s="136" t="str">
        <f>IFERROR(__xludf.DUMMYFUNCTION("GOOGLETRANSLATE(L71,""zh-CN"", ""en"")"),"yes")</f>
        <v>yes</v>
      </c>
      <c r="N71" s="169"/>
      <c r="O71" s="169"/>
      <c r="P71" s="169" t="s">
        <v>1412</v>
      </c>
      <c r="Q71" s="173" t="s">
        <v>1413</v>
      </c>
      <c r="R71" s="173" t="s">
        <v>99</v>
      </c>
      <c r="S71" s="173" t="s">
        <v>1414</v>
      </c>
      <c r="T71" s="173" t="s">
        <v>1415</v>
      </c>
      <c r="U71" s="174"/>
      <c r="V71" s="174"/>
      <c r="W71" s="174"/>
      <c r="X71" s="174"/>
      <c r="Y71" s="174"/>
      <c r="Z71" s="174"/>
      <c r="AA71" s="174"/>
      <c r="AB71" s="174"/>
      <c r="AC71" s="174"/>
      <c r="AD71" s="174"/>
      <c r="AE71" s="174"/>
    </row>
    <row r="72" ht="15.75" customHeight="1">
      <c r="A72" s="141" t="s">
        <v>1416</v>
      </c>
      <c r="B72" s="154" t="str">
        <f>IFERROR(__xludf.DUMMYFUNCTION("GOOGLETRANSLATE(A72,""zh-CN"", ""en"")"),"Grid undervoltage first-level protection time
(default single level)")</f>
        <v>Grid undervoltage first-level protection time
(default single level)</v>
      </c>
      <c r="C72" s="141" t="s">
        <v>1417</v>
      </c>
      <c r="D72" s="136" t="s">
        <v>1418</v>
      </c>
      <c r="E72" s="141" t="s">
        <v>104</v>
      </c>
      <c r="F72" s="137">
        <v>2.0</v>
      </c>
      <c r="G72" s="141" t="s">
        <v>1401</v>
      </c>
      <c r="H72" s="141" t="str">
        <f>IFERROR(__xludf.DUMMYFUNCTION("GOOGLETRANSLATE(G72,""zh-CN"", ""en"")"),"0-30000 (all protections)")</f>
        <v>0-30000 (all protections)</v>
      </c>
      <c r="I72" s="141" t="s">
        <v>1402</v>
      </c>
      <c r="J72" s="141"/>
      <c r="K72" s="141"/>
      <c r="L72" s="141" t="s">
        <v>1419</v>
      </c>
      <c r="M72" s="136" t="str">
        <f>IFERROR(__xludf.DUMMYFUNCTION("GOOGLETRANSLATE(L72,""zh-CN"", ""en"")"),"yes")</f>
        <v>yes</v>
      </c>
      <c r="N72" s="141"/>
      <c r="O72" s="141"/>
      <c r="P72" s="141" t="s">
        <v>1420</v>
      </c>
      <c r="Q72" s="55" t="s">
        <v>1421</v>
      </c>
      <c r="R72" s="55" t="s">
        <v>99</v>
      </c>
      <c r="S72" s="55" t="s">
        <v>1422</v>
      </c>
      <c r="T72" s="55" t="s">
        <v>1423</v>
      </c>
    </row>
    <row r="73" ht="15.75" customHeight="1">
      <c r="A73" s="169" t="s">
        <v>1424</v>
      </c>
      <c r="B73" s="154" t="str">
        <f>IFERROR(__xludf.DUMMYFUNCTION("GOOGLETRANSLATE(A73,""zh-CN"", ""en"")"),"Grid overvoltage secondary protection value")</f>
        <v>Grid overvoltage secondary protection value</v>
      </c>
      <c r="C73" s="169" t="s">
        <v>1425</v>
      </c>
      <c r="D73" s="170" t="s">
        <v>1426</v>
      </c>
      <c r="E73" s="169" t="s">
        <v>104</v>
      </c>
      <c r="F73" s="171">
        <v>2.0</v>
      </c>
      <c r="G73" s="172" t="s">
        <v>1393</v>
      </c>
      <c r="H73" s="169" t="str">
        <f>IFERROR(__xludf.DUMMYFUNCTION("GOOGLETRANSLATE(G73,""zh-CN"", ""en"")"),"1000-4000")</f>
        <v>1000-4000</v>
      </c>
      <c r="I73" s="169" t="s">
        <v>215</v>
      </c>
      <c r="J73" s="169"/>
      <c r="K73" s="169"/>
      <c r="L73" s="169" t="s">
        <v>1427</v>
      </c>
      <c r="M73" s="136" t="str">
        <f>IFERROR(__xludf.DUMMYFUNCTION("GOOGLETRANSLATE(L73,""zh-CN"", ""en"")"),"yes")</f>
        <v>yes</v>
      </c>
      <c r="N73" s="169"/>
      <c r="O73" s="169"/>
      <c r="P73" s="169" t="s">
        <v>1428</v>
      </c>
      <c r="Q73" s="173" t="s">
        <v>1429</v>
      </c>
      <c r="R73" s="173" t="s">
        <v>99</v>
      </c>
      <c r="S73" s="173" t="s">
        <v>1430</v>
      </c>
      <c r="T73" s="173" t="s">
        <v>1431</v>
      </c>
      <c r="U73" s="174"/>
      <c r="V73" s="174"/>
      <c r="W73" s="174"/>
      <c r="X73" s="174"/>
      <c r="Y73" s="174"/>
      <c r="Z73" s="174"/>
      <c r="AA73" s="174"/>
      <c r="AB73" s="174"/>
      <c r="AC73" s="174"/>
      <c r="AD73" s="174"/>
      <c r="AE73" s="174"/>
    </row>
    <row r="74" ht="15.75" customHeight="1">
      <c r="A74" s="141" t="s">
        <v>1432</v>
      </c>
      <c r="B74" s="154" t="str">
        <f>IFERROR(__xludf.DUMMYFUNCTION("GOOGLETRANSLATE(A74,""zh-CN"", ""en"")"),"Grid overvoltage secondary protection time")</f>
        <v>Grid overvoltage secondary protection time</v>
      </c>
      <c r="C74" s="141" t="s">
        <v>1433</v>
      </c>
      <c r="D74" s="136" t="s">
        <v>1434</v>
      </c>
      <c r="E74" s="141" t="s">
        <v>104</v>
      </c>
      <c r="F74" s="137">
        <v>2.0</v>
      </c>
      <c r="G74" s="141" t="s">
        <v>1401</v>
      </c>
      <c r="H74" s="141" t="str">
        <f>IFERROR(__xludf.DUMMYFUNCTION("GOOGLETRANSLATE(G74,""zh-CN"", ""en"")"),"0-30000 (all protections)")</f>
        <v>0-30000 (all protections)</v>
      </c>
      <c r="I74" s="141" t="s">
        <v>1402</v>
      </c>
      <c r="J74" s="141"/>
      <c r="K74" s="141"/>
      <c r="L74" s="141" t="s">
        <v>1435</v>
      </c>
      <c r="M74" s="136" t="str">
        <f>IFERROR(__xludf.DUMMYFUNCTION("GOOGLETRANSLATE(L74,""zh-CN"", ""en"")"),"yes")</f>
        <v>yes</v>
      </c>
      <c r="N74" s="141"/>
      <c r="O74" s="141"/>
      <c r="P74" s="141" t="s">
        <v>1436</v>
      </c>
      <c r="Q74" s="55" t="s">
        <v>1437</v>
      </c>
      <c r="R74" s="55" t="s">
        <v>99</v>
      </c>
      <c r="S74" s="55" t="s">
        <v>1438</v>
      </c>
      <c r="T74" s="55" t="s">
        <v>1439</v>
      </c>
    </row>
    <row r="75" ht="15.75" customHeight="1">
      <c r="A75" s="169" t="s">
        <v>1440</v>
      </c>
      <c r="B75" s="154" t="str">
        <f>IFERROR(__xludf.DUMMYFUNCTION("GOOGLETRANSLATE(A75,""zh-CN"", ""en"")"),"Grid undervoltage secondary protection value")</f>
        <v>Grid undervoltage secondary protection value</v>
      </c>
      <c r="C75" s="169" t="s">
        <v>1441</v>
      </c>
      <c r="D75" s="170" t="s">
        <v>1442</v>
      </c>
      <c r="E75" s="169" t="s">
        <v>104</v>
      </c>
      <c r="F75" s="171">
        <v>2.0</v>
      </c>
      <c r="G75" s="172" t="s">
        <v>1410</v>
      </c>
      <c r="H75" s="169" t="str">
        <f>IFERROR(__xludf.DUMMYFUNCTION("GOOGLETRANSLATE(G75,""zh-CN"", ""en"")"),"500-2500")</f>
        <v>500-2500</v>
      </c>
      <c r="I75" s="169" t="s">
        <v>215</v>
      </c>
      <c r="J75" s="169"/>
      <c r="K75" s="169"/>
      <c r="L75" s="169" t="s">
        <v>1443</v>
      </c>
      <c r="M75" s="136" t="str">
        <f>IFERROR(__xludf.DUMMYFUNCTION("GOOGLETRANSLATE(L75,""zh-CN"", ""en"")"),"yes")</f>
        <v>yes</v>
      </c>
      <c r="N75" s="169"/>
      <c r="O75" s="169"/>
      <c r="P75" s="169" t="s">
        <v>1444</v>
      </c>
      <c r="Q75" s="173" t="s">
        <v>1445</v>
      </c>
      <c r="R75" s="173" t="s">
        <v>99</v>
      </c>
      <c r="S75" s="173" t="s">
        <v>1446</v>
      </c>
      <c r="T75" s="173" t="s">
        <v>1447</v>
      </c>
      <c r="U75" s="174"/>
      <c r="V75" s="174"/>
      <c r="W75" s="174"/>
      <c r="X75" s="174"/>
      <c r="Y75" s="174"/>
      <c r="Z75" s="174"/>
      <c r="AA75" s="174"/>
      <c r="AB75" s="174"/>
      <c r="AC75" s="174"/>
      <c r="AD75" s="174"/>
      <c r="AE75" s="174"/>
    </row>
    <row r="76" ht="15.75" customHeight="1">
      <c r="A76" s="141" t="s">
        <v>1448</v>
      </c>
      <c r="B76" s="154" t="str">
        <f>IFERROR(__xludf.DUMMYFUNCTION("GOOGLETRANSLATE(A76,""zh-CN"", ""en"")"),"Grid undervoltage secondary protection time")</f>
        <v>Grid undervoltage secondary protection time</v>
      </c>
      <c r="C76" s="141" t="s">
        <v>1449</v>
      </c>
      <c r="D76" s="136" t="s">
        <v>1450</v>
      </c>
      <c r="E76" s="141" t="s">
        <v>104</v>
      </c>
      <c r="F76" s="137">
        <v>2.0</v>
      </c>
      <c r="G76" s="141" t="s">
        <v>1401</v>
      </c>
      <c r="H76" s="141" t="str">
        <f>IFERROR(__xludf.DUMMYFUNCTION("GOOGLETRANSLATE(G76,""zh-CN"", ""en"")"),"0-30000 (all protections)")</f>
        <v>0-30000 (all protections)</v>
      </c>
      <c r="I76" s="141" t="s">
        <v>1402</v>
      </c>
      <c r="J76" s="141"/>
      <c r="K76" s="141"/>
      <c r="L76" s="141" t="s">
        <v>1451</v>
      </c>
      <c r="M76" s="136" t="str">
        <f>IFERROR(__xludf.DUMMYFUNCTION("GOOGLETRANSLATE(L76,""zh-CN"", ""en"")"),"yes")</f>
        <v>yes</v>
      </c>
      <c r="N76" s="141"/>
      <c r="O76" s="141"/>
      <c r="P76" s="141" t="s">
        <v>1452</v>
      </c>
      <c r="Q76" s="55" t="s">
        <v>1453</v>
      </c>
      <c r="R76" s="55" t="s">
        <v>99</v>
      </c>
      <c r="S76" s="55" t="s">
        <v>1454</v>
      </c>
      <c r="T76" s="55" t="s">
        <v>1455</v>
      </c>
    </row>
    <row r="77" ht="15.75" customHeight="1">
      <c r="A77" s="169" t="s">
        <v>1456</v>
      </c>
      <c r="B77" s="154" t="str">
        <f>IFERROR(__xludf.DUMMYFUNCTION("GOOGLETRANSLATE(A77,""zh-CN"", ""en"")"),"Grid overvoltage level three protection value")</f>
        <v>Grid overvoltage level three protection value</v>
      </c>
      <c r="C77" s="169" t="s">
        <v>1457</v>
      </c>
      <c r="D77" s="170" t="s">
        <v>1458</v>
      </c>
      <c r="E77" s="169" t="s">
        <v>104</v>
      </c>
      <c r="F77" s="171">
        <v>2.0</v>
      </c>
      <c r="G77" s="172" t="s">
        <v>1393</v>
      </c>
      <c r="H77" s="169" t="str">
        <f>IFERROR(__xludf.DUMMYFUNCTION("GOOGLETRANSLATE(G77,""zh-CN"", ""en"")"),"1000-4000")</f>
        <v>1000-4000</v>
      </c>
      <c r="I77" s="169" t="s">
        <v>215</v>
      </c>
      <c r="J77" s="169"/>
      <c r="K77" s="169"/>
      <c r="L77" s="169" t="s">
        <v>1459</v>
      </c>
      <c r="M77" s="136" t="str">
        <f>IFERROR(__xludf.DUMMYFUNCTION("GOOGLETRANSLATE(L77,""zh-CN"", ""en"")"),"yes")</f>
        <v>yes</v>
      </c>
      <c r="N77" s="169"/>
      <c r="O77" s="169"/>
      <c r="P77" s="169" t="s">
        <v>1460</v>
      </c>
      <c r="Q77" s="173" t="s">
        <v>1461</v>
      </c>
      <c r="R77" s="173" t="s">
        <v>99</v>
      </c>
      <c r="S77" s="173" t="s">
        <v>1462</v>
      </c>
      <c r="T77" s="173" t="s">
        <v>1463</v>
      </c>
      <c r="U77" s="174"/>
      <c r="V77" s="174"/>
      <c r="W77" s="174"/>
      <c r="X77" s="174"/>
      <c r="Y77" s="174"/>
      <c r="Z77" s="174"/>
      <c r="AA77" s="174"/>
      <c r="AB77" s="174"/>
      <c r="AC77" s="174"/>
      <c r="AD77" s="174"/>
      <c r="AE77" s="174"/>
    </row>
    <row r="78" ht="15.75" customHeight="1">
      <c r="A78" s="141" t="s">
        <v>1464</v>
      </c>
      <c r="B78" s="154" t="str">
        <f>IFERROR(__xludf.DUMMYFUNCTION("GOOGLETRANSLATE(A78,""zh-CN"", ""en"")"),"Grid overvoltage level three protection time")</f>
        <v>Grid overvoltage level three protection time</v>
      </c>
      <c r="C78" s="141" t="s">
        <v>1465</v>
      </c>
      <c r="D78" s="136" t="s">
        <v>1466</v>
      </c>
      <c r="E78" s="141" t="s">
        <v>104</v>
      </c>
      <c r="F78" s="137">
        <v>2.0</v>
      </c>
      <c r="G78" s="141" t="s">
        <v>1401</v>
      </c>
      <c r="H78" s="141" t="str">
        <f>IFERROR(__xludf.DUMMYFUNCTION("GOOGLETRANSLATE(G78,""zh-CN"", ""en"")"),"0-30000 (all protections)")</f>
        <v>0-30000 (all protections)</v>
      </c>
      <c r="I78" s="141" t="s">
        <v>1402</v>
      </c>
      <c r="J78" s="141"/>
      <c r="K78" s="141"/>
      <c r="L78" s="141" t="s">
        <v>1467</v>
      </c>
      <c r="M78" s="136" t="str">
        <f>IFERROR(__xludf.DUMMYFUNCTION("GOOGLETRANSLATE(L78,""zh-CN"", ""en"")"),"yes")</f>
        <v>yes</v>
      </c>
      <c r="N78" s="141"/>
      <c r="O78" s="141"/>
      <c r="P78" s="141" t="s">
        <v>1468</v>
      </c>
      <c r="Q78" s="55" t="s">
        <v>1469</v>
      </c>
      <c r="R78" s="55" t="s">
        <v>99</v>
      </c>
      <c r="S78" s="55" t="s">
        <v>1470</v>
      </c>
      <c r="T78" s="55" t="s">
        <v>1471</v>
      </c>
    </row>
    <row r="79" ht="15.75" customHeight="1">
      <c r="A79" s="169" t="s">
        <v>1472</v>
      </c>
      <c r="B79" s="154" t="str">
        <f>IFERROR(__xludf.DUMMYFUNCTION("GOOGLETRANSLATE(A79,""zh-CN"", ""en"")"),"Grid undervoltage three-level protection value")</f>
        <v>Grid undervoltage three-level protection value</v>
      </c>
      <c r="C79" s="169" t="s">
        <v>1473</v>
      </c>
      <c r="D79" s="170" t="s">
        <v>1474</v>
      </c>
      <c r="E79" s="169" t="s">
        <v>104</v>
      </c>
      <c r="F79" s="171">
        <v>2.0</v>
      </c>
      <c r="G79" s="172" t="s">
        <v>1410</v>
      </c>
      <c r="H79" s="169" t="str">
        <f>IFERROR(__xludf.DUMMYFUNCTION("GOOGLETRANSLATE(G79,""zh-CN"", ""en"")"),"500-2500")</f>
        <v>500-2500</v>
      </c>
      <c r="I79" s="169" t="s">
        <v>215</v>
      </c>
      <c r="J79" s="169"/>
      <c r="K79" s="169"/>
      <c r="L79" s="169" t="s">
        <v>1475</v>
      </c>
      <c r="M79" s="136" t="str">
        <f>IFERROR(__xludf.DUMMYFUNCTION("GOOGLETRANSLATE(L79,""zh-CN"", ""en"")"),"yes")</f>
        <v>yes</v>
      </c>
      <c r="N79" s="169"/>
      <c r="O79" s="169"/>
      <c r="P79" s="169" t="s">
        <v>1476</v>
      </c>
      <c r="Q79" s="173" t="s">
        <v>1477</v>
      </c>
      <c r="R79" s="173" t="s">
        <v>99</v>
      </c>
      <c r="S79" s="173" t="s">
        <v>1478</v>
      </c>
      <c r="T79" s="173" t="s">
        <v>1479</v>
      </c>
      <c r="U79" s="174"/>
      <c r="V79" s="174"/>
      <c r="W79" s="174"/>
      <c r="X79" s="174"/>
      <c r="Y79" s="174"/>
      <c r="Z79" s="174"/>
      <c r="AA79" s="174"/>
      <c r="AB79" s="174"/>
      <c r="AC79" s="174"/>
      <c r="AD79" s="174"/>
      <c r="AE79" s="174"/>
    </row>
    <row r="80" ht="15.75" customHeight="1">
      <c r="A80" s="141" t="s">
        <v>1480</v>
      </c>
      <c r="B80" s="154" t="str">
        <f>IFERROR(__xludf.DUMMYFUNCTION("GOOGLETRANSLATE(A80,""zh-CN"", ""en"")"),"Grid undervoltage level 3 protection time")</f>
        <v>Grid undervoltage level 3 protection time</v>
      </c>
      <c r="C80" s="141" t="s">
        <v>1481</v>
      </c>
      <c r="D80" s="136" t="s">
        <v>1482</v>
      </c>
      <c r="E80" s="141" t="s">
        <v>104</v>
      </c>
      <c r="F80" s="137">
        <v>2.0</v>
      </c>
      <c r="G80" s="141" t="s">
        <v>1401</v>
      </c>
      <c r="H80" s="141" t="str">
        <f>IFERROR(__xludf.DUMMYFUNCTION("GOOGLETRANSLATE(G80,""zh-CN"", ""en"")"),"0-30000 (all protections)")</f>
        <v>0-30000 (all protections)</v>
      </c>
      <c r="I80" s="141" t="s">
        <v>1402</v>
      </c>
      <c r="J80" s="141"/>
      <c r="K80" s="141"/>
      <c r="L80" s="141" t="s">
        <v>1483</v>
      </c>
      <c r="M80" s="136" t="str">
        <f>IFERROR(__xludf.DUMMYFUNCTION("GOOGLETRANSLATE(L80,""zh-CN"", ""en"")"),"yes")</f>
        <v>yes</v>
      </c>
      <c r="N80" s="141"/>
      <c r="O80" s="141"/>
      <c r="P80" s="141" t="s">
        <v>1484</v>
      </c>
      <c r="Q80" s="55" t="s">
        <v>1485</v>
      </c>
      <c r="R80" s="55" t="s">
        <v>99</v>
      </c>
      <c r="S80" s="55" t="s">
        <v>1486</v>
      </c>
      <c r="T80" s="55" t="s">
        <v>1487</v>
      </c>
    </row>
    <row r="81" ht="15.75" customHeight="1">
      <c r="A81" s="169" t="s">
        <v>1488</v>
      </c>
      <c r="B81" s="154" t="str">
        <f>IFERROR(__xludf.DUMMYFUNCTION("GOOGLETRANSLATE(A81,""zh-CN"", ""en"")"),"Grid overvoltage level four protection value")</f>
        <v>Grid overvoltage level four protection value</v>
      </c>
      <c r="C81" s="169" t="s">
        <v>1489</v>
      </c>
      <c r="D81" s="170" t="s">
        <v>1490</v>
      </c>
      <c r="E81" s="169" t="s">
        <v>104</v>
      </c>
      <c r="F81" s="171">
        <v>2.0</v>
      </c>
      <c r="G81" s="172" t="s">
        <v>1393</v>
      </c>
      <c r="H81" s="169" t="str">
        <f>IFERROR(__xludf.DUMMYFUNCTION("GOOGLETRANSLATE(G81,""zh-CN"", ""en"")"),"1000-4000")</f>
        <v>1000-4000</v>
      </c>
      <c r="I81" s="169" t="s">
        <v>215</v>
      </c>
      <c r="J81" s="169"/>
      <c r="K81" s="169"/>
      <c r="L81" s="169" t="s">
        <v>1491</v>
      </c>
      <c r="M81" s="136" t="str">
        <f>IFERROR(__xludf.DUMMYFUNCTION("GOOGLETRANSLATE(L81,""zh-CN"", ""en"")"),"yes")</f>
        <v>yes</v>
      </c>
      <c r="N81" s="169"/>
      <c r="O81" s="169"/>
      <c r="P81" s="169" t="s">
        <v>1492</v>
      </c>
      <c r="Q81" s="173" t="s">
        <v>1493</v>
      </c>
      <c r="R81" s="173" t="s">
        <v>99</v>
      </c>
      <c r="S81" s="173" t="s">
        <v>1494</v>
      </c>
      <c r="T81" s="173" t="s">
        <v>1495</v>
      </c>
      <c r="U81" s="174"/>
      <c r="V81" s="174"/>
      <c r="W81" s="174"/>
      <c r="X81" s="174"/>
      <c r="Y81" s="174"/>
      <c r="Z81" s="174"/>
      <c r="AA81" s="174"/>
      <c r="AB81" s="174"/>
      <c r="AC81" s="174"/>
      <c r="AD81" s="174"/>
      <c r="AE81" s="174"/>
    </row>
    <row r="82" ht="15.75" customHeight="1">
      <c r="A82" s="141" t="s">
        <v>1496</v>
      </c>
      <c r="B82" s="154" t="str">
        <f>IFERROR(__xludf.DUMMYFUNCTION("GOOGLETRANSLATE(A82,""zh-CN"", ""en"")"),"Grid overvoltage level 4 protection time")</f>
        <v>Grid overvoltage level 4 protection time</v>
      </c>
      <c r="C82" s="141" t="s">
        <v>1497</v>
      </c>
      <c r="D82" s="136" t="s">
        <v>1498</v>
      </c>
      <c r="E82" s="141" t="s">
        <v>104</v>
      </c>
      <c r="F82" s="137">
        <v>2.0</v>
      </c>
      <c r="G82" s="141" t="s">
        <v>1401</v>
      </c>
      <c r="H82" s="141" t="str">
        <f>IFERROR(__xludf.DUMMYFUNCTION("GOOGLETRANSLATE(G82,""zh-CN"", ""en"")"),"0-30000 (all protections)")</f>
        <v>0-30000 (all protections)</v>
      </c>
      <c r="I82" s="141" t="s">
        <v>1402</v>
      </c>
      <c r="J82" s="141"/>
      <c r="K82" s="141"/>
      <c r="L82" s="141" t="s">
        <v>1499</v>
      </c>
      <c r="M82" s="136" t="str">
        <f>IFERROR(__xludf.DUMMYFUNCTION("GOOGLETRANSLATE(L82,""zh-CN"", ""en"")"),"yes")</f>
        <v>yes</v>
      </c>
      <c r="N82" s="141"/>
      <c r="O82" s="141"/>
      <c r="P82" s="141" t="s">
        <v>1500</v>
      </c>
      <c r="Q82" s="55" t="s">
        <v>1501</v>
      </c>
      <c r="R82" s="55" t="s">
        <v>99</v>
      </c>
      <c r="S82" s="55" t="s">
        <v>1502</v>
      </c>
      <c r="T82" s="55" t="s">
        <v>1503</v>
      </c>
    </row>
    <row r="83" ht="15.75" customHeight="1">
      <c r="A83" s="169" t="s">
        <v>1504</v>
      </c>
      <c r="B83" s="154" t="str">
        <f>IFERROR(__xludf.DUMMYFUNCTION("GOOGLETRANSLATE(A83,""zh-CN"", ""en"")"),"Grid undervoltage level four protection value")</f>
        <v>Grid undervoltage level four protection value</v>
      </c>
      <c r="C83" s="169" t="s">
        <v>1505</v>
      </c>
      <c r="D83" s="170" t="s">
        <v>1506</v>
      </c>
      <c r="E83" s="169" t="s">
        <v>104</v>
      </c>
      <c r="F83" s="171">
        <v>2.0</v>
      </c>
      <c r="G83" s="172" t="s">
        <v>1410</v>
      </c>
      <c r="H83" s="169" t="str">
        <f>IFERROR(__xludf.DUMMYFUNCTION("GOOGLETRANSLATE(G83,""zh-CN"", ""en"")"),"500-2500")</f>
        <v>500-2500</v>
      </c>
      <c r="I83" s="169" t="s">
        <v>215</v>
      </c>
      <c r="J83" s="169"/>
      <c r="K83" s="169"/>
      <c r="L83" s="169" t="s">
        <v>1507</v>
      </c>
      <c r="M83" s="136" t="str">
        <f>IFERROR(__xludf.DUMMYFUNCTION("GOOGLETRANSLATE(L83,""zh-CN"", ""en"")"),"yes")</f>
        <v>yes</v>
      </c>
      <c r="N83" s="169"/>
      <c r="O83" s="169"/>
      <c r="P83" s="169" t="s">
        <v>1508</v>
      </c>
      <c r="Q83" s="173" t="s">
        <v>1509</v>
      </c>
      <c r="R83" s="173" t="s">
        <v>99</v>
      </c>
      <c r="S83" s="173" t="s">
        <v>1510</v>
      </c>
      <c r="T83" s="173" t="s">
        <v>1511</v>
      </c>
      <c r="U83" s="174"/>
      <c r="V83" s="174"/>
      <c r="W83" s="174"/>
      <c r="X83" s="174"/>
      <c r="Y83" s="174"/>
      <c r="Z83" s="174"/>
      <c r="AA83" s="174"/>
      <c r="AB83" s="174"/>
      <c r="AC83" s="174"/>
      <c r="AD83" s="174"/>
      <c r="AE83" s="174"/>
    </row>
    <row r="84" ht="15.75" customHeight="1">
      <c r="A84" s="141" t="s">
        <v>1512</v>
      </c>
      <c r="B84" s="154" t="str">
        <f>IFERROR(__xludf.DUMMYFUNCTION("GOOGLETRANSLATE(A84,""zh-CN"", ""en"")"),"Grid undervoltage level 4 protection time")</f>
        <v>Grid undervoltage level 4 protection time</v>
      </c>
      <c r="C84" s="141" t="s">
        <v>1513</v>
      </c>
      <c r="D84" s="136" t="s">
        <v>1514</v>
      </c>
      <c r="E84" s="141" t="s">
        <v>104</v>
      </c>
      <c r="F84" s="137">
        <v>2.0</v>
      </c>
      <c r="G84" s="141" t="s">
        <v>1401</v>
      </c>
      <c r="H84" s="141" t="str">
        <f>IFERROR(__xludf.DUMMYFUNCTION("GOOGLETRANSLATE(G84,""zh-CN"", ""en"")"),"0-30000 (all protections)")</f>
        <v>0-30000 (all protections)</v>
      </c>
      <c r="I84" s="141" t="s">
        <v>1402</v>
      </c>
      <c r="J84" s="141"/>
      <c r="K84" s="141"/>
      <c r="L84" s="141" t="s">
        <v>1515</v>
      </c>
      <c r="M84" s="136" t="str">
        <f>IFERROR(__xludf.DUMMYFUNCTION("GOOGLETRANSLATE(L84,""zh-CN"", ""en"")"),"yes")</f>
        <v>yes</v>
      </c>
      <c r="N84" s="141"/>
      <c r="O84" s="141"/>
      <c r="P84" s="141" t="s">
        <v>1516</v>
      </c>
      <c r="Q84" s="55" t="s">
        <v>1517</v>
      </c>
      <c r="R84" s="55" t="s">
        <v>99</v>
      </c>
      <c r="S84" s="55" t="s">
        <v>1518</v>
      </c>
      <c r="T84" s="55" t="s">
        <v>1519</v>
      </c>
    </row>
    <row r="85" ht="15.75" customHeight="1">
      <c r="A85" s="169" t="s">
        <v>1520</v>
      </c>
      <c r="B85" s="154" t="str">
        <f>IFERROR(__xludf.DUMMYFUNCTION("GOOGLETRANSLATE(A85,""zh-CN"", ""en"")"),"Grid overvoltage five-level protection value")</f>
        <v>Grid overvoltage five-level protection value</v>
      </c>
      <c r="C85" s="169" t="s">
        <v>1521</v>
      </c>
      <c r="D85" s="170" t="s">
        <v>1522</v>
      </c>
      <c r="E85" s="169" t="s">
        <v>104</v>
      </c>
      <c r="F85" s="171">
        <v>2.0</v>
      </c>
      <c r="G85" s="172" t="s">
        <v>1393</v>
      </c>
      <c r="H85" s="169" t="str">
        <f>IFERROR(__xludf.DUMMYFUNCTION("GOOGLETRANSLATE(G85,""zh-CN"", ""en"")"),"1000-4000")</f>
        <v>1000-4000</v>
      </c>
      <c r="I85" s="169" t="s">
        <v>215</v>
      </c>
      <c r="J85" s="169"/>
      <c r="K85" s="169"/>
      <c r="L85" s="169" t="s">
        <v>1523</v>
      </c>
      <c r="M85" s="136" t="str">
        <f>IFERROR(__xludf.DUMMYFUNCTION("GOOGLETRANSLATE(L85,""zh-CN"", ""en"")"),"yes")</f>
        <v>yes</v>
      </c>
      <c r="N85" s="169"/>
      <c r="O85" s="169"/>
      <c r="P85" s="169" t="s">
        <v>1524</v>
      </c>
      <c r="Q85" s="173" t="s">
        <v>1525</v>
      </c>
      <c r="R85" s="173" t="s">
        <v>99</v>
      </c>
      <c r="S85" s="173" t="s">
        <v>1526</v>
      </c>
      <c r="T85" s="173" t="s">
        <v>1527</v>
      </c>
      <c r="U85" s="174"/>
      <c r="V85" s="174"/>
      <c r="W85" s="174"/>
      <c r="X85" s="174"/>
      <c r="Y85" s="174"/>
      <c r="Z85" s="174"/>
      <c r="AA85" s="174"/>
      <c r="AB85" s="174"/>
      <c r="AC85" s="174"/>
      <c r="AD85" s="174"/>
      <c r="AE85" s="174"/>
    </row>
    <row r="86" ht="15.75" customHeight="1">
      <c r="A86" s="141" t="s">
        <v>1528</v>
      </c>
      <c r="B86" s="154" t="str">
        <f>IFERROR(__xludf.DUMMYFUNCTION("GOOGLETRANSLATE(A86,""zh-CN"", ""en"")"),"Grid overvoltage level five protection time")</f>
        <v>Grid overvoltage level five protection time</v>
      </c>
      <c r="C86" s="141" t="s">
        <v>1529</v>
      </c>
      <c r="D86" s="136" t="s">
        <v>1530</v>
      </c>
      <c r="E86" s="141" t="s">
        <v>104</v>
      </c>
      <c r="F86" s="137">
        <v>2.0</v>
      </c>
      <c r="G86" s="141" t="s">
        <v>1401</v>
      </c>
      <c r="H86" s="141" t="str">
        <f>IFERROR(__xludf.DUMMYFUNCTION("GOOGLETRANSLATE(G86,""zh-CN"", ""en"")"),"0-30000 (all protections)")</f>
        <v>0-30000 (all protections)</v>
      </c>
      <c r="I86" s="141" t="s">
        <v>1402</v>
      </c>
      <c r="J86" s="141"/>
      <c r="K86" s="141"/>
      <c r="L86" s="141" t="s">
        <v>1531</v>
      </c>
      <c r="M86" s="136" t="str">
        <f>IFERROR(__xludf.DUMMYFUNCTION("GOOGLETRANSLATE(L86,""zh-CN"", ""en"")"),"yes")</f>
        <v>yes</v>
      </c>
      <c r="N86" s="141"/>
      <c r="O86" s="141"/>
      <c r="P86" s="141" t="s">
        <v>1532</v>
      </c>
      <c r="Q86" s="55" t="s">
        <v>1533</v>
      </c>
      <c r="R86" s="55" t="s">
        <v>99</v>
      </c>
      <c r="S86" s="55" t="s">
        <v>1534</v>
      </c>
      <c r="T86" s="55" t="s">
        <v>1535</v>
      </c>
    </row>
    <row r="87" ht="15.75" customHeight="1">
      <c r="A87" s="169" t="s">
        <v>1536</v>
      </c>
      <c r="B87" s="154" t="str">
        <f>IFERROR(__xludf.DUMMYFUNCTION("GOOGLETRANSLATE(A87,""zh-CN"", ""en"")"),"Grid undervoltage five-level protection value")</f>
        <v>Grid undervoltage five-level protection value</v>
      </c>
      <c r="C87" s="169" t="s">
        <v>1537</v>
      </c>
      <c r="D87" s="170" t="s">
        <v>1538</v>
      </c>
      <c r="E87" s="169" t="s">
        <v>104</v>
      </c>
      <c r="F87" s="171">
        <v>2.0</v>
      </c>
      <c r="G87" s="172" t="s">
        <v>1410</v>
      </c>
      <c r="H87" s="169" t="str">
        <f>IFERROR(__xludf.DUMMYFUNCTION("GOOGLETRANSLATE(G87,""zh-CN"", ""en"")"),"500-2500")</f>
        <v>500-2500</v>
      </c>
      <c r="I87" s="169" t="s">
        <v>215</v>
      </c>
      <c r="J87" s="169"/>
      <c r="K87" s="169"/>
      <c r="L87" s="169" t="s">
        <v>1539</v>
      </c>
      <c r="M87" s="136" t="str">
        <f>IFERROR(__xludf.DUMMYFUNCTION("GOOGLETRANSLATE(L87,""zh-CN"", ""en"")"),"yes")</f>
        <v>yes</v>
      </c>
      <c r="N87" s="169"/>
      <c r="O87" s="169"/>
      <c r="P87" s="169" t="s">
        <v>1540</v>
      </c>
      <c r="Q87" s="173" t="s">
        <v>1541</v>
      </c>
      <c r="R87" s="173" t="s">
        <v>99</v>
      </c>
      <c r="S87" s="173" t="s">
        <v>1542</v>
      </c>
      <c r="T87" s="173" t="s">
        <v>1543</v>
      </c>
      <c r="U87" s="174"/>
      <c r="V87" s="174"/>
      <c r="W87" s="174"/>
      <c r="X87" s="174"/>
      <c r="Y87" s="174"/>
      <c r="Z87" s="174"/>
      <c r="AA87" s="174"/>
      <c r="AB87" s="174"/>
      <c r="AC87" s="174"/>
      <c r="AD87" s="174"/>
      <c r="AE87" s="174"/>
    </row>
    <row r="88" ht="15.75" customHeight="1">
      <c r="A88" s="141" t="s">
        <v>1544</v>
      </c>
      <c r="B88" s="154" t="str">
        <f>IFERROR(__xludf.DUMMYFUNCTION("GOOGLETRANSLATE(A88,""zh-CN"", ""en"")"),"Grid undervoltage level 5 protection time")</f>
        <v>Grid undervoltage level 5 protection time</v>
      </c>
      <c r="C88" s="141" t="s">
        <v>1545</v>
      </c>
      <c r="D88" s="136" t="s">
        <v>1546</v>
      </c>
      <c r="E88" s="141" t="s">
        <v>104</v>
      </c>
      <c r="F88" s="137">
        <v>2.0</v>
      </c>
      <c r="G88" s="141" t="s">
        <v>1401</v>
      </c>
      <c r="H88" s="141" t="str">
        <f>IFERROR(__xludf.DUMMYFUNCTION("GOOGLETRANSLATE(G88,""zh-CN"", ""en"")"),"0-30000 (all protections)")</f>
        <v>0-30000 (all protections)</v>
      </c>
      <c r="I88" s="141" t="s">
        <v>1402</v>
      </c>
      <c r="J88" s="141"/>
      <c r="K88" s="141"/>
      <c r="L88" s="141" t="s">
        <v>1547</v>
      </c>
      <c r="M88" s="136" t="str">
        <f>IFERROR(__xludf.DUMMYFUNCTION("GOOGLETRANSLATE(L88,""zh-CN"", ""en"")"),"yes")</f>
        <v>yes</v>
      </c>
      <c r="N88" s="141"/>
      <c r="O88" s="141"/>
      <c r="P88" s="141" t="s">
        <v>1548</v>
      </c>
      <c r="Q88" s="55" t="s">
        <v>1549</v>
      </c>
      <c r="R88" s="55" t="s">
        <v>99</v>
      </c>
      <c r="S88" s="55" t="s">
        <v>1550</v>
      </c>
      <c r="T88" s="55" t="s">
        <v>1551</v>
      </c>
    </row>
    <row r="89" ht="15.75" customHeight="1">
      <c r="A89" s="169" t="s">
        <v>1552</v>
      </c>
      <c r="B89" s="154" t="str">
        <f>IFERROR(__xludf.DUMMYFUNCTION("GOOGLETRANSLATE(A89,""zh-CN"", ""en"")"),"Grid overfrequency first-level protection value
(default single level)")</f>
        <v>Grid overfrequency first-level protection value
(default single level)</v>
      </c>
      <c r="C89" s="169" t="s">
        <v>1553</v>
      </c>
      <c r="D89" s="170" t="s">
        <v>1554</v>
      </c>
      <c r="E89" s="169" t="s">
        <v>104</v>
      </c>
      <c r="F89" s="171">
        <v>2.0</v>
      </c>
      <c r="G89" s="172" t="s">
        <v>1330</v>
      </c>
      <c r="H89" s="169" t="str">
        <f>IFERROR(__xludf.DUMMYFUNCTION("GOOGLETRANSLATE(G89,""zh-CN"", ""en"")"),"5000-7000")</f>
        <v>5000-7000</v>
      </c>
      <c r="I89" s="169" t="s">
        <v>272</v>
      </c>
      <c r="J89" s="169"/>
      <c r="K89" s="169"/>
      <c r="L89" s="169" t="s">
        <v>1555</v>
      </c>
      <c r="M89" s="136" t="str">
        <f>IFERROR(__xludf.DUMMYFUNCTION("GOOGLETRANSLATE(L89,""zh-CN"", ""en"")"),"yes")</f>
        <v>yes</v>
      </c>
      <c r="N89" s="169"/>
      <c r="O89" s="169"/>
      <c r="P89" s="169" t="s">
        <v>1556</v>
      </c>
      <c r="Q89" s="173" t="s">
        <v>1557</v>
      </c>
      <c r="R89" s="173" t="s">
        <v>99</v>
      </c>
      <c r="S89" s="173" t="s">
        <v>1558</v>
      </c>
      <c r="T89" s="173" t="s">
        <v>1559</v>
      </c>
      <c r="U89" s="174"/>
      <c r="V89" s="174"/>
      <c r="W89" s="174"/>
      <c r="X89" s="174"/>
      <c r="Y89" s="174"/>
      <c r="Z89" s="174"/>
      <c r="AA89" s="174"/>
      <c r="AB89" s="174"/>
      <c r="AC89" s="174"/>
      <c r="AD89" s="174"/>
      <c r="AE89" s="174"/>
    </row>
    <row r="90" ht="15.75" customHeight="1">
      <c r="A90" s="141" t="s">
        <v>1560</v>
      </c>
      <c r="B90" s="154" t="str">
        <f>IFERROR(__xludf.DUMMYFUNCTION("GOOGLETRANSLATE(A90,""zh-CN"", ""en"")"),"Grid overfrequency first-level protection time
(default single level)")</f>
        <v>Grid overfrequency first-level protection time
(default single level)</v>
      </c>
      <c r="C90" s="141" t="s">
        <v>1561</v>
      </c>
      <c r="D90" s="136" t="s">
        <v>1562</v>
      </c>
      <c r="E90" s="141" t="s">
        <v>104</v>
      </c>
      <c r="F90" s="137">
        <v>2.0</v>
      </c>
      <c r="G90" s="141" t="s">
        <v>1401</v>
      </c>
      <c r="H90" s="141" t="str">
        <f>IFERROR(__xludf.DUMMYFUNCTION("GOOGLETRANSLATE(G90,""zh-CN"", ""en"")"),"0-30000 (all protections)")</f>
        <v>0-30000 (all protections)</v>
      </c>
      <c r="I90" s="141" t="s">
        <v>1402</v>
      </c>
      <c r="J90" s="141"/>
      <c r="K90" s="141"/>
      <c r="L90" s="141" t="s">
        <v>1563</v>
      </c>
      <c r="M90" s="136" t="str">
        <f>IFERROR(__xludf.DUMMYFUNCTION("GOOGLETRANSLATE(L90,""zh-CN"", ""en"")"),"yes")</f>
        <v>yes</v>
      </c>
      <c r="N90" s="141"/>
      <c r="O90" s="141"/>
      <c r="P90" s="141" t="s">
        <v>1564</v>
      </c>
      <c r="Q90" s="55" t="s">
        <v>1565</v>
      </c>
      <c r="R90" s="55" t="s">
        <v>99</v>
      </c>
      <c r="S90" s="55" t="s">
        <v>1566</v>
      </c>
      <c r="T90" s="55" t="s">
        <v>1567</v>
      </c>
    </row>
    <row r="91" ht="15.75" customHeight="1">
      <c r="A91" s="169" t="s">
        <v>1568</v>
      </c>
      <c r="B91" s="154" t="str">
        <f>IFERROR(__xludf.DUMMYFUNCTION("GOOGLETRANSLATE(A91,""zh-CN"", ""en"")"),"Grid underfrequency first-level protection value
(default single level)")</f>
        <v>Grid underfrequency first-level protection value
(default single level)</v>
      </c>
      <c r="C91" s="169" t="s">
        <v>1569</v>
      </c>
      <c r="D91" s="170" t="s">
        <v>1570</v>
      </c>
      <c r="E91" s="169" t="s">
        <v>104</v>
      </c>
      <c r="F91" s="171">
        <v>2.0</v>
      </c>
      <c r="G91" s="172" t="s">
        <v>1338</v>
      </c>
      <c r="H91" s="169" t="str">
        <f>IFERROR(__xludf.DUMMYFUNCTION("GOOGLETRANSLATE(G91,""zh-CN"", ""en"")"),"4000-6000")</f>
        <v>4000-6000</v>
      </c>
      <c r="I91" s="169" t="s">
        <v>272</v>
      </c>
      <c r="J91" s="169"/>
      <c r="K91" s="169"/>
      <c r="L91" s="169" t="s">
        <v>1571</v>
      </c>
      <c r="M91" s="136" t="str">
        <f>IFERROR(__xludf.DUMMYFUNCTION("GOOGLETRANSLATE(L91,""zh-CN"", ""en"")"),"yes")</f>
        <v>yes</v>
      </c>
      <c r="N91" s="169"/>
      <c r="O91" s="169"/>
      <c r="P91" s="169" t="s">
        <v>1572</v>
      </c>
      <c r="Q91" s="173" t="s">
        <v>1573</v>
      </c>
      <c r="R91" s="173" t="s">
        <v>99</v>
      </c>
      <c r="S91" s="173" t="s">
        <v>1574</v>
      </c>
      <c r="T91" s="173" t="s">
        <v>1575</v>
      </c>
      <c r="U91" s="174"/>
      <c r="V91" s="174"/>
      <c r="W91" s="174"/>
      <c r="X91" s="174"/>
      <c r="Y91" s="174"/>
      <c r="Z91" s="174"/>
      <c r="AA91" s="174"/>
      <c r="AB91" s="174"/>
      <c r="AC91" s="174"/>
      <c r="AD91" s="174"/>
      <c r="AE91" s="174"/>
    </row>
    <row r="92" ht="15.75" customHeight="1">
      <c r="A92" s="141" t="s">
        <v>1576</v>
      </c>
      <c r="B92" s="154" t="str">
        <f>IFERROR(__xludf.DUMMYFUNCTION("GOOGLETRANSLATE(A92,""zh-CN"", ""en"")"),"Grid underfrequency first-level protection time
(default single level)")</f>
        <v>Grid underfrequency first-level protection time
(default single level)</v>
      </c>
      <c r="C92" s="141" t="s">
        <v>1577</v>
      </c>
      <c r="D92" s="136" t="s">
        <v>1578</v>
      </c>
      <c r="E92" s="141" t="s">
        <v>104</v>
      </c>
      <c r="F92" s="137">
        <v>2.0</v>
      </c>
      <c r="G92" s="141" t="s">
        <v>1401</v>
      </c>
      <c r="H92" s="141" t="str">
        <f>IFERROR(__xludf.DUMMYFUNCTION("GOOGLETRANSLATE(G92,""zh-CN"", ""en"")"),"0-30000 (all protections)")</f>
        <v>0-30000 (all protections)</v>
      </c>
      <c r="I92" s="141" t="s">
        <v>1402</v>
      </c>
      <c r="J92" s="141"/>
      <c r="K92" s="141"/>
      <c r="L92" s="141" t="s">
        <v>1579</v>
      </c>
      <c r="M92" s="136" t="str">
        <f>IFERROR(__xludf.DUMMYFUNCTION("GOOGLETRANSLATE(L92,""zh-CN"", ""en"")"),"yes")</f>
        <v>yes</v>
      </c>
      <c r="N92" s="141"/>
      <c r="O92" s="141"/>
      <c r="P92" s="141" t="s">
        <v>1580</v>
      </c>
      <c r="Q92" s="55" t="s">
        <v>1581</v>
      </c>
      <c r="R92" s="55" t="s">
        <v>99</v>
      </c>
      <c r="S92" s="55" t="s">
        <v>1582</v>
      </c>
      <c r="T92" s="55" t="s">
        <v>1583</v>
      </c>
    </row>
    <row r="93" ht="15.75" customHeight="1">
      <c r="A93" s="169" t="s">
        <v>1584</v>
      </c>
      <c r="B93" s="154" t="str">
        <f>IFERROR(__xludf.DUMMYFUNCTION("GOOGLETRANSLATE(A93,""zh-CN"", ""en"")"),"Grid overfrequency secondary protection value")</f>
        <v>Grid overfrequency secondary protection value</v>
      </c>
      <c r="C93" s="169" t="s">
        <v>1585</v>
      </c>
      <c r="D93" s="170" t="s">
        <v>1586</v>
      </c>
      <c r="E93" s="169" t="s">
        <v>104</v>
      </c>
      <c r="F93" s="171">
        <v>2.0</v>
      </c>
      <c r="G93" s="172" t="s">
        <v>1330</v>
      </c>
      <c r="H93" s="169" t="str">
        <f>IFERROR(__xludf.DUMMYFUNCTION("GOOGLETRANSLATE(G93,""zh-CN"", ""en"")"),"5000-7000")</f>
        <v>5000-7000</v>
      </c>
      <c r="I93" s="169" t="s">
        <v>272</v>
      </c>
      <c r="J93" s="169"/>
      <c r="K93" s="169"/>
      <c r="L93" s="169" t="s">
        <v>1587</v>
      </c>
      <c r="M93" s="136" t="str">
        <f>IFERROR(__xludf.DUMMYFUNCTION("GOOGLETRANSLATE(L93,""zh-CN"", ""en"")"),"yes")</f>
        <v>yes</v>
      </c>
      <c r="N93" s="169"/>
      <c r="O93" s="169"/>
      <c r="P93" s="169" t="s">
        <v>1588</v>
      </c>
      <c r="Q93" s="173" t="s">
        <v>1589</v>
      </c>
      <c r="R93" s="173" t="s">
        <v>99</v>
      </c>
      <c r="S93" s="173" t="s">
        <v>1590</v>
      </c>
      <c r="T93" s="173" t="s">
        <v>1591</v>
      </c>
      <c r="U93" s="174"/>
      <c r="V93" s="174"/>
      <c r="W93" s="174"/>
      <c r="X93" s="174"/>
      <c r="Y93" s="174"/>
      <c r="Z93" s="174"/>
      <c r="AA93" s="174"/>
      <c r="AB93" s="174"/>
      <c r="AC93" s="174"/>
      <c r="AD93" s="174"/>
      <c r="AE93" s="174"/>
    </row>
    <row r="94" ht="15.75" customHeight="1">
      <c r="A94" s="141" t="s">
        <v>1592</v>
      </c>
      <c r="B94" s="154" t="str">
        <f>IFERROR(__xludf.DUMMYFUNCTION("GOOGLETRANSLATE(A94,""zh-CN"", ""en"")"),"Grid overfrequency secondary protection time")</f>
        <v>Grid overfrequency secondary protection time</v>
      </c>
      <c r="C94" s="141" t="s">
        <v>1593</v>
      </c>
      <c r="D94" s="136" t="s">
        <v>1594</v>
      </c>
      <c r="E94" s="141" t="s">
        <v>104</v>
      </c>
      <c r="F94" s="137">
        <v>2.0</v>
      </c>
      <c r="G94" s="141" t="s">
        <v>1401</v>
      </c>
      <c r="H94" s="141" t="str">
        <f>IFERROR(__xludf.DUMMYFUNCTION("GOOGLETRANSLATE(G94,""zh-CN"", ""en"")"),"0-30000 (all protections)")</f>
        <v>0-30000 (all protections)</v>
      </c>
      <c r="I94" s="141" t="s">
        <v>1402</v>
      </c>
      <c r="J94" s="141"/>
      <c r="K94" s="141"/>
      <c r="L94" s="141" t="s">
        <v>1595</v>
      </c>
      <c r="M94" s="136" t="str">
        <f>IFERROR(__xludf.DUMMYFUNCTION("GOOGLETRANSLATE(L94,""zh-CN"", ""en"")"),"yes")</f>
        <v>yes</v>
      </c>
      <c r="N94" s="141"/>
      <c r="O94" s="141"/>
      <c r="P94" s="141" t="s">
        <v>1596</v>
      </c>
      <c r="Q94" s="55" t="s">
        <v>1597</v>
      </c>
      <c r="R94" s="55" t="s">
        <v>99</v>
      </c>
      <c r="S94" s="55" t="s">
        <v>1598</v>
      </c>
      <c r="T94" s="55" t="s">
        <v>1599</v>
      </c>
    </row>
    <row r="95" ht="15.75" customHeight="1">
      <c r="A95" s="169" t="s">
        <v>1600</v>
      </c>
      <c r="B95" s="154" t="str">
        <f>IFERROR(__xludf.DUMMYFUNCTION("GOOGLETRANSLATE(A95,""zh-CN"", ""en"")"),"Grid underfrequency secondary protection value")</f>
        <v>Grid underfrequency secondary protection value</v>
      </c>
      <c r="C95" s="169" t="s">
        <v>1601</v>
      </c>
      <c r="D95" s="170" t="s">
        <v>1602</v>
      </c>
      <c r="E95" s="169" t="s">
        <v>104</v>
      </c>
      <c r="F95" s="171">
        <v>2.0</v>
      </c>
      <c r="G95" s="172" t="s">
        <v>1338</v>
      </c>
      <c r="H95" s="169" t="str">
        <f>IFERROR(__xludf.DUMMYFUNCTION("GOOGLETRANSLATE(G95,""zh-CN"", ""en"")"),"4000-6000")</f>
        <v>4000-6000</v>
      </c>
      <c r="I95" s="169" t="s">
        <v>272</v>
      </c>
      <c r="J95" s="169"/>
      <c r="K95" s="169"/>
      <c r="L95" s="169" t="s">
        <v>1603</v>
      </c>
      <c r="M95" s="136" t="str">
        <f>IFERROR(__xludf.DUMMYFUNCTION("GOOGLETRANSLATE(L95,""zh-CN"", ""en"")"),"yes")</f>
        <v>yes</v>
      </c>
      <c r="N95" s="169"/>
      <c r="O95" s="169"/>
      <c r="P95" s="169" t="s">
        <v>1604</v>
      </c>
      <c r="Q95" s="173" t="s">
        <v>1605</v>
      </c>
      <c r="R95" s="173" t="s">
        <v>99</v>
      </c>
      <c r="S95" s="173" t="s">
        <v>1606</v>
      </c>
      <c r="T95" s="173" t="s">
        <v>1607</v>
      </c>
      <c r="U95" s="174"/>
      <c r="V95" s="174"/>
      <c r="W95" s="174"/>
      <c r="X95" s="174"/>
      <c r="Y95" s="174"/>
      <c r="Z95" s="174"/>
      <c r="AA95" s="174"/>
      <c r="AB95" s="174"/>
      <c r="AC95" s="174"/>
      <c r="AD95" s="174"/>
      <c r="AE95" s="174"/>
    </row>
    <row r="96" ht="15.75" customHeight="1">
      <c r="A96" s="141" t="s">
        <v>1608</v>
      </c>
      <c r="B96" s="154" t="str">
        <f>IFERROR(__xludf.DUMMYFUNCTION("GOOGLETRANSLATE(A96,""zh-CN"", ""en"")"),"Grid underfrequency secondary protection time")</f>
        <v>Grid underfrequency secondary protection time</v>
      </c>
      <c r="C96" s="141" t="s">
        <v>1609</v>
      </c>
      <c r="D96" s="136" t="s">
        <v>1610</v>
      </c>
      <c r="E96" s="141" t="s">
        <v>104</v>
      </c>
      <c r="F96" s="137">
        <v>2.0</v>
      </c>
      <c r="G96" s="141" t="s">
        <v>1401</v>
      </c>
      <c r="H96" s="141" t="str">
        <f>IFERROR(__xludf.DUMMYFUNCTION("GOOGLETRANSLATE(G96,""zh-CN"", ""en"")"),"0-30000 (all protections)")</f>
        <v>0-30000 (all protections)</v>
      </c>
      <c r="I96" s="141" t="s">
        <v>1402</v>
      </c>
      <c r="J96" s="141"/>
      <c r="K96" s="141"/>
      <c r="L96" s="141" t="s">
        <v>1611</v>
      </c>
      <c r="M96" s="136" t="str">
        <f>IFERROR(__xludf.DUMMYFUNCTION("GOOGLETRANSLATE(L96,""zh-CN"", ""en"")"),"yes")</f>
        <v>yes</v>
      </c>
      <c r="N96" s="141"/>
      <c r="O96" s="141"/>
      <c r="P96" s="141" t="s">
        <v>1612</v>
      </c>
      <c r="Q96" s="55" t="s">
        <v>1613</v>
      </c>
      <c r="R96" s="55" t="s">
        <v>99</v>
      </c>
      <c r="S96" s="55" t="s">
        <v>1614</v>
      </c>
      <c r="T96" s="55" t="s">
        <v>1615</v>
      </c>
    </row>
    <row r="97" ht="15.75" customHeight="1">
      <c r="A97" s="169" t="s">
        <v>1616</v>
      </c>
      <c r="B97" s="154" t="str">
        <f>IFERROR(__xludf.DUMMYFUNCTION("GOOGLETRANSLATE(A97,""zh-CN"", ""en"")"),"Grid overfrequency three-level protection value")</f>
        <v>Grid overfrequency three-level protection value</v>
      </c>
      <c r="C97" s="169" t="s">
        <v>1617</v>
      </c>
      <c r="D97" s="170" t="s">
        <v>1618</v>
      </c>
      <c r="E97" s="169" t="s">
        <v>104</v>
      </c>
      <c r="F97" s="171">
        <v>2.0</v>
      </c>
      <c r="G97" s="172" t="s">
        <v>1330</v>
      </c>
      <c r="H97" s="169" t="str">
        <f>IFERROR(__xludf.DUMMYFUNCTION("GOOGLETRANSLATE(G97,""zh-CN"", ""en"")"),"5000-7000")</f>
        <v>5000-7000</v>
      </c>
      <c r="I97" s="169" t="s">
        <v>272</v>
      </c>
      <c r="J97" s="169"/>
      <c r="K97" s="169"/>
      <c r="L97" s="169" t="s">
        <v>1619</v>
      </c>
      <c r="M97" s="136" t="str">
        <f>IFERROR(__xludf.DUMMYFUNCTION("GOOGLETRANSLATE(L97,""zh-CN"", ""en"")"),"yes")</f>
        <v>yes</v>
      </c>
      <c r="N97" s="169"/>
      <c r="O97" s="169"/>
      <c r="P97" s="169" t="s">
        <v>1620</v>
      </c>
      <c r="Q97" s="173" t="s">
        <v>1621</v>
      </c>
      <c r="R97" s="173" t="s">
        <v>99</v>
      </c>
      <c r="S97" s="173" t="s">
        <v>1622</v>
      </c>
      <c r="T97" s="173" t="s">
        <v>1623</v>
      </c>
      <c r="U97" s="174"/>
      <c r="V97" s="174"/>
      <c r="W97" s="174"/>
      <c r="X97" s="174"/>
      <c r="Y97" s="174"/>
      <c r="Z97" s="174"/>
      <c r="AA97" s="174"/>
      <c r="AB97" s="174"/>
      <c r="AC97" s="174"/>
      <c r="AD97" s="174"/>
      <c r="AE97" s="174"/>
    </row>
    <row r="98" ht="15.75" customHeight="1">
      <c r="A98" s="141" t="s">
        <v>1624</v>
      </c>
      <c r="B98" s="154" t="str">
        <f>IFERROR(__xludf.DUMMYFUNCTION("GOOGLETRANSLATE(A98,""zh-CN"", ""en"")"),"Grid overfrequency level three protection time")</f>
        <v>Grid overfrequency level three protection time</v>
      </c>
      <c r="C98" s="141" t="s">
        <v>1625</v>
      </c>
      <c r="D98" s="136" t="s">
        <v>1626</v>
      </c>
      <c r="E98" s="141" t="s">
        <v>104</v>
      </c>
      <c r="F98" s="137">
        <v>2.0</v>
      </c>
      <c r="G98" s="141" t="s">
        <v>1401</v>
      </c>
      <c r="H98" s="141" t="str">
        <f>IFERROR(__xludf.DUMMYFUNCTION("GOOGLETRANSLATE(G98,""zh-CN"", ""en"")"),"0-30000 (all protections)")</f>
        <v>0-30000 (all protections)</v>
      </c>
      <c r="I98" s="141" t="s">
        <v>1402</v>
      </c>
      <c r="J98" s="141"/>
      <c r="K98" s="141"/>
      <c r="L98" s="141" t="s">
        <v>1627</v>
      </c>
      <c r="M98" s="136" t="str">
        <f>IFERROR(__xludf.DUMMYFUNCTION("GOOGLETRANSLATE(L98,""zh-CN"", ""en"")"),"yes")</f>
        <v>yes</v>
      </c>
      <c r="N98" s="141"/>
      <c r="O98" s="141"/>
      <c r="P98" s="141" t="s">
        <v>1628</v>
      </c>
      <c r="Q98" s="55" t="s">
        <v>1629</v>
      </c>
      <c r="R98" s="55" t="s">
        <v>99</v>
      </c>
      <c r="S98" s="55" t="s">
        <v>1630</v>
      </c>
      <c r="T98" s="55" t="s">
        <v>1631</v>
      </c>
    </row>
    <row r="99" ht="15.75" customHeight="1">
      <c r="A99" s="169" t="s">
        <v>1632</v>
      </c>
      <c r="B99" s="154" t="str">
        <f>IFERROR(__xludf.DUMMYFUNCTION("GOOGLETRANSLATE(A99,""zh-CN"", ""en"")"),"Grid underfrequency three-level protection value")</f>
        <v>Grid underfrequency three-level protection value</v>
      </c>
      <c r="C99" s="169" t="s">
        <v>1633</v>
      </c>
      <c r="D99" s="170" t="s">
        <v>1634</v>
      </c>
      <c r="E99" s="169" t="s">
        <v>104</v>
      </c>
      <c r="F99" s="171">
        <v>2.0</v>
      </c>
      <c r="G99" s="172" t="s">
        <v>1338</v>
      </c>
      <c r="H99" s="169" t="str">
        <f>IFERROR(__xludf.DUMMYFUNCTION("GOOGLETRANSLATE(G99,""zh-CN"", ""en"")"),"4000-6000")</f>
        <v>4000-6000</v>
      </c>
      <c r="I99" s="169" t="s">
        <v>272</v>
      </c>
      <c r="J99" s="169"/>
      <c r="K99" s="169"/>
      <c r="L99" s="169" t="s">
        <v>1635</v>
      </c>
      <c r="M99" s="136" t="str">
        <f>IFERROR(__xludf.DUMMYFUNCTION("GOOGLETRANSLATE(L99,""zh-CN"", ""en"")"),"yes")</f>
        <v>yes</v>
      </c>
      <c r="N99" s="169"/>
      <c r="O99" s="169"/>
      <c r="P99" s="169" t="s">
        <v>1636</v>
      </c>
      <c r="Q99" s="173" t="s">
        <v>1637</v>
      </c>
      <c r="R99" s="173" t="s">
        <v>99</v>
      </c>
      <c r="S99" s="173" t="s">
        <v>1638</v>
      </c>
      <c r="T99" s="173" t="s">
        <v>1639</v>
      </c>
      <c r="U99" s="174"/>
      <c r="V99" s="174"/>
      <c r="W99" s="174"/>
      <c r="X99" s="174"/>
      <c r="Y99" s="174"/>
      <c r="Z99" s="174"/>
      <c r="AA99" s="174"/>
      <c r="AB99" s="174"/>
      <c r="AC99" s="174"/>
      <c r="AD99" s="174"/>
      <c r="AE99" s="174"/>
    </row>
    <row r="100" ht="15.75" customHeight="1">
      <c r="A100" s="141" t="s">
        <v>1640</v>
      </c>
      <c r="B100" s="154" t="str">
        <f>IFERROR(__xludf.DUMMYFUNCTION("GOOGLETRANSLATE(A100,""zh-CN"", ""en"")"),"Grid underfrequency level three protection time")</f>
        <v>Grid underfrequency level three protection time</v>
      </c>
      <c r="C100" s="141" t="s">
        <v>1641</v>
      </c>
      <c r="D100" s="136" t="s">
        <v>1642</v>
      </c>
      <c r="E100" s="141" t="s">
        <v>104</v>
      </c>
      <c r="F100" s="137">
        <v>2.0</v>
      </c>
      <c r="G100" s="141" t="s">
        <v>1401</v>
      </c>
      <c r="H100" s="141" t="str">
        <f>IFERROR(__xludf.DUMMYFUNCTION("GOOGLETRANSLATE(G100,""zh-CN"", ""en"")"),"0-30000 (all protections)")</f>
        <v>0-30000 (all protections)</v>
      </c>
      <c r="I100" s="141" t="s">
        <v>1402</v>
      </c>
      <c r="J100" s="141"/>
      <c r="K100" s="141"/>
      <c r="L100" s="141" t="s">
        <v>1643</v>
      </c>
      <c r="M100" s="136" t="str">
        <f>IFERROR(__xludf.DUMMYFUNCTION("GOOGLETRANSLATE(L100,""zh-CN"", ""en"")"),"yes")</f>
        <v>yes</v>
      </c>
      <c r="N100" s="141"/>
      <c r="O100" s="141"/>
      <c r="P100" s="141" t="s">
        <v>1644</v>
      </c>
      <c r="Q100" s="55" t="s">
        <v>1645</v>
      </c>
      <c r="R100" s="55" t="s">
        <v>99</v>
      </c>
      <c r="S100" s="55" t="s">
        <v>1646</v>
      </c>
      <c r="T100" s="55" t="s">
        <v>1647</v>
      </c>
    </row>
    <row r="101" ht="15.75" customHeight="1">
      <c r="A101" s="169" t="s">
        <v>1648</v>
      </c>
      <c r="B101" s="154" t="str">
        <f>IFERROR(__xludf.DUMMYFUNCTION("GOOGLETRANSLATE(A101,""zh-CN"", ""en"")"),"Grid overfrequency four-level protection value")</f>
        <v>Grid overfrequency four-level protection value</v>
      </c>
      <c r="C101" s="169" t="s">
        <v>1649</v>
      </c>
      <c r="D101" s="170" t="s">
        <v>1650</v>
      </c>
      <c r="E101" s="169" t="s">
        <v>104</v>
      </c>
      <c r="F101" s="171">
        <v>2.0</v>
      </c>
      <c r="G101" s="172" t="s">
        <v>1330</v>
      </c>
      <c r="H101" s="172"/>
      <c r="I101" s="172" t="s">
        <v>272</v>
      </c>
      <c r="J101" s="169"/>
      <c r="K101" s="169"/>
      <c r="L101" s="169" t="s">
        <v>1651</v>
      </c>
      <c r="M101" s="136" t="str">
        <f>IFERROR(__xludf.DUMMYFUNCTION("GOOGLETRANSLATE(L101,""zh-CN"", ""en"")"),"yes")</f>
        <v>yes</v>
      </c>
      <c r="N101" s="169"/>
      <c r="O101" s="169"/>
      <c r="P101" s="169" t="s">
        <v>1652</v>
      </c>
      <c r="Q101" s="173" t="s">
        <v>1653</v>
      </c>
      <c r="R101" s="173" t="s">
        <v>99</v>
      </c>
      <c r="S101" s="173" t="s">
        <v>1654</v>
      </c>
      <c r="T101" s="173" t="s">
        <v>1655</v>
      </c>
      <c r="U101" s="174"/>
      <c r="V101" s="174"/>
      <c r="W101" s="174"/>
      <c r="X101" s="174"/>
      <c r="Y101" s="174"/>
      <c r="Z101" s="174"/>
      <c r="AA101" s="174"/>
      <c r="AB101" s="174"/>
      <c r="AC101" s="174"/>
      <c r="AD101" s="174"/>
      <c r="AE101" s="174"/>
    </row>
    <row r="102" ht="15.75" customHeight="1">
      <c r="A102" s="169" t="s">
        <v>1656</v>
      </c>
      <c r="B102" s="154" t="str">
        <f>IFERROR(__xludf.DUMMYFUNCTION("GOOGLETRANSLATE(A102,""zh-CN"", ""en"")"),"Grid overfrequency level 4 protection time")</f>
        <v>Grid overfrequency level 4 protection time</v>
      </c>
      <c r="C102" s="169" t="s">
        <v>1657</v>
      </c>
      <c r="D102" s="170" t="s">
        <v>1658</v>
      </c>
      <c r="E102" s="169" t="s">
        <v>104</v>
      </c>
      <c r="F102" s="171">
        <v>2.0</v>
      </c>
      <c r="G102" s="172" t="s">
        <v>1659</v>
      </c>
      <c r="H102" s="172"/>
      <c r="I102" s="172" t="s">
        <v>1402</v>
      </c>
      <c r="J102" s="169"/>
      <c r="K102" s="169"/>
      <c r="L102" s="169" t="s">
        <v>1660</v>
      </c>
      <c r="M102" s="136" t="str">
        <f>IFERROR(__xludf.DUMMYFUNCTION("GOOGLETRANSLATE(L102,""zh-CN"", ""en"")"),"yes")</f>
        <v>yes</v>
      </c>
      <c r="N102" s="169"/>
      <c r="O102" s="169"/>
      <c r="P102" s="169" t="s">
        <v>1661</v>
      </c>
      <c r="Q102" s="173" t="s">
        <v>1662</v>
      </c>
      <c r="R102" s="173" t="s">
        <v>99</v>
      </c>
      <c r="S102" s="173" t="s">
        <v>1663</v>
      </c>
      <c r="T102" s="173" t="s">
        <v>1664</v>
      </c>
      <c r="U102" s="174"/>
      <c r="V102" s="174"/>
      <c r="W102" s="174"/>
      <c r="X102" s="174"/>
      <c r="Y102" s="174"/>
      <c r="Z102" s="174"/>
      <c r="AA102" s="174"/>
      <c r="AB102" s="174"/>
      <c r="AC102" s="174"/>
      <c r="AD102" s="174"/>
      <c r="AE102" s="174"/>
    </row>
    <row r="103" ht="15.75" customHeight="1">
      <c r="A103" s="169" t="s">
        <v>1665</v>
      </c>
      <c r="B103" s="154" t="str">
        <f>IFERROR(__xludf.DUMMYFUNCTION("GOOGLETRANSLATE(A103,""zh-CN"", ""en"")"),"Grid underfrequency level four protection value")</f>
        <v>Grid underfrequency level four protection value</v>
      </c>
      <c r="C103" s="169" t="s">
        <v>1666</v>
      </c>
      <c r="D103" s="170" t="s">
        <v>1667</v>
      </c>
      <c r="E103" s="169" t="s">
        <v>104</v>
      </c>
      <c r="F103" s="171">
        <v>2.0</v>
      </c>
      <c r="G103" s="172" t="s">
        <v>1338</v>
      </c>
      <c r="H103" s="172"/>
      <c r="I103" s="172" t="s">
        <v>272</v>
      </c>
      <c r="J103" s="169"/>
      <c r="K103" s="169"/>
      <c r="L103" s="169" t="s">
        <v>1668</v>
      </c>
      <c r="M103" s="136" t="str">
        <f>IFERROR(__xludf.DUMMYFUNCTION("GOOGLETRANSLATE(L103,""zh-CN"", ""en"")"),"yes")</f>
        <v>yes</v>
      </c>
      <c r="N103" s="169"/>
      <c r="O103" s="169"/>
      <c r="P103" s="169" t="s">
        <v>1669</v>
      </c>
      <c r="Q103" s="173" t="s">
        <v>1670</v>
      </c>
      <c r="R103" s="173" t="s">
        <v>99</v>
      </c>
      <c r="S103" s="173" t="s">
        <v>1671</v>
      </c>
      <c r="T103" s="173" t="s">
        <v>1672</v>
      </c>
      <c r="U103" s="174"/>
      <c r="V103" s="174"/>
      <c r="W103" s="174"/>
      <c r="X103" s="174"/>
      <c r="Y103" s="174"/>
      <c r="Z103" s="174"/>
      <c r="AA103" s="174"/>
      <c r="AB103" s="174"/>
      <c r="AC103" s="174"/>
      <c r="AD103" s="174"/>
      <c r="AE103" s="174"/>
    </row>
    <row r="104" ht="15.75" customHeight="1">
      <c r="A104" s="169" t="s">
        <v>1673</v>
      </c>
      <c r="B104" s="154" t="str">
        <f>IFERROR(__xludf.DUMMYFUNCTION("GOOGLETRANSLATE(A104,""zh-CN"", ""en"")"),"Grid underfrequency level 4 protection time")</f>
        <v>Grid underfrequency level 4 protection time</v>
      </c>
      <c r="C104" s="169" t="s">
        <v>1674</v>
      </c>
      <c r="D104" s="170" t="s">
        <v>1675</v>
      </c>
      <c r="E104" s="169" t="s">
        <v>104</v>
      </c>
      <c r="F104" s="171">
        <v>2.0</v>
      </c>
      <c r="G104" s="172" t="s">
        <v>1659</v>
      </c>
      <c r="H104" s="172"/>
      <c r="I104" s="172" t="s">
        <v>1402</v>
      </c>
      <c r="J104" s="169"/>
      <c r="K104" s="169"/>
      <c r="L104" s="169" t="s">
        <v>1676</v>
      </c>
      <c r="M104" s="136" t="str">
        <f>IFERROR(__xludf.DUMMYFUNCTION("GOOGLETRANSLATE(L104,""zh-CN"", ""en"")"),"yes")</f>
        <v>yes</v>
      </c>
      <c r="N104" s="169"/>
      <c r="O104" s="169"/>
      <c r="P104" s="169" t="s">
        <v>1677</v>
      </c>
      <c r="Q104" s="173" t="s">
        <v>1678</v>
      </c>
      <c r="R104" s="173" t="s">
        <v>99</v>
      </c>
      <c r="S104" s="173" t="s">
        <v>1679</v>
      </c>
      <c r="T104" s="173" t="s">
        <v>1680</v>
      </c>
      <c r="U104" s="174"/>
      <c r="V104" s="174"/>
      <c r="W104" s="174"/>
      <c r="X104" s="174"/>
      <c r="Y104" s="174"/>
      <c r="Z104" s="174"/>
      <c r="AA104" s="174"/>
      <c r="AB104" s="174"/>
      <c r="AC104" s="174"/>
      <c r="AD104" s="174"/>
      <c r="AE104" s="174"/>
    </row>
    <row r="105" ht="15.75" customHeight="1">
      <c r="A105" s="169" t="s">
        <v>1681</v>
      </c>
      <c r="B105" s="154" t="str">
        <f>IFERROR(__xludf.DUMMYFUNCTION("GOOGLETRANSLATE(A105,""zh-CN"", ""en"")"),"Five-level protection value for power grid overfrequency")</f>
        <v>Five-level protection value for power grid overfrequency</v>
      </c>
      <c r="C105" s="169" t="s">
        <v>1682</v>
      </c>
      <c r="D105" s="170" t="s">
        <v>1683</v>
      </c>
      <c r="E105" s="169" t="s">
        <v>104</v>
      </c>
      <c r="F105" s="171">
        <v>2.0</v>
      </c>
      <c r="G105" s="172" t="s">
        <v>1330</v>
      </c>
      <c r="H105" s="172"/>
      <c r="I105" s="172" t="s">
        <v>272</v>
      </c>
      <c r="J105" s="169"/>
      <c r="K105" s="169"/>
      <c r="L105" s="169" t="s">
        <v>1684</v>
      </c>
      <c r="M105" s="136" t="str">
        <f>IFERROR(__xludf.DUMMYFUNCTION("GOOGLETRANSLATE(L105,""zh-CN"", ""en"")"),"yes")</f>
        <v>yes</v>
      </c>
      <c r="N105" s="169"/>
      <c r="O105" s="169"/>
      <c r="P105" s="169" t="s">
        <v>1685</v>
      </c>
      <c r="Q105" s="173" t="s">
        <v>1686</v>
      </c>
      <c r="R105" s="173" t="s">
        <v>99</v>
      </c>
      <c r="S105" s="173" t="s">
        <v>1687</v>
      </c>
      <c r="T105" s="173" t="s">
        <v>1688</v>
      </c>
      <c r="U105" s="174"/>
      <c r="V105" s="174"/>
      <c r="W105" s="174"/>
      <c r="X105" s="174"/>
      <c r="Y105" s="174"/>
      <c r="Z105" s="174"/>
      <c r="AA105" s="174"/>
      <c r="AB105" s="174"/>
      <c r="AC105" s="174"/>
      <c r="AD105" s="174"/>
      <c r="AE105" s="174"/>
    </row>
    <row r="106" ht="15.75" customHeight="1">
      <c r="A106" s="169" t="s">
        <v>1689</v>
      </c>
      <c r="B106" s="154" t="str">
        <f>IFERROR(__xludf.DUMMYFUNCTION("GOOGLETRANSLATE(A106,""zh-CN"", ""en"")"),"Grid overfrequency five-level protection time")</f>
        <v>Grid overfrequency five-level protection time</v>
      </c>
      <c r="C106" s="169" t="s">
        <v>1690</v>
      </c>
      <c r="D106" s="170" t="s">
        <v>1691</v>
      </c>
      <c r="E106" s="169" t="s">
        <v>104</v>
      </c>
      <c r="F106" s="171">
        <v>2.0</v>
      </c>
      <c r="G106" s="172" t="s">
        <v>1659</v>
      </c>
      <c r="H106" s="172"/>
      <c r="I106" s="172" t="s">
        <v>1402</v>
      </c>
      <c r="J106" s="169"/>
      <c r="K106" s="169"/>
      <c r="L106" s="169" t="s">
        <v>1692</v>
      </c>
      <c r="M106" s="136" t="str">
        <f>IFERROR(__xludf.DUMMYFUNCTION("GOOGLETRANSLATE(L106,""zh-CN"", ""en"")"),"yes")</f>
        <v>yes</v>
      </c>
      <c r="N106" s="169"/>
      <c r="O106" s="169"/>
      <c r="P106" s="169" t="s">
        <v>1693</v>
      </c>
      <c r="Q106" s="173" t="s">
        <v>1694</v>
      </c>
      <c r="R106" s="173" t="s">
        <v>99</v>
      </c>
      <c r="S106" s="173" t="s">
        <v>1695</v>
      </c>
      <c r="T106" s="173" t="s">
        <v>1696</v>
      </c>
      <c r="U106" s="174"/>
      <c r="V106" s="174"/>
      <c r="W106" s="174"/>
      <c r="X106" s="174"/>
      <c r="Y106" s="174"/>
      <c r="Z106" s="174"/>
      <c r="AA106" s="174"/>
      <c r="AB106" s="174"/>
      <c r="AC106" s="174"/>
      <c r="AD106" s="174"/>
      <c r="AE106" s="174"/>
    </row>
    <row r="107" ht="15.75" customHeight="1">
      <c r="A107" s="169" t="s">
        <v>1697</v>
      </c>
      <c r="B107" s="154" t="str">
        <f>IFERROR(__xludf.DUMMYFUNCTION("GOOGLETRANSLATE(A107,""zh-CN"", ""en"")"),"Power grid underfrequency five-level protection value")</f>
        <v>Power grid underfrequency five-level protection value</v>
      </c>
      <c r="C107" s="169" t="s">
        <v>1698</v>
      </c>
      <c r="D107" s="170" t="s">
        <v>1699</v>
      </c>
      <c r="E107" s="169" t="s">
        <v>104</v>
      </c>
      <c r="F107" s="171">
        <v>2.0</v>
      </c>
      <c r="G107" s="172" t="s">
        <v>1338</v>
      </c>
      <c r="H107" s="172"/>
      <c r="I107" s="172" t="s">
        <v>272</v>
      </c>
      <c r="J107" s="169"/>
      <c r="K107" s="169"/>
      <c r="L107" s="169" t="s">
        <v>1700</v>
      </c>
      <c r="M107" s="136" t="str">
        <f>IFERROR(__xludf.DUMMYFUNCTION("GOOGLETRANSLATE(L107,""zh-CN"", ""en"")"),"yes")</f>
        <v>yes</v>
      </c>
      <c r="N107" s="169"/>
      <c r="O107" s="169"/>
      <c r="P107" s="169" t="s">
        <v>1701</v>
      </c>
      <c r="Q107" s="173" t="s">
        <v>1702</v>
      </c>
      <c r="R107" s="173" t="s">
        <v>99</v>
      </c>
      <c r="S107" s="173" t="s">
        <v>1703</v>
      </c>
      <c r="T107" s="173" t="s">
        <v>1704</v>
      </c>
      <c r="U107" s="174"/>
      <c r="V107" s="174"/>
      <c r="W107" s="174"/>
      <c r="X107" s="174"/>
      <c r="Y107" s="174"/>
      <c r="Z107" s="174"/>
      <c r="AA107" s="174"/>
      <c r="AB107" s="174"/>
      <c r="AC107" s="174"/>
      <c r="AD107" s="174"/>
      <c r="AE107" s="174"/>
    </row>
    <row r="108" ht="15.75" customHeight="1">
      <c r="A108" s="169" t="s">
        <v>1705</v>
      </c>
      <c r="B108" s="154" t="str">
        <f>IFERROR(__xludf.DUMMYFUNCTION("GOOGLETRANSLATE(A108,""zh-CN"", ""en"")"),"Grid underfrequency level five protection time")</f>
        <v>Grid underfrequency level five protection time</v>
      </c>
      <c r="C108" s="169" t="s">
        <v>1706</v>
      </c>
      <c r="D108" s="170" t="s">
        <v>1707</v>
      </c>
      <c r="E108" s="169" t="s">
        <v>104</v>
      </c>
      <c r="F108" s="171">
        <v>2.0</v>
      </c>
      <c r="G108" s="172" t="s">
        <v>1659</v>
      </c>
      <c r="H108" s="172"/>
      <c r="I108" s="172" t="s">
        <v>1402</v>
      </c>
      <c r="J108" s="169"/>
      <c r="K108" s="169"/>
      <c r="L108" s="169" t="s">
        <v>1708</v>
      </c>
      <c r="M108" s="136" t="str">
        <f>IFERROR(__xludf.DUMMYFUNCTION("GOOGLETRANSLATE(L108,""zh-CN"", ""en"")"),"yes")</f>
        <v>yes</v>
      </c>
      <c r="N108" s="169"/>
      <c r="O108" s="169"/>
      <c r="P108" s="169" t="s">
        <v>1709</v>
      </c>
      <c r="Q108" s="173" t="s">
        <v>1710</v>
      </c>
      <c r="R108" s="173" t="s">
        <v>99</v>
      </c>
      <c r="S108" s="173" t="s">
        <v>1711</v>
      </c>
      <c r="T108" s="173" t="s">
        <v>1712</v>
      </c>
      <c r="U108" s="174"/>
      <c r="V108" s="174"/>
      <c r="W108" s="174"/>
      <c r="X108" s="174"/>
      <c r="Y108" s="174"/>
      <c r="Z108" s="174"/>
      <c r="AA108" s="174"/>
      <c r="AB108" s="174"/>
      <c r="AC108" s="174"/>
      <c r="AD108" s="174"/>
      <c r="AE108" s="174"/>
    </row>
    <row r="109" ht="15.75" customHeight="1">
      <c r="A109" s="169" t="s">
        <v>1713</v>
      </c>
      <c r="B109" s="154" t="str">
        <f>IFERROR(__xludf.DUMMYFUNCTION("GOOGLETRANSLATE(A109,""zh-CN"", ""en"")"),"10-minute average voltage protection value")</f>
        <v>10-minute average voltage protection value</v>
      </c>
      <c r="C109" s="169" t="s">
        <v>1714</v>
      </c>
      <c r="D109" s="170" t="s">
        <v>1715</v>
      </c>
      <c r="E109" s="169" t="s">
        <v>104</v>
      </c>
      <c r="F109" s="171">
        <v>2.0</v>
      </c>
      <c r="G109" s="172" t="s">
        <v>1393</v>
      </c>
      <c r="H109" s="169"/>
      <c r="I109" s="169" t="s">
        <v>215</v>
      </c>
      <c r="J109" s="169"/>
      <c r="K109" s="169"/>
      <c r="L109" s="169" t="s">
        <v>1716</v>
      </c>
      <c r="M109" s="136" t="str">
        <f>IFERROR(__xludf.DUMMYFUNCTION("GOOGLETRANSLATE(L109,""zh-CN"", ""en"")"),"yes")</f>
        <v>yes</v>
      </c>
      <c r="N109" s="169"/>
      <c r="O109" s="169"/>
      <c r="P109" s="169" t="s">
        <v>1717</v>
      </c>
      <c r="Q109" s="173" t="s">
        <v>1718</v>
      </c>
      <c r="R109" s="173" t="s">
        <v>99</v>
      </c>
      <c r="S109" s="173" t="s">
        <v>1719</v>
      </c>
      <c r="T109" s="173" t="s">
        <v>1720</v>
      </c>
      <c r="U109" s="174"/>
      <c r="V109" s="174"/>
      <c r="W109" s="174"/>
      <c r="X109" s="174"/>
      <c r="Y109" s="174"/>
      <c r="Z109" s="174"/>
      <c r="AA109" s="174"/>
      <c r="AB109" s="174"/>
      <c r="AC109" s="174"/>
      <c r="AD109" s="174"/>
      <c r="AE109" s="174"/>
    </row>
    <row r="110" ht="15.75" customHeight="1">
      <c r="A110" s="169" t="s">
        <v>1721</v>
      </c>
      <c r="B110" s="154" t="str">
        <f>IFERROR(__xludf.DUMMYFUNCTION("GOOGLETRANSLATE(A110,""zh-CN"", ""en"")"),"10-minute average voltage recovery value")</f>
        <v>10-minute average voltage recovery value</v>
      </c>
      <c r="C110" s="169" t="s">
        <v>1722</v>
      </c>
      <c r="D110" s="170" t="s">
        <v>1723</v>
      </c>
      <c r="E110" s="169" t="s">
        <v>104</v>
      </c>
      <c r="F110" s="171">
        <v>2.0</v>
      </c>
      <c r="G110" s="172" t="s">
        <v>1393</v>
      </c>
      <c r="H110" s="172"/>
      <c r="I110" s="172" t="s">
        <v>215</v>
      </c>
      <c r="J110" s="169"/>
      <c r="K110" s="169"/>
      <c r="L110" s="169" t="s">
        <v>1724</v>
      </c>
      <c r="M110" s="136" t="str">
        <f>IFERROR(__xludf.DUMMYFUNCTION("GOOGLETRANSLATE(L110,""zh-CN"", ""en"")"),"yes")</f>
        <v>yes</v>
      </c>
      <c r="N110" s="169"/>
      <c r="O110" s="169"/>
      <c r="P110" s="169" t="s">
        <v>1725</v>
      </c>
      <c r="Q110" s="173" t="s">
        <v>1726</v>
      </c>
      <c r="R110" s="173" t="s">
        <v>99</v>
      </c>
      <c r="S110" s="173" t="s">
        <v>1727</v>
      </c>
      <c r="T110" s="173" t="s">
        <v>1728</v>
      </c>
      <c r="U110" s="174"/>
      <c r="V110" s="174"/>
      <c r="W110" s="174"/>
      <c r="X110" s="174"/>
      <c r="Y110" s="174"/>
      <c r="Z110" s="174"/>
      <c r="AA110" s="174"/>
      <c r="AB110" s="174"/>
      <c r="AC110" s="174"/>
      <c r="AD110" s="174"/>
      <c r="AE110" s="174"/>
    </row>
    <row r="111" ht="15.75" customHeight="1">
      <c r="A111" s="141" t="s">
        <v>1729</v>
      </c>
      <c r="B111" s="154" t="str">
        <f>IFERROR(__xludf.DUMMYFUNCTION("GOOGLETRANSLATE(A111,""zh-CN"", ""en"")"),"Insulation resistance lower limit")</f>
        <v>Insulation resistance lower limit</v>
      </c>
      <c r="C111" s="141" t="s">
        <v>1730</v>
      </c>
      <c r="D111" s="136" t="s">
        <v>1731</v>
      </c>
      <c r="E111" s="141" t="s">
        <v>104</v>
      </c>
      <c r="F111" s="137">
        <v>2.0</v>
      </c>
      <c r="G111" s="141" t="s">
        <v>1732</v>
      </c>
      <c r="H111" s="141"/>
      <c r="I111" s="141" t="s">
        <v>225</v>
      </c>
      <c r="J111" s="141"/>
      <c r="K111" s="141"/>
      <c r="L111" s="141" t="s">
        <v>1733</v>
      </c>
      <c r="M111" s="136" t="str">
        <f>IFERROR(__xludf.DUMMYFUNCTION("GOOGLETRANSLATE(L111,""zh-CN"", ""en"")"),"yes")</f>
        <v>yes</v>
      </c>
      <c r="N111" s="141"/>
      <c r="O111" s="141"/>
      <c r="P111" s="141" t="s">
        <v>1734</v>
      </c>
      <c r="Q111" s="55" t="s">
        <v>1735</v>
      </c>
      <c r="R111" s="55" t="s">
        <v>99</v>
      </c>
      <c r="S111" s="55" t="s">
        <v>1736</v>
      </c>
      <c r="T111" s="55" t="s">
        <v>1737</v>
      </c>
    </row>
    <row r="112" ht="15.75" customHeight="1">
      <c r="A112" s="141" t="s">
        <v>1738</v>
      </c>
      <c r="B112" s="154" t="str">
        <f>IFERROR(__xludf.DUMMYFUNCTION("GOOGLETRANSLATE(A112,""zh-CN"", ""en"")"),"DC component upper limit")</f>
        <v>DC component upper limit</v>
      </c>
      <c r="C112" s="141" t="s">
        <v>1739</v>
      </c>
      <c r="D112" s="136" t="s">
        <v>1740</v>
      </c>
      <c r="E112" s="141" t="s">
        <v>104</v>
      </c>
      <c r="F112" s="137">
        <v>2.0</v>
      </c>
      <c r="G112" s="141" t="s">
        <v>1741</v>
      </c>
      <c r="H112" s="141"/>
      <c r="I112" s="141" t="s">
        <v>1742</v>
      </c>
      <c r="J112" s="141"/>
      <c r="K112" s="141"/>
      <c r="L112" s="141" t="s">
        <v>1743</v>
      </c>
      <c r="M112" s="136" t="str">
        <f>IFERROR(__xludf.DUMMYFUNCTION("GOOGLETRANSLATE(L112,""zh-CN"", ""en"")"),"yes")</f>
        <v>yes</v>
      </c>
      <c r="N112" s="141"/>
      <c r="O112" s="141"/>
      <c r="P112" s="141" t="s">
        <v>1744</v>
      </c>
      <c r="Q112" s="55" t="s">
        <v>1745</v>
      </c>
      <c r="R112" s="55" t="s">
        <v>99</v>
      </c>
      <c r="S112" s="55" t="s">
        <v>1746</v>
      </c>
      <c r="T112" s="55" t="s">
        <v>1747</v>
      </c>
    </row>
    <row r="113" ht="15.75" customHeight="1">
      <c r="A113" s="169" t="s">
        <v>1748</v>
      </c>
      <c r="B113" s="154" t="str">
        <f>IFERROR(__xludf.DUMMYFUNCTION("GOOGLETRANSLATE(A113,""zh-CN"", ""en"")"),"Continuous leakage current protection value")</f>
        <v>Continuous leakage current protection value</v>
      </c>
      <c r="C113" s="169" t="s">
        <v>1749</v>
      </c>
      <c r="D113" s="170" t="s">
        <v>1750</v>
      </c>
      <c r="E113" s="169" t="s">
        <v>104</v>
      </c>
      <c r="F113" s="171">
        <v>2.0</v>
      </c>
      <c r="G113" s="172" t="s">
        <v>1741</v>
      </c>
      <c r="H113" s="172"/>
      <c r="I113" s="172" t="s">
        <v>1742</v>
      </c>
      <c r="J113" s="169"/>
      <c r="K113" s="169"/>
      <c r="L113" s="169"/>
      <c r="M113" s="136" t="str">
        <f>IFERROR(__xludf.DUMMYFUNCTION("GOOGLETRANSLATE(L113,""zh-CN"", ""en"")"),"#VALUE!")</f>
        <v>#VALUE!</v>
      </c>
      <c r="N113" s="169"/>
      <c r="O113" s="169"/>
      <c r="P113" s="169" t="s">
        <v>1751</v>
      </c>
      <c r="Q113" s="173" t="s">
        <v>1752</v>
      </c>
      <c r="R113" s="173" t="s">
        <v>99</v>
      </c>
      <c r="S113" s="173" t="s">
        <v>1753</v>
      </c>
      <c r="T113" s="173" t="s">
        <v>1754</v>
      </c>
      <c r="U113" s="174"/>
      <c r="V113" s="174"/>
      <c r="W113" s="174"/>
      <c r="X113" s="174"/>
      <c r="Y113" s="174"/>
      <c r="Z113" s="174"/>
      <c r="AA113" s="174"/>
      <c r="AB113" s="174"/>
      <c r="AC113" s="174"/>
      <c r="AD113" s="174"/>
      <c r="AE113" s="174"/>
    </row>
    <row r="114" ht="15.75" customHeight="1">
      <c r="A114" s="169" t="s">
        <v>1755</v>
      </c>
      <c r="B114" s="154" t="str">
        <f>IFERROR(__xludf.DUMMYFUNCTION("GOOGLETRANSLATE(A114,""zh-CN"", ""en"")"),"Continuous leakage current protection time")</f>
        <v>Continuous leakage current protection time</v>
      </c>
      <c r="C114" s="169" t="s">
        <v>1756</v>
      </c>
      <c r="D114" s="170" t="s">
        <v>1757</v>
      </c>
      <c r="E114" s="169" t="s">
        <v>104</v>
      </c>
      <c r="F114" s="171">
        <v>2.0</v>
      </c>
      <c r="G114" s="172" t="s">
        <v>1659</v>
      </c>
      <c r="H114" s="172"/>
      <c r="I114" s="172" t="s">
        <v>1402</v>
      </c>
      <c r="J114" s="169"/>
      <c r="K114" s="169"/>
      <c r="L114" s="169"/>
      <c r="M114" s="136" t="str">
        <f>IFERROR(__xludf.DUMMYFUNCTION("GOOGLETRANSLATE(L114,""zh-CN"", ""en"")"),"#VALUE!")</f>
        <v>#VALUE!</v>
      </c>
      <c r="N114" s="169"/>
      <c r="O114" s="169"/>
      <c r="P114" s="169" t="s">
        <v>1758</v>
      </c>
      <c r="Q114" s="173" t="s">
        <v>1759</v>
      </c>
      <c r="R114" s="173" t="s">
        <v>99</v>
      </c>
      <c r="S114" s="173" t="s">
        <v>1760</v>
      </c>
      <c r="T114" s="173" t="s">
        <v>1761</v>
      </c>
      <c r="U114" s="174"/>
      <c r="V114" s="174"/>
      <c r="W114" s="174"/>
      <c r="X114" s="174"/>
      <c r="Y114" s="174"/>
      <c r="Z114" s="174"/>
      <c r="AA114" s="174"/>
      <c r="AB114" s="174"/>
      <c r="AC114" s="174"/>
      <c r="AD114" s="174"/>
      <c r="AE114" s="174"/>
    </row>
    <row r="115" ht="15.75" customHeight="1">
      <c r="A115" s="169" t="s">
        <v>1762</v>
      </c>
      <c r="B115" s="154" t="str">
        <f>IFERROR(__xludf.DUMMYFUNCTION("GOOGLETRANSLATE(A115,""zh-CN"", ""en"")"),"Sudden leakage current protection value")</f>
        <v>Sudden leakage current protection value</v>
      </c>
      <c r="C115" s="169" t="s">
        <v>1763</v>
      </c>
      <c r="D115" s="170">
        <v>1057.0</v>
      </c>
      <c r="E115" s="169" t="s">
        <v>104</v>
      </c>
      <c r="F115" s="171">
        <v>2.0</v>
      </c>
      <c r="G115" s="172" t="s">
        <v>1741</v>
      </c>
      <c r="H115" s="172"/>
      <c r="I115" s="172" t="s">
        <v>1742</v>
      </c>
      <c r="J115" s="169"/>
      <c r="K115" s="169"/>
      <c r="L115" s="169"/>
      <c r="M115" s="136" t="str">
        <f>IFERROR(__xludf.DUMMYFUNCTION("GOOGLETRANSLATE(L115,""zh-CN"", ""en"")"),"#VALUE!")</f>
        <v>#VALUE!</v>
      </c>
      <c r="N115" s="169"/>
      <c r="O115" s="169"/>
      <c r="P115" s="169" t="s">
        <v>1764</v>
      </c>
      <c r="Q115" s="173" t="s">
        <v>1765</v>
      </c>
      <c r="R115" s="173" t="s">
        <v>99</v>
      </c>
      <c r="S115" s="173" t="s">
        <v>1766</v>
      </c>
      <c r="T115" s="173" t="s">
        <v>1767</v>
      </c>
      <c r="U115" s="174"/>
      <c r="V115" s="174"/>
      <c r="W115" s="174"/>
      <c r="X115" s="174"/>
      <c r="Y115" s="174"/>
      <c r="Z115" s="174"/>
      <c r="AA115" s="174"/>
      <c r="AB115" s="174"/>
      <c r="AC115" s="174"/>
      <c r="AD115" s="174"/>
      <c r="AE115" s="174"/>
    </row>
    <row r="116" ht="15.75" customHeight="1">
      <c r="A116" s="169" t="s">
        <v>1768</v>
      </c>
      <c r="B116" s="154" t="str">
        <f>IFERROR(__xludf.DUMMYFUNCTION("GOOGLETRANSLATE(A116,""zh-CN"", ""en"")"),"Sudden leakage current protection time")</f>
        <v>Sudden leakage current protection time</v>
      </c>
      <c r="C116" s="169" t="s">
        <v>1769</v>
      </c>
      <c r="D116" s="170">
        <v>1058.0</v>
      </c>
      <c r="E116" s="169" t="s">
        <v>104</v>
      </c>
      <c r="F116" s="171">
        <v>2.0</v>
      </c>
      <c r="G116" s="172" t="s">
        <v>1659</v>
      </c>
      <c r="H116" s="172"/>
      <c r="I116" s="172" t="s">
        <v>1402</v>
      </c>
      <c r="J116" s="169"/>
      <c r="K116" s="169"/>
      <c r="L116" s="169"/>
      <c r="M116" s="136" t="str">
        <f>IFERROR(__xludf.DUMMYFUNCTION("GOOGLETRANSLATE(L116,""zh-CN"", ""en"")"),"#VALUE!")</f>
        <v>#VALUE!</v>
      </c>
      <c r="N116" s="169"/>
      <c r="O116" s="169"/>
      <c r="P116" s="169" t="s">
        <v>1770</v>
      </c>
      <c r="Q116" s="173" t="s">
        <v>1771</v>
      </c>
      <c r="R116" s="173" t="s">
        <v>99</v>
      </c>
      <c r="S116" s="173" t="s">
        <v>1772</v>
      </c>
      <c r="T116" s="173" t="s">
        <v>1773</v>
      </c>
      <c r="U116" s="174"/>
      <c r="V116" s="174"/>
      <c r="W116" s="174"/>
      <c r="X116" s="174"/>
      <c r="Y116" s="174"/>
      <c r="Z116" s="174"/>
      <c r="AA116" s="174"/>
      <c r="AB116" s="174"/>
      <c r="AC116" s="174"/>
      <c r="AD116" s="174"/>
      <c r="AE116" s="174"/>
    </row>
    <row r="117" ht="15.75" customHeight="1">
      <c r="A117" s="141" t="s">
        <v>1774</v>
      </c>
      <c r="B117" s="154" t="str">
        <f>IFERROR(__xludf.DUMMYFUNCTION("GOOGLETRANSLATE(A117,""zh-CN"", ""en"")"),"Three-phase unbalance")</f>
        <v>Three-phase unbalance</v>
      </c>
      <c r="C117" s="141" t="s">
        <v>1775</v>
      </c>
      <c r="D117" s="136">
        <v>1059.0</v>
      </c>
      <c r="E117" s="141" t="s">
        <v>104</v>
      </c>
      <c r="F117" s="137">
        <v>2.0</v>
      </c>
      <c r="G117" s="141" t="s">
        <v>1776</v>
      </c>
      <c r="H117" s="141"/>
      <c r="I117" s="141" t="s">
        <v>712</v>
      </c>
      <c r="J117" s="141"/>
      <c r="K117" s="141"/>
      <c r="L117" s="141" t="s">
        <v>1777</v>
      </c>
      <c r="M117" s="136" t="str">
        <f>IFERROR(__xludf.DUMMYFUNCTION("GOOGLETRANSLATE(L117,""zh-CN"", ""en"")"),"yes")</f>
        <v>yes</v>
      </c>
      <c r="N117" s="141"/>
      <c r="O117" s="141"/>
      <c r="P117" s="141" t="s">
        <v>1778</v>
      </c>
      <c r="Q117" s="55" t="s">
        <v>1779</v>
      </c>
      <c r="R117" s="55" t="s">
        <v>99</v>
      </c>
      <c r="S117" s="55" t="s">
        <v>1780</v>
      </c>
      <c r="T117" s="55" t="s">
        <v>1781</v>
      </c>
    </row>
    <row r="118" ht="15.75" customHeight="1">
      <c r="A118" s="169" t="s">
        <v>1782</v>
      </c>
      <c r="B118" s="154" t="str">
        <f>IFERROR(__xludf.DUMMYFUNCTION("GOOGLETRANSLATE(A118,""zh-CN"", ""en"")"),"Three-phase unbalance protection time")</f>
        <v>Three-phase unbalance protection time</v>
      </c>
      <c r="C118" s="169" t="s">
        <v>1783</v>
      </c>
      <c r="D118" s="170">
        <v>1060.0</v>
      </c>
      <c r="E118" s="169" t="s">
        <v>104</v>
      </c>
      <c r="F118" s="171">
        <v>2.0</v>
      </c>
      <c r="G118" s="169"/>
      <c r="H118" s="172"/>
      <c r="I118" s="172"/>
      <c r="J118" s="169"/>
      <c r="K118" s="169"/>
      <c r="L118" s="169"/>
      <c r="M118" s="136" t="str">
        <f>IFERROR(__xludf.DUMMYFUNCTION("GOOGLETRANSLATE(L118,""zh-CN"", ""en"")"),"#VALUE!")</f>
        <v>#VALUE!</v>
      </c>
      <c r="N118" s="169"/>
      <c r="O118" s="169"/>
      <c r="P118" s="169" t="s">
        <v>1784</v>
      </c>
      <c r="Q118" s="173" t="s">
        <v>1785</v>
      </c>
      <c r="R118" s="173" t="s">
        <v>99</v>
      </c>
      <c r="S118" s="173" t="s">
        <v>1786</v>
      </c>
      <c r="T118" s="173" t="s">
        <v>1787</v>
      </c>
      <c r="U118" s="174"/>
      <c r="V118" s="174"/>
      <c r="W118" s="174"/>
      <c r="X118" s="174"/>
      <c r="Y118" s="174"/>
      <c r="Z118" s="174"/>
      <c r="AA118" s="174"/>
      <c r="AB118" s="174"/>
      <c r="AC118" s="174"/>
      <c r="AD118" s="174"/>
      <c r="AE118" s="174"/>
    </row>
    <row r="119" ht="15.75" customHeight="1">
      <c r="A119" s="141" t="s">
        <v>1788</v>
      </c>
      <c r="B119" s="154" t="str">
        <f>IFERROR(__xludf.DUMMYFUNCTION("GOOGLETRANSLATE(A119,""zh-CN"", ""en"")"),"upper limit of ambient temperature")</f>
        <v>upper limit of ambient temperature</v>
      </c>
      <c r="C119" s="141" t="s">
        <v>1789</v>
      </c>
      <c r="D119" s="136">
        <v>1061.0</v>
      </c>
      <c r="E119" s="141" t="s">
        <v>235</v>
      </c>
      <c r="F119" s="137">
        <v>2.0</v>
      </c>
      <c r="G119" s="141" t="s">
        <v>1790</v>
      </c>
      <c r="H119" s="141"/>
      <c r="I119" s="141" t="s">
        <v>1791</v>
      </c>
      <c r="J119" s="141"/>
      <c r="K119" s="141"/>
      <c r="L119" s="141" t="s">
        <v>1792</v>
      </c>
      <c r="M119" s="136" t="str">
        <f>IFERROR(__xludf.DUMMYFUNCTION("GOOGLETRANSLATE(L119,""zh-CN"", ""en"")"),"yes")</f>
        <v>yes</v>
      </c>
      <c r="N119" s="141"/>
      <c r="O119" s="141"/>
      <c r="P119" s="141" t="s">
        <v>1793</v>
      </c>
      <c r="Q119" s="55" t="s">
        <v>1794</v>
      </c>
      <c r="R119" s="55" t="s">
        <v>99</v>
      </c>
      <c r="S119" s="55" t="s">
        <v>1795</v>
      </c>
      <c r="T119" s="55" t="s">
        <v>1796</v>
      </c>
    </row>
    <row r="120" ht="15.75" customHeight="1">
      <c r="A120" s="169" t="s">
        <v>1797</v>
      </c>
      <c r="B120" s="154" t="str">
        <f>IFERROR(__xludf.DUMMYFUNCTION("GOOGLETRANSLATE(A120,""zh-CN"", ""en"")"),"Ambient temperature lower limit")</f>
        <v>Ambient temperature lower limit</v>
      </c>
      <c r="C120" s="169" t="s">
        <v>1798</v>
      </c>
      <c r="D120" s="170">
        <v>1062.0</v>
      </c>
      <c r="E120" s="169" t="s">
        <v>235</v>
      </c>
      <c r="F120" s="171">
        <v>2.0</v>
      </c>
      <c r="G120" s="175" t="s">
        <v>1799</v>
      </c>
      <c r="H120" s="172"/>
      <c r="I120" s="172" t="s">
        <v>1800</v>
      </c>
      <c r="J120" s="169"/>
      <c r="K120" s="169"/>
      <c r="L120" s="169"/>
      <c r="M120" s="136" t="str">
        <f>IFERROR(__xludf.DUMMYFUNCTION("GOOGLETRANSLATE(L120,""zh-CN"", ""en"")"),"#VALUE!")</f>
        <v>#VALUE!</v>
      </c>
      <c r="N120" s="169"/>
      <c r="O120" s="169"/>
      <c r="P120" s="169" t="s">
        <v>1801</v>
      </c>
      <c r="Q120" s="173" t="s">
        <v>1802</v>
      </c>
      <c r="R120" s="173" t="s">
        <v>99</v>
      </c>
      <c r="S120" s="173" t="s">
        <v>1803</v>
      </c>
      <c r="T120" s="173" t="s">
        <v>1804</v>
      </c>
      <c r="U120" s="174"/>
      <c r="V120" s="174"/>
      <c r="W120" s="174"/>
      <c r="X120" s="174"/>
      <c r="Y120" s="174"/>
      <c r="Z120" s="174"/>
      <c r="AA120" s="174"/>
      <c r="AB120" s="174"/>
      <c r="AC120" s="174"/>
      <c r="AD120" s="174"/>
      <c r="AE120" s="174"/>
    </row>
    <row r="121" ht="15.75" customHeight="1">
      <c r="A121" s="141" t="s">
        <v>1805</v>
      </c>
      <c r="B121" s="154" t="str">
        <f>IFERROR(__xludf.DUMMYFUNCTION("GOOGLETRANSLATE(A121,""zh-CN"", ""en"")"),"Module temperature upper limit")</f>
        <v>Module temperature upper limit</v>
      </c>
      <c r="C121" s="141" t="s">
        <v>1806</v>
      </c>
      <c r="D121" s="136">
        <v>1063.0</v>
      </c>
      <c r="E121" s="141" t="s">
        <v>235</v>
      </c>
      <c r="F121" s="137">
        <v>2.0</v>
      </c>
      <c r="G121" s="141" t="s">
        <v>1807</v>
      </c>
      <c r="H121" s="141"/>
      <c r="I121" s="141" t="s">
        <v>1808</v>
      </c>
      <c r="J121" s="141"/>
      <c r="K121" s="141"/>
      <c r="L121" s="141" t="s">
        <v>1809</v>
      </c>
      <c r="M121" s="136" t="str">
        <f>IFERROR(__xludf.DUMMYFUNCTION("GOOGLETRANSLATE(L121,""zh-CN"", ""en"")"),"yes")</f>
        <v>yes</v>
      </c>
      <c r="N121" s="141"/>
      <c r="O121" s="141"/>
      <c r="P121" s="141" t="s">
        <v>1810</v>
      </c>
      <c r="Q121" s="55" t="s">
        <v>1811</v>
      </c>
      <c r="R121" s="55" t="s">
        <v>99</v>
      </c>
      <c r="S121" s="55" t="s">
        <v>1812</v>
      </c>
      <c r="T121" s="55" t="s">
        <v>1813</v>
      </c>
    </row>
    <row r="122" ht="15.75" customHeight="1">
      <c r="A122" s="141" t="s">
        <v>1814</v>
      </c>
      <c r="B122" s="154" t="str">
        <f>IFERROR(__xludf.DUMMYFUNCTION("GOOGLETRANSLATE(A122,""zh-CN"", ""en"")"),"Transient voltage protection value")</f>
        <v>Transient voltage protection value</v>
      </c>
      <c r="C122" s="141" t="s">
        <v>1815</v>
      </c>
      <c r="D122" s="136">
        <v>1064.0</v>
      </c>
      <c r="E122" s="141" t="s">
        <v>104</v>
      </c>
      <c r="F122" s="137">
        <v>2.0</v>
      </c>
      <c r="G122" s="141" t="s">
        <v>1816</v>
      </c>
      <c r="H122" s="141"/>
      <c r="I122" s="141" t="s">
        <v>215</v>
      </c>
      <c r="J122" s="141"/>
      <c r="K122" s="141"/>
      <c r="L122" s="141" t="s">
        <v>1817</v>
      </c>
      <c r="M122" s="136" t="str">
        <f>IFERROR(__xludf.DUMMYFUNCTION("GOOGLETRANSLATE(L122,""zh-CN"", ""en"")"),"yes")</f>
        <v>yes</v>
      </c>
      <c r="N122" s="141"/>
      <c r="O122" s="141"/>
      <c r="P122" s="141" t="s">
        <v>1818</v>
      </c>
      <c r="Q122" s="55" t="s">
        <v>1819</v>
      </c>
      <c r="R122" s="55" t="s">
        <v>99</v>
      </c>
      <c r="S122" s="55" t="s">
        <v>1820</v>
      </c>
      <c r="T122" s="55" t="s">
        <v>1821</v>
      </c>
    </row>
    <row r="123" ht="15.75" customHeight="1">
      <c r="A123" s="141" t="s">
        <v>1822</v>
      </c>
      <c r="B123" s="154" t="str">
        <f>IFERROR(__xludf.DUMMYFUNCTION("GOOGLETRANSLATE(A123,""zh-CN"", ""en"")"),"Transient voltage protection time")</f>
        <v>Transient voltage protection time</v>
      </c>
      <c r="C123" s="141" t="s">
        <v>1823</v>
      </c>
      <c r="D123" s="136">
        <v>1065.0</v>
      </c>
      <c r="E123" s="141" t="s">
        <v>104</v>
      </c>
      <c r="F123" s="137">
        <v>2.0</v>
      </c>
      <c r="G123" s="141" t="s">
        <v>1824</v>
      </c>
      <c r="H123" s="141"/>
      <c r="I123" s="141"/>
      <c r="J123" s="141"/>
      <c r="K123" s="141"/>
      <c r="L123" s="141" t="s">
        <v>1825</v>
      </c>
      <c r="M123" s="136" t="str">
        <f>IFERROR(__xludf.DUMMYFUNCTION("GOOGLETRANSLATE(L123,""zh-CN"", ""en"")"),"yes")</f>
        <v>yes</v>
      </c>
      <c r="N123" s="141"/>
      <c r="O123" s="141"/>
      <c r="P123" s="141" t="s">
        <v>1826</v>
      </c>
      <c r="Q123" s="55" t="s">
        <v>1827</v>
      </c>
      <c r="R123" s="55" t="s">
        <v>99</v>
      </c>
      <c r="S123" s="55" t="s">
        <v>1828</v>
      </c>
      <c r="T123" s="55" t="s">
        <v>1829</v>
      </c>
      <c r="U123" s="176"/>
    </row>
    <row r="124" ht="15.75" customHeight="1">
      <c r="A124" s="169" t="s">
        <v>1830</v>
      </c>
      <c r="B124" s="154" t="str">
        <f>IFERROR(__xludf.DUMMYFUNCTION("GOOGLETRANSLATE(A124,""zh-CN"", ""en"")"),"BUS midpoint unbalance protection value")</f>
        <v>BUS midpoint unbalance protection value</v>
      </c>
      <c r="C124" s="169" t="s">
        <v>1831</v>
      </c>
      <c r="D124" s="170">
        <v>1066.0</v>
      </c>
      <c r="E124" s="169" t="s">
        <v>104</v>
      </c>
      <c r="F124" s="171">
        <v>2.0</v>
      </c>
      <c r="G124" s="172" t="s">
        <v>1832</v>
      </c>
      <c r="H124" s="172"/>
      <c r="I124" s="172" t="s">
        <v>215</v>
      </c>
      <c r="J124" s="169"/>
      <c r="K124" s="169"/>
      <c r="L124" s="169" t="s">
        <v>1833</v>
      </c>
      <c r="M124" s="136" t="str">
        <f>IFERROR(__xludf.DUMMYFUNCTION("GOOGLETRANSLATE(L124,""zh-CN"", ""en"")"),"yes")</f>
        <v>yes</v>
      </c>
      <c r="N124" s="169"/>
      <c r="O124" s="169"/>
      <c r="P124" s="169" t="s">
        <v>1834</v>
      </c>
      <c r="Q124" s="173" t="s">
        <v>1835</v>
      </c>
      <c r="R124" s="173" t="s">
        <v>99</v>
      </c>
      <c r="S124" s="173" t="s">
        <v>1836</v>
      </c>
      <c r="T124" s="173" t="s">
        <v>1837</v>
      </c>
      <c r="U124" s="174"/>
      <c r="V124" s="174"/>
      <c r="W124" s="174"/>
      <c r="X124" s="174"/>
      <c r="Y124" s="174"/>
      <c r="Z124" s="174"/>
      <c r="AA124" s="174"/>
      <c r="AB124" s="174"/>
      <c r="AC124" s="174"/>
      <c r="AD124" s="174"/>
      <c r="AE124" s="174"/>
    </row>
    <row r="125" ht="15.75" customHeight="1">
      <c r="A125" s="141" t="s">
        <v>1838</v>
      </c>
      <c r="B125" s="154" t="str">
        <f>IFERROR(__xludf.DUMMYFUNCTION("GOOGLETRANSLATE(A125,""zh-CN"", ""en"")"),"Off-grid voltage DC component protection value")</f>
        <v>Off-grid voltage DC component protection value</v>
      </c>
      <c r="C125" s="141" t="s">
        <v>1839</v>
      </c>
      <c r="D125" s="136">
        <v>1067.0</v>
      </c>
      <c r="E125" s="141" t="s">
        <v>104</v>
      </c>
      <c r="F125" s="137">
        <v>2.0</v>
      </c>
      <c r="G125" s="141" t="s">
        <v>1840</v>
      </c>
      <c r="H125" s="141"/>
      <c r="I125" s="141" t="s">
        <v>1841</v>
      </c>
      <c r="J125" s="141"/>
      <c r="K125" s="141"/>
      <c r="L125" s="141"/>
      <c r="M125" s="136" t="str">
        <f>IFERROR(__xludf.DUMMYFUNCTION("GOOGLETRANSLATE(L125,""zh-CN"", ""en"")"),"#VALUE!")</f>
        <v>#VALUE!</v>
      </c>
      <c r="N125" s="141"/>
      <c r="O125" s="141"/>
      <c r="P125" s="141"/>
      <c r="Q125" s="55" t="s">
        <v>1842</v>
      </c>
      <c r="R125" s="55" t="s">
        <v>99</v>
      </c>
      <c r="S125" s="55" t="s">
        <v>1843</v>
      </c>
      <c r="T125" s="55" t="s">
        <v>1844</v>
      </c>
    </row>
    <row r="126" ht="15.75" customHeight="1">
      <c r="A126" s="159" t="s">
        <v>1845</v>
      </c>
      <c r="B126" s="154" t="str">
        <f>IFERROR(__xludf.DUMMYFUNCTION("GOOGLETRANSLATE(A126,""zh-CN"", ""en"")"),"reserved")</f>
        <v>reserved</v>
      </c>
      <c r="C126" s="160" t="s">
        <v>207</v>
      </c>
      <c r="D126" s="136" t="s">
        <v>1846</v>
      </c>
      <c r="E126" s="161"/>
      <c r="F126" s="177"/>
      <c r="G126" s="178"/>
      <c r="H126" s="161"/>
      <c r="I126" s="161"/>
      <c r="J126" s="161"/>
      <c r="K126" s="161"/>
      <c r="L126" s="161"/>
      <c r="M126" s="136" t="str">
        <f>IFERROR(__xludf.DUMMYFUNCTION("GOOGLETRANSLATE(L126,""zh-CN"", ""en"")"),"#VALUE!")</f>
        <v>#VALUE!</v>
      </c>
      <c r="N126" s="161"/>
      <c r="O126" s="161"/>
      <c r="P126" s="161"/>
      <c r="Q126" s="55" t="s">
        <v>1847</v>
      </c>
      <c r="R126" s="55" t="s">
        <v>99</v>
      </c>
      <c r="S126" s="55" t="s">
        <v>1848</v>
      </c>
      <c r="T126" s="55" t="s">
        <v>1849</v>
      </c>
    </row>
    <row r="127" ht="15.75" customHeight="1">
      <c r="A127" s="162" t="s">
        <v>1850</v>
      </c>
      <c r="B127" s="154" t="str">
        <f>IFERROR(__xludf.DUMMYFUNCTION("GOOGLETRANSLATE(A127,""zh-CN"", ""en"")"),"Set parameter 4 (grid dispatch parameter 1)")</f>
        <v>Set parameter 4 (grid dispatch parameter 1)</v>
      </c>
      <c r="C127" s="163"/>
      <c r="D127" s="163"/>
      <c r="E127" s="163"/>
      <c r="F127" s="163"/>
      <c r="G127" s="163"/>
      <c r="H127" s="163"/>
      <c r="I127" s="163"/>
      <c r="J127" s="164"/>
      <c r="K127" s="164"/>
      <c r="L127" s="152"/>
      <c r="M127" s="136" t="str">
        <f>IFERROR(__xludf.DUMMYFUNCTION("GOOGLETRANSLATE(L127,""zh-CN"", ""en"")"),"#VALUE!")</f>
        <v>#VALUE!</v>
      </c>
      <c r="N127" s="152"/>
      <c r="O127" s="152"/>
      <c r="P127" s="152"/>
      <c r="Q127" s="55" t="s">
        <v>1851</v>
      </c>
      <c r="R127" s="55" t="s">
        <v>99</v>
      </c>
      <c r="S127" s="55" t="s">
        <v>1852</v>
      </c>
      <c r="T127" s="55" t="s">
        <v>1853</v>
      </c>
    </row>
    <row r="128" ht="15.75" customHeight="1">
      <c r="A128" s="48" t="s">
        <v>1854</v>
      </c>
      <c r="B128" s="154" t="str">
        <f>IFERROR(__xludf.DUMMYFUNCTION("GOOGLETRANSLATE(A128,""zh-CN"", ""en"")"),"Reactive power threshold")</f>
        <v>Reactive power threshold</v>
      </c>
      <c r="C128" s="48" t="s">
        <v>115</v>
      </c>
      <c r="D128" s="48" t="s">
        <v>1855</v>
      </c>
      <c r="E128" s="48" t="s">
        <v>110</v>
      </c>
      <c r="F128" s="52">
        <v>4.0</v>
      </c>
      <c r="G128" s="48" t="s">
        <v>1856</v>
      </c>
      <c r="H128" s="48"/>
      <c r="I128" s="48" t="s">
        <v>311</v>
      </c>
      <c r="J128" s="48"/>
      <c r="K128" s="48"/>
      <c r="L128" s="48" t="s">
        <v>1857</v>
      </c>
      <c r="M128" s="136" t="str">
        <f>IFERROR(__xludf.DUMMYFUNCTION("GOOGLETRANSLATE(L128,""zh-CN"", ""en"")"),"yes")</f>
        <v>yes</v>
      </c>
      <c r="N128" s="48"/>
      <c r="O128" s="48"/>
      <c r="P128" s="48" t="s">
        <v>1858</v>
      </c>
      <c r="Q128" s="55" t="s">
        <v>1859</v>
      </c>
      <c r="R128" s="55" t="s">
        <v>99</v>
      </c>
      <c r="S128" s="55" t="s">
        <v>1860</v>
      </c>
      <c r="T128" s="55" t="s">
        <v>1861</v>
      </c>
    </row>
    <row r="129" ht="15.75" customHeight="1">
      <c r="A129" s="48" t="s">
        <v>1862</v>
      </c>
      <c r="B129" s="154" t="str">
        <f>IFERROR(__xludf.DUMMYFUNCTION("GOOGLETRANSLATE(A129,""zh-CN"", ""en"")"),"Active output limit")</f>
        <v>Active output limit</v>
      </c>
      <c r="C129" s="48" t="s">
        <v>1863</v>
      </c>
      <c r="D129" s="48" t="s">
        <v>573</v>
      </c>
      <c r="E129" s="48" t="s">
        <v>104</v>
      </c>
      <c r="F129" s="52">
        <v>2.0</v>
      </c>
      <c r="G129" s="48" t="s">
        <v>1864</v>
      </c>
      <c r="H129" s="179"/>
      <c r="I129" s="179">
        <v>0.001</v>
      </c>
      <c r="J129" s="48"/>
      <c r="K129" s="48"/>
      <c r="L129" s="48" t="s">
        <v>1865</v>
      </c>
      <c r="M129" s="136" t="str">
        <f>IFERROR(__xludf.DUMMYFUNCTION("GOOGLETRANSLATE(L129,""zh-CN"", ""en"")"),"yes")</f>
        <v>yes</v>
      </c>
      <c r="N129" s="48"/>
      <c r="O129" s="48"/>
      <c r="P129" s="48" t="s">
        <v>1866</v>
      </c>
      <c r="Q129" s="55" t="s">
        <v>1867</v>
      </c>
      <c r="R129" s="55" t="s">
        <v>99</v>
      </c>
      <c r="S129" s="55" t="s">
        <v>1868</v>
      </c>
      <c r="T129" s="55" t="s">
        <v>1869</v>
      </c>
    </row>
    <row r="130" ht="15.75" customHeight="1">
      <c r="A130" s="48" t="s">
        <v>1870</v>
      </c>
      <c r="B130" s="154" t="str">
        <f>IFERROR(__xludf.DUMMYFUNCTION("GOOGLETRANSLATE(A130,""zh-CN"", ""en"")"),"Maximum active output power")</f>
        <v>Maximum active output power</v>
      </c>
      <c r="C130" s="48" t="s">
        <v>1871</v>
      </c>
      <c r="D130" s="48" t="s">
        <v>1872</v>
      </c>
      <c r="E130" s="48" t="s">
        <v>110</v>
      </c>
      <c r="F130" s="52">
        <v>4.0</v>
      </c>
      <c r="G130" s="48" t="s">
        <v>1856</v>
      </c>
      <c r="H130" s="48"/>
      <c r="I130" s="48" t="s">
        <v>286</v>
      </c>
      <c r="J130" s="48"/>
      <c r="K130" s="48"/>
      <c r="L130" s="48" t="s">
        <v>1873</v>
      </c>
      <c r="M130" s="136" t="str">
        <f>IFERROR(__xludf.DUMMYFUNCTION("GOOGLETRANSLATE(L130,""zh-CN"", ""en"")"),"yes")</f>
        <v>yes</v>
      </c>
      <c r="N130" s="48"/>
      <c r="O130" s="48"/>
      <c r="P130" s="48" t="s">
        <v>1874</v>
      </c>
      <c r="Q130" s="55" t="s">
        <v>1875</v>
      </c>
      <c r="R130" s="55" t="s">
        <v>99</v>
      </c>
      <c r="S130" s="55" t="s">
        <v>1876</v>
      </c>
      <c r="T130" s="55" t="s">
        <v>1877</v>
      </c>
    </row>
    <row r="131" ht="15.75" customHeight="1">
      <c r="A131" s="72" t="s">
        <v>1878</v>
      </c>
      <c r="B131" s="154" t="str">
        <f>IFERROR(__xludf.DUMMYFUNCTION("GOOGLETRANSLATE(A131,""zh-CN"", ""en"")"),"Overfrequency derating curve")</f>
        <v>Overfrequency derating curve</v>
      </c>
      <c r="C131" s="72" t="s">
        <v>1879</v>
      </c>
      <c r="D131" s="72" t="s">
        <v>585</v>
      </c>
      <c r="E131" s="72" t="s">
        <v>104</v>
      </c>
      <c r="F131" s="77">
        <v>2.0</v>
      </c>
      <c r="G131" s="180"/>
      <c r="H131" s="180"/>
      <c r="I131" s="180"/>
      <c r="J131" s="72"/>
      <c r="K131" s="72"/>
      <c r="L131" s="72" t="s">
        <v>1880</v>
      </c>
      <c r="M131" s="136" t="str">
        <f>IFERROR(__xludf.DUMMYFUNCTION("GOOGLETRANSLATE(L131,""zh-CN"", ""en"")"),"yes")</f>
        <v>yes</v>
      </c>
      <c r="N131" s="72"/>
      <c r="O131" s="72"/>
      <c r="P131" s="72" t="s">
        <v>1881</v>
      </c>
      <c r="Q131" s="81" t="s">
        <v>1882</v>
      </c>
      <c r="R131" s="81" t="s">
        <v>99</v>
      </c>
      <c r="S131" s="81" t="s">
        <v>1883</v>
      </c>
      <c r="T131" s="81" t="s">
        <v>1884</v>
      </c>
      <c r="U131" s="82"/>
      <c r="V131" s="82"/>
      <c r="W131" s="82"/>
      <c r="X131" s="82"/>
      <c r="Y131" s="82"/>
      <c r="Z131" s="82"/>
      <c r="AA131" s="82"/>
      <c r="AB131" s="82"/>
      <c r="AC131" s="82"/>
      <c r="AD131" s="82"/>
      <c r="AE131" s="82"/>
    </row>
    <row r="132" ht="15.75" customHeight="1">
      <c r="A132" s="170" t="s">
        <v>1885</v>
      </c>
      <c r="B132" s="154" t="str">
        <f>IFERROR(__xludf.DUMMYFUNCTION("GOOGLETRANSLATE(A132,""zh-CN"", ""en"")"),"Over frequency derating F1")</f>
        <v>Over frequency derating F1</v>
      </c>
      <c r="C132" s="170" t="s">
        <v>1886</v>
      </c>
      <c r="D132" s="170" t="s">
        <v>589</v>
      </c>
      <c r="E132" s="170" t="s">
        <v>104</v>
      </c>
      <c r="F132" s="171">
        <v>2.0</v>
      </c>
      <c r="G132" s="181" t="s">
        <v>1330</v>
      </c>
      <c r="H132" s="182"/>
      <c r="I132" s="182" t="s">
        <v>272</v>
      </c>
      <c r="J132" s="170"/>
      <c r="K132" s="170"/>
      <c r="L132" s="170" t="s">
        <v>1887</v>
      </c>
      <c r="M132" s="136" t="str">
        <f>IFERROR(__xludf.DUMMYFUNCTION("GOOGLETRANSLATE(L132,""zh-CN"", ""en"")"),"yes")</f>
        <v>yes</v>
      </c>
      <c r="N132" s="170"/>
      <c r="O132" s="170"/>
      <c r="P132" s="170" t="s">
        <v>1888</v>
      </c>
      <c r="Q132" s="173" t="s">
        <v>1889</v>
      </c>
      <c r="R132" s="173" t="s">
        <v>99</v>
      </c>
      <c r="S132" s="173" t="s">
        <v>1890</v>
      </c>
      <c r="T132" s="173" t="s">
        <v>1891</v>
      </c>
      <c r="U132" s="174"/>
      <c r="V132" s="174"/>
      <c r="W132" s="174"/>
      <c r="X132" s="174"/>
      <c r="Y132" s="174"/>
      <c r="Z132" s="174"/>
      <c r="AA132" s="174"/>
      <c r="AB132" s="174"/>
      <c r="AC132" s="174"/>
      <c r="AD132" s="174"/>
      <c r="AE132" s="174"/>
    </row>
    <row r="133" ht="15.75" customHeight="1">
      <c r="A133" s="170" t="s">
        <v>1892</v>
      </c>
      <c r="B133" s="154" t="str">
        <f>IFERROR(__xludf.DUMMYFUNCTION("GOOGLETRANSLATE(A133,""zh-CN"", ""en"")"),"Over frequency derating F2")</f>
        <v>Over frequency derating F2</v>
      </c>
      <c r="C133" s="170" t="s">
        <v>1893</v>
      </c>
      <c r="D133" s="170" t="s">
        <v>593</v>
      </c>
      <c r="E133" s="170" t="s">
        <v>104</v>
      </c>
      <c r="F133" s="171">
        <v>2.0</v>
      </c>
      <c r="G133" s="181" t="s">
        <v>1330</v>
      </c>
      <c r="H133" s="182"/>
      <c r="I133" s="182" t="s">
        <v>272</v>
      </c>
      <c r="J133" s="170"/>
      <c r="K133" s="170"/>
      <c r="L133" s="170" t="s">
        <v>1894</v>
      </c>
      <c r="M133" s="136" t="str">
        <f>IFERROR(__xludf.DUMMYFUNCTION("GOOGLETRANSLATE(L133,""zh-CN"", ""en"")"),"yes")</f>
        <v>yes</v>
      </c>
      <c r="N133" s="170"/>
      <c r="O133" s="170"/>
      <c r="P133" s="170" t="s">
        <v>1895</v>
      </c>
      <c r="Q133" s="173" t="s">
        <v>1896</v>
      </c>
      <c r="R133" s="173" t="s">
        <v>99</v>
      </c>
      <c r="S133" s="173" t="s">
        <v>1897</v>
      </c>
      <c r="T133" s="173" t="s">
        <v>1898</v>
      </c>
      <c r="U133" s="174"/>
      <c r="V133" s="174"/>
      <c r="W133" s="174"/>
      <c r="X133" s="174"/>
      <c r="Y133" s="174"/>
      <c r="Z133" s="174"/>
      <c r="AA133" s="174"/>
      <c r="AB133" s="174"/>
      <c r="AC133" s="174"/>
      <c r="AD133" s="174"/>
      <c r="AE133" s="174"/>
    </row>
    <row r="134" ht="15.75" customHeight="1">
      <c r="A134" s="170" t="s">
        <v>1899</v>
      </c>
      <c r="B134" s="154" t="str">
        <f>IFERROR(__xludf.DUMMYFUNCTION("GOOGLETRANSLATE(A134,""zh-CN"", ""en"")"),"Overfrequency derating F3")</f>
        <v>Overfrequency derating F3</v>
      </c>
      <c r="C134" s="170" t="s">
        <v>1900</v>
      </c>
      <c r="D134" s="170" t="s">
        <v>597</v>
      </c>
      <c r="E134" s="170" t="s">
        <v>104</v>
      </c>
      <c r="F134" s="171">
        <v>2.0</v>
      </c>
      <c r="G134" s="181" t="s">
        <v>1330</v>
      </c>
      <c r="H134" s="182"/>
      <c r="I134" s="182" t="s">
        <v>272</v>
      </c>
      <c r="J134" s="170"/>
      <c r="K134" s="170"/>
      <c r="L134" s="170" t="s">
        <v>1901</v>
      </c>
      <c r="M134" s="136" t="str">
        <f>IFERROR(__xludf.DUMMYFUNCTION("GOOGLETRANSLATE(L134,""zh-CN"", ""en"")"),"yes")</f>
        <v>yes</v>
      </c>
      <c r="N134" s="170"/>
      <c r="O134" s="170"/>
      <c r="P134" s="170" t="s">
        <v>1902</v>
      </c>
      <c r="Q134" s="173" t="s">
        <v>1903</v>
      </c>
      <c r="R134" s="173" t="s">
        <v>99</v>
      </c>
      <c r="S134" s="173" t="s">
        <v>1904</v>
      </c>
      <c r="T134" s="173" t="s">
        <v>1905</v>
      </c>
      <c r="U134" s="174"/>
      <c r="V134" s="174"/>
      <c r="W134" s="174"/>
      <c r="X134" s="174"/>
      <c r="Y134" s="174"/>
      <c r="Z134" s="174"/>
      <c r="AA134" s="174"/>
      <c r="AB134" s="174"/>
      <c r="AC134" s="174"/>
      <c r="AD134" s="174"/>
      <c r="AE134" s="174"/>
    </row>
    <row r="135" ht="15.75" customHeight="1">
      <c r="A135" s="170" t="s">
        <v>1906</v>
      </c>
      <c r="B135" s="154" t="str">
        <f>IFERROR(__xludf.DUMMYFUNCTION("GOOGLETRANSLATE(A135,""zh-CN"", ""en"")"),"Over frequency derating F4")</f>
        <v>Over frequency derating F4</v>
      </c>
      <c r="C135" s="170" t="s">
        <v>1907</v>
      </c>
      <c r="D135" s="170" t="s">
        <v>601</v>
      </c>
      <c r="E135" s="170" t="s">
        <v>104</v>
      </c>
      <c r="F135" s="171">
        <v>2.0</v>
      </c>
      <c r="G135" s="181" t="s">
        <v>1330</v>
      </c>
      <c r="H135" s="182"/>
      <c r="I135" s="182" t="s">
        <v>272</v>
      </c>
      <c r="J135" s="170"/>
      <c r="K135" s="170"/>
      <c r="L135" s="170" t="s">
        <v>1908</v>
      </c>
      <c r="M135" s="136" t="str">
        <f>IFERROR(__xludf.DUMMYFUNCTION("GOOGLETRANSLATE(L135,""zh-CN"", ""en"")"),"yes")</f>
        <v>yes</v>
      </c>
      <c r="N135" s="170"/>
      <c r="O135" s="170"/>
      <c r="P135" s="170" t="s">
        <v>1909</v>
      </c>
      <c r="Q135" s="173" t="s">
        <v>1910</v>
      </c>
      <c r="R135" s="173" t="s">
        <v>99</v>
      </c>
      <c r="S135" s="173" t="s">
        <v>1911</v>
      </c>
      <c r="T135" s="173" t="s">
        <v>1912</v>
      </c>
      <c r="U135" s="174"/>
      <c r="V135" s="174"/>
      <c r="W135" s="174"/>
      <c r="X135" s="174"/>
      <c r="Y135" s="174"/>
      <c r="Z135" s="174"/>
      <c r="AA135" s="174"/>
      <c r="AB135" s="174"/>
      <c r="AC135" s="174"/>
      <c r="AD135" s="174"/>
      <c r="AE135" s="174"/>
    </row>
    <row r="136" ht="15.75" customHeight="1">
      <c r="A136" s="170" t="s">
        <v>1913</v>
      </c>
      <c r="B136" s="154" t="str">
        <f>IFERROR(__xludf.DUMMYFUNCTION("GOOGLETRANSLATE(A136,""zh-CN"", ""en"")"),"Over frequency derating P1")</f>
        <v>Over frequency derating P1</v>
      </c>
      <c r="C136" s="170" t="s">
        <v>1914</v>
      </c>
      <c r="D136" s="170" t="s">
        <v>605</v>
      </c>
      <c r="E136" s="170" t="s">
        <v>235</v>
      </c>
      <c r="F136" s="171">
        <v>2.0</v>
      </c>
      <c r="G136" s="181" t="s">
        <v>1915</v>
      </c>
      <c r="H136" s="183"/>
      <c r="I136" s="183">
        <v>0.001</v>
      </c>
      <c r="J136" s="170"/>
      <c r="K136" s="170"/>
      <c r="L136" s="170" t="s">
        <v>1916</v>
      </c>
      <c r="M136" s="136" t="str">
        <f>IFERROR(__xludf.DUMMYFUNCTION("GOOGLETRANSLATE(L136,""zh-CN"", ""en"")"),"yes")</f>
        <v>yes</v>
      </c>
      <c r="N136" s="170"/>
      <c r="O136" s="170"/>
      <c r="P136" s="170" t="s">
        <v>1917</v>
      </c>
      <c r="Q136" s="173" t="s">
        <v>1918</v>
      </c>
      <c r="R136" s="173" t="s">
        <v>99</v>
      </c>
      <c r="S136" s="173" t="s">
        <v>1919</v>
      </c>
      <c r="T136" s="173" t="s">
        <v>1920</v>
      </c>
      <c r="U136" s="174"/>
      <c r="V136" s="174"/>
      <c r="W136" s="174"/>
      <c r="X136" s="174"/>
      <c r="Y136" s="174"/>
      <c r="Z136" s="174"/>
      <c r="AA136" s="174"/>
      <c r="AB136" s="174"/>
      <c r="AC136" s="174"/>
      <c r="AD136" s="174"/>
      <c r="AE136" s="174"/>
    </row>
    <row r="137" ht="15.75" customHeight="1">
      <c r="A137" s="170" t="s">
        <v>1921</v>
      </c>
      <c r="B137" s="154" t="str">
        <f>IFERROR(__xludf.DUMMYFUNCTION("GOOGLETRANSLATE(A137,""zh-CN"", ""en"")"),"Overfrequency derating P2")</f>
        <v>Overfrequency derating P2</v>
      </c>
      <c r="C137" s="170" t="s">
        <v>1922</v>
      </c>
      <c r="D137" s="170" t="s">
        <v>609</v>
      </c>
      <c r="E137" s="170" t="s">
        <v>235</v>
      </c>
      <c r="F137" s="171">
        <v>2.0</v>
      </c>
      <c r="G137" s="181" t="s">
        <v>1915</v>
      </c>
      <c r="H137" s="183"/>
      <c r="I137" s="183">
        <v>0.001</v>
      </c>
      <c r="J137" s="170"/>
      <c r="K137" s="170"/>
      <c r="L137" s="170" t="s">
        <v>1923</v>
      </c>
      <c r="M137" s="136" t="str">
        <f>IFERROR(__xludf.DUMMYFUNCTION("GOOGLETRANSLATE(L137,""zh-CN"", ""en"")"),"yes")</f>
        <v>yes</v>
      </c>
      <c r="N137" s="170"/>
      <c r="O137" s="170"/>
      <c r="P137" s="170" t="s">
        <v>1924</v>
      </c>
      <c r="Q137" s="173" t="s">
        <v>1925</v>
      </c>
      <c r="R137" s="173" t="s">
        <v>99</v>
      </c>
      <c r="S137" s="173" t="s">
        <v>1926</v>
      </c>
      <c r="T137" s="173" t="s">
        <v>1927</v>
      </c>
      <c r="U137" s="174"/>
      <c r="V137" s="174"/>
      <c r="W137" s="174"/>
      <c r="X137" s="174"/>
      <c r="Y137" s="174"/>
      <c r="Z137" s="174"/>
      <c r="AA137" s="174"/>
      <c r="AB137" s="174"/>
      <c r="AC137" s="174"/>
      <c r="AD137" s="174"/>
      <c r="AE137" s="174"/>
    </row>
    <row r="138" ht="15.75" customHeight="1">
      <c r="A138" s="170" t="s">
        <v>1928</v>
      </c>
      <c r="B138" s="154" t="str">
        <f>IFERROR(__xludf.DUMMYFUNCTION("GOOGLETRANSLATE(A138,""zh-CN"", ""en"")"),"Over frequency derating P3")</f>
        <v>Over frequency derating P3</v>
      </c>
      <c r="C138" s="170" t="s">
        <v>1929</v>
      </c>
      <c r="D138" s="170" t="s">
        <v>613</v>
      </c>
      <c r="E138" s="170" t="s">
        <v>235</v>
      </c>
      <c r="F138" s="171">
        <v>2.0</v>
      </c>
      <c r="G138" s="181" t="s">
        <v>1915</v>
      </c>
      <c r="H138" s="183"/>
      <c r="I138" s="183">
        <v>0.001</v>
      </c>
      <c r="J138" s="170"/>
      <c r="K138" s="170"/>
      <c r="L138" s="170" t="s">
        <v>1930</v>
      </c>
      <c r="M138" s="136" t="str">
        <f>IFERROR(__xludf.DUMMYFUNCTION("GOOGLETRANSLATE(L138,""zh-CN"", ""en"")"),"yes")</f>
        <v>yes</v>
      </c>
      <c r="N138" s="170"/>
      <c r="O138" s="170"/>
      <c r="P138" s="170" t="s">
        <v>1931</v>
      </c>
      <c r="Q138" s="173" t="s">
        <v>1932</v>
      </c>
      <c r="R138" s="173" t="s">
        <v>99</v>
      </c>
      <c r="S138" s="173" t="s">
        <v>1933</v>
      </c>
      <c r="T138" s="173" t="s">
        <v>1934</v>
      </c>
      <c r="U138" s="174"/>
      <c r="V138" s="174"/>
      <c r="W138" s="174"/>
      <c r="X138" s="174"/>
      <c r="Y138" s="174"/>
      <c r="Z138" s="174"/>
      <c r="AA138" s="174"/>
      <c r="AB138" s="174"/>
      <c r="AC138" s="174"/>
      <c r="AD138" s="174"/>
      <c r="AE138" s="174"/>
    </row>
    <row r="139" ht="15.75" customHeight="1">
      <c r="A139" s="170" t="s">
        <v>1935</v>
      </c>
      <c r="B139" s="154" t="str">
        <f>IFERROR(__xludf.DUMMYFUNCTION("GOOGLETRANSLATE(A139,""zh-CN"", ""en"")"),"Over frequency derating P4")</f>
        <v>Over frequency derating P4</v>
      </c>
      <c r="C139" s="170" t="s">
        <v>1936</v>
      </c>
      <c r="D139" s="170" t="s">
        <v>1937</v>
      </c>
      <c r="E139" s="170" t="s">
        <v>235</v>
      </c>
      <c r="F139" s="171">
        <v>2.0</v>
      </c>
      <c r="G139" s="181" t="s">
        <v>1915</v>
      </c>
      <c r="H139" s="183"/>
      <c r="I139" s="183">
        <v>0.001</v>
      </c>
      <c r="J139" s="170"/>
      <c r="K139" s="170"/>
      <c r="L139" s="170" t="s">
        <v>1938</v>
      </c>
      <c r="M139" s="136" t="str">
        <f>IFERROR(__xludf.DUMMYFUNCTION("GOOGLETRANSLATE(L139,""zh-CN"", ""en"")"),"yes")</f>
        <v>yes</v>
      </c>
      <c r="N139" s="170"/>
      <c r="O139" s="170"/>
      <c r="P139" s="170" t="s">
        <v>1939</v>
      </c>
      <c r="Q139" s="173" t="s">
        <v>1940</v>
      </c>
      <c r="R139" s="173" t="s">
        <v>99</v>
      </c>
      <c r="S139" s="173" t="s">
        <v>1941</v>
      </c>
      <c r="T139" s="173" t="s">
        <v>1942</v>
      </c>
      <c r="U139" s="174"/>
      <c r="V139" s="174"/>
      <c r="W139" s="174"/>
      <c r="X139" s="174"/>
      <c r="Y139" s="174"/>
      <c r="Z139" s="174"/>
      <c r="AA139" s="174"/>
      <c r="AB139" s="174"/>
      <c r="AC139" s="174"/>
      <c r="AD139" s="174"/>
      <c r="AE139" s="174"/>
    </row>
    <row r="140" ht="15.75" customHeight="1">
      <c r="A140" s="170" t="s">
        <v>1943</v>
      </c>
      <c r="B140" s="154" t="str">
        <f>IFERROR(__xludf.DUMMYFUNCTION("GOOGLETRANSLATE(A140,""zh-CN"", ""en"")"),"Overfrequency derating recovery point")</f>
        <v>Overfrequency derating recovery point</v>
      </c>
      <c r="C140" s="170" t="s">
        <v>1944</v>
      </c>
      <c r="D140" s="170" t="s">
        <v>1945</v>
      </c>
      <c r="E140" s="170" t="s">
        <v>104</v>
      </c>
      <c r="F140" s="171">
        <v>2.0</v>
      </c>
      <c r="G140" s="181" t="s">
        <v>1330</v>
      </c>
      <c r="H140" s="182"/>
      <c r="I140" s="182" t="s">
        <v>272</v>
      </c>
      <c r="J140" s="170"/>
      <c r="K140" s="170"/>
      <c r="L140" s="170" t="s">
        <v>1946</v>
      </c>
      <c r="M140" s="136" t="str">
        <f>IFERROR(__xludf.DUMMYFUNCTION("GOOGLETRANSLATE(L140,""zh-CN"", ""en"")"),"yes")</f>
        <v>yes</v>
      </c>
      <c r="N140" s="170"/>
      <c r="O140" s="170"/>
      <c r="P140" s="170" t="s">
        <v>1947</v>
      </c>
      <c r="Q140" s="173" t="s">
        <v>1948</v>
      </c>
      <c r="R140" s="173" t="s">
        <v>99</v>
      </c>
      <c r="S140" s="173" t="s">
        <v>1949</v>
      </c>
      <c r="T140" s="173" t="s">
        <v>1950</v>
      </c>
      <c r="U140" s="174"/>
      <c r="V140" s="174"/>
      <c r="W140" s="174"/>
      <c r="X140" s="174"/>
      <c r="Y140" s="174"/>
      <c r="Z140" s="174"/>
      <c r="AA140" s="174"/>
      <c r="AB140" s="174"/>
      <c r="AC140" s="174"/>
      <c r="AD140" s="174"/>
      <c r="AE140" s="174"/>
    </row>
    <row r="141" ht="15.75" customHeight="1">
      <c r="A141" s="170" t="s">
        <v>1951</v>
      </c>
      <c r="B141" s="154" t="str">
        <f>IFERROR(__xludf.DUMMYFUNCTION("GOOGLETRANSLATE(A141,""zh-CN"", ""en"")"),"Active power derating rate during over-frequency derating")</f>
        <v>Active power derating rate during over-frequency derating</v>
      </c>
      <c r="C141" s="170" t="s">
        <v>1952</v>
      </c>
      <c r="D141" s="170" t="s">
        <v>1953</v>
      </c>
      <c r="E141" s="170" t="s">
        <v>104</v>
      </c>
      <c r="F141" s="171">
        <v>2.0</v>
      </c>
      <c r="G141" s="181" t="s">
        <v>1954</v>
      </c>
      <c r="H141" s="182"/>
      <c r="I141" s="182" t="s">
        <v>1955</v>
      </c>
      <c r="J141" s="170"/>
      <c r="K141" s="170"/>
      <c r="L141" s="170" t="s">
        <v>1956</v>
      </c>
      <c r="M141" s="136" t="str">
        <f>IFERROR(__xludf.DUMMYFUNCTION("GOOGLETRANSLATE(L141,""zh-CN"", ""en"")"),"yes")</f>
        <v>yes</v>
      </c>
      <c r="N141" s="170"/>
      <c r="O141" s="170"/>
      <c r="P141" s="170" t="s">
        <v>1957</v>
      </c>
      <c r="Q141" s="173" t="s">
        <v>1958</v>
      </c>
      <c r="R141" s="173" t="s">
        <v>99</v>
      </c>
      <c r="S141" s="173" t="s">
        <v>1959</v>
      </c>
      <c r="T141" s="173" t="s">
        <v>1960</v>
      </c>
      <c r="U141" s="174"/>
      <c r="V141" s="174"/>
      <c r="W141" s="174"/>
      <c r="X141" s="174"/>
      <c r="Y141" s="174"/>
      <c r="Z141" s="174"/>
      <c r="AA141" s="174"/>
      <c r="AB141" s="174"/>
      <c r="AC141" s="174"/>
      <c r="AD141" s="174"/>
      <c r="AE141" s="174"/>
    </row>
    <row r="142" ht="15.75" customHeight="1">
      <c r="A142" s="72" t="s">
        <v>1961</v>
      </c>
      <c r="B142" s="154" t="str">
        <f>IFERROR(__xludf.DUMMYFUNCTION("GOOGLETRANSLATE(A142,""zh-CN"", ""en"")"),"Waiting time for recovery after overfrequency derating")</f>
        <v>Waiting time for recovery after overfrequency derating</v>
      </c>
      <c r="C142" s="72" t="s">
        <v>1962</v>
      </c>
      <c r="D142" s="72" t="s">
        <v>1963</v>
      </c>
      <c r="E142" s="72" t="s">
        <v>104</v>
      </c>
      <c r="F142" s="77">
        <v>2.0</v>
      </c>
      <c r="G142" s="180"/>
      <c r="H142" s="180"/>
      <c r="I142" s="180"/>
      <c r="J142" s="72"/>
      <c r="K142" s="72"/>
      <c r="L142" s="72" t="s">
        <v>1964</v>
      </c>
      <c r="M142" s="136" t="str">
        <f>IFERROR(__xludf.DUMMYFUNCTION("GOOGLETRANSLATE(L142,""zh-CN"", ""en"")"),"yes")</f>
        <v>yes</v>
      </c>
      <c r="N142" s="72"/>
      <c r="O142" s="72"/>
      <c r="P142" s="72" t="s">
        <v>1965</v>
      </c>
      <c r="Q142" s="81" t="s">
        <v>1966</v>
      </c>
      <c r="R142" s="81" t="s">
        <v>99</v>
      </c>
      <c r="S142" s="81" t="s">
        <v>1967</v>
      </c>
      <c r="T142" s="81" t="s">
        <v>1968</v>
      </c>
      <c r="U142" s="82"/>
      <c r="V142" s="82"/>
      <c r="W142" s="82"/>
      <c r="X142" s="82"/>
      <c r="Y142" s="82"/>
      <c r="Z142" s="82"/>
      <c r="AA142" s="82"/>
      <c r="AB142" s="82"/>
      <c r="AC142" s="82"/>
      <c r="AD142" s="82"/>
      <c r="AE142" s="82"/>
    </row>
    <row r="143" ht="15.75" customHeight="1">
      <c r="A143" s="72" t="s">
        <v>1969</v>
      </c>
      <c r="B143" s="154" t="str">
        <f>IFERROR(__xludf.DUMMYFUNCTION("GOOGLETRANSLATE(A143,""zh-CN"", ""en"")"),"Active power recovery rate after over-frequency derating")</f>
        <v>Active power recovery rate after over-frequency derating</v>
      </c>
      <c r="C143" s="72" t="s">
        <v>1970</v>
      </c>
      <c r="D143" s="72" t="s">
        <v>1971</v>
      </c>
      <c r="E143" s="72" t="s">
        <v>104</v>
      </c>
      <c r="F143" s="77">
        <v>2.0</v>
      </c>
      <c r="G143" s="180"/>
      <c r="H143" s="180"/>
      <c r="I143" s="180"/>
      <c r="J143" s="72"/>
      <c r="K143" s="72"/>
      <c r="L143" s="72" t="s">
        <v>1972</v>
      </c>
      <c r="M143" s="136" t="str">
        <f>IFERROR(__xludf.DUMMYFUNCTION("GOOGLETRANSLATE(L143,""zh-CN"", ""en"")"),"yes")</f>
        <v>yes</v>
      </c>
      <c r="N143" s="72"/>
      <c r="O143" s="72"/>
      <c r="P143" s="72" t="s">
        <v>1973</v>
      </c>
      <c r="Q143" s="81" t="s">
        <v>1974</v>
      </c>
      <c r="R143" s="81" t="s">
        <v>99</v>
      </c>
      <c r="S143" s="81" t="s">
        <v>1975</v>
      </c>
      <c r="T143" s="81" t="s">
        <v>1976</v>
      </c>
      <c r="U143" s="82"/>
      <c r="V143" s="82"/>
      <c r="W143" s="82"/>
      <c r="X143" s="82"/>
      <c r="Y143" s="82"/>
      <c r="Z143" s="82"/>
      <c r="AA143" s="82"/>
      <c r="AB143" s="82"/>
      <c r="AC143" s="82"/>
      <c r="AD143" s="82"/>
      <c r="AE143" s="82"/>
    </row>
    <row r="144" ht="15.75" customHeight="1">
      <c r="A144" s="72" t="s">
        <v>1977</v>
      </c>
      <c r="B144" s="154" t="str">
        <f>IFERROR(__xludf.DUMMYFUNCTION("GOOGLETRANSLATE(A144,""zh-CN"", ""en"")"),"Overfrequency derating response time")</f>
        <v>Overfrequency derating response time</v>
      </c>
      <c r="C144" s="72" t="s">
        <v>1978</v>
      </c>
      <c r="D144" s="72" t="s">
        <v>1979</v>
      </c>
      <c r="E144" s="72" t="s">
        <v>104</v>
      </c>
      <c r="F144" s="77">
        <v>2.0</v>
      </c>
      <c r="G144" s="180"/>
      <c r="H144" s="180"/>
      <c r="I144" s="180"/>
      <c r="J144" s="72"/>
      <c r="K144" s="72"/>
      <c r="L144" s="72" t="s">
        <v>1980</v>
      </c>
      <c r="M144" s="136" t="str">
        <f>IFERROR(__xludf.DUMMYFUNCTION("GOOGLETRANSLATE(L144,""zh-CN"", ""en"")"),"yes")</f>
        <v>yes</v>
      </c>
      <c r="N144" s="72"/>
      <c r="O144" s="72"/>
      <c r="P144" s="72" t="s">
        <v>1981</v>
      </c>
      <c r="Q144" s="81" t="s">
        <v>1982</v>
      </c>
      <c r="R144" s="81" t="s">
        <v>99</v>
      </c>
      <c r="S144" s="81" t="s">
        <v>1983</v>
      </c>
      <c r="T144" s="81" t="s">
        <v>1984</v>
      </c>
      <c r="U144" s="82"/>
      <c r="V144" s="82"/>
      <c r="W144" s="82"/>
      <c r="X144" s="82"/>
      <c r="Y144" s="82"/>
      <c r="Z144" s="82"/>
      <c r="AA144" s="82"/>
      <c r="AB144" s="82"/>
      <c r="AC144" s="82"/>
      <c r="AD144" s="82"/>
      <c r="AE144" s="82"/>
    </row>
    <row r="145" ht="15.75" customHeight="1">
      <c r="A145" s="72" t="s">
        <v>1985</v>
      </c>
      <c r="B145" s="154" t="str">
        <f>IFERROR(__xludf.DUMMYFUNCTION("GOOGLETRANSLATE(A145,""zh-CN"", ""en"")"),"Underfrequency escalation curve")</f>
        <v>Underfrequency escalation curve</v>
      </c>
      <c r="C145" s="72" t="s">
        <v>1986</v>
      </c>
      <c r="D145" s="72" t="s">
        <v>631</v>
      </c>
      <c r="E145" s="72" t="s">
        <v>104</v>
      </c>
      <c r="F145" s="77">
        <v>2.0</v>
      </c>
      <c r="G145" s="180"/>
      <c r="H145" s="180"/>
      <c r="I145" s="180"/>
      <c r="J145" s="72"/>
      <c r="K145" s="72"/>
      <c r="L145" s="72" t="s">
        <v>1987</v>
      </c>
      <c r="M145" s="136" t="str">
        <f>IFERROR(__xludf.DUMMYFUNCTION("GOOGLETRANSLATE(L145,""zh-CN"", ""en"")"),"yes")</f>
        <v>yes</v>
      </c>
      <c r="N145" s="72"/>
      <c r="O145" s="72"/>
      <c r="P145" s="72" t="s">
        <v>1988</v>
      </c>
      <c r="Q145" s="81" t="s">
        <v>1989</v>
      </c>
      <c r="R145" s="81" t="s">
        <v>99</v>
      </c>
      <c r="S145" s="81" t="s">
        <v>1990</v>
      </c>
      <c r="T145" s="81" t="s">
        <v>1991</v>
      </c>
      <c r="U145" s="82"/>
      <c r="V145" s="82"/>
      <c r="W145" s="82"/>
      <c r="X145" s="82"/>
      <c r="Y145" s="82"/>
      <c r="Z145" s="82"/>
      <c r="AA145" s="82"/>
      <c r="AB145" s="82"/>
      <c r="AC145" s="82"/>
      <c r="AD145" s="82"/>
      <c r="AE145" s="82"/>
    </row>
    <row r="146" ht="15.75" customHeight="1">
      <c r="A146" s="170" t="s">
        <v>1992</v>
      </c>
      <c r="B146" s="154" t="str">
        <f>IFERROR(__xludf.DUMMYFUNCTION("GOOGLETRANSLATE(A146,""zh-CN"", ""en"")"),"Underfrequency increase F1")</f>
        <v>Underfrequency increase F1</v>
      </c>
      <c r="C146" s="170" t="s">
        <v>1993</v>
      </c>
      <c r="D146" s="170" t="s">
        <v>636</v>
      </c>
      <c r="E146" s="170" t="s">
        <v>104</v>
      </c>
      <c r="F146" s="171">
        <v>2.0</v>
      </c>
      <c r="G146" s="181" t="s">
        <v>1338</v>
      </c>
      <c r="H146" s="182"/>
      <c r="I146" s="182" t="s">
        <v>272</v>
      </c>
      <c r="J146" s="170"/>
      <c r="K146" s="170"/>
      <c r="L146" s="170" t="s">
        <v>1994</v>
      </c>
      <c r="M146" s="136" t="str">
        <f>IFERROR(__xludf.DUMMYFUNCTION("GOOGLETRANSLATE(L146,""zh-CN"", ""en"")"),"yes")</f>
        <v>yes</v>
      </c>
      <c r="N146" s="170"/>
      <c r="O146" s="170"/>
      <c r="P146" s="170" t="s">
        <v>1995</v>
      </c>
      <c r="Q146" s="173" t="s">
        <v>1996</v>
      </c>
      <c r="R146" s="173" t="s">
        <v>99</v>
      </c>
      <c r="S146" s="173" t="s">
        <v>1997</v>
      </c>
      <c r="T146" s="173" t="s">
        <v>1998</v>
      </c>
      <c r="U146" s="174"/>
      <c r="V146" s="174"/>
      <c r="W146" s="174"/>
      <c r="X146" s="174"/>
      <c r="Y146" s="174"/>
      <c r="Z146" s="174"/>
      <c r="AA146" s="174"/>
      <c r="AB146" s="174"/>
      <c r="AC146" s="174"/>
      <c r="AD146" s="174"/>
      <c r="AE146" s="174"/>
    </row>
    <row r="147" ht="15.75" customHeight="1">
      <c r="A147" s="170" t="s">
        <v>1999</v>
      </c>
      <c r="B147" s="154" t="str">
        <f>IFERROR(__xludf.DUMMYFUNCTION("GOOGLETRANSLATE(A147,""zh-CN"", ""en"")"),"Underfrequency increase F2")</f>
        <v>Underfrequency increase F2</v>
      </c>
      <c r="C147" s="170" t="s">
        <v>2000</v>
      </c>
      <c r="D147" s="170" t="s">
        <v>641</v>
      </c>
      <c r="E147" s="170" t="s">
        <v>104</v>
      </c>
      <c r="F147" s="171">
        <v>2.0</v>
      </c>
      <c r="G147" s="181" t="s">
        <v>1338</v>
      </c>
      <c r="H147" s="182"/>
      <c r="I147" s="182" t="s">
        <v>272</v>
      </c>
      <c r="J147" s="170"/>
      <c r="K147" s="170"/>
      <c r="L147" s="170" t="s">
        <v>2001</v>
      </c>
      <c r="M147" s="136" t="str">
        <f>IFERROR(__xludf.DUMMYFUNCTION("GOOGLETRANSLATE(L147,""zh-CN"", ""en"")"),"yes")</f>
        <v>yes</v>
      </c>
      <c r="N147" s="170"/>
      <c r="O147" s="170"/>
      <c r="P147" s="170" t="s">
        <v>2002</v>
      </c>
      <c r="Q147" s="173" t="s">
        <v>2003</v>
      </c>
      <c r="R147" s="173" t="s">
        <v>99</v>
      </c>
      <c r="S147" s="173" t="s">
        <v>2004</v>
      </c>
      <c r="T147" s="173" t="s">
        <v>2005</v>
      </c>
      <c r="U147" s="174"/>
      <c r="V147" s="174"/>
      <c r="W147" s="174"/>
      <c r="X147" s="174"/>
      <c r="Y147" s="174"/>
      <c r="Z147" s="174"/>
      <c r="AA147" s="174"/>
      <c r="AB147" s="174"/>
      <c r="AC147" s="174"/>
      <c r="AD147" s="174"/>
      <c r="AE147" s="174"/>
    </row>
    <row r="148" ht="15.75" customHeight="1">
      <c r="A148" s="170" t="s">
        <v>2006</v>
      </c>
      <c r="B148" s="154" t="str">
        <f>IFERROR(__xludf.DUMMYFUNCTION("GOOGLETRANSLATE(A148,""zh-CN"", ""en"")"),"Underfrequency increase F3")</f>
        <v>Underfrequency increase F3</v>
      </c>
      <c r="C148" s="170" t="s">
        <v>2007</v>
      </c>
      <c r="D148" s="170" t="s">
        <v>645</v>
      </c>
      <c r="E148" s="170" t="s">
        <v>104</v>
      </c>
      <c r="F148" s="171">
        <v>2.0</v>
      </c>
      <c r="G148" s="181" t="s">
        <v>1338</v>
      </c>
      <c r="H148" s="182"/>
      <c r="I148" s="182" t="s">
        <v>272</v>
      </c>
      <c r="J148" s="170"/>
      <c r="K148" s="170"/>
      <c r="L148" s="170" t="s">
        <v>2008</v>
      </c>
      <c r="M148" s="136" t="str">
        <f>IFERROR(__xludf.DUMMYFUNCTION("GOOGLETRANSLATE(L148,""zh-CN"", ""en"")"),"yes")</f>
        <v>yes</v>
      </c>
      <c r="N148" s="170"/>
      <c r="O148" s="170"/>
      <c r="P148" s="170" t="s">
        <v>2009</v>
      </c>
      <c r="Q148" s="173" t="s">
        <v>2010</v>
      </c>
      <c r="R148" s="173" t="s">
        <v>99</v>
      </c>
      <c r="S148" s="173" t="s">
        <v>2011</v>
      </c>
      <c r="T148" s="173" t="s">
        <v>2012</v>
      </c>
      <c r="U148" s="174"/>
      <c r="V148" s="174"/>
      <c r="W148" s="174"/>
      <c r="X148" s="174"/>
      <c r="Y148" s="174"/>
      <c r="Z148" s="174"/>
      <c r="AA148" s="174"/>
      <c r="AB148" s="174"/>
      <c r="AC148" s="174"/>
      <c r="AD148" s="174"/>
      <c r="AE148" s="174"/>
    </row>
    <row r="149" ht="15.75" customHeight="1">
      <c r="A149" s="170" t="s">
        <v>2013</v>
      </c>
      <c r="B149" s="154" t="str">
        <f>IFERROR(__xludf.DUMMYFUNCTION("GOOGLETRANSLATE(A149,""zh-CN"", ""en"")"),"Underfrequency increase F4")</f>
        <v>Underfrequency increase F4</v>
      </c>
      <c r="C149" s="170" t="s">
        <v>2014</v>
      </c>
      <c r="D149" s="170" t="s">
        <v>648</v>
      </c>
      <c r="E149" s="170" t="s">
        <v>104</v>
      </c>
      <c r="F149" s="171">
        <v>2.0</v>
      </c>
      <c r="G149" s="181" t="s">
        <v>1338</v>
      </c>
      <c r="H149" s="182"/>
      <c r="I149" s="182" t="s">
        <v>272</v>
      </c>
      <c r="J149" s="170"/>
      <c r="K149" s="170"/>
      <c r="L149" s="170" t="s">
        <v>2015</v>
      </c>
      <c r="M149" s="136" t="str">
        <f>IFERROR(__xludf.DUMMYFUNCTION("GOOGLETRANSLATE(L149,""zh-CN"", ""en"")"),"yes")</f>
        <v>yes</v>
      </c>
      <c r="N149" s="170"/>
      <c r="O149" s="170"/>
      <c r="P149" s="170" t="s">
        <v>2016</v>
      </c>
      <c r="Q149" s="173" t="s">
        <v>2017</v>
      </c>
      <c r="R149" s="173" t="s">
        <v>99</v>
      </c>
      <c r="S149" s="173" t="s">
        <v>2018</v>
      </c>
      <c r="T149" s="173" t="s">
        <v>2019</v>
      </c>
      <c r="U149" s="174"/>
      <c r="V149" s="174"/>
      <c r="W149" s="174"/>
      <c r="X149" s="174"/>
      <c r="Y149" s="174"/>
      <c r="Z149" s="174"/>
      <c r="AA149" s="174"/>
      <c r="AB149" s="174"/>
      <c r="AC149" s="174"/>
      <c r="AD149" s="174"/>
      <c r="AE149" s="174"/>
    </row>
    <row r="150" ht="15.75" customHeight="1">
      <c r="A150" s="170" t="s">
        <v>2020</v>
      </c>
      <c r="B150" s="154" t="str">
        <f>IFERROR(__xludf.DUMMYFUNCTION("GOOGLETRANSLATE(A150,""zh-CN"", ""en"")"),"Underfrequency increase P1")</f>
        <v>Underfrequency increase P1</v>
      </c>
      <c r="C150" s="170" t="s">
        <v>2021</v>
      </c>
      <c r="D150" s="170" t="s">
        <v>651</v>
      </c>
      <c r="E150" s="170" t="s">
        <v>235</v>
      </c>
      <c r="F150" s="171">
        <v>2.0</v>
      </c>
      <c r="G150" s="181" t="s">
        <v>1915</v>
      </c>
      <c r="H150" s="183"/>
      <c r="I150" s="183">
        <v>0.001</v>
      </c>
      <c r="J150" s="170"/>
      <c r="K150" s="170"/>
      <c r="L150" s="170" t="s">
        <v>2022</v>
      </c>
      <c r="M150" s="136" t="str">
        <f>IFERROR(__xludf.DUMMYFUNCTION("GOOGLETRANSLATE(L150,""zh-CN"", ""en"")"),"yes")</f>
        <v>yes</v>
      </c>
      <c r="N150" s="170"/>
      <c r="O150" s="170"/>
      <c r="P150" s="170" t="s">
        <v>2023</v>
      </c>
      <c r="Q150" s="173" t="s">
        <v>2024</v>
      </c>
      <c r="R150" s="173" t="s">
        <v>99</v>
      </c>
      <c r="S150" s="173" t="s">
        <v>2025</v>
      </c>
      <c r="T150" s="173" t="s">
        <v>2026</v>
      </c>
      <c r="U150" s="174"/>
      <c r="V150" s="174"/>
      <c r="W150" s="174"/>
      <c r="X150" s="174"/>
      <c r="Y150" s="174"/>
      <c r="Z150" s="174"/>
      <c r="AA150" s="174"/>
      <c r="AB150" s="174"/>
      <c r="AC150" s="174"/>
      <c r="AD150" s="174"/>
      <c r="AE150" s="174"/>
    </row>
    <row r="151" ht="15.75" customHeight="1">
      <c r="A151" s="170" t="s">
        <v>2027</v>
      </c>
      <c r="B151" s="154" t="str">
        <f>IFERROR(__xludf.DUMMYFUNCTION("GOOGLETRANSLATE(A151,""zh-CN"", ""en"")"),"Underfrequency increase P2")</f>
        <v>Underfrequency increase P2</v>
      </c>
      <c r="C151" s="170" t="s">
        <v>2028</v>
      </c>
      <c r="D151" s="170" t="s">
        <v>655</v>
      </c>
      <c r="E151" s="170" t="s">
        <v>235</v>
      </c>
      <c r="F151" s="171">
        <v>2.0</v>
      </c>
      <c r="G151" s="181" t="s">
        <v>1915</v>
      </c>
      <c r="H151" s="183"/>
      <c r="I151" s="183">
        <v>0.001</v>
      </c>
      <c r="J151" s="170"/>
      <c r="K151" s="170"/>
      <c r="L151" s="170" t="s">
        <v>2029</v>
      </c>
      <c r="M151" s="136" t="str">
        <f>IFERROR(__xludf.DUMMYFUNCTION("GOOGLETRANSLATE(L151,""zh-CN"", ""en"")"),"yes")</f>
        <v>yes</v>
      </c>
      <c r="N151" s="170"/>
      <c r="O151" s="170"/>
      <c r="P151" s="170" t="s">
        <v>2030</v>
      </c>
      <c r="Q151" s="173" t="s">
        <v>2031</v>
      </c>
      <c r="R151" s="173" t="s">
        <v>99</v>
      </c>
      <c r="S151" s="173" t="s">
        <v>2032</v>
      </c>
      <c r="T151" s="173" t="s">
        <v>2033</v>
      </c>
      <c r="U151" s="174"/>
      <c r="V151" s="174"/>
      <c r="W151" s="174"/>
      <c r="X151" s="174"/>
      <c r="Y151" s="174"/>
      <c r="Z151" s="174"/>
      <c r="AA151" s="174"/>
      <c r="AB151" s="174"/>
      <c r="AC151" s="174"/>
      <c r="AD151" s="174"/>
      <c r="AE151" s="174"/>
    </row>
    <row r="152" ht="15.75" customHeight="1">
      <c r="A152" s="170" t="s">
        <v>2034</v>
      </c>
      <c r="B152" s="154" t="str">
        <f>IFERROR(__xludf.DUMMYFUNCTION("GOOGLETRANSLATE(A152,""zh-CN"", ""en"")"),"Underfrequency increase to P3")</f>
        <v>Underfrequency increase to P3</v>
      </c>
      <c r="C152" s="170" t="s">
        <v>2035</v>
      </c>
      <c r="D152" s="170" t="s">
        <v>658</v>
      </c>
      <c r="E152" s="170" t="s">
        <v>235</v>
      </c>
      <c r="F152" s="171">
        <v>2.0</v>
      </c>
      <c r="G152" s="181" t="s">
        <v>1915</v>
      </c>
      <c r="H152" s="183"/>
      <c r="I152" s="183">
        <v>0.001</v>
      </c>
      <c r="J152" s="170"/>
      <c r="K152" s="170"/>
      <c r="L152" s="170" t="s">
        <v>2036</v>
      </c>
      <c r="M152" s="136" t="str">
        <f>IFERROR(__xludf.DUMMYFUNCTION("GOOGLETRANSLATE(L152,""zh-CN"", ""en"")"),"yes")</f>
        <v>yes</v>
      </c>
      <c r="N152" s="170"/>
      <c r="O152" s="170"/>
      <c r="P152" s="170" t="s">
        <v>2037</v>
      </c>
      <c r="Q152" s="173" t="s">
        <v>2038</v>
      </c>
      <c r="R152" s="173" t="s">
        <v>99</v>
      </c>
      <c r="S152" s="173" t="s">
        <v>2039</v>
      </c>
      <c r="T152" s="173" t="s">
        <v>2040</v>
      </c>
      <c r="U152" s="174"/>
      <c r="V152" s="174"/>
      <c r="W152" s="174"/>
      <c r="X152" s="174"/>
      <c r="Y152" s="174"/>
      <c r="Z152" s="174"/>
      <c r="AA152" s="174"/>
      <c r="AB152" s="174"/>
      <c r="AC152" s="174"/>
      <c r="AD152" s="174"/>
      <c r="AE152" s="174"/>
    </row>
    <row r="153" ht="15.75" customHeight="1">
      <c r="A153" s="170" t="s">
        <v>2041</v>
      </c>
      <c r="B153" s="154" t="str">
        <f>IFERROR(__xludf.DUMMYFUNCTION("GOOGLETRANSLATE(A153,""zh-CN"", ""en"")"),"Underfrequency increase to P4")</f>
        <v>Underfrequency increase to P4</v>
      </c>
      <c r="C153" s="170" t="s">
        <v>2042</v>
      </c>
      <c r="D153" s="170" t="s">
        <v>661</v>
      </c>
      <c r="E153" s="170" t="s">
        <v>235</v>
      </c>
      <c r="F153" s="171">
        <v>2.0</v>
      </c>
      <c r="G153" s="181" t="s">
        <v>1915</v>
      </c>
      <c r="H153" s="183"/>
      <c r="I153" s="183">
        <v>0.001</v>
      </c>
      <c r="J153" s="170"/>
      <c r="K153" s="170"/>
      <c r="L153" s="170" t="s">
        <v>2043</v>
      </c>
      <c r="M153" s="136" t="str">
        <f>IFERROR(__xludf.DUMMYFUNCTION("GOOGLETRANSLATE(L153,""zh-CN"", ""en"")"),"yes")</f>
        <v>yes</v>
      </c>
      <c r="N153" s="170"/>
      <c r="O153" s="170"/>
      <c r="P153" s="170" t="s">
        <v>2044</v>
      </c>
      <c r="Q153" s="173" t="s">
        <v>2045</v>
      </c>
      <c r="R153" s="173" t="s">
        <v>99</v>
      </c>
      <c r="S153" s="173" t="s">
        <v>2046</v>
      </c>
      <c r="T153" s="173" t="s">
        <v>2047</v>
      </c>
      <c r="U153" s="174"/>
      <c r="V153" s="174"/>
      <c r="W153" s="174"/>
      <c r="X153" s="174"/>
      <c r="Y153" s="174"/>
      <c r="Z153" s="174"/>
      <c r="AA153" s="174"/>
      <c r="AB153" s="174"/>
      <c r="AC153" s="174"/>
      <c r="AD153" s="174"/>
      <c r="AE153" s="174"/>
    </row>
    <row r="154" ht="15.75" customHeight="1">
      <c r="A154" s="170" t="s">
        <v>2048</v>
      </c>
      <c r="B154" s="154" t="str">
        <f>IFERROR(__xludf.DUMMYFUNCTION("GOOGLETRANSLATE(A154,""zh-CN"", ""en"")"),"Underfrequency increase recovery point")</f>
        <v>Underfrequency increase recovery point</v>
      </c>
      <c r="C154" s="170" t="s">
        <v>2049</v>
      </c>
      <c r="D154" s="170" t="s">
        <v>665</v>
      </c>
      <c r="E154" s="170" t="s">
        <v>104</v>
      </c>
      <c r="F154" s="171">
        <v>2.0</v>
      </c>
      <c r="G154" s="181" t="s">
        <v>1338</v>
      </c>
      <c r="H154" s="182"/>
      <c r="I154" s="182" t="s">
        <v>272</v>
      </c>
      <c r="J154" s="170"/>
      <c r="K154" s="170"/>
      <c r="L154" s="170" t="s">
        <v>2050</v>
      </c>
      <c r="M154" s="136" t="str">
        <f>IFERROR(__xludf.DUMMYFUNCTION("GOOGLETRANSLATE(L154,""zh-CN"", ""en"")"),"yes")</f>
        <v>yes</v>
      </c>
      <c r="N154" s="170"/>
      <c r="O154" s="170"/>
      <c r="P154" s="170" t="s">
        <v>2051</v>
      </c>
      <c r="Q154" s="173" t="s">
        <v>2052</v>
      </c>
      <c r="R154" s="173" t="s">
        <v>99</v>
      </c>
      <c r="S154" s="173" t="s">
        <v>2053</v>
      </c>
      <c r="T154" s="173" t="s">
        <v>2054</v>
      </c>
      <c r="U154" s="174"/>
      <c r="V154" s="174"/>
      <c r="W154" s="174"/>
      <c r="X154" s="174"/>
      <c r="Y154" s="174"/>
      <c r="Z154" s="174"/>
      <c r="AA154" s="174"/>
      <c r="AB154" s="174"/>
      <c r="AC154" s="174"/>
      <c r="AD154" s="174"/>
      <c r="AE154" s="174"/>
    </row>
    <row r="155" ht="15.75" customHeight="1">
      <c r="A155" s="170" t="s">
        <v>2055</v>
      </c>
      <c r="B155" s="154" t="str">
        <f>IFERROR(__xludf.DUMMYFUNCTION("GOOGLETRANSLATE(A155,""zh-CN"", ""en"")"),"Active power increase rate during under frequency increase")</f>
        <v>Active power increase rate during under frequency increase</v>
      </c>
      <c r="C155" s="170" t="s">
        <v>2056</v>
      </c>
      <c r="D155" s="170" t="s">
        <v>668</v>
      </c>
      <c r="E155" s="170" t="s">
        <v>104</v>
      </c>
      <c r="F155" s="171">
        <v>2.0</v>
      </c>
      <c r="G155" s="181" t="s">
        <v>1954</v>
      </c>
      <c r="H155" s="182"/>
      <c r="I155" s="182" t="s">
        <v>2057</v>
      </c>
      <c r="J155" s="170"/>
      <c r="K155" s="170"/>
      <c r="L155" s="170" t="s">
        <v>2058</v>
      </c>
      <c r="M155" s="136" t="str">
        <f>IFERROR(__xludf.DUMMYFUNCTION("GOOGLETRANSLATE(L155,""zh-CN"", ""en"")"),"yes")</f>
        <v>yes</v>
      </c>
      <c r="N155" s="170"/>
      <c r="O155" s="170"/>
      <c r="P155" s="170" t="s">
        <v>2059</v>
      </c>
      <c r="Q155" s="173" t="s">
        <v>2060</v>
      </c>
      <c r="R155" s="173" t="s">
        <v>99</v>
      </c>
      <c r="S155" s="173" t="s">
        <v>2061</v>
      </c>
      <c r="T155" s="173" t="s">
        <v>2062</v>
      </c>
      <c r="U155" s="174"/>
      <c r="V155" s="174"/>
      <c r="W155" s="174"/>
      <c r="X155" s="174"/>
      <c r="Y155" s="174"/>
      <c r="Z155" s="174"/>
      <c r="AA155" s="174"/>
      <c r="AB155" s="174"/>
      <c r="AC155" s="174"/>
      <c r="AD155" s="174"/>
      <c r="AE155" s="174"/>
    </row>
    <row r="156" ht="15.75" customHeight="1">
      <c r="A156" s="72" t="s">
        <v>2063</v>
      </c>
      <c r="B156" s="154" t="str">
        <f>IFERROR(__xludf.DUMMYFUNCTION("GOOGLETRANSLATE(A156,""zh-CN"", ""en"")"),"Wait for recovery time after under-frequency increase")</f>
        <v>Wait for recovery time after under-frequency increase</v>
      </c>
      <c r="C156" s="72" t="s">
        <v>2064</v>
      </c>
      <c r="D156" s="72" t="s">
        <v>2065</v>
      </c>
      <c r="E156" s="72" t="s">
        <v>104</v>
      </c>
      <c r="F156" s="77">
        <v>2.0</v>
      </c>
      <c r="G156" s="180"/>
      <c r="H156" s="180"/>
      <c r="I156" s="180"/>
      <c r="J156" s="72"/>
      <c r="K156" s="72"/>
      <c r="L156" s="72" t="s">
        <v>2066</v>
      </c>
      <c r="M156" s="136" t="str">
        <f>IFERROR(__xludf.DUMMYFUNCTION("GOOGLETRANSLATE(L156,""zh-CN"", ""en"")"),"yes")</f>
        <v>yes</v>
      </c>
      <c r="N156" s="72"/>
      <c r="O156" s="72"/>
      <c r="P156" s="72" t="s">
        <v>2067</v>
      </c>
      <c r="Q156" s="81" t="s">
        <v>2068</v>
      </c>
      <c r="R156" s="81" t="s">
        <v>99</v>
      </c>
      <c r="S156" s="81" t="s">
        <v>2069</v>
      </c>
      <c r="T156" s="81" t="s">
        <v>2070</v>
      </c>
      <c r="U156" s="82"/>
      <c r="V156" s="82"/>
      <c r="W156" s="82"/>
      <c r="X156" s="82"/>
      <c r="Y156" s="82"/>
      <c r="Z156" s="82"/>
      <c r="AA156" s="82"/>
      <c r="AB156" s="82"/>
      <c r="AC156" s="82"/>
      <c r="AD156" s="82"/>
      <c r="AE156" s="82"/>
    </row>
    <row r="157" ht="15.75" customHeight="1">
      <c r="A157" s="72" t="s">
        <v>2071</v>
      </c>
      <c r="B157" s="154" t="str">
        <f>IFERROR(__xludf.DUMMYFUNCTION("GOOGLETRANSLATE(A157,""zh-CN"", ""en"")"),"Active power recovery rate after underfrequency increase")</f>
        <v>Active power recovery rate after underfrequency increase</v>
      </c>
      <c r="C157" s="72" t="s">
        <v>2072</v>
      </c>
      <c r="D157" s="72" t="s">
        <v>2073</v>
      </c>
      <c r="E157" s="72" t="s">
        <v>104</v>
      </c>
      <c r="F157" s="77">
        <v>2.0</v>
      </c>
      <c r="G157" s="180"/>
      <c r="H157" s="180"/>
      <c r="I157" s="180"/>
      <c r="J157" s="72"/>
      <c r="K157" s="72"/>
      <c r="L157" s="72" t="s">
        <v>2074</v>
      </c>
      <c r="M157" s="136" t="str">
        <f>IFERROR(__xludf.DUMMYFUNCTION("GOOGLETRANSLATE(L157,""zh-CN"", ""en"")"),"yes")</f>
        <v>yes</v>
      </c>
      <c r="N157" s="72"/>
      <c r="O157" s="72"/>
      <c r="P157" s="72" t="s">
        <v>2075</v>
      </c>
      <c r="Q157" s="81" t="s">
        <v>2076</v>
      </c>
      <c r="R157" s="81" t="s">
        <v>99</v>
      </c>
      <c r="S157" s="81" t="s">
        <v>2077</v>
      </c>
      <c r="T157" s="81" t="s">
        <v>2078</v>
      </c>
      <c r="U157" s="82"/>
      <c r="V157" s="82"/>
      <c r="W157" s="82"/>
      <c r="X157" s="82"/>
      <c r="Y157" s="82"/>
      <c r="Z157" s="82"/>
      <c r="AA157" s="82"/>
      <c r="AB157" s="82"/>
      <c r="AC157" s="82"/>
      <c r="AD157" s="82"/>
      <c r="AE157" s="82"/>
    </row>
    <row r="158" ht="15.75" customHeight="1">
      <c r="A158" s="72" t="s">
        <v>2079</v>
      </c>
      <c r="B158" s="154" t="str">
        <f>IFERROR(__xludf.DUMMYFUNCTION("GOOGLETRANSLATE(A158,""zh-CN"", ""en"")"),"Under frequency increase response time")</f>
        <v>Under frequency increase response time</v>
      </c>
      <c r="C158" s="72" t="s">
        <v>2080</v>
      </c>
      <c r="D158" s="72" t="s">
        <v>2081</v>
      </c>
      <c r="E158" s="72" t="s">
        <v>104</v>
      </c>
      <c r="F158" s="77">
        <v>2.0</v>
      </c>
      <c r="G158" s="180"/>
      <c r="H158" s="180"/>
      <c r="I158" s="180"/>
      <c r="J158" s="72"/>
      <c r="K158" s="72"/>
      <c r="L158" s="72" t="s">
        <v>2082</v>
      </c>
      <c r="M158" s="136" t="str">
        <f>IFERROR(__xludf.DUMMYFUNCTION("GOOGLETRANSLATE(L158,""zh-CN"", ""en"")"),"yes")</f>
        <v>yes</v>
      </c>
      <c r="N158" s="72"/>
      <c r="O158" s="72"/>
      <c r="P158" s="72" t="s">
        <v>2083</v>
      </c>
      <c r="Q158" s="81" t="s">
        <v>2084</v>
      </c>
      <c r="R158" s="81" t="s">
        <v>99</v>
      </c>
      <c r="S158" s="81" t="s">
        <v>2085</v>
      </c>
      <c r="T158" s="81" t="s">
        <v>2086</v>
      </c>
      <c r="U158" s="82"/>
      <c r="V158" s="82"/>
      <c r="W158" s="82"/>
      <c r="X158" s="82"/>
      <c r="Y158" s="82"/>
      <c r="Z158" s="82"/>
      <c r="AA158" s="82"/>
      <c r="AB158" s="82"/>
      <c r="AC158" s="82"/>
      <c r="AD158" s="82"/>
      <c r="AE158" s="82"/>
    </row>
    <row r="159" ht="15.75" customHeight="1">
      <c r="A159" s="170" t="s">
        <v>2087</v>
      </c>
      <c r="B159" s="154" t="str">
        <f>IFERROR(__xludf.DUMMYFUNCTION("GOOGLETRANSLATE(A159,""zh-CN"", ""en"")"),"Grid overvoltage power regulation voltage 1")</f>
        <v>Grid overvoltage power regulation voltage 1</v>
      </c>
      <c r="C159" s="170" t="s">
        <v>2088</v>
      </c>
      <c r="D159" s="170" t="s">
        <v>2089</v>
      </c>
      <c r="E159" s="170" t="s">
        <v>104</v>
      </c>
      <c r="F159" s="171">
        <v>2.0</v>
      </c>
      <c r="G159" s="181" t="s">
        <v>1393</v>
      </c>
      <c r="H159" s="182"/>
      <c r="I159" s="182" t="s">
        <v>215</v>
      </c>
      <c r="J159" s="170"/>
      <c r="K159" s="170"/>
      <c r="L159" s="170" t="s">
        <v>2090</v>
      </c>
      <c r="M159" s="136" t="str">
        <f>IFERROR(__xludf.DUMMYFUNCTION("GOOGLETRANSLATE(L159,""zh-CN"", ""en"")"),"yes")</f>
        <v>yes</v>
      </c>
      <c r="N159" s="170"/>
      <c r="O159" s="170"/>
      <c r="P159" s="170" t="s">
        <v>2091</v>
      </c>
      <c r="Q159" s="173" t="s">
        <v>2092</v>
      </c>
      <c r="R159" s="173" t="s">
        <v>99</v>
      </c>
      <c r="S159" s="173" t="s">
        <v>2093</v>
      </c>
      <c r="T159" s="173" t="s">
        <v>2094</v>
      </c>
      <c r="U159" s="174"/>
      <c r="V159" s="174"/>
      <c r="W159" s="174"/>
      <c r="X159" s="174"/>
      <c r="Y159" s="174"/>
      <c r="Z159" s="174"/>
      <c r="AA159" s="174"/>
      <c r="AB159" s="174"/>
      <c r="AC159" s="174"/>
      <c r="AD159" s="174"/>
      <c r="AE159" s="174"/>
    </row>
    <row r="160" ht="15.75" customHeight="1">
      <c r="A160" s="170" t="s">
        <v>2095</v>
      </c>
      <c r="B160" s="154" t="str">
        <f>IFERROR(__xludf.DUMMYFUNCTION("GOOGLETRANSLATE(A160,""zh-CN"", ""en"")"),"Grid overvoltage power regulation voltage 2")</f>
        <v>Grid overvoltage power regulation voltage 2</v>
      </c>
      <c r="C160" s="170" t="s">
        <v>2096</v>
      </c>
      <c r="D160" s="170" t="s">
        <v>2097</v>
      </c>
      <c r="E160" s="170" t="s">
        <v>104</v>
      </c>
      <c r="F160" s="171">
        <v>2.0</v>
      </c>
      <c r="G160" s="181" t="s">
        <v>1393</v>
      </c>
      <c r="H160" s="182"/>
      <c r="I160" s="182" t="s">
        <v>215</v>
      </c>
      <c r="J160" s="170"/>
      <c r="K160" s="170"/>
      <c r="L160" s="170" t="s">
        <v>2098</v>
      </c>
      <c r="M160" s="136" t="str">
        <f>IFERROR(__xludf.DUMMYFUNCTION("GOOGLETRANSLATE(L160,""zh-CN"", ""en"")"),"yes")</f>
        <v>yes</v>
      </c>
      <c r="N160" s="170"/>
      <c r="O160" s="170"/>
      <c r="P160" s="170" t="s">
        <v>2099</v>
      </c>
      <c r="Q160" s="173" t="s">
        <v>2100</v>
      </c>
      <c r="R160" s="173" t="s">
        <v>99</v>
      </c>
      <c r="S160" s="173" t="s">
        <v>2101</v>
      </c>
      <c r="T160" s="173" t="s">
        <v>2102</v>
      </c>
      <c r="U160" s="174"/>
      <c r="V160" s="174"/>
      <c r="W160" s="174"/>
      <c r="X160" s="174"/>
      <c r="Y160" s="174"/>
      <c r="Z160" s="174"/>
      <c r="AA160" s="174"/>
      <c r="AB160" s="174"/>
      <c r="AC160" s="174"/>
      <c r="AD160" s="174"/>
      <c r="AE160" s="174"/>
    </row>
    <row r="161" ht="15.75" customHeight="1">
      <c r="A161" s="170" t="s">
        <v>2103</v>
      </c>
      <c r="B161" s="154" t="str">
        <f>IFERROR(__xludf.DUMMYFUNCTION("GOOGLETRANSLATE(A161,""zh-CN"", ""en"")"),"Grid overvoltage power regulation voltage 3")</f>
        <v>Grid overvoltage power regulation voltage 3</v>
      </c>
      <c r="C161" s="170" t="s">
        <v>2104</v>
      </c>
      <c r="D161" s="170" t="s">
        <v>2105</v>
      </c>
      <c r="E161" s="170" t="s">
        <v>104</v>
      </c>
      <c r="F161" s="171">
        <v>2.0</v>
      </c>
      <c r="G161" s="181" t="s">
        <v>1393</v>
      </c>
      <c r="H161" s="182"/>
      <c r="I161" s="182" t="s">
        <v>215</v>
      </c>
      <c r="J161" s="170"/>
      <c r="K161" s="170"/>
      <c r="L161" s="170" t="s">
        <v>2106</v>
      </c>
      <c r="M161" s="136" t="str">
        <f>IFERROR(__xludf.DUMMYFUNCTION("GOOGLETRANSLATE(L161,""zh-CN"", ""en"")"),"yes")</f>
        <v>yes</v>
      </c>
      <c r="N161" s="170"/>
      <c r="O161" s="170"/>
      <c r="P161" s="170" t="s">
        <v>2107</v>
      </c>
      <c r="Q161" s="173" t="s">
        <v>2108</v>
      </c>
      <c r="R161" s="173" t="s">
        <v>99</v>
      </c>
      <c r="S161" s="173" t="s">
        <v>2109</v>
      </c>
      <c r="T161" s="173" t="s">
        <v>2110</v>
      </c>
      <c r="U161" s="174"/>
      <c r="V161" s="174"/>
      <c r="W161" s="174"/>
      <c r="X161" s="174"/>
      <c r="Y161" s="174"/>
      <c r="Z161" s="174"/>
      <c r="AA161" s="174"/>
      <c r="AB161" s="174"/>
      <c r="AC161" s="174"/>
      <c r="AD161" s="174"/>
      <c r="AE161" s="174"/>
    </row>
    <row r="162" ht="15.75" customHeight="1">
      <c r="A162" s="170" t="s">
        <v>2111</v>
      </c>
      <c r="B162" s="154" t="str">
        <f>IFERROR(__xludf.DUMMYFUNCTION("GOOGLETRANSLATE(A162,""zh-CN"", ""en"")"),"Grid overvoltage power regulation voltage 4")</f>
        <v>Grid overvoltage power regulation voltage 4</v>
      </c>
      <c r="C162" s="170" t="s">
        <v>2112</v>
      </c>
      <c r="D162" s="170" t="s">
        <v>2113</v>
      </c>
      <c r="E162" s="170" t="s">
        <v>104</v>
      </c>
      <c r="F162" s="171">
        <v>2.0</v>
      </c>
      <c r="G162" s="181" t="s">
        <v>1393</v>
      </c>
      <c r="H162" s="182"/>
      <c r="I162" s="182" t="s">
        <v>215</v>
      </c>
      <c r="J162" s="170"/>
      <c r="K162" s="170"/>
      <c r="L162" s="170" t="s">
        <v>2114</v>
      </c>
      <c r="M162" s="136" t="str">
        <f>IFERROR(__xludf.DUMMYFUNCTION("GOOGLETRANSLATE(L162,""zh-CN"", ""en"")"),"yes")</f>
        <v>yes</v>
      </c>
      <c r="N162" s="170"/>
      <c r="O162" s="170"/>
      <c r="P162" s="170" t="s">
        <v>2115</v>
      </c>
      <c r="Q162" s="173" t="s">
        <v>2116</v>
      </c>
      <c r="R162" s="173" t="s">
        <v>99</v>
      </c>
      <c r="S162" s="173" t="s">
        <v>2117</v>
      </c>
      <c r="T162" s="173" t="s">
        <v>2118</v>
      </c>
      <c r="U162" s="174"/>
      <c r="V162" s="174"/>
      <c r="W162" s="174"/>
      <c r="X162" s="174"/>
      <c r="Y162" s="174"/>
      <c r="Z162" s="174"/>
      <c r="AA162" s="174"/>
      <c r="AB162" s="174"/>
      <c r="AC162" s="174"/>
      <c r="AD162" s="174"/>
      <c r="AE162" s="174"/>
    </row>
    <row r="163" ht="15.75" customHeight="1">
      <c r="A163" s="170" t="s">
        <v>2119</v>
      </c>
      <c r="B163" s="154" t="str">
        <f>IFERROR(__xludf.DUMMYFUNCTION("GOOGLETRANSLATE(A163,""zh-CN"", ""en"")"),"Grid overvoltage power regulation power 1")</f>
        <v>Grid overvoltage power regulation power 1</v>
      </c>
      <c r="C163" s="170" t="s">
        <v>2120</v>
      </c>
      <c r="D163" s="170" t="s">
        <v>2121</v>
      </c>
      <c r="E163" s="170" t="s">
        <v>235</v>
      </c>
      <c r="F163" s="171">
        <v>2.0</v>
      </c>
      <c r="G163" s="181" t="s">
        <v>1915</v>
      </c>
      <c r="H163" s="183"/>
      <c r="I163" s="183">
        <v>0.001</v>
      </c>
      <c r="J163" s="170"/>
      <c r="K163" s="170"/>
      <c r="L163" s="170" t="s">
        <v>2122</v>
      </c>
      <c r="M163" s="136" t="str">
        <f>IFERROR(__xludf.DUMMYFUNCTION("GOOGLETRANSLATE(L163,""zh-CN"", ""en"")"),"yes")</f>
        <v>yes</v>
      </c>
      <c r="N163" s="170"/>
      <c r="O163" s="170"/>
      <c r="P163" s="170" t="s">
        <v>2123</v>
      </c>
      <c r="Q163" s="173" t="s">
        <v>2124</v>
      </c>
      <c r="R163" s="173" t="s">
        <v>99</v>
      </c>
      <c r="S163" s="173" t="s">
        <v>2125</v>
      </c>
      <c r="T163" s="173" t="s">
        <v>2126</v>
      </c>
      <c r="U163" s="174"/>
      <c r="V163" s="174"/>
      <c r="W163" s="174"/>
      <c r="X163" s="174"/>
      <c r="Y163" s="174"/>
      <c r="Z163" s="174"/>
      <c r="AA163" s="174"/>
      <c r="AB163" s="174"/>
      <c r="AC163" s="174"/>
      <c r="AD163" s="174"/>
      <c r="AE163" s="174"/>
    </row>
    <row r="164" ht="15.75" customHeight="1">
      <c r="A164" s="170" t="s">
        <v>2127</v>
      </c>
      <c r="B164" s="154" t="str">
        <f>IFERROR(__xludf.DUMMYFUNCTION("GOOGLETRANSLATE(A164,""zh-CN"", ""en"")"),"Grid overvoltage power regulation power 2")</f>
        <v>Grid overvoltage power regulation power 2</v>
      </c>
      <c r="C164" s="170" t="s">
        <v>2128</v>
      </c>
      <c r="D164" s="170" t="s">
        <v>2129</v>
      </c>
      <c r="E164" s="170" t="s">
        <v>235</v>
      </c>
      <c r="F164" s="171">
        <v>2.0</v>
      </c>
      <c r="G164" s="181" t="s">
        <v>1915</v>
      </c>
      <c r="H164" s="183"/>
      <c r="I164" s="183">
        <v>0.001</v>
      </c>
      <c r="J164" s="170"/>
      <c r="K164" s="170"/>
      <c r="L164" s="170" t="s">
        <v>2130</v>
      </c>
      <c r="M164" s="136" t="str">
        <f>IFERROR(__xludf.DUMMYFUNCTION("GOOGLETRANSLATE(L164,""zh-CN"", ""en"")"),"yes")</f>
        <v>yes</v>
      </c>
      <c r="N164" s="170"/>
      <c r="O164" s="170"/>
      <c r="P164" s="170" t="s">
        <v>2131</v>
      </c>
      <c r="Q164" s="173" t="s">
        <v>2132</v>
      </c>
      <c r="R164" s="173" t="s">
        <v>99</v>
      </c>
      <c r="S164" s="173" t="s">
        <v>2133</v>
      </c>
      <c r="T164" s="173" t="s">
        <v>2134</v>
      </c>
      <c r="U164" s="174"/>
      <c r="V164" s="174"/>
      <c r="W164" s="174"/>
      <c r="X164" s="174"/>
      <c r="Y164" s="174"/>
      <c r="Z164" s="174"/>
      <c r="AA164" s="174"/>
      <c r="AB164" s="174"/>
      <c r="AC164" s="174"/>
      <c r="AD164" s="174"/>
      <c r="AE164" s="174"/>
    </row>
    <row r="165" ht="15.75" customHeight="1">
      <c r="A165" s="170" t="s">
        <v>2135</v>
      </c>
      <c r="B165" s="154" t="str">
        <f>IFERROR(__xludf.DUMMYFUNCTION("GOOGLETRANSLATE(A165,""zh-CN"", ""en"")"),"Grid overvoltage power regulation power 3")</f>
        <v>Grid overvoltage power regulation power 3</v>
      </c>
      <c r="C165" s="170" t="s">
        <v>2136</v>
      </c>
      <c r="D165" s="170" t="s">
        <v>2137</v>
      </c>
      <c r="E165" s="170" t="s">
        <v>235</v>
      </c>
      <c r="F165" s="171">
        <v>2.0</v>
      </c>
      <c r="G165" s="181" t="s">
        <v>1915</v>
      </c>
      <c r="H165" s="183"/>
      <c r="I165" s="183">
        <v>0.001</v>
      </c>
      <c r="J165" s="170"/>
      <c r="K165" s="170"/>
      <c r="L165" s="170" t="s">
        <v>2138</v>
      </c>
      <c r="M165" s="136" t="str">
        <f>IFERROR(__xludf.DUMMYFUNCTION("GOOGLETRANSLATE(L165,""zh-CN"", ""en"")"),"yes")</f>
        <v>yes</v>
      </c>
      <c r="N165" s="170"/>
      <c r="O165" s="170"/>
      <c r="P165" s="170" t="s">
        <v>2139</v>
      </c>
      <c r="Q165" s="173" t="s">
        <v>2140</v>
      </c>
      <c r="R165" s="173" t="s">
        <v>99</v>
      </c>
      <c r="S165" s="173" t="s">
        <v>2141</v>
      </c>
      <c r="T165" s="173" t="s">
        <v>2142</v>
      </c>
      <c r="U165" s="174"/>
      <c r="V165" s="174"/>
      <c r="W165" s="174"/>
      <c r="X165" s="174"/>
      <c r="Y165" s="174"/>
      <c r="Z165" s="174"/>
      <c r="AA165" s="174"/>
      <c r="AB165" s="174"/>
      <c r="AC165" s="174"/>
      <c r="AD165" s="174"/>
      <c r="AE165" s="174"/>
    </row>
    <row r="166" ht="15.75" customHeight="1">
      <c r="A166" s="170" t="s">
        <v>2143</v>
      </c>
      <c r="B166" s="154" t="str">
        <f>IFERROR(__xludf.DUMMYFUNCTION("GOOGLETRANSLATE(A166,""zh-CN"", ""en"")"),"Grid overvoltage power regulation power 4")</f>
        <v>Grid overvoltage power regulation power 4</v>
      </c>
      <c r="C166" s="170" t="s">
        <v>2144</v>
      </c>
      <c r="D166" s="170" t="s">
        <v>2145</v>
      </c>
      <c r="E166" s="170" t="s">
        <v>235</v>
      </c>
      <c r="F166" s="171">
        <v>2.0</v>
      </c>
      <c r="G166" s="181" t="s">
        <v>1915</v>
      </c>
      <c r="H166" s="183"/>
      <c r="I166" s="183">
        <v>0.001</v>
      </c>
      <c r="J166" s="170"/>
      <c r="K166" s="170"/>
      <c r="L166" s="170" t="s">
        <v>2146</v>
      </c>
      <c r="M166" s="136" t="str">
        <f>IFERROR(__xludf.DUMMYFUNCTION("GOOGLETRANSLATE(L166,""zh-CN"", ""en"")"),"yes")</f>
        <v>yes</v>
      </c>
      <c r="N166" s="170"/>
      <c r="O166" s="170"/>
      <c r="P166" s="170" t="s">
        <v>2147</v>
      </c>
      <c r="Q166" s="173" t="s">
        <v>2148</v>
      </c>
      <c r="R166" s="173" t="s">
        <v>99</v>
      </c>
      <c r="S166" s="173" t="s">
        <v>2149</v>
      </c>
      <c r="T166" s="173" t="s">
        <v>2150</v>
      </c>
      <c r="U166" s="174"/>
      <c r="V166" s="174"/>
      <c r="W166" s="174"/>
      <c r="X166" s="174"/>
      <c r="Y166" s="174"/>
      <c r="Z166" s="174"/>
      <c r="AA166" s="174"/>
      <c r="AB166" s="174"/>
      <c r="AC166" s="174"/>
      <c r="AD166" s="174"/>
      <c r="AE166" s="174"/>
    </row>
    <row r="167" ht="15.75" customHeight="1">
      <c r="A167" s="170" t="s">
        <v>2151</v>
      </c>
      <c r="B167" s="154" t="str">
        <f>IFERROR(__xludf.DUMMYFUNCTION("GOOGLETRANSLATE(A167,""zh-CN"", ""en"")"),"Grid overvoltage power adjustment time")</f>
        <v>Grid overvoltage power adjustment time</v>
      </c>
      <c r="C167" s="170" t="s">
        <v>2152</v>
      </c>
      <c r="D167" s="170" t="s">
        <v>2153</v>
      </c>
      <c r="E167" s="170" t="s">
        <v>104</v>
      </c>
      <c r="F167" s="171">
        <v>2.0</v>
      </c>
      <c r="G167" s="181" t="s">
        <v>1659</v>
      </c>
      <c r="H167" s="182"/>
      <c r="I167" s="182" t="s">
        <v>2154</v>
      </c>
      <c r="J167" s="170"/>
      <c r="K167" s="170"/>
      <c r="L167" s="170" t="s">
        <v>2155</v>
      </c>
      <c r="M167" s="136" t="str">
        <f>IFERROR(__xludf.DUMMYFUNCTION("GOOGLETRANSLATE(L167,""zh-CN"", ""en"")"),"yes")</f>
        <v>yes</v>
      </c>
      <c r="N167" s="170"/>
      <c r="O167" s="170"/>
      <c r="P167" s="170" t="s">
        <v>2156</v>
      </c>
      <c r="Q167" s="173" t="s">
        <v>2157</v>
      </c>
      <c r="R167" s="173" t="s">
        <v>99</v>
      </c>
      <c r="S167" s="173" t="s">
        <v>2158</v>
      </c>
      <c r="T167" s="173" t="s">
        <v>2159</v>
      </c>
      <c r="U167" s="174"/>
      <c r="V167" s="174"/>
      <c r="W167" s="174"/>
      <c r="X167" s="174"/>
      <c r="Y167" s="174"/>
      <c r="Z167" s="174"/>
      <c r="AA167" s="174"/>
      <c r="AB167" s="174"/>
      <c r="AC167" s="174"/>
      <c r="AD167" s="174"/>
      <c r="AE167" s="174"/>
    </row>
    <row r="168" ht="15.75" customHeight="1">
      <c r="A168" s="170" t="s">
        <v>2160</v>
      </c>
      <c r="B168" s="154" t="str">
        <f>IFERROR(__xludf.DUMMYFUNCTION("GOOGLETRANSLATE(A168,""zh-CN"", ""en"")"),"Grid undervoltage power regulation voltage 1")</f>
        <v>Grid undervoltage power regulation voltage 1</v>
      </c>
      <c r="C168" s="170" t="s">
        <v>2161</v>
      </c>
      <c r="D168" s="170" t="s">
        <v>2162</v>
      </c>
      <c r="E168" s="170" t="s">
        <v>104</v>
      </c>
      <c r="F168" s="171">
        <v>2.0</v>
      </c>
      <c r="G168" s="181" t="s">
        <v>1410</v>
      </c>
      <c r="H168" s="182"/>
      <c r="I168" s="182" t="s">
        <v>215</v>
      </c>
      <c r="J168" s="170"/>
      <c r="K168" s="170"/>
      <c r="L168" s="170" t="s">
        <v>2163</v>
      </c>
      <c r="M168" s="136" t="str">
        <f>IFERROR(__xludf.DUMMYFUNCTION("GOOGLETRANSLATE(L168,""zh-CN"", ""en"")"),"yes")</f>
        <v>yes</v>
      </c>
      <c r="N168" s="170"/>
      <c r="O168" s="170"/>
      <c r="P168" s="170" t="s">
        <v>2164</v>
      </c>
      <c r="Q168" s="173" t="s">
        <v>2165</v>
      </c>
      <c r="R168" s="173" t="s">
        <v>99</v>
      </c>
      <c r="S168" s="173" t="s">
        <v>2166</v>
      </c>
      <c r="T168" s="173" t="s">
        <v>2167</v>
      </c>
      <c r="U168" s="174"/>
      <c r="V168" s="174"/>
      <c r="W168" s="174"/>
      <c r="X168" s="174"/>
      <c r="Y168" s="174"/>
      <c r="Z168" s="174"/>
      <c r="AA168" s="174"/>
      <c r="AB168" s="174"/>
      <c r="AC168" s="174"/>
      <c r="AD168" s="174"/>
      <c r="AE168" s="174"/>
    </row>
    <row r="169" ht="15.75" customHeight="1">
      <c r="A169" s="170" t="s">
        <v>2168</v>
      </c>
      <c r="B169" s="154" t="str">
        <f>IFERROR(__xludf.DUMMYFUNCTION("GOOGLETRANSLATE(A169,""zh-CN"", ""en"")"),"Grid undervoltage power regulation voltage 2")</f>
        <v>Grid undervoltage power regulation voltage 2</v>
      </c>
      <c r="C169" s="170" t="s">
        <v>2169</v>
      </c>
      <c r="D169" s="170" t="s">
        <v>2170</v>
      </c>
      <c r="E169" s="170" t="s">
        <v>104</v>
      </c>
      <c r="F169" s="171">
        <v>2.0</v>
      </c>
      <c r="G169" s="181" t="s">
        <v>1410</v>
      </c>
      <c r="H169" s="182"/>
      <c r="I169" s="182" t="s">
        <v>215</v>
      </c>
      <c r="J169" s="170"/>
      <c r="K169" s="170"/>
      <c r="L169" s="170" t="s">
        <v>2171</v>
      </c>
      <c r="M169" s="136" t="str">
        <f>IFERROR(__xludf.DUMMYFUNCTION("GOOGLETRANSLATE(L169,""zh-CN"", ""en"")"),"yes")</f>
        <v>yes</v>
      </c>
      <c r="N169" s="170"/>
      <c r="O169" s="170"/>
      <c r="P169" s="170" t="s">
        <v>2172</v>
      </c>
      <c r="Q169" s="173" t="s">
        <v>2173</v>
      </c>
      <c r="R169" s="173" t="s">
        <v>99</v>
      </c>
      <c r="S169" s="173" t="s">
        <v>2174</v>
      </c>
      <c r="T169" s="173" t="s">
        <v>2175</v>
      </c>
      <c r="U169" s="174"/>
      <c r="V169" s="174"/>
      <c r="W169" s="174"/>
      <c r="X169" s="174"/>
      <c r="Y169" s="174"/>
      <c r="Z169" s="174"/>
      <c r="AA169" s="174"/>
      <c r="AB169" s="174"/>
      <c r="AC169" s="174"/>
      <c r="AD169" s="174"/>
      <c r="AE169" s="174"/>
    </row>
    <row r="170" ht="15.75" customHeight="1">
      <c r="A170" s="170" t="s">
        <v>2176</v>
      </c>
      <c r="B170" s="154" t="str">
        <f>IFERROR(__xludf.DUMMYFUNCTION("GOOGLETRANSLATE(A170,""zh-CN"", ""en"")"),"Grid undervoltage power regulation voltage 3")</f>
        <v>Grid undervoltage power regulation voltage 3</v>
      </c>
      <c r="C170" s="170" t="s">
        <v>2177</v>
      </c>
      <c r="D170" s="170" t="s">
        <v>2178</v>
      </c>
      <c r="E170" s="170" t="s">
        <v>104</v>
      </c>
      <c r="F170" s="171">
        <v>2.0</v>
      </c>
      <c r="G170" s="181" t="s">
        <v>1410</v>
      </c>
      <c r="H170" s="182"/>
      <c r="I170" s="182" t="s">
        <v>215</v>
      </c>
      <c r="J170" s="170"/>
      <c r="K170" s="170"/>
      <c r="L170" s="170" t="s">
        <v>2179</v>
      </c>
      <c r="M170" s="136" t="str">
        <f>IFERROR(__xludf.DUMMYFUNCTION("GOOGLETRANSLATE(L170,""zh-CN"", ""en"")"),"yes")</f>
        <v>yes</v>
      </c>
      <c r="N170" s="170"/>
      <c r="O170" s="170"/>
      <c r="P170" s="170" t="s">
        <v>2180</v>
      </c>
      <c r="Q170" s="173" t="s">
        <v>2181</v>
      </c>
      <c r="R170" s="173" t="s">
        <v>99</v>
      </c>
      <c r="S170" s="173" t="s">
        <v>2182</v>
      </c>
      <c r="T170" s="173" t="s">
        <v>2183</v>
      </c>
      <c r="U170" s="174"/>
      <c r="V170" s="174"/>
      <c r="W170" s="174"/>
      <c r="X170" s="174"/>
      <c r="Y170" s="174"/>
      <c r="Z170" s="174"/>
      <c r="AA170" s="174"/>
      <c r="AB170" s="174"/>
      <c r="AC170" s="174"/>
      <c r="AD170" s="174"/>
      <c r="AE170" s="174"/>
    </row>
    <row r="171" ht="15.75" customHeight="1">
      <c r="A171" s="170" t="s">
        <v>2184</v>
      </c>
      <c r="B171" s="154" t="str">
        <f>IFERROR(__xludf.DUMMYFUNCTION("GOOGLETRANSLATE(A171,""zh-CN"", ""en"")"),"Grid undervoltage power regulation voltage 4")</f>
        <v>Grid undervoltage power regulation voltage 4</v>
      </c>
      <c r="C171" s="170" t="s">
        <v>2185</v>
      </c>
      <c r="D171" s="170" t="s">
        <v>2186</v>
      </c>
      <c r="E171" s="170" t="s">
        <v>104</v>
      </c>
      <c r="F171" s="171">
        <v>2.0</v>
      </c>
      <c r="G171" s="181" t="s">
        <v>1410</v>
      </c>
      <c r="H171" s="182"/>
      <c r="I171" s="182" t="s">
        <v>215</v>
      </c>
      <c r="J171" s="170"/>
      <c r="K171" s="170"/>
      <c r="L171" s="170" t="s">
        <v>2187</v>
      </c>
      <c r="M171" s="136" t="str">
        <f>IFERROR(__xludf.DUMMYFUNCTION("GOOGLETRANSLATE(L171,""zh-CN"", ""en"")"),"yes")</f>
        <v>yes</v>
      </c>
      <c r="N171" s="170"/>
      <c r="O171" s="170"/>
      <c r="P171" s="170" t="s">
        <v>2188</v>
      </c>
      <c r="Q171" s="173" t="s">
        <v>2189</v>
      </c>
      <c r="R171" s="173" t="s">
        <v>99</v>
      </c>
      <c r="S171" s="173" t="s">
        <v>2190</v>
      </c>
      <c r="T171" s="173" t="s">
        <v>2191</v>
      </c>
      <c r="U171" s="174"/>
      <c r="V171" s="174"/>
      <c r="W171" s="174"/>
      <c r="X171" s="174"/>
      <c r="Y171" s="174"/>
      <c r="Z171" s="174"/>
      <c r="AA171" s="174"/>
      <c r="AB171" s="174"/>
      <c r="AC171" s="174"/>
      <c r="AD171" s="174"/>
      <c r="AE171" s="174"/>
    </row>
    <row r="172" ht="15.75" customHeight="1">
      <c r="A172" s="170" t="s">
        <v>2192</v>
      </c>
      <c r="B172" s="154" t="str">
        <f>IFERROR(__xludf.DUMMYFUNCTION("GOOGLETRANSLATE(A172,""zh-CN"", ""en"")"),"Grid undervoltage power regulation power 1")</f>
        <v>Grid undervoltage power regulation power 1</v>
      </c>
      <c r="C172" s="170" t="s">
        <v>2193</v>
      </c>
      <c r="D172" s="170" t="s">
        <v>2194</v>
      </c>
      <c r="E172" s="170" t="s">
        <v>235</v>
      </c>
      <c r="F172" s="171">
        <v>2.0</v>
      </c>
      <c r="G172" s="181" t="s">
        <v>1915</v>
      </c>
      <c r="H172" s="183"/>
      <c r="I172" s="183">
        <v>0.001</v>
      </c>
      <c r="J172" s="170"/>
      <c r="K172" s="170"/>
      <c r="L172" s="170" t="s">
        <v>2195</v>
      </c>
      <c r="M172" s="136" t="str">
        <f>IFERROR(__xludf.DUMMYFUNCTION("GOOGLETRANSLATE(L172,""zh-CN"", ""en"")"),"yes")</f>
        <v>yes</v>
      </c>
      <c r="N172" s="170"/>
      <c r="O172" s="170"/>
      <c r="P172" s="170" t="s">
        <v>2196</v>
      </c>
      <c r="Q172" s="173" t="s">
        <v>2197</v>
      </c>
      <c r="R172" s="173" t="s">
        <v>99</v>
      </c>
      <c r="S172" s="173" t="s">
        <v>2198</v>
      </c>
      <c r="T172" s="173" t="s">
        <v>2199</v>
      </c>
      <c r="U172" s="174"/>
      <c r="V172" s="174"/>
      <c r="W172" s="174"/>
      <c r="X172" s="174"/>
      <c r="Y172" s="174"/>
      <c r="Z172" s="174"/>
      <c r="AA172" s="174"/>
      <c r="AB172" s="174"/>
      <c r="AC172" s="174"/>
      <c r="AD172" s="174"/>
      <c r="AE172" s="174"/>
    </row>
    <row r="173" ht="15.75" customHeight="1">
      <c r="A173" s="170" t="s">
        <v>2200</v>
      </c>
      <c r="B173" s="154" t="str">
        <f>IFERROR(__xludf.DUMMYFUNCTION("GOOGLETRANSLATE(A173,""zh-CN"", ""en"")"),"Grid undervoltage power regulation power 2")</f>
        <v>Grid undervoltage power regulation power 2</v>
      </c>
      <c r="C173" s="170" t="s">
        <v>2201</v>
      </c>
      <c r="D173" s="170" t="s">
        <v>2202</v>
      </c>
      <c r="E173" s="170" t="s">
        <v>235</v>
      </c>
      <c r="F173" s="171">
        <v>2.0</v>
      </c>
      <c r="G173" s="181" t="s">
        <v>1915</v>
      </c>
      <c r="H173" s="183"/>
      <c r="I173" s="183">
        <v>0.001</v>
      </c>
      <c r="J173" s="170"/>
      <c r="K173" s="170"/>
      <c r="L173" s="170" t="s">
        <v>2203</v>
      </c>
      <c r="M173" s="136" t="str">
        <f>IFERROR(__xludf.DUMMYFUNCTION("GOOGLETRANSLATE(L173,""zh-CN"", ""en"")"),"yes")</f>
        <v>yes</v>
      </c>
      <c r="N173" s="170"/>
      <c r="O173" s="170"/>
      <c r="P173" s="170" t="s">
        <v>2204</v>
      </c>
      <c r="Q173" s="173" t="s">
        <v>2205</v>
      </c>
      <c r="R173" s="173" t="s">
        <v>99</v>
      </c>
      <c r="S173" s="173" t="s">
        <v>2206</v>
      </c>
      <c r="T173" s="173" t="s">
        <v>2207</v>
      </c>
      <c r="U173" s="174"/>
      <c r="V173" s="174"/>
      <c r="W173" s="174"/>
      <c r="X173" s="174"/>
      <c r="Y173" s="174"/>
      <c r="Z173" s="174"/>
      <c r="AA173" s="174"/>
      <c r="AB173" s="174"/>
      <c r="AC173" s="174"/>
      <c r="AD173" s="174"/>
      <c r="AE173" s="174"/>
    </row>
    <row r="174" ht="15.75" customHeight="1">
      <c r="A174" s="170" t="s">
        <v>2208</v>
      </c>
      <c r="B174" s="154" t="str">
        <f>IFERROR(__xludf.DUMMYFUNCTION("GOOGLETRANSLATE(A174,""zh-CN"", ""en"")"),"Grid undervoltage power regulation power 3")</f>
        <v>Grid undervoltage power regulation power 3</v>
      </c>
      <c r="C174" s="170" t="s">
        <v>2209</v>
      </c>
      <c r="D174" s="170" t="s">
        <v>2210</v>
      </c>
      <c r="E174" s="170" t="s">
        <v>235</v>
      </c>
      <c r="F174" s="171">
        <v>2.0</v>
      </c>
      <c r="G174" s="181" t="s">
        <v>1915</v>
      </c>
      <c r="H174" s="183"/>
      <c r="I174" s="183">
        <v>0.001</v>
      </c>
      <c r="J174" s="170"/>
      <c r="K174" s="170"/>
      <c r="L174" s="170" t="s">
        <v>2211</v>
      </c>
      <c r="M174" s="136" t="str">
        <f>IFERROR(__xludf.DUMMYFUNCTION("GOOGLETRANSLATE(L174,""zh-CN"", ""en"")"),"yes")</f>
        <v>yes</v>
      </c>
      <c r="N174" s="170"/>
      <c r="O174" s="170"/>
      <c r="P174" s="170" t="s">
        <v>2212</v>
      </c>
      <c r="Q174" s="173" t="s">
        <v>2213</v>
      </c>
      <c r="R174" s="173" t="s">
        <v>99</v>
      </c>
      <c r="S174" s="173" t="s">
        <v>2214</v>
      </c>
      <c r="T174" s="173" t="s">
        <v>2215</v>
      </c>
      <c r="U174" s="174"/>
      <c r="V174" s="174"/>
      <c r="W174" s="174"/>
      <c r="X174" s="174"/>
      <c r="Y174" s="174"/>
      <c r="Z174" s="174"/>
      <c r="AA174" s="174"/>
      <c r="AB174" s="174"/>
      <c r="AC174" s="174"/>
      <c r="AD174" s="174"/>
      <c r="AE174" s="174"/>
    </row>
    <row r="175" ht="15.75" customHeight="1">
      <c r="A175" s="170" t="s">
        <v>2216</v>
      </c>
      <c r="B175" s="154" t="str">
        <f>IFERROR(__xludf.DUMMYFUNCTION("GOOGLETRANSLATE(A175,""zh-CN"", ""en"")"),"Grid undervoltage power adjustment power 4")</f>
        <v>Grid undervoltage power adjustment power 4</v>
      </c>
      <c r="C175" s="170" t="s">
        <v>2217</v>
      </c>
      <c r="D175" s="170" t="s">
        <v>2218</v>
      </c>
      <c r="E175" s="170" t="s">
        <v>235</v>
      </c>
      <c r="F175" s="171">
        <v>2.0</v>
      </c>
      <c r="G175" s="181" t="s">
        <v>1915</v>
      </c>
      <c r="H175" s="183"/>
      <c r="I175" s="183">
        <v>0.001</v>
      </c>
      <c r="J175" s="170"/>
      <c r="K175" s="170"/>
      <c r="L175" s="170" t="s">
        <v>2219</v>
      </c>
      <c r="M175" s="136" t="str">
        <f>IFERROR(__xludf.DUMMYFUNCTION("GOOGLETRANSLATE(L175,""zh-CN"", ""en"")"),"yes")</f>
        <v>yes</v>
      </c>
      <c r="N175" s="170"/>
      <c r="O175" s="170"/>
      <c r="P175" s="170" t="s">
        <v>2220</v>
      </c>
      <c r="Q175" s="173" t="s">
        <v>2221</v>
      </c>
      <c r="R175" s="173" t="s">
        <v>99</v>
      </c>
      <c r="S175" s="173" t="s">
        <v>2222</v>
      </c>
      <c r="T175" s="173" t="s">
        <v>2223</v>
      </c>
      <c r="U175" s="174"/>
      <c r="V175" s="174"/>
      <c r="W175" s="174"/>
      <c r="X175" s="174"/>
      <c r="Y175" s="174"/>
      <c r="Z175" s="174"/>
      <c r="AA175" s="174"/>
      <c r="AB175" s="174"/>
      <c r="AC175" s="174"/>
      <c r="AD175" s="174"/>
      <c r="AE175" s="174"/>
    </row>
    <row r="176" ht="15.75" customHeight="1">
      <c r="A176" s="170" t="s">
        <v>2224</v>
      </c>
      <c r="B176" s="154" t="str">
        <f>IFERROR(__xludf.DUMMYFUNCTION("GOOGLETRANSLATE(A176,""zh-CN"", ""en"")"),"Grid undervoltage power adjustment time")</f>
        <v>Grid undervoltage power adjustment time</v>
      </c>
      <c r="C176" s="170" t="s">
        <v>2225</v>
      </c>
      <c r="D176" s="170" t="s">
        <v>2226</v>
      </c>
      <c r="E176" s="170" t="s">
        <v>104</v>
      </c>
      <c r="F176" s="171">
        <v>2.0</v>
      </c>
      <c r="G176" s="181" t="s">
        <v>1659</v>
      </c>
      <c r="H176" s="182"/>
      <c r="I176" s="182" t="s">
        <v>2154</v>
      </c>
      <c r="J176" s="170"/>
      <c r="K176" s="170"/>
      <c r="L176" s="170" t="s">
        <v>2227</v>
      </c>
      <c r="M176" s="136" t="str">
        <f>IFERROR(__xludf.DUMMYFUNCTION("GOOGLETRANSLATE(L176,""zh-CN"", ""en"")"),"yes")</f>
        <v>yes</v>
      </c>
      <c r="N176" s="170"/>
      <c r="O176" s="170"/>
      <c r="P176" s="170" t="s">
        <v>2228</v>
      </c>
      <c r="Q176" s="173" t="s">
        <v>2229</v>
      </c>
      <c r="R176" s="173" t="s">
        <v>99</v>
      </c>
      <c r="S176" s="173" t="s">
        <v>2230</v>
      </c>
      <c r="T176" s="173" t="s">
        <v>2231</v>
      </c>
      <c r="U176" s="174"/>
      <c r="V176" s="174"/>
      <c r="W176" s="174"/>
      <c r="X176" s="174"/>
      <c r="Y176" s="174"/>
      <c r="Z176" s="174"/>
      <c r="AA176" s="174"/>
      <c r="AB176" s="174"/>
      <c r="AC176" s="174"/>
      <c r="AD176" s="174"/>
      <c r="AE176" s="174"/>
    </row>
    <row r="177" ht="15.75" customHeight="1">
      <c r="A177" s="72" t="s">
        <v>2232</v>
      </c>
      <c r="B177" s="154" t="str">
        <f>IFERROR(__xludf.DUMMYFUNCTION("GOOGLETRANSLATE(A177,""zh-CN"", ""en"")"),"Reactive power control")</f>
        <v>Reactive power control</v>
      </c>
      <c r="C177" s="72" t="s">
        <v>2233</v>
      </c>
      <c r="D177" s="72" t="s">
        <v>2234</v>
      </c>
      <c r="E177" s="72" t="s">
        <v>104</v>
      </c>
      <c r="F177" s="77">
        <v>2.0</v>
      </c>
      <c r="G177" s="180"/>
      <c r="H177" s="180"/>
      <c r="I177" s="180"/>
      <c r="J177" s="72" t="s">
        <v>2235</v>
      </c>
      <c r="K177" s="72" t="str">
        <f>IFERROR(__xludf.DUMMYFUNCTION("GOOGLETRANSLATE(J177,""zh-CN"", ""en"")"),"0：Normal
1: Q Set (with P1518)
2: Pf Set (with P1519)
3: Q By V (with P1520~1525)
4: Pf By P (with P1526~1527)")</f>
        <v>0：Normal
1: Q Set (with P1518)
2: Pf Set (with P1519)
3: Q By V (with P1520~1525)
4: Pf By P (with P1526~1527)</v>
      </c>
      <c r="L177" s="72" t="s">
        <v>2236</v>
      </c>
      <c r="M177" s="136" t="str">
        <f>IFERROR(__xludf.DUMMYFUNCTION("GOOGLETRANSLATE(L177,""zh-CN"", ""en"")"),"yes")</f>
        <v>yes</v>
      </c>
      <c r="N177" s="72"/>
      <c r="O177" s="72"/>
      <c r="P177" s="72" t="s">
        <v>2237</v>
      </c>
      <c r="Q177" s="81" t="s">
        <v>2238</v>
      </c>
      <c r="R177" s="81" t="s">
        <v>99</v>
      </c>
      <c r="S177" s="81" t="s">
        <v>2239</v>
      </c>
      <c r="T177" s="81" t="s">
        <v>2240</v>
      </c>
      <c r="U177" s="82"/>
      <c r="V177" s="82"/>
      <c r="W177" s="82"/>
      <c r="X177" s="82"/>
      <c r="Y177" s="82"/>
      <c r="Z177" s="82"/>
      <c r="AA177" s="82"/>
      <c r="AB177" s="82"/>
      <c r="AC177" s="82"/>
      <c r="AD177" s="82"/>
      <c r="AE177" s="82"/>
    </row>
    <row r="178" ht="15.75" customHeight="1">
      <c r="A178" s="48" t="s">
        <v>2241</v>
      </c>
      <c r="B178" s="154" t="str">
        <f>IFERROR(__xludf.DUMMYFUNCTION("GOOGLETRANSLATE(A178,""zh-CN"", ""en"")"),"Reactive power setting %")</f>
        <v>Reactive power setting %</v>
      </c>
      <c r="C178" s="48" t="s">
        <v>2242</v>
      </c>
      <c r="D178" s="48" t="s">
        <v>2243</v>
      </c>
      <c r="E178" s="48" t="s">
        <v>235</v>
      </c>
      <c r="F178" s="52">
        <v>2.0</v>
      </c>
      <c r="G178" s="48" t="s">
        <v>2244</v>
      </c>
      <c r="H178" s="48"/>
      <c r="I178" s="48">
        <v>0.001</v>
      </c>
      <c r="J178" s="48"/>
      <c r="K178" s="48"/>
      <c r="L178" s="48"/>
      <c r="M178" s="136" t="str">
        <f>IFERROR(__xludf.DUMMYFUNCTION("GOOGLETRANSLATE(L178,""zh-CN"", ""en"")"),"#VALUE!")</f>
        <v>#VALUE!</v>
      </c>
      <c r="N178" s="48"/>
      <c r="O178" s="48"/>
      <c r="P178" s="48" t="s">
        <v>2245</v>
      </c>
      <c r="Q178" s="55" t="s">
        <v>2246</v>
      </c>
      <c r="R178" s="55" t="s">
        <v>99</v>
      </c>
      <c r="S178" s="55" t="s">
        <v>2247</v>
      </c>
      <c r="T178" s="55" t="s">
        <v>2248</v>
      </c>
    </row>
    <row r="179" ht="15.75" customHeight="1">
      <c r="A179" s="48" t="s">
        <v>2249</v>
      </c>
      <c r="B179" s="154" t="str">
        <f>IFERROR(__xludf.DUMMYFUNCTION("GOOGLETRANSLATE(A179,""zh-CN"", ""en"")"),"Reactive power settings")</f>
        <v>Reactive power settings</v>
      </c>
      <c r="C179" s="48" t="s">
        <v>2250</v>
      </c>
      <c r="D179" s="48" t="s">
        <v>2251</v>
      </c>
      <c r="E179" s="48" t="s">
        <v>285</v>
      </c>
      <c r="F179" s="52">
        <v>4.0</v>
      </c>
      <c r="G179" s="48" t="s">
        <v>2252</v>
      </c>
      <c r="H179" s="48"/>
      <c r="I179" s="48" t="s">
        <v>311</v>
      </c>
      <c r="J179" s="48"/>
      <c r="K179" s="48"/>
      <c r="L179" s="48" t="s">
        <v>2253</v>
      </c>
      <c r="M179" s="136" t="str">
        <f>IFERROR(__xludf.DUMMYFUNCTION("GOOGLETRANSLATE(L179,""zh-CN"", ""en"")"),"yes")</f>
        <v>yes</v>
      </c>
      <c r="N179" s="48"/>
      <c r="O179" s="48"/>
      <c r="P179" s="48" t="s">
        <v>2254</v>
      </c>
      <c r="Q179" s="55" t="s">
        <v>2255</v>
      </c>
      <c r="R179" s="55" t="s">
        <v>99</v>
      </c>
      <c r="S179" s="55" t="s">
        <v>2256</v>
      </c>
      <c r="T179" s="55" t="s">
        <v>2257</v>
      </c>
    </row>
    <row r="180" ht="15.75" customHeight="1">
      <c r="A180" s="48" t="s">
        <v>2258</v>
      </c>
      <c r="B180" s="154" t="str">
        <f>IFERROR(__xludf.DUMMYFUNCTION("GOOGLETRANSLATE(A180,""zh-CN"", ""en"")"),"Power factor setting")</f>
        <v>Power factor setting</v>
      </c>
      <c r="C180" s="48" t="s">
        <v>2259</v>
      </c>
      <c r="D180" s="48">
        <v>1555.0</v>
      </c>
      <c r="E180" s="48" t="s">
        <v>235</v>
      </c>
      <c r="F180" s="52">
        <v>2.0</v>
      </c>
      <c r="G180" s="48" t="s">
        <v>2260</v>
      </c>
      <c r="H180" s="48"/>
      <c r="I180" s="48">
        <v>0.001</v>
      </c>
      <c r="J180" s="184" t="s">
        <v>2261</v>
      </c>
      <c r="K180" s="48"/>
      <c r="L180" s="48" t="s">
        <v>2262</v>
      </c>
      <c r="M180" s="136" t="str">
        <f>IFERROR(__xludf.DUMMYFUNCTION("GOOGLETRANSLATE(L180,""zh-CN"", ""en"")"),"yes")</f>
        <v>yes</v>
      </c>
      <c r="N180" s="48"/>
      <c r="O180" s="48"/>
      <c r="P180" s="48" t="s">
        <v>2263</v>
      </c>
      <c r="Q180" s="55" t="s">
        <v>2264</v>
      </c>
      <c r="R180" s="55" t="s">
        <v>99</v>
      </c>
      <c r="S180" s="55" t="s">
        <v>2265</v>
      </c>
      <c r="T180" s="55" t="s">
        <v>2266</v>
      </c>
    </row>
    <row r="181" ht="15.75" customHeight="1">
      <c r="A181" s="48" t="s">
        <v>2267</v>
      </c>
      <c r="B181" s="154" t="str">
        <f>IFERROR(__xludf.DUMMYFUNCTION("GOOGLETRANSLATE(A181,""zh-CN"", ""en"")"),"QByV_V1")</f>
        <v>QByV_V1</v>
      </c>
      <c r="C181" s="48" t="s">
        <v>2268</v>
      </c>
      <c r="D181" s="48">
        <v>1556.0</v>
      </c>
      <c r="E181" s="48" t="s">
        <v>104</v>
      </c>
      <c r="F181" s="52">
        <v>2.0</v>
      </c>
      <c r="G181" s="48" t="s">
        <v>2269</v>
      </c>
      <c r="H181" s="179"/>
      <c r="I181" s="179">
        <v>0.001</v>
      </c>
      <c r="J181" s="15"/>
      <c r="K181" s="48"/>
      <c r="L181" s="48"/>
      <c r="M181" s="136" t="str">
        <f>IFERROR(__xludf.DUMMYFUNCTION("GOOGLETRANSLATE(L181,""zh-CN"", ""en"")"),"#VALUE!")</f>
        <v>#VALUE!</v>
      </c>
      <c r="N181" s="48"/>
      <c r="O181" s="48"/>
      <c r="P181" s="48" t="s">
        <v>2270</v>
      </c>
      <c r="Q181" s="55" t="s">
        <v>2271</v>
      </c>
      <c r="R181" s="55" t="s">
        <v>99</v>
      </c>
      <c r="S181" s="55" t="s">
        <v>2272</v>
      </c>
      <c r="T181" s="55" t="s">
        <v>2273</v>
      </c>
    </row>
    <row r="182" ht="15.75" customHeight="1">
      <c r="A182" s="72" t="s">
        <v>2274</v>
      </c>
      <c r="B182" s="154" t="str">
        <f>IFERROR(__xludf.DUMMYFUNCTION("GOOGLETRANSLATE(A182,""zh-CN"", ""en"")"),"QByV_V2")</f>
        <v>QByV_V2</v>
      </c>
      <c r="C182" s="48" t="s">
        <v>2275</v>
      </c>
      <c r="D182" s="48">
        <v>1557.0</v>
      </c>
      <c r="E182" s="48" t="s">
        <v>104</v>
      </c>
      <c r="F182" s="52">
        <v>2.0</v>
      </c>
      <c r="G182" s="48" t="s">
        <v>2269</v>
      </c>
      <c r="H182" s="179"/>
      <c r="I182" s="179">
        <v>0.001</v>
      </c>
      <c r="J182" s="15"/>
      <c r="K182" s="48"/>
      <c r="L182" s="48"/>
      <c r="M182" s="136" t="str">
        <f>IFERROR(__xludf.DUMMYFUNCTION("GOOGLETRANSLATE(L182,""zh-CN"", ""en"")"),"#VALUE!")</f>
        <v>#VALUE!</v>
      </c>
      <c r="N182" s="48"/>
      <c r="O182" s="48"/>
      <c r="P182" s="48" t="s">
        <v>2276</v>
      </c>
      <c r="Q182" s="55" t="s">
        <v>2277</v>
      </c>
      <c r="R182" s="55" t="s">
        <v>99</v>
      </c>
      <c r="S182" s="55" t="s">
        <v>2278</v>
      </c>
      <c r="T182" s="55" t="s">
        <v>2279</v>
      </c>
    </row>
    <row r="183" ht="15.75" customHeight="1">
      <c r="A183" s="48" t="s">
        <v>2280</v>
      </c>
      <c r="B183" s="154" t="str">
        <f>IFERROR(__xludf.DUMMYFUNCTION("GOOGLETRANSLATE(A183,""zh-CN"", ""en"")"),"QByV_V3")</f>
        <v>QByV_V3</v>
      </c>
      <c r="C183" s="48" t="s">
        <v>2281</v>
      </c>
      <c r="D183" s="48">
        <v>1558.0</v>
      </c>
      <c r="E183" s="48" t="s">
        <v>104</v>
      </c>
      <c r="F183" s="52">
        <v>2.0</v>
      </c>
      <c r="G183" s="48" t="s">
        <v>2282</v>
      </c>
      <c r="H183" s="179"/>
      <c r="I183" s="179">
        <v>0.001</v>
      </c>
      <c r="J183" s="15"/>
      <c r="K183" s="48"/>
      <c r="L183" s="48"/>
      <c r="M183" s="136" t="str">
        <f>IFERROR(__xludf.DUMMYFUNCTION("GOOGLETRANSLATE(L183,""zh-CN"", ""en"")"),"#VALUE!")</f>
        <v>#VALUE!</v>
      </c>
      <c r="N183" s="48"/>
      <c r="O183" s="48"/>
      <c r="P183" s="48" t="s">
        <v>2283</v>
      </c>
      <c r="Q183" s="55" t="s">
        <v>2284</v>
      </c>
      <c r="R183" s="55" t="s">
        <v>99</v>
      </c>
      <c r="S183" s="55" t="s">
        <v>2285</v>
      </c>
      <c r="T183" s="55" t="s">
        <v>2286</v>
      </c>
    </row>
    <row r="184" ht="15.75" customHeight="1">
      <c r="A184" s="48" t="s">
        <v>2287</v>
      </c>
      <c r="B184" s="154" t="str">
        <f>IFERROR(__xludf.DUMMYFUNCTION("GOOGLETRANSLATE(A184,""zh-CN"", ""en"")"),"QByV_V4")</f>
        <v>QByV_V4</v>
      </c>
      <c r="C184" s="48" t="s">
        <v>2288</v>
      </c>
      <c r="D184" s="48">
        <v>1559.0</v>
      </c>
      <c r="E184" s="48" t="s">
        <v>104</v>
      </c>
      <c r="F184" s="52">
        <v>2.0</v>
      </c>
      <c r="G184" s="48" t="s">
        <v>2289</v>
      </c>
      <c r="H184" s="179"/>
      <c r="I184" s="179">
        <v>0.001</v>
      </c>
      <c r="J184" s="16"/>
      <c r="K184" s="48"/>
      <c r="L184" s="48"/>
      <c r="M184" s="136" t="str">
        <f>IFERROR(__xludf.DUMMYFUNCTION("GOOGLETRANSLATE(L184,""zh-CN"", ""en"")"),"#VALUE!")</f>
        <v>#VALUE!</v>
      </c>
      <c r="N184" s="48"/>
      <c r="O184" s="48"/>
      <c r="P184" s="48" t="s">
        <v>2290</v>
      </c>
      <c r="Q184" s="55" t="s">
        <v>2291</v>
      </c>
      <c r="R184" s="55" t="s">
        <v>99</v>
      </c>
      <c r="S184" s="55" t="s">
        <v>2292</v>
      </c>
      <c r="T184" s="55" t="s">
        <v>2293</v>
      </c>
    </row>
    <row r="185" ht="15.75" customHeight="1">
      <c r="A185" s="48" t="s">
        <v>2294</v>
      </c>
      <c r="B185" s="154" t="str">
        <f>IFERROR(__xludf.DUMMYFUNCTION("GOOGLETRANSLATE(A185,""zh-CN"", ""en"")"),"QByV_Pct1")</f>
        <v>QByV_Pct1</v>
      </c>
      <c r="C185" s="48" t="s">
        <v>2295</v>
      </c>
      <c r="D185" s="48">
        <v>1560.0</v>
      </c>
      <c r="E185" s="48" t="s">
        <v>235</v>
      </c>
      <c r="F185" s="52">
        <v>2.0</v>
      </c>
      <c r="G185" s="48" t="s">
        <v>2296</v>
      </c>
      <c r="H185" s="179"/>
      <c r="I185" s="179">
        <v>0.001</v>
      </c>
      <c r="J185" s="48"/>
      <c r="K185" s="48"/>
      <c r="L185" s="48" t="s">
        <v>2297</v>
      </c>
      <c r="M185" s="136" t="str">
        <f>IFERROR(__xludf.DUMMYFUNCTION("GOOGLETRANSLATE(L185,""zh-CN"", ""en"")"),"yes")</f>
        <v>yes</v>
      </c>
      <c r="N185" s="48"/>
      <c r="O185" s="48"/>
      <c r="P185" s="48" t="s">
        <v>2298</v>
      </c>
      <c r="Q185" s="55" t="s">
        <v>2299</v>
      </c>
      <c r="R185" s="55" t="s">
        <v>99</v>
      </c>
      <c r="S185" s="55" t="s">
        <v>2300</v>
      </c>
      <c r="T185" s="55" t="s">
        <v>2301</v>
      </c>
    </row>
    <row r="186" ht="15.75" customHeight="1">
      <c r="A186" s="48" t="s">
        <v>2302</v>
      </c>
      <c r="B186" s="154" t="str">
        <f>IFERROR(__xludf.DUMMYFUNCTION("GOOGLETRANSLATE(A186,""zh-CN"", ""en"")"),"QByV_Pct2")</f>
        <v>QByV_Pct2</v>
      </c>
      <c r="C186" s="48" t="s">
        <v>2303</v>
      </c>
      <c r="D186" s="48">
        <v>1561.0</v>
      </c>
      <c r="E186" s="48" t="s">
        <v>235</v>
      </c>
      <c r="F186" s="52">
        <v>2.0</v>
      </c>
      <c r="G186" s="48"/>
      <c r="H186" s="179"/>
      <c r="I186" s="179"/>
      <c r="J186" s="48"/>
      <c r="K186" s="48"/>
      <c r="L186" s="48"/>
      <c r="M186" s="136" t="str">
        <f>IFERROR(__xludf.DUMMYFUNCTION("GOOGLETRANSLATE(L186,""zh-CN"", ""en"")"),"#VALUE!")</f>
        <v>#VALUE!</v>
      </c>
      <c r="N186" s="48"/>
      <c r="O186" s="48"/>
      <c r="P186" s="48" t="s">
        <v>2304</v>
      </c>
      <c r="Q186" s="55" t="s">
        <v>2305</v>
      </c>
      <c r="R186" s="55" t="s">
        <v>99</v>
      </c>
      <c r="S186" s="55" t="s">
        <v>2306</v>
      </c>
      <c r="T186" s="55" t="s">
        <v>2307</v>
      </c>
    </row>
    <row r="187" ht="15.75" customHeight="1">
      <c r="A187" s="48" t="s">
        <v>2308</v>
      </c>
      <c r="B187" s="154" t="str">
        <f>IFERROR(__xludf.DUMMYFUNCTION("GOOGLETRANSLATE(A187,""zh-CN"", ""en"")"),"QByV_Pct3")</f>
        <v>QByV_Pct3</v>
      </c>
      <c r="C187" s="48" t="s">
        <v>2309</v>
      </c>
      <c r="D187" s="48">
        <v>1562.0</v>
      </c>
      <c r="E187" s="48" t="s">
        <v>235</v>
      </c>
      <c r="F187" s="52">
        <v>2.0</v>
      </c>
      <c r="G187" s="48"/>
      <c r="H187" s="179"/>
      <c r="I187" s="179"/>
      <c r="J187" s="48"/>
      <c r="K187" s="48"/>
      <c r="L187" s="48"/>
      <c r="M187" s="136" t="str">
        <f>IFERROR(__xludf.DUMMYFUNCTION("GOOGLETRANSLATE(L187,""zh-CN"", ""en"")"),"#VALUE!")</f>
        <v>#VALUE!</v>
      </c>
      <c r="N187" s="48"/>
      <c r="O187" s="48"/>
      <c r="P187" s="48" t="s">
        <v>2310</v>
      </c>
      <c r="Q187" s="55" t="s">
        <v>2311</v>
      </c>
      <c r="R187" s="55" t="s">
        <v>99</v>
      </c>
      <c r="S187" s="55" t="s">
        <v>2312</v>
      </c>
      <c r="T187" s="55" t="s">
        <v>2313</v>
      </c>
    </row>
    <row r="188" ht="15.75" customHeight="1">
      <c r="A188" s="48" t="s">
        <v>2314</v>
      </c>
      <c r="B188" s="154" t="str">
        <f>IFERROR(__xludf.DUMMYFUNCTION("GOOGLETRANSLATE(A188,""zh-CN"", ""en"")"),"QByV_Pct4")</f>
        <v>QByV_Pct4</v>
      </c>
      <c r="C188" s="48" t="s">
        <v>2315</v>
      </c>
      <c r="D188" s="48">
        <v>1563.0</v>
      </c>
      <c r="E188" s="48" t="s">
        <v>235</v>
      </c>
      <c r="F188" s="52">
        <v>2.0</v>
      </c>
      <c r="G188" s="48" t="s">
        <v>2316</v>
      </c>
      <c r="H188" s="179"/>
      <c r="I188" s="179">
        <v>0.001</v>
      </c>
      <c r="J188" s="48"/>
      <c r="K188" s="48"/>
      <c r="L188" s="48" t="s">
        <v>2317</v>
      </c>
      <c r="M188" s="136" t="str">
        <f>IFERROR(__xludf.DUMMYFUNCTION("GOOGLETRANSLATE(L188,""zh-CN"", ""en"")"),"yes")</f>
        <v>yes</v>
      </c>
      <c r="N188" s="48"/>
      <c r="O188" s="48"/>
      <c r="P188" s="48" t="s">
        <v>2318</v>
      </c>
      <c r="Q188" s="55" t="s">
        <v>2319</v>
      </c>
      <c r="R188" s="55" t="s">
        <v>99</v>
      </c>
      <c r="S188" s="55" t="s">
        <v>2320</v>
      </c>
      <c r="T188" s="55" t="s">
        <v>2321</v>
      </c>
    </row>
    <row r="189" ht="15.75" customHeight="1">
      <c r="A189" s="48" t="s">
        <v>2322</v>
      </c>
      <c r="B189" s="154" t="str">
        <f>IFERROR(__xludf.DUMMYFUNCTION("GOOGLETRANSLATE(A189,""zh-CN"", ""en"")"),"PfByPPStart")</f>
        <v>PfByPPStart</v>
      </c>
      <c r="C189" s="48" t="s">
        <v>2322</v>
      </c>
      <c r="D189" s="48">
        <v>1564.0</v>
      </c>
      <c r="E189" s="48" t="s">
        <v>235</v>
      </c>
      <c r="F189" s="52">
        <v>2.0</v>
      </c>
      <c r="G189" s="48" t="s">
        <v>2323</v>
      </c>
      <c r="H189" s="179"/>
      <c r="I189" s="179">
        <v>0.001</v>
      </c>
      <c r="J189" s="48"/>
      <c r="K189" s="48"/>
      <c r="L189" s="48" t="s">
        <v>2324</v>
      </c>
      <c r="M189" s="136" t="str">
        <f>IFERROR(__xludf.DUMMYFUNCTION("GOOGLETRANSLATE(L189,""zh-CN"", ""en"")"),"yes")</f>
        <v>yes</v>
      </c>
      <c r="N189" s="48"/>
      <c r="O189" s="48"/>
      <c r="P189" s="48" t="s">
        <v>2325</v>
      </c>
      <c r="Q189" s="55" t="s">
        <v>2326</v>
      </c>
      <c r="R189" s="55" t="s">
        <v>99</v>
      </c>
      <c r="S189" s="55" t="s">
        <v>2327</v>
      </c>
      <c r="T189" s="55" t="s">
        <v>2328</v>
      </c>
    </row>
    <row r="190" ht="15.75" customHeight="1">
      <c r="A190" s="48" t="s">
        <v>2329</v>
      </c>
      <c r="B190" s="154" t="str">
        <f>IFERROR(__xludf.DUMMYFUNCTION("GOOGLETRANSLATE(A190,""zh-CN"", ""en"")"),"PfByPPfEnd")</f>
        <v>PfByPPfEnd</v>
      </c>
      <c r="C190" s="48" t="s">
        <v>2329</v>
      </c>
      <c r="D190" s="48">
        <v>1565.0</v>
      </c>
      <c r="E190" s="48" t="s">
        <v>235</v>
      </c>
      <c r="F190" s="52">
        <v>2.0</v>
      </c>
      <c r="G190" s="48" t="s">
        <v>2260</v>
      </c>
      <c r="H190" s="48"/>
      <c r="I190" s="48">
        <v>0.001</v>
      </c>
      <c r="J190" s="48"/>
      <c r="K190" s="48"/>
      <c r="L190" s="48" t="s">
        <v>2330</v>
      </c>
      <c r="M190" s="136" t="str">
        <f>IFERROR(__xludf.DUMMYFUNCTION("GOOGLETRANSLATE(L190,""zh-CN"", ""en"")"),"yes")</f>
        <v>yes</v>
      </c>
      <c r="N190" s="48"/>
      <c r="O190" s="48"/>
      <c r="P190" s="48" t="s">
        <v>2331</v>
      </c>
      <c r="Q190" s="55" t="s">
        <v>2332</v>
      </c>
      <c r="R190" s="55" t="s">
        <v>99</v>
      </c>
      <c r="S190" s="55" t="s">
        <v>2333</v>
      </c>
      <c r="T190" s="55" t="s">
        <v>2334</v>
      </c>
    </row>
    <row r="191" ht="15.75" customHeight="1">
      <c r="A191" s="170" t="s">
        <v>2335</v>
      </c>
      <c r="B191" s="154" t="str">
        <f>IFERROR(__xludf.DUMMYFUNCTION("GOOGLETRANSLATE(A191,""zh-CN"", ""en"")"),"PfByPRate")</f>
        <v>PfByPRate</v>
      </c>
      <c r="C191" s="170" t="s">
        <v>2335</v>
      </c>
      <c r="D191" s="170">
        <v>1566.0</v>
      </c>
      <c r="E191" s="170" t="s">
        <v>104</v>
      </c>
      <c r="F191" s="171">
        <v>2.0</v>
      </c>
      <c r="G191" s="181" t="s">
        <v>1954</v>
      </c>
      <c r="H191" s="181"/>
      <c r="I191" s="181" t="s">
        <v>2336</v>
      </c>
      <c r="J191" s="170"/>
      <c r="K191" s="170"/>
      <c r="L191" s="170"/>
      <c r="M191" s="136" t="str">
        <f>IFERROR(__xludf.DUMMYFUNCTION("GOOGLETRANSLATE(L191,""zh-CN"", ""en"")"),"#VALUE!")</f>
        <v>#VALUE!</v>
      </c>
      <c r="N191" s="170"/>
      <c r="O191" s="170"/>
      <c r="P191" s="170" t="s">
        <v>2337</v>
      </c>
      <c r="Q191" s="173" t="s">
        <v>2338</v>
      </c>
      <c r="R191" s="173" t="s">
        <v>99</v>
      </c>
      <c r="S191" s="173" t="s">
        <v>2339</v>
      </c>
      <c r="T191" s="173" t="s">
        <v>2340</v>
      </c>
      <c r="U191" s="174"/>
      <c r="V191" s="174"/>
      <c r="W191" s="174"/>
      <c r="X191" s="174"/>
      <c r="Y191" s="174"/>
      <c r="Z191" s="174"/>
      <c r="AA191" s="174"/>
      <c r="AB191" s="174"/>
      <c r="AC191" s="174"/>
      <c r="AD191" s="174"/>
      <c r="AE191" s="174"/>
    </row>
    <row r="192" ht="15.75" customHeight="1">
      <c r="A192" s="170" t="s">
        <v>2341</v>
      </c>
      <c r="B192" s="154" t="str">
        <f>IFERROR(__xludf.DUMMYFUNCTION("GOOGLETRANSLATE(A192,""zh-CN"", ""en"")"),"PfByP_P1")</f>
        <v>PfByP_P1</v>
      </c>
      <c r="C192" s="170" t="s">
        <v>2342</v>
      </c>
      <c r="D192" s="170">
        <v>1567.0</v>
      </c>
      <c r="E192" s="170" t="s">
        <v>235</v>
      </c>
      <c r="F192" s="171">
        <v>2.0</v>
      </c>
      <c r="G192" s="185" t="s">
        <v>2343</v>
      </c>
      <c r="H192" s="186"/>
      <c r="I192" s="186">
        <v>0.001</v>
      </c>
      <c r="J192" s="170"/>
      <c r="K192" s="170"/>
      <c r="L192" s="170"/>
      <c r="M192" s="136" t="str">
        <f>IFERROR(__xludf.DUMMYFUNCTION("GOOGLETRANSLATE(L192,""zh-CN"", ""en"")"),"#VALUE!")</f>
        <v>#VALUE!</v>
      </c>
      <c r="N192" s="170"/>
      <c r="O192" s="170"/>
      <c r="P192" s="170" t="s">
        <v>2344</v>
      </c>
      <c r="Q192" s="173" t="s">
        <v>2345</v>
      </c>
      <c r="R192" s="173" t="s">
        <v>99</v>
      </c>
      <c r="S192" s="173" t="s">
        <v>2346</v>
      </c>
      <c r="T192" s="173" t="s">
        <v>2347</v>
      </c>
      <c r="U192" s="174"/>
      <c r="V192" s="174"/>
      <c r="W192" s="174"/>
      <c r="X192" s="174"/>
      <c r="Y192" s="174"/>
      <c r="Z192" s="174"/>
      <c r="AA192" s="174"/>
      <c r="AB192" s="174"/>
      <c r="AC192" s="174"/>
      <c r="AD192" s="174"/>
      <c r="AE192" s="174"/>
    </row>
    <row r="193" ht="15.75" customHeight="1">
      <c r="A193" s="170" t="s">
        <v>2348</v>
      </c>
      <c r="B193" s="154" t="str">
        <f>IFERROR(__xludf.DUMMYFUNCTION("GOOGLETRANSLATE(A193,""zh-CN"", ""en"")"),"PfByP_P2")</f>
        <v>PfByP_P2</v>
      </c>
      <c r="C193" s="170" t="s">
        <v>2349</v>
      </c>
      <c r="D193" s="170">
        <v>1568.0</v>
      </c>
      <c r="E193" s="170" t="s">
        <v>235</v>
      </c>
      <c r="F193" s="171">
        <v>2.0</v>
      </c>
      <c r="G193" s="185" t="s">
        <v>2343</v>
      </c>
      <c r="H193" s="186"/>
      <c r="I193" s="186">
        <v>0.001</v>
      </c>
      <c r="J193" s="170"/>
      <c r="K193" s="170"/>
      <c r="L193" s="170"/>
      <c r="M193" s="136" t="str">
        <f>IFERROR(__xludf.DUMMYFUNCTION("GOOGLETRANSLATE(L193,""zh-CN"", ""en"")"),"#VALUE!")</f>
        <v>#VALUE!</v>
      </c>
      <c r="N193" s="170"/>
      <c r="O193" s="170"/>
      <c r="P193" s="170" t="s">
        <v>2350</v>
      </c>
      <c r="Q193" s="173" t="s">
        <v>2351</v>
      </c>
      <c r="R193" s="173" t="s">
        <v>99</v>
      </c>
      <c r="S193" s="173" t="s">
        <v>2352</v>
      </c>
      <c r="T193" s="173" t="s">
        <v>2353</v>
      </c>
      <c r="U193" s="174"/>
      <c r="V193" s="174"/>
      <c r="W193" s="174"/>
      <c r="X193" s="174"/>
      <c r="Y193" s="174"/>
      <c r="Z193" s="174"/>
      <c r="AA193" s="174"/>
      <c r="AB193" s="174"/>
      <c r="AC193" s="174"/>
      <c r="AD193" s="174"/>
      <c r="AE193" s="174"/>
    </row>
    <row r="194" ht="15.75" customHeight="1">
      <c r="A194" s="170" t="s">
        <v>2354</v>
      </c>
      <c r="B194" s="154" t="str">
        <f>IFERROR(__xludf.DUMMYFUNCTION("GOOGLETRANSLATE(A194,""zh-CN"", ""en"")"),"PfByP_P3")</f>
        <v>PfByP_P3</v>
      </c>
      <c r="C194" s="170" t="s">
        <v>2355</v>
      </c>
      <c r="D194" s="170">
        <v>1569.0</v>
      </c>
      <c r="E194" s="170" t="s">
        <v>235</v>
      </c>
      <c r="F194" s="171">
        <v>2.0</v>
      </c>
      <c r="G194" s="185" t="s">
        <v>2343</v>
      </c>
      <c r="H194" s="186"/>
      <c r="I194" s="186">
        <v>0.001</v>
      </c>
      <c r="J194" s="170"/>
      <c r="K194" s="170"/>
      <c r="L194" s="170"/>
      <c r="M194" s="136" t="str">
        <f>IFERROR(__xludf.DUMMYFUNCTION("GOOGLETRANSLATE(L194,""zh-CN"", ""en"")"),"#VALUE!")</f>
        <v>#VALUE!</v>
      </c>
      <c r="N194" s="170"/>
      <c r="O194" s="170"/>
      <c r="P194" s="170" t="s">
        <v>2356</v>
      </c>
      <c r="Q194" s="173" t="s">
        <v>2357</v>
      </c>
      <c r="R194" s="173" t="s">
        <v>99</v>
      </c>
      <c r="S194" s="173" t="s">
        <v>2358</v>
      </c>
      <c r="T194" s="173" t="s">
        <v>2359</v>
      </c>
      <c r="U194" s="174"/>
      <c r="V194" s="174"/>
      <c r="W194" s="174"/>
      <c r="X194" s="174"/>
      <c r="Y194" s="174"/>
      <c r="Z194" s="174"/>
      <c r="AA194" s="174"/>
      <c r="AB194" s="174"/>
      <c r="AC194" s="174"/>
      <c r="AD194" s="174"/>
      <c r="AE194" s="174"/>
    </row>
    <row r="195" ht="15.75" customHeight="1">
      <c r="A195" s="170" t="s">
        <v>2360</v>
      </c>
      <c r="B195" s="154" t="str">
        <f>IFERROR(__xludf.DUMMYFUNCTION("GOOGLETRANSLATE(A195,""zh-CN"", ""en"")"),"PfByP_P4")</f>
        <v>PfByP_P4</v>
      </c>
      <c r="C195" s="170" t="s">
        <v>2361</v>
      </c>
      <c r="D195" s="170">
        <v>1570.0</v>
      </c>
      <c r="E195" s="170" t="s">
        <v>235</v>
      </c>
      <c r="F195" s="171">
        <v>2.0</v>
      </c>
      <c r="G195" s="185" t="s">
        <v>2343</v>
      </c>
      <c r="H195" s="186"/>
      <c r="I195" s="186">
        <v>0.001</v>
      </c>
      <c r="J195" s="170"/>
      <c r="K195" s="170"/>
      <c r="L195" s="170"/>
      <c r="M195" s="136" t="str">
        <f>IFERROR(__xludf.DUMMYFUNCTION("GOOGLETRANSLATE(L195,""zh-CN"", ""en"")"),"#VALUE!")</f>
        <v>#VALUE!</v>
      </c>
      <c r="N195" s="170"/>
      <c r="O195" s="170"/>
      <c r="P195" s="170" t="s">
        <v>2362</v>
      </c>
      <c r="Q195" s="173" t="s">
        <v>2363</v>
      </c>
      <c r="R195" s="173" t="s">
        <v>99</v>
      </c>
      <c r="S195" s="173" t="s">
        <v>2364</v>
      </c>
      <c r="T195" s="173" t="s">
        <v>2365</v>
      </c>
      <c r="U195" s="174"/>
      <c r="V195" s="174"/>
      <c r="W195" s="174"/>
      <c r="X195" s="174"/>
      <c r="Y195" s="174"/>
      <c r="Z195" s="174"/>
      <c r="AA195" s="174"/>
      <c r="AB195" s="174"/>
      <c r="AC195" s="174"/>
      <c r="AD195" s="174"/>
      <c r="AE195" s="174"/>
    </row>
    <row r="196" ht="15.75" customHeight="1">
      <c r="A196" s="170" t="s">
        <v>2366</v>
      </c>
      <c r="B196" s="154" t="str">
        <f>IFERROR(__xludf.DUMMYFUNCTION("GOOGLETRANSLATE(A196,""zh-CN"", ""en"")"),"PfByP_Pf1")</f>
        <v>PfByP_Pf1</v>
      </c>
      <c r="C196" s="170" t="s">
        <v>2367</v>
      </c>
      <c r="D196" s="170">
        <v>1571.0</v>
      </c>
      <c r="E196" s="170" t="s">
        <v>235</v>
      </c>
      <c r="F196" s="171">
        <v>2.0</v>
      </c>
      <c r="G196" s="185" t="s">
        <v>2368</v>
      </c>
      <c r="H196" s="186"/>
      <c r="I196" s="186">
        <v>0.001</v>
      </c>
      <c r="J196" s="170"/>
      <c r="K196" s="170"/>
      <c r="L196" s="170"/>
      <c r="M196" s="136" t="str">
        <f>IFERROR(__xludf.DUMMYFUNCTION("GOOGLETRANSLATE(L196,""zh-CN"", ""en"")"),"#VALUE!")</f>
        <v>#VALUE!</v>
      </c>
      <c r="N196" s="170"/>
      <c r="O196" s="170"/>
      <c r="P196" s="170" t="s">
        <v>2369</v>
      </c>
      <c r="Q196" s="173" t="s">
        <v>2370</v>
      </c>
      <c r="R196" s="173" t="s">
        <v>99</v>
      </c>
      <c r="S196" s="173" t="s">
        <v>2371</v>
      </c>
      <c r="T196" s="173" t="s">
        <v>2372</v>
      </c>
      <c r="U196" s="174"/>
      <c r="V196" s="174"/>
      <c r="W196" s="174"/>
      <c r="X196" s="174"/>
      <c r="Y196" s="174"/>
      <c r="Z196" s="174"/>
      <c r="AA196" s="174"/>
      <c r="AB196" s="174"/>
      <c r="AC196" s="174"/>
      <c r="AD196" s="174"/>
      <c r="AE196" s="174"/>
    </row>
    <row r="197" ht="15.75" customHeight="1">
      <c r="A197" s="170" t="s">
        <v>2373</v>
      </c>
      <c r="B197" s="154" t="str">
        <f>IFERROR(__xludf.DUMMYFUNCTION("GOOGLETRANSLATE(A197,""zh-CN"", ""en"")"),"PfByP_Pf2")</f>
        <v>PfByP_Pf2</v>
      </c>
      <c r="C197" s="170" t="s">
        <v>2374</v>
      </c>
      <c r="D197" s="170">
        <v>1572.0</v>
      </c>
      <c r="E197" s="170" t="s">
        <v>235</v>
      </c>
      <c r="F197" s="171">
        <v>2.0</v>
      </c>
      <c r="G197" s="185" t="s">
        <v>2368</v>
      </c>
      <c r="H197" s="186"/>
      <c r="I197" s="186">
        <v>0.001</v>
      </c>
      <c r="J197" s="170"/>
      <c r="K197" s="170"/>
      <c r="L197" s="170"/>
      <c r="M197" s="136" t="str">
        <f>IFERROR(__xludf.DUMMYFUNCTION("GOOGLETRANSLATE(L197,""zh-CN"", ""en"")"),"#VALUE!")</f>
        <v>#VALUE!</v>
      </c>
      <c r="N197" s="170"/>
      <c r="O197" s="170"/>
      <c r="P197" s="170" t="s">
        <v>2375</v>
      </c>
      <c r="Q197" s="173" t="s">
        <v>2376</v>
      </c>
      <c r="R197" s="173" t="s">
        <v>99</v>
      </c>
      <c r="S197" s="173" t="s">
        <v>2377</v>
      </c>
      <c r="T197" s="173" t="s">
        <v>2378</v>
      </c>
      <c r="U197" s="174"/>
      <c r="V197" s="174"/>
      <c r="W197" s="174"/>
      <c r="X197" s="174"/>
      <c r="Y197" s="174"/>
      <c r="Z197" s="174"/>
      <c r="AA197" s="174"/>
      <c r="AB197" s="174"/>
      <c r="AC197" s="174"/>
      <c r="AD197" s="174"/>
      <c r="AE197" s="174"/>
    </row>
    <row r="198" ht="15.75" customHeight="1">
      <c r="A198" s="170" t="s">
        <v>2379</v>
      </c>
      <c r="B198" s="154" t="str">
        <f>IFERROR(__xludf.DUMMYFUNCTION("GOOGLETRANSLATE(A198,""zh-CN"", ""en"")"),"PfByP_Pf3")</f>
        <v>PfByP_Pf3</v>
      </c>
      <c r="C198" s="170" t="s">
        <v>2380</v>
      </c>
      <c r="D198" s="170">
        <v>1573.0</v>
      </c>
      <c r="E198" s="170" t="s">
        <v>235</v>
      </c>
      <c r="F198" s="171">
        <v>2.0</v>
      </c>
      <c r="G198" s="185" t="s">
        <v>2368</v>
      </c>
      <c r="H198" s="186"/>
      <c r="I198" s="186">
        <v>0.001</v>
      </c>
      <c r="J198" s="170"/>
      <c r="K198" s="170"/>
      <c r="L198" s="170"/>
      <c r="M198" s="136" t="str">
        <f>IFERROR(__xludf.DUMMYFUNCTION("GOOGLETRANSLATE(L198,""zh-CN"", ""en"")"),"#VALUE!")</f>
        <v>#VALUE!</v>
      </c>
      <c r="N198" s="170"/>
      <c r="O198" s="170"/>
      <c r="P198" s="170" t="s">
        <v>2381</v>
      </c>
      <c r="Q198" s="173" t="s">
        <v>2382</v>
      </c>
      <c r="R198" s="173" t="s">
        <v>99</v>
      </c>
      <c r="S198" s="173" t="s">
        <v>2383</v>
      </c>
      <c r="T198" s="173" t="s">
        <v>2384</v>
      </c>
      <c r="U198" s="174"/>
      <c r="V198" s="174"/>
      <c r="W198" s="174"/>
      <c r="X198" s="174"/>
      <c r="Y198" s="174"/>
      <c r="Z198" s="174"/>
      <c r="AA198" s="174"/>
      <c r="AB198" s="174"/>
      <c r="AC198" s="174"/>
      <c r="AD198" s="174"/>
      <c r="AE198" s="174"/>
    </row>
    <row r="199" ht="15.75" customHeight="1">
      <c r="A199" s="170" t="s">
        <v>2385</v>
      </c>
      <c r="B199" s="154" t="str">
        <f>IFERROR(__xludf.DUMMYFUNCTION("GOOGLETRANSLATE(A199,""zh-CN"", ""en"")"),"PfByP_Pf4")</f>
        <v>PfByP_Pf4</v>
      </c>
      <c r="C199" s="170" t="s">
        <v>2386</v>
      </c>
      <c r="D199" s="170">
        <v>1574.0</v>
      </c>
      <c r="E199" s="170" t="s">
        <v>235</v>
      </c>
      <c r="F199" s="171">
        <v>2.0</v>
      </c>
      <c r="G199" s="185" t="s">
        <v>2368</v>
      </c>
      <c r="H199" s="186"/>
      <c r="I199" s="186">
        <v>0.001</v>
      </c>
      <c r="J199" s="170"/>
      <c r="K199" s="170"/>
      <c r="L199" s="170"/>
      <c r="M199" s="136" t="str">
        <f>IFERROR(__xludf.DUMMYFUNCTION("GOOGLETRANSLATE(L199,""zh-CN"", ""en"")"),"#VALUE!")</f>
        <v>#VALUE!</v>
      </c>
      <c r="N199" s="170"/>
      <c r="O199" s="170"/>
      <c r="P199" s="170" t="s">
        <v>2387</v>
      </c>
      <c r="Q199" s="173" t="s">
        <v>2388</v>
      </c>
      <c r="R199" s="173" t="s">
        <v>99</v>
      </c>
      <c r="S199" s="173" t="s">
        <v>2389</v>
      </c>
      <c r="T199" s="173" t="s">
        <v>2390</v>
      </c>
      <c r="U199" s="174"/>
      <c r="V199" s="174"/>
      <c r="W199" s="174"/>
      <c r="X199" s="174"/>
      <c r="Y199" s="174"/>
      <c r="Z199" s="174"/>
      <c r="AA199" s="174"/>
      <c r="AB199" s="174"/>
      <c r="AC199" s="174"/>
      <c r="AD199" s="174"/>
      <c r="AE199" s="174"/>
    </row>
    <row r="200" ht="15.75" customHeight="1">
      <c r="A200" s="48" t="s">
        <v>2391</v>
      </c>
      <c r="B200" s="154" t="str">
        <f>IFERROR(__xludf.DUMMYFUNCTION("GOOGLETRANSLATE(A200,""zh-CN"", ""en"")"),"Voltage proportional point when Q(P) function is enabled")</f>
        <v>Voltage proportional point when Q(P) function is enabled</v>
      </c>
      <c r="C200" s="48" t="s">
        <v>2392</v>
      </c>
      <c r="D200" s="48">
        <v>1575.0</v>
      </c>
      <c r="E200" s="48" t="s">
        <v>104</v>
      </c>
      <c r="F200" s="52">
        <v>2.0</v>
      </c>
      <c r="G200" s="187"/>
      <c r="H200" s="187"/>
      <c r="I200" s="187"/>
      <c r="J200" s="48"/>
      <c r="K200" s="48"/>
      <c r="L200" s="48" t="s">
        <v>2393</v>
      </c>
      <c r="M200" s="136" t="str">
        <f>IFERROR(__xludf.DUMMYFUNCTION("GOOGLETRANSLATE(L200,""zh-CN"", ""en"")"),"yes")</f>
        <v>yes</v>
      </c>
      <c r="N200" s="48"/>
      <c r="O200" s="48"/>
      <c r="P200" s="48" t="s">
        <v>2394</v>
      </c>
      <c r="Q200" s="55" t="s">
        <v>2395</v>
      </c>
      <c r="R200" s="55" t="s">
        <v>99</v>
      </c>
      <c r="S200" s="55" t="s">
        <v>2396</v>
      </c>
      <c r="T200" s="55" t="s">
        <v>2397</v>
      </c>
    </row>
    <row r="201" ht="15.75" customHeight="1">
      <c r="A201" s="48" t="s">
        <v>2398</v>
      </c>
      <c r="B201" s="154" t="str">
        <f>IFERROR(__xludf.DUMMYFUNCTION("GOOGLETRANSLATE(A201,""zh-CN"", ""en"")"),"Q(P) function exit enable voltage proportional point")</f>
        <v>Q(P) function exit enable voltage proportional point</v>
      </c>
      <c r="C201" s="48" t="s">
        <v>2399</v>
      </c>
      <c r="D201" s="48">
        <v>1576.0</v>
      </c>
      <c r="E201" s="48" t="s">
        <v>104</v>
      </c>
      <c r="F201" s="52">
        <v>2.0</v>
      </c>
      <c r="G201" s="187"/>
      <c r="H201" s="187"/>
      <c r="I201" s="187"/>
      <c r="J201" s="48"/>
      <c r="K201" s="48"/>
      <c r="L201" s="48" t="s">
        <v>2400</v>
      </c>
      <c r="M201" s="136" t="str">
        <f>IFERROR(__xludf.DUMMYFUNCTION("GOOGLETRANSLATE(L201,""zh-CN"", ""en"")"),"yes")</f>
        <v>yes</v>
      </c>
      <c r="N201" s="48"/>
      <c r="O201" s="48"/>
      <c r="P201" s="48" t="s">
        <v>2401</v>
      </c>
      <c r="Q201" s="55" t="s">
        <v>2402</v>
      </c>
      <c r="R201" s="55" t="s">
        <v>99</v>
      </c>
      <c r="S201" s="55" t="s">
        <v>2403</v>
      </c>
      <c r="T201" s="55" t="s">
        <v>2404</v>
      </c>
    </row>
    <row r="202" ht="15.75" customHeight="1">
      <c r="A202" s="48" t="s">
        <v>2405</v>
      </c>
      <c r="B202" s="154" t="str">
        <f>IFERROR(__xludf.DUMMYFUNCTION("GOOGLETRANSLATE(A202,""zh-CN"", ""en"")"),"Q(P) function exit enable power proportional point")</f>
        <v>Q(P) function exit enable power proportional point</v>
      </c>
      <c r="C202" s="48" t="s">
        <v>2406</v>
      </c>
      <c r="D202" s="48">
        <v>1577.0</v>
      </c>
      <c r="E202" s="48" t="s">
        <v>235</v>
      </c>
      <c r="F202" s="52">
        <v>2.0</v>
      </c>
      <c r="G202" s="187"/>
      <c r="H202" s="187"/>
      <c r="I202" s="187"/>
      <c r="J202" s="48"/>
      <c r="K202" s="48"/>
      <c r="L202" s="48" t="s">
        <v>2407</v>
      </c>
      <c r="M202" s="136" t="str">
        <f>IFERROR(__xludf.DUMMYFUNCTION("GOOGLETRANSLATE(L202,""zh-CN"", ""en"")"),"yes")</f>
        <v>yes</v>
      </c>
      <c r="N202" s="48"/>
      <c r="O202" s="48"/>
      <c r="P202" s="48" t="s">
        <v>2408</v>
      </c>
      <c r="Q202" s="55" t="s">
        <v>2409</v>
      </c>
      <c r="R202" s="55" t="s">
        <v>99</v>
      </c>
      <c r="S202" s="55" t="s">
        <v>2410</v>
      </c>
      <c r="T202" s="55" t="s">
        <v>2411</v>
      </c>
    </row>
    <row r="203" ht="15.75" customHeight="1">
      <c r="A203" s="48" t="s">
        <v>2412</v>
      </c>
      <c r="B203" s="154" t="str">
        <f>IFERROR(__xludf.DUMMYFUNCTION("GOOGLETRANSLATE(A203,""zh-CN"", ""en"")"),"Power proportional point when Q(U) function is enabled")</f>
        <v>Power proportional point when Q(U) function is enabled</v>
      </c>
      <c r="C203" s="48" t="s">
        <v>2413</v>
      </c>
      <c r="D203" s="48">
        <v>1578.0</v>
      </c>
      <c r="E203" s="48" t="s">
        <v>235</v>
      </c>
      <c r="F203" s="52">
        <v>2.0</v>
      </c>
      <c r="G203" s="187"/>
      <c r="H203" s="187"/>
      <c r="I203" s="187"/>
      <c r="J203" s="48"/>
      <c r="K203" s="48"/>
      <c r="L203" s="48" t="s">
        <v>2414</v>
      </c>
      <c r="M203" s="136" t="str">
        <f>IFERROR(__xludf.DUMMYFUNCTION("GOOGLETRANSLATE(L203,""zh-CN"", ""en"")"),"yes")</f>
        <v>yes</v>
      </c>
      <c r="N203" s="48"/>
      <c r="O203" s="48"/>
      <c r="P203" s="48" t="s">
        <v>2415</v>
      </c>
      <c r="Q203" s="55" t="s">
        <v>2416</v>
      </c>
      <c r="R203" s="55" t="s">
        <v>99</v>
      </c>
      <c r="S203" s="55" t="s">
        <v>2417</v>
      </c>
      <c r="T203" s="55" t="s">
        <v>2418</v>
      </c>
    </row>
    <row r="204" ht="15.75" customHeight="1">
      <c r="A204" s="48" t="s">
        <v>2419</v>
      </c>
      <c r="B204" s="154" t="str">
        <f>IFERROR(__xludf.DUMMYFUNCTION("GOOGLETRANSLATE(A204,""zh-CN"", ""en"")"),"Q(U) function exit enable power proportional point")</f>
        <v>Q(U) function exit enable power proportional point</v>
      </c>
      <c r="C204" s="48" t="s">
        <v>2420</v>
      </c>
      <c r="D204" s="48">
        <v>1579.0</v>
      </c>
      <c r="E204" s="48" t="s">
        <v>235</v>
      </c>
      <c r="F204" s="52">
        <v>2.0</v>
      </c>
      <c r="G204" s="187"/>
      <c r="H204" s="187"/>
      <c r="I204" s="187"/>
      <c r="J204" s="48"/>
      <c r="K204" s="48"/>
      <c r="L204" s="48" t="s">
        <v>2421</v>
      </c>
      <c r="M204" s="136" t="str">
        <f>IFERROR(__xludf.DUMMYFUNCTION("GOOGLETRANSLATE(L204,""zh-CN"", ""en"")"),"yes")</f>
        <v>yes</v>
      </c>
      <c r="N204" s="48"/>
      <c r="O204" s="48"/>
      <c r="P204" s="48" t="s">
        <v>2422</v>
      </c>
      <c r="Q204" s="55" t="s">
        <v>2423</v>
      </c>
      <c r="R204" s="55" t="s">
        <v>99</v>
      </c>
      <c r="S204" s="55" t="s">
        <v>2424</v>
      </c>
      <c r="T204" s="55" t="s">
        <v>2425</v>
      </c>
    </row>
    <row r="205" ht="15.75" customHeight="1">
      <c r="A205" s="135" t="s">
        <v>2426</v>
      </c>
      <c r="B205" s="154" t="str">
        <f>IFERROR(__xludf.DUMMYFUNCTION("GOOGLETRANSLATE(A205,""zh-CN"", ""en"")"),"Active and reactive power control enable")</f>
        <v>Active and reactive power control enable</v>
      </c>
      <c r="C205" s="48" t="s">
        <v>2427</v>
      </c>
      <c r="D205" s="48">
        <v>1580.0</v>
      </c>
      <c r="E205" s="48" t="s">
        <v>104</v>
      </c>
      <c r="F205" s="52">
        <v>2.0</v>
      </c>
      <c r="G205" s="48"/>
      <c r="H205" s="48"/>
      <c r="I205" s="48"/>
      <c r="J205" s="48" t="s">
        <v>2428</v>
      </c>
      <c r="K205" s="48" t="str">
        <f>IFERROR(__xludf.DUMMYFUNCTION("GOOGLETRANSLATE(J205,""zh-CN"", ""en"")"),"(Only affects the setting values ​​required by Sunspec)
B0: Active power setting limit enable
B1: PF setting control enable
B2: Reactive power setting control enable
B3: Reactive power volt_var curve enable
B4: Active power freq_watt curve enable
B5: Enab"&amp;"le active power curve hysteresis (external 0 means enable)
B6: Reactive power watt_pf curve enable
B7: Active power volt_watt curve enable
B8: Grid connection enable (connect)")</f>
        <v>(Only affects the setting values ​​required by Sunspec)
B0: Active power setting limit enable
B1: PF setting control enable
B2: Reactive power setting control enable
B3: Reactive power volt_var curve enable
B4: Active power freq_watt curve enable
B5: Enable active power curve hysteresis (external 0 means enable)
B6: Reactive power watt_pf curve enable
B7: Active power volt_watt curve enable
B8: Grid connection enable (connect)</v>
      </c>
      <c r="L205" s="48" t="s">
        <v>2429</v>
      </c>
      <c r="M205" s="136" t="str">
        <f>IFERROR(__xludf.DUMMYFUNCTION("GOOGLETRANSLATE(L205,""zh-CN"", ""en"")"),"yes")</f>
        <v>yes</v>
      </c>
      <c r="N205" s="135" t="s">
        <v>2430</v>
      </c>
      <c r="O205" s="48" t="str">
        <f>IFERROR(__xludf.DUMMYFUNCTION("GOOGLETRANSLATE(N205,""zh-CN"", ""en"")"),"Modify and add B3, B4, B5, B6, B7, B8")</f>
        <v>Modify and add B3, B4, B5, B6, B7, B8</v>
      </c>
      <c r="P205" s="48" t="s">
        <v>2431</v>
      </c>
      <c r="Q205" s="55" t="s">
        <v>2432</v>
      </c>
      <c r="R205" s="55" t="s">
        <v>99</v>
      </c>
      <c r="S205" s="55" t="s">
        <v>2433</v>
      </c>
      <c r="T205" s="55" t="s">
        <v>2434</v>
      </c>
      <c r="U205" s="176"/>
    </row>
    <row r="206" ht="15.75" customHeight="1">
      <c r="A206" s="135" t="s">
        <v>2435</v>
      </c>
      <c r="B206" s="154" t="str">
        <f>IFERROR(__xludf.DUMMYFUNCTION("GOOGLETRANSLATE(A206,""zh-CN"", ""en"")"),"Reactive power base value selection")</f>
        <v>Reactive power base value selection</v>
      </c>
      <c r="C206" s="48" t="s">
        <v>2436</v>
      </c>
      <c r="D206" s="48">
        <v>1581.0</v>
      </c>
      <c r="E206" s="48" t="s">
        <v>104</v>
      </c>
      <c r="F206" s="52">
        <v>2.0</v>
      </c>
      <c r="G206" s="48"/>
      <c r="H206" s="48"/>
      <c r="I206" s="48"/>
      <c r="J206" s="48" t="s">
        <v>2437</v>
      </c>
      <c r="K206" s="48"/>
      <c r="L206" s="48" t="s">
        <v>2438</v>
      </c>
      <c r="M206" s="136" t="str">
        <f>IFERROR(__xludf.DUMMYFUNCTION("GOOGLETRANSLATE(L206,""zh-CN"", ""en"")"),"yes")</f>
        <v>yes</v>
      </c>
      <c r="N206" s="48"/>
      <c r="O206" s="48"/>
      <c r="P206" s="48" t="s">
        <v>2439</v>
      </c>
      <c r="Q206" s="55" t="s">
        <v>2440</v>
      </c>
      <c r="R206" s="55" t="s">
        <v>99</v>
      </c>
      <c r="S206" s="55" t="s">
        <v>2441</v>
      </c>
      <c r="T206" s="55" t="s">
        <v>2442</v>
      </c>
    </row>
    <row r="207" ht="15.75" customHeight="1">
      <c r="A207" s="135" t="s">
        <v>2443</v>
      </c>
      <c r="B207" s="154" t="str">
        <f>IFERROR(__xludf.DUMMYFUNCTION("GOOGLETRANSLATE(A207,""zh-CN"", ""en"")"),"Active base value selection")</f>
        <v>Active base value selection</v>
      </c>
      <c r="C207" s="48" t="s">
        <v>2444</v>
      </c>
      <c r="D207" s="48">
        <v>1582.0</v>
      </c>
      <c r="E207" s="48" t="s">
        <v>104</v>
      </c>
      <c r="F207" s="52">
        <v>2.0</v>
      </c>
      <c r="G207" s="48"/>
      <c r="H207" s="48"/>
      <c r="I207" s="48"/>
      <c r="J207" s="48" t="s">
        <v>2445</v>
      </c>
      <c r="K207" s="48"/>
      <c r="L207" s="48"/>
      <c r="M207" s="136" t="str">
        <f>IFERROR(__xludf.DUMMYFUNCTION("GOOGLETRANSLATE(L207,""zh-CN"", ""en"")"),"#VALUE!")</f>
        <v>#VALUE!</v>
      </c>
      <c r="N207" s="48"/>
      <c r="O207" s="48"/>
      <c r="P207" s="48" t="s">
        <v>2446</v>
      </c>
      <c r="Q207" s="55" t="s">
        <v>2447</v>
      </c>
      <c r="R207" s="55" t="s">
        <v>99</v>
      </c>
      <c r="S207" s="55" t="s">
        <v>2448</v>
      </c>
      <c r="T207" s="55" t="s">
        <v>2449</v>
      </c>
    </row>
    <row r="208" ht="15.75" customHeight="1">
      <c r="A208" s="48" t="s">
        <v>2450</v>
      </c>
      <c r="B208" s="154" t="str">
        <f>IFERROR(__xludf.DUMMYFUNCTION("GOOGLETRANSLATE(A208,""zh-CN"", ""en"")"),"reserved")</f>
        <v>reserved</v>
      </c>
      <c r="C208" s="48" t="s">
        <v>207</v>
      </c>
      <c r="D208" s="48" t="s">
        <v>2451</v>
      </c>
      <c r="E208" s="48"/>
      <c r="F208" s="52"/>
      <c r="G208" s="48"/>
      <c r="H208" s="48"/>
      <c r="I208" s="48"/>
      <c r="J208" s="48"/>
      <c r="K208" s="48"/>
      <c r="L208" s="48"/>
      <c r="M208" s="136" t="str">
        <f>IFERROR(__xludf.DUMMYFUNCTION("GOOGLETRANSLATE(L208,""zh-CN"", ""en"")"),"#VALUE!")</f>
        <v>#VALUE!</v>
      </c>
      <c r="N208" s="48"/>
      <c r="O208" s="48"/>
      <c r="P208" s="48"/>
      <c r="Q208" s="55" t="s">
        <v>2452</v>
      </c>
      <c r="R208" s="55" t="s">
        <v>99</v>
      </c>
      <c r="S208" s="55" t="s">
        <v>2453</v>
      </c>
      <c r="T208" s="55" t="s">
        <v>2454</v>
      </c>
    </row>
    <row r="209" ht="15.75" customHeight="1">
      <c r="A209" s="162" t="s">
        <v>2455</v>
      </c>
      <c r="B209" s="154" t="str">
        <f>IFERROR(__xludf.DUMMYFUNCTION("GOOGLETRANSLATE(A209,""zh-CN"", ""en"")"),"Set parameter 5 (grid dispatch parameter 2)")</f>
        <v>Set parameter 5 (grid dispatch parameter 2)</v>
      </c>
      <c r="C209" s="163"/>
      <c r="D209" s="163"/>
      <c r="E209" s="163"/>
      <c r="F209" s="163"/>
      <c r="G209" s="163"/>
      <c r="H209" s="163"/>
      <c r="I209" s="163"/>
      <c r="J209" s="164"/>
      <c r="K209" s="164"/>
      <c r="L209" s="152"/>
      <c r="M209" s="136" t="str">
        <f>IFERROR(__xludf.DUMMYFUNCTION("GOOGLETRANSLATE(L209,""zh-CN"", ""en"")"),"#VALUE!")</f>
        <v>#VALUE!</v>
      </c>
      <c r="N209" s="152"/>
      <c r="O209" s="152"/>
      <c r="P209" s="152"/>
      <c r="Q209" s="55" t="s">
        <v>2456</v>
      </c>
      <c r="R209" s="55" t="s">
        <v>99</v>
      </c>
      <c r="S209" s="55" t="s">
        <v>2457</v>
      </c>
      <c r="T209" s="55" t="s">
        <v>2458</v>
      </c>
    </row>
    <row r="210" ht="15.75" customHeight="1">
      <c r="A210" s="169" t="s">
        <v>2459</v>
      </c>
      <c r="B210" s="154" t="str">
        <f>IFERROR(__xludf.DUMMYFUNCTION("GOOGLETRANSLATE(A210,""zh-CN"", ""en"")"),"LVRT protection level")</f>
        <v>LVRT protection level</v>
      </c>
      <c r="C210" s="169" t="s">
        <v>2460</v>
      </c>
      <c r="D210" s="170" t="s">
        <v>699</v>
      </c>
      <c r="E210" s="169" t="s">
        <v>104</v>
      </c>
      <c r="F210" s="171">
        <v>2.0</v>
      </c>
      <c r="G210" s="172" t="s">
        <v>2461</v>
      </c>
      <c r="H210" s="172"/>
      <c r="I210" s="172"/>
      <c r="J210" s="169">
        <v>2.0</v>
      </c>
      <c r="K210" s="169"/>
      <c r="L210" s="169" t="s">
        <v>2462</v>
      </c>
      <c r="M210" s="136" t="str">
        <f>IFERROR(__xludf.DUMMYFUNCTION("GOOGLETRANSLATE(L210,""zh-CN"", ""en"")"),"yes")</f>
        <v>yes</v>
      </c>
      <c r="N210" s="169"/>
      <c r="O210" s="169"/>
      <c r="P210" s="169" t="s">
        <v>2463</v>
      </c>
      <c r="Q210" s="173" t="s">
        <v>2464</v>
      </c>
      <c r="R210" s="173" t="s">
        <v>99</v>
      </c>
      <c r="S210" s="173" t="s">
        <v>2465</v>
      </c>
      <c r="T210" s="173" t="s">
        <v>2466</v>
      </c>
      <c r="U210" s="174"/>
      <c r="V210" s="174"/>
      <c r="W210" s="174"/>
      <c r="X210" s="174"/>
      <c r="Y210" s="174"/>
      <c r="Z210" s="174"/>
      <c r="AA210" s="174"/>
      <c r="AB210" s="174"/>
      <c r="AC210" s="174"/>
      <c r="AD210" s="174"/>
      <c r="AE210" s="174"/>
    </row>
    <row r="211" ht="15.75" customHeight="1">
      <c r="A211" s="141" t="s">
        <v>2467</v>
      </c>
      <c r="B211" s="154" t="str">
        <f>IFERROR(__xludf.DUMMYFUNCTION("GOOGLETRANSLATE(A211,""zh-CN"", ""en"")"),"LVRT grid unbalance support switch")</f>
        <v>LVRT grid unbalance support switch</v>
      </c>
      <c r="C211" s="141" t="s">
        <v>2468</v>
      </c>
      <c r="D211" s="136" t="s">
        <v>705</v>
      </c>
      <c r="E211" s="141" t="s">
        <v>104</v>
      </c>
      <c r="F211" s="137">
        <v>2.0</v>
      </c>
      <c r="G211" s="188"/>
      <c r="H211" s="188"/>
      <c r="I211" s="188"/>
      <c r="J211" s="136" t="s">
        <v>2469</v>
      </c>
      <c r="K211" s="136"/>
      <c r="L211" s="136" t="s">
        <v>2470</v>
      </c>
      <c r="M211" s="136" t="str">
        <f>IFERROR(__xludf.DUMMYFUNCTION("GOOGLETRANSLATE(L211,""zh-CN"", ""en"")"),"yes")</f>
        <v>yes</v>
      </c>
      <c r="N211" s="136"/>
      <c r="O211" s="136"/>
      <c r="P211" s="136" t="s">
        <v>2471</v>
      </c>
      <c r="Q211" s="55" t="s">
        <v>2472</v>
      </c>
      <c r="R211" s="55" t="s">
        <v>99</v>
      </c>
      <c r="S211" s="55" t="s">
        <v>2473</v>
      </c>
      <c r="T211" s="55" t="s">
        <v>2474</v>
      </c>
    </row>
    <row r="212" ht="15.75" customHeight="1">
      <c r="A212" s="141" t="s">
        <v>2475</v>
      </c>
      <c r="B212" s="154" t="str">
        <f>IFERROR(__xludf.DUMMYFUNCTION("GOOGLETRANSLATE(A212,""zh-CN"", ""en"")"),"LVRT zero power mode")</f>
        <v>LVRT zero power mode</v>
      </c>
      <c r="C212" s="141" t="s">
        <v>2476</v>
      </c>
      <c r="D212" s="136" t="s">
        <v>711</v>
      </c>
      <c r="E212" s="141" t="s">
        <v>104</v>
      </c>
      <c r="F212" s="137">
        <v>2.0</v>
      </c>
      <c r="G212" s="188"/>
      <c r="H212" s="188"/>
      <c r="I212" s="188"/>
      <c r="J212" s="136" t="s">
        <v>2469</v>
      </c>
      <c r="K212" s="136"/>
      <c r="L212" s="136" t="s">
        <v>2477</v>
      </c>
      <c r="M212" s="136" t="str">
        <f>IFERROR(__xludf.DUMMYFUNCTION("GOOGLETRANSLATE(L212,""zh-CN"", ""en"")"),"yes")</f>
        <v>yes</v>
      </c>
      <c r="N212" s="136"/>
      <c r="O212" s="136"/>
      <c r="P212" s="136" t="s">
        <v>2478</v>
      </c>
      <c r="Q212" s="55" t="s">
        <v>2479</v>
      </c>
      <c r="R212" s="55" t="s">
        <v>99</v>
      </c>
      <c r="S212" s="55" t="s">
        <v>2480</v>
      </c>
      <c r="T212" s="55" t="s">
        <v>2481</v>
      </c>
    </row>
    <row r="213" ht="15.75" customHeight="1">
      <c r="A213" s="141" t="s">
        <v>2482</v>
      </c>
      <c r="B213" s="154" t="str">
        <f>IFERROR(__xludf.DUMMYFUNCTION("GOOGLETRANSLATE(A213,""zh-CN"", ""en"")"),"LVRT K factor")</f>
        <v>LVRT K factor</v>
      </c>
      <c r="C213" s="141" t="s">
        <v>2483</v>
      </c>
      <c r="D213" s="136" t="s">
        <v>716</v>
      </c>
      <c r="E213" s="141" t="s">
        <v>104</v>
      </c>
      <c r="F213" s="137">
        <v>2.0</v>
      </c>
      <c r="G213" s="188"/>
      <c r="H213" s="188"/>
      <c r="I213" s="188"/>
      <c r="J213" s="136">
        <v>0.0</v>
      </c>
      <c r="K213" s="136"/>
      <c r="L213" s="136" t="s">
        <v>2484</v>
      </c>
      <c r="M213" s="136" t="str">
        <f>IFERROR(__xludf.DUMMYFUNCTION("GOOGLETRANSLATE(L213,""zh-CN"", ""en"")"),"yes")</f>
        <v>yes</v>
      </c>
      <c r="N213" s="136"/>
      <c r="O213" s="136"/>
      <c r="P213" s="136" t="s">
        <v>2485</v>
      </c>
      <c r="Q213" s="55" t="s">
        <v>2486</v>
      </c>
      <c r="R213" s="55" t="s">
        <v>99</v>
      </c>
      <c r="S213" s="55" t="s">
        <v>2487</v>
      </c>
      <c r="T213" s="55" t="s">
        <v>2488</v>
      </c>
    </row>
    <row r="214" ht="15.75" customHeight="1">
      <c r="A214" s="169" t="s">
        <v>2489</v>
      </c>
      <c r="B214" s="154" t="str">
        <f>IFERROR(__xludf.DUMMYFUNCTION("GOOGLETRANSLATE(A214,""zh-CN"", ""en"")"),"LVRT reactive power directive")</f>
        <v>LVRT reactive power directive</v>
      </c>
      <c r="C214" s="169" t="s">
        <v>2490</v>
      </c>
      <c r="D214" s="170" t="s">
        <v>720</v>
      </c>
      <c r="E214" s="169" t="s">
        <v>235</v>
      </c>
      <c r="F214" s="171">
        <v>2.0</v>
      </c>
      <c r="G214" s="175" t="s">
        <v>2343</v>
      </c>
      <c r="H214" s="183"/>
      <c r="I214" s="183">
        <v>0.001</v>
      </c>
      <c r="J214" s="170"/>
      <c r="K214" s="170"/>
      <c r="L214" s="170"/>
      <c r="M214" s="136" t="str">
        <f>IFERROR(__xludf.DUMMYFUNCTION("GOOGLETRANSLATE(L214,""zh-CN"", ""en"")"),"#VALUE!")</f>
        <v>#VALUE!</v>
      </c>
      <c r="N214" s="170"/>
      <c r="O214" s="170"/>
      <c r="P214" s="170" t="s">
        <v>2491</v>
      </c>
      <c r="Q214" s="173" t="s">
        <v>2492</v>
      </c>
      <c r="R214" s="173" t="s">
        <v>99</v>
      </c>
      <c r="S214" s="173" t="s">
        <v>2493</v>
      </c>
      <c r="T214" s="173" t="s">
        <v>2494</v>
      </c>
      <c r="U214" s="174"/>
      <c r="V214" s="174"/>
      <c r="W214" s="174"/>
      <c r="X214" s="174"/>
      <c r="Y214" s="174"/>
      <c r="Z214" s="174"/>
      <c r="AA214" s="174"/>
      <c r="AB214" s="174"/>
      <c r="AC214" s="174"/>
      <c r="AD214" s="174"/>
      <c r="AE214" s="174"/>
    </row>
    <row r="215" ht="15.75" customHeight="1">
      <c r="A215" s="169" t="s">
        <v>2495</v>
      </c>
      <c r="B215" s="154" t="str">
        <f>IFERROR(__xludf.DUMMYFUNCTION("GOOGLETRANSLATE(A215,""zh-CN"", ""en"")"),"LVRT active power recovery time")</f>
        <v>LVRT active power recovery time</v>
      </c>
      <c r="C215" s="169" t="s">
        <v>2496</v>
      </c>
      <c r="D215" s="170" t="s">
        <v>724</v>
      </c>
      <c r="E215" s="169" t="s">
        <v>104</v>
      </c>
      <c r="F215" s="171">
        <v>2.0</v>
      </c>
      <c r="G215" s="175" t="s">
        <v>1659</v>
      </c>
      <c r="H215" s="172"/>
      <c r="I215" s="172" t="s">
        <v>2154</v>
      </c>
      <c r="J215" s="170"/>
      <c r="K215" s="170"/>
      <c r="L215" s="170"/>
      <c r="M215" s="136" t="str">
        <f>IFERROR(__xludf.DUMMYFUNCTION("GOOGLETRANSLATE(L215,""zh-CN"", ""en"")"),"#VALUE!")</f>
        <v>#VALUE!</v>
      </c>
      <c r="N215" s="170"/>
      <c r="O215" s="170"/>
      <c r="P215" s="170" t="s">
        <v>2497</v>
      </c>
      <c r="Q215" s="173" t="s">
        <v>2498</v>
      </c>
      <c r="R215" s="173" t="s">
        <v>99</v>
      </c>
      <c r="S215" s="173" t="s">
        <v>2499</v>
      </c>
      <c r="T215" s="173" t="s">
        <v>2500</v>
      </c>
      <c r="U215" s="174"/>
      <c r="V215" s="174"/>
      <c r="W215" s="174"/>
      <c r="X215" s="174"/>
      <c r="Y215" s="174"/>
      <c r="Z215" s="174"/>
      <c r="AA215" s="174"/>
      <c r="AB215" s="174"/>
      <c r="AC215" s="174"/>
      <c r="AD215" s="174"/>
      <c r="AE215" s="174"/>
    </row>
    <row r="216" ht="15.75" customHeight="1">
      <c r="A216" s="169" t="s">
        <v>2501</v>
      </c>
      <c r="B216" s="154" t="str">
        <f>IFERROR(__xludf.DUMMYFUNCTION("GOOGLETRANSLATE(A216,""zh-CN"", ""en"")"),"LVRT voltage 1")</f>
        <v>LVRT voltage 1</v>
      </c>
      <c r="C216" s="169" t="s">
        <v>2502</v>
      </c>
      <c r="D216" s="170" t="s">
        <v>729</v>
      </c>
      <c r="E216" s="169" t="s">
        <v>104</v>
      </c>
      <c r="F216" s="171">
        <v>2.0</v>
      </c>
      <c r="G216" s="172" t="s">
        <v>2503</v>
      </c>
      <c r="H216" s="172"/>
      <c r="I216" s="172" t="s">
        <v>215</v>
      </c>
      <c r="J216" s="170">
        <v>1840.0</v>
      </c>
      <c r="K216" s="170"/>
      <c r="L216" s="170" t="s">
        <v>2504</v>
      </c>
      <c r="M216" s="136" t="str">
        <f>IFERROR(__xludf.DUMMYFUNCTION("GOOGLETRANSLATE(L216,""zh-CN"", ""en"")"),"yes")</f>
        <v>yes</v>
      </c>
      <c r="N216" s="170"/>
      <c r="O216" s="170"/>
      <c r="P216" s="170" t="s">
        <v>2505</v>
      </c>
      <c r="Q216" s="173" t="s">
        <v>2506</v>
      </c>
      <c r="R216" s="173" t="s">
        <v>99</v>
      </c>
      <c r="S216" s="173" t="s">
        <v>2507</v>
      </c>
      <c r="T216" s="173" t="s">
        <v>2508</v>
      </c>
      <c r="U216" s="174"/>
      <c r="V216" s="174"/>
      <c r="W216" s="174"/>
      <c r="X216" s="174"/>
      <c r="Y216" s="174"/>
      <c r="Z216" s="174"/>
      <c r="AA216" s="174"/>
      <c r="AB216" s="174"/>
      <c r="AC216" s="174"/>
      <c r="AD216" s="174"/>
      <c r="AE216" s="174"/>
    </row>
    <row r="217" ht="15.75" customHeight="1">
      <c r="A217" s="169" t="s">
        <v>2509</v>
      </c>
      <c r="B217" s="154" t="str">
        <f>IFERROR(__xludf.DUMMYFUNCTION("GOOGLETRANSLATE(A217,""zh-CN"", ""en"")"),"LVRT voltage 2")</f>
        <v>LVRT voltage 2</v>
      </c>
      <c r="C217" s="169" t="s">
        <v>2510</v>
      </c>
      <c r="D217" s="170" t="s">
        <v>2511</v>
      </c>
      <c r="E217" s="169" t="s">
        <v>104</v>
      </c>
      <c r="F217" s="171">
        <v>2.0</v>
      </c>
      <c r="G217" s="172" t="s">
        <v>2503</v>
      </c>
      <c r="H217" s="172"/>
      <c r="I217" s="172" t="s">
        <v>215</v>
      </c>
      <c r="J217" s="170" t="s">
        <v>2512</v>
      </c>
      <c r="K217" s="170"/>
      <c r="L217" s="170" t="s">
        <v>2513</v>
      </c>
      <c r="M217" s="136" t="str">
        <f>IFERROR(__xludf.DUMMYFUNCTION("GOOGLETRANSLATE(L217,""zh-CN"", ""en"")"),"yes")</f>
        <v>yes</v>
      </c>
      <c r="N217" s="170"/>
      <c r="O217" s="170"/>
      <c r="P217" s="170" t="s">
        <v>2514</v>
      </c>
      <c r="Q217" s="173" t="s">
        <v>2515</v>
      </c>
      <c r="R217" s="173" t="s">
        <v>99</v>
      </c>
      <c r="S217" s="173" t="s">
        <v>2516</v>
      </c>
      <c r="T217" s="173" t="s">
        <v>2517</v>
      </c>
      <c r="U217" s="174"/>
      <c r="V217" s="174"/>
      <c r="W217" s="174"/>
      <c r="X217" s="174"/>
      <c r="Y217" s="174"/>
      <c r="Z217" s="174"/>
      <c r="AA217" s="174"/>
      <c r="AB217" s="174"/>
      <c r="AC217" s="174"/>
      <c r="AD217" s="174"/>
      <c r="AE217" s="174"/>
    </row>
    <row r="218" ht="15.75" customHeight="1">
      <c r="A218" s="169" t="s">
        <v>2518</v>
      </c>
      <c r="B218" s="154" t="str">
        <f>IFERROR(__xludf.DUMMYFUNCTION("GOOGLETRANSLATE(A218,""zh-CN"", ""en"")"),"LVRT voltage 3")</f>
        <v>LVRT voltage 3</v>
      </c>
      <c r="C218" s="169" t="s">
        <v>2519</v>
      </c>
      <c r="D218" s="170" t="s">
        <v>2520</v>
      </c>
      <c r="E218" s="169" t="s">
        <v>104</v>
      </c>
      <c r="F218" s="171">
        <v>2.0</v>
      </c>
      <c r="G218" s="172" t="s">
        <v>2503</v>
      </c>
      <c r="H218" s="172"/>
      <c r="I218" s="172" t="s">
        <v>215</v>
      </c>
      <c r="J218" s="170">
        <v>305.0</v>
      </c>
      <c r="K218" s="170"/>
      <c r="L218" s="170" t="s">
        <v>2521</v>
      </c>
      <c r="M218" s="136" t="str">
        <f>IFERROR(__xludf.DUMMYFUNCTION("GOOGLETRANSLATE(L218,""zh-CN"", ""en"")"),"yes")</f>
        <v>yes</v>
      </c>
      <c r="N218" s="170"/>
      <c r="O218" s="170"/>
      <c r="P218" s="170" t="s">
        <v>2522</v>
      </c>
      <c r="Q218" s="173" t="s">
        <v>2523</v>
      </c>
      <c r="R218" s="173" t="s">
        <v>99</v>
      </c>
      <c r="S218" s="173" t="s">
        <v>2524</v>
      </c>
      <c r="T218" s="173" t="s">
        <v>2525</v>
      </c>
      <c r="U218" s="174"/>
      <c r="V218" s="174"/>
      <c r="W218" s="174"/>
      <c r="X218" s="174"/>
      <c r="Y218" s="174"/>
      <c r="Z218" s="174"/>
      <c r="AA218" s="174"/>
      <c r="AB218" s="174"/>
      <c r="AC218" s="174"/>
      <c r="AD218" s="174"/>
      <c r="AE218" s="174"/>
    </row>
    <row r="219" ht="15.75" customHeight="1">
      <c r="A219" s="169" t="s">
        <v>2526</v>
      </c>
      <c r="B219" s="154" t="str">
        <f>IFERROR(__xludf.DUMMYFUNCTION("GOOGLETRANSLATE(A219,""zh-CN"", ""en"")"),"LVRT voltage 4")</f>
        <v>LVRT voltage 4</v>
      </c>
      <c r="C219" s="169" t="s">
        <v>2527</v>
      </c>
      <c r="D219" s="170" t="s">
        <v>738</v>
      </c>
      <c r="E219" s="169" t="s">
        <v>104</v>
      </c>
      <c r="F219" s="171">
        <v>2.0</v>
      </c>
      <c r="G219" s="172" t="s">
        <v>2503</v>
      </c>
      <c r="H219" s="172"/>
      <c r="I219" s="172" t="s">
        <v>215</v>
      </c>
      <c r="J219" s="170">
        <v>305.0</v>
      </c>
      <c r="K219" s="170"/>
      <c r="L219" s="170" t="s">
        <v>2528</v>
      </c>
      <c r="M219" s="136" t="str">
        <f>IFERROR(__xludf.DUMMYFUNCTION("GOOGLETRANSLATE(L219,""zh-CN"", ""en"")"),"yes")</f>
        <v>yes</v>
      </c>
      <c r="N219" s="170"/>
      <c r="O219" s="170"/>
      <c r="P219" s="170" t="s">
        <v>2529</v>
      </c>
      <c r="Q219" s="173" t="s">
        <v>2530</v>
      </c>
      <c r="R219" s="173" t="s">
        <v>99</v>
      </c>
      <c r="S219" s="173" t="s">
        <v>2531</v>
      </c>
      <c r="T219" s="173" t="s">
        <v>2532</v>
      </c>
      <c r="U219" s="174"/>
      <c r="V219" s="174"/>
      <c r="W219" s="174"/>
      <c r="X219" s="174"/>
      <c r="Y219" s="174"/>
      <c r="Z219" s="174"/>
      <c r="AA219" s="174"/>
      <c r="AB219" s="174"/>
      <c r="AC219" s="174"/>
      <c r="AD219" s="174"/>
      <c r="AE219" s="174"/>
    </row>
    <row r="220" ht="15.75" customHeight="1">
      <c r="A220" s="169" t="s">
        <v>2533</v>
      </c>
      <c r="B220" s="154" t="str">
        <f>IFERROR(__xludf.DUMMYFUNCTION("GOOGLETRANSLATE(A220,""zh-CN"", ""en"")"),"LVRT voltage 5")</f>
        <v>LVRT voltage 5</v>
      </c>
      <c r="C220" s="169" t="s">
        <v>2534</v>
      </c>
      <c r="D220" s="170" t="s">
        <v>743</v>
      </c>
      <c r="E220" s="169" t="s">
        <v>104</v>
      </c>
      <c r="F220" s="171">
        <v>2.0</v>
      </c>
      <c r="G220" s="172" t="s">
        <v>2503</v>
      </c>
      <c r="H220" s="172"/>
      <c r="I220" s="172" t="s">
        <v>215</v>
      </c>
      <c r="J220" s="170">
        <v>305.0</v>
      </c>
      <c r="K220" s="170"/>
      <c r="L220" s="170" t="s">
        <v>2535</v>
      </c>
      <c r="M220" s="136" t="str">
        <f>IFERROR(__xludf.DUMMYFUNCTION("GOOGLETRANSLATE(L220,""zh-CN"", ""en"")"),"yes")</f>
        <v>yes</v>
      </c>
      <c r="N220" s="170"/>
      <c r="O220" s="170"/>
      <c r="P220" s="170" t="s">
        <v>2536</v>
      </c>
      <c r="Q220" s="173" t="s">
        <v>2537</v>
      </c>
      <c r="R220" s="173" t="s">
        <v>99</v>
      </c>
      <c r="S220" s="173" t="s">
        <v>2538</v>
      </c>
      <c r="T220" s="173" t="s">
        <v>2539</v>
      </c>
      <c r="U220" s="174"/>
      <c r="V220" s="174"/>
      <c r="W220" s="174"/>
      <c r="X220" s="174"/>
      <c r="Y220" s="174"/>
      <c r="Z220" s="174"/>
      <c r="AA220" s="174"/>
      <c r="AB220" s="174"/>
      <c r="AC220" s="174"/>
      <c r="AD220" s="174"/>
      <c r="AE220" s="174"/>
    </row>
    <row r="221" ht="15.75" customHeight="1">
      <c r="A221" s="169" t="s">
        <v>2540</v>
      </c>
      <c r="B221" s="154" t="str">
        <f>IFERROR(__xludf.DUMMYFUNCTION("GOOGLETRANSLATE(A221,""zh-CN"", ""en"")"),"LVRT time 1")</f>
        <v>LVRT time 1</v>
      </c>
      <c r="C221" s="169" t="s">
        <v>2541</v>
      </c>
      <c r="D221" s="170" t="s">
        <v>2542</v>
      </c>
      <c r="E221" s="169" t="s">
        <v>104</v>
      </c>
      <c r="F221" s="171">
        <v>2.0</v>
      </c>
      <c r="G221" s="175" t="s">
        <v>1659</v>
      </c>
      <c r="H221" s="172"/>
      <c r="I221" s="172" t="s">
        <v>2154</v>
      </c>
      <c r="J221" s="170">
        <v>3050.0</v>
      </c>
      <c r="K221" s="170"/>
      <c r="L221" s="170" t="s">
        <v>2543</v>
      </c>
      <c r="M221" s="136" t="str">
        <f>IFERROR(__xludf.DUMMYFUNCTION("GOOGLETRANSLATE(L221,""zh-CN"", ""en"")"),"yes")</f>
        <v>yes</v>
      </c>
      <c r="N221" s="170"/>
      <c r="O221" s="170"/>
      <c r="P221" s="170" t="s">
        <v>2544</v>
      </c>
      <c r="Q221" s="173" t="s">
        <v>2545</v>
      </c>
      <c r="R221" s="173" t="s">
        <v>99</v>
      </c>
      <c r="S221" s="173" t="s">
        <v>2546</v>
      </c>
      <c r="T221" s="173" t="s">
        <v>2547</v>
      </c>
      <c r="U221" s="174"/>
      <c r="V221" s="174"/>
      <c r="W221" s="174"/>
      <c r="X221" s="174"/>
      <c r="Y221" s="174"/>
      <c r="Z221" s="174"/>
      <c r="AA221" s="174"/>
      <c r="AB221" s="174"/>
      <c r="AC221" s="174"/>
      <c r="AD221" s="174"/>
      <c r="AE221" s="174"/>
    </row>
    <row r="222" ht="15.75" customHeight="1">
      <c r="A222" s="169" t="s">
        <v>2548</v>
      </c>
      <c r="B222" s="154" t="str">
        <f>IFERROR(__xludf.DUMMYFUNCTION("GOOGLETRANSLATE(A222,""zh-CN"", ""en"")"),"LVRT time 2")</f>
        <v>LVRT time 2</v>
      </c>
      <c r="C222" s="169" t="s">
        <v>2549</v>
      </c>
      <c r="D222" s="170" t="s">
        <v>2550</v>
      </c>
      <c r="E222" s="169" t="s">
        <v>104</v>
      </c>
      <c r="F222" s="171">
        <v>2.0</v>
      </c>
      <c r="G222" s="175" t="s">
        <v>1659</v>
      </c>
      <c r="H222" s="172"/>
      <c r="I222" s="172" t="s">
        <v>2154</v>
      </c>
      <c r="J222" s="170">
        <v>3050.0</v>
      </c>
      <c r="K222" s="170"/>
      <c r="L222" s="170" t="s">
        <v>2551</v>
      </c>
      <c r="M222" s="136" t="str">
        <f>IFERROR(__xludf.DUMMYFUNCTION("GOOGLETRANSLATE(L222,""zh-CN"", ""en"")"),"yes")</f>
        <v>yes</v>
      </c>
      <c r="N222" s="170"/>
      <c r="O222" s="170"/>
      <c r="P222" s="170" t="s">
        <v>2552</v>
      </c>
      <c r="Q222" s="173" t="s">
        <v>2553</v>
      </c>
      <c r="R222" s="173" t="s">
        <v>99</v>
      </c>
      <c r="S222" s="173" t="s">
        <v>2554</v>
      </c>
      <c r="T222" s="173" t="s">
        <v>2555</v>
      </c>
      <c r="U222" s="174"/>
      <c r="V222" s="174"/>
      <c r="W222" s="174"/>
      <c r="X222" s="174"/>
      <c r="Y222" s="174"/>
      <c r="Z222" s="174"/>
      <c r="AA222" s="174"/>
      <c r="AB222" s="174"/>
      <c r="AC222" s="174"/>
      <c r="AD222" s="174"/>
      <c r="AE222" s="174"/>
    </row>
    <row r="223" ht="15.75" customHeight="1">
      <c r="A223" s="169" t="s">
        <v>2556</v>
      </c>
      <c r="B223" s="154" t="str">
        <f>IFERROR(__xludf.DUMMYFUNCTION("GOOGLETRANSLATE(A223,""zh-CN"", ""en"")"),"LVRT time 3")</f>
        <v>LVRT time 3</v>
      </c>
      <c r="C223" s="169" t="s">
        <v>2557</v>
      </c>
      <c r="D223" s="170" t="s">
        <v>2558</v>
      </c>
      <c r="E223" s="169" t="s">
        <v>104</v>
      </c>
      <c r="F223" s="171">
        <v>2.0</v>
      </c>
      <c r="G223" s="175" t="s">
        <v>1659</v>
      </c>
      <c r="H223" s="172"/>
      <c r="I223" s="172" t="s">
        <v>2154</v>
      </c>
      <c r="J223" s="170">
        <v>200.0</v>
      </c>
      <c r="K223" s="170"/>
      <c r="L223" s="170" t="s">
        <v>2559</v>
      </c>
      <c r="M223" s="136" t="str">
        <f>IFERROR(__xludf.DUMMYFUNCTION("GOOGLETRANSLATE(L223,""zh-CN"", ""en"")"),"yes")</f>
        <v>yes</v>
      </c>
      <c r="N223" s="170"/>
      <c r="O223" s="170"/>
      <c r="P223" s="170" t="s">
        <v>2560</v>
      </c>
      <c r="Q223" s="173" t="s">
        <v>2561</v>
      </c>
      <c r="R223" s="173" t="s">
        <v>99</v>
      </c>
      <c r="S223" s="173" t="s">
        <v>2562</v>
      </c>
      <c r="T223" s="173" t="s">
        <v>2563</v>
      </c>
      <c r="U223" s="174"/>
      <c r="V223" s="174"/>
      <c r="W223" s="174"/>
      <c r="X223" s="174"/>
      <c r="Y223" s="174"/>
      <c r="Z223" s="174"/>
      <c r="AA223" s="174"/>
      <c r="AB223" s="174"/>
      <c r="AC223" s="174"/>
      <c r="AD223" s="174"/>
      <c r="AE223" s="174"/>
    </row>
    <row r="224" ht="15.75" customHeight="1">
      <c r="A224" s="169" t="s">
        <v>2564</v>
      </c>
      <c r="B224" s="154" t="str">
        <f>IFERROR(__xludf.DUMMYFUNCTION("GOOGLETRANSLATE(A224,""zh-CN"", ""en"")"),"LVRT time 4")</f>
        <v>LVRT time 4</v>
      </c>
      <c r="C224" s="169" t="s">
        <v>2565</v>
      </c>
      <c r="D224" s="170" t="s">
        <v>2566</v>
      </c>
      <c r="E224" s="169" t="s">
        <v>104</v>
      </c>
      <c r="F224" s="171">
        <v>2.0</v>
      </c>
      <c r="G224" s="175" t="s">
        <v>1659</v>
      </c>
      <c r="H224" s="172"/>
      <c r="I224" s="172" t="s">
        <v>2154</v>
      </c>
      <c r="J224" s="170">
        <v>200.0</v>
      </c>
      <c r="K224" s="170"/>
      <c r="L224" s="170" t="s">
        <v>2567</v>
      </c>
      <c r="M224" s="136" t="str">
        <f>IFERROR(__xludf.DUMMYFUNCTION("GOOGLETRANSLATE(L224,""zh-CN"", ""en"")"),"yes")</f>
        <v>yes</v>
      </c>
      <c r="N224" s="170"/>
      <c r="O224" s="170"/>
      <c r="P224" s="170" t="s">
        <v>2568</v>
      </c>
      <c r="Q224" s="173" t="s">
        <v>2569</v>
      </c>
      <c r="R224" s="173" t="s">
        <v>99</v>
      </c>
      <c r="S224" s="173" t="s">
        <v>2570</v>
      </c>
      <c r="T224" s="173" t="s">
        <v>2571</v>
      </c>
      <c r="U224" s="174"/>
      <c r="V224" s="174"/>
      <c r="W224" s="174"/>
      <c r="X224" s="174"/>
      <c r="Y224" s="174"/>
      <c r="Z224" s="174"/>
      <c r="AA224" s="174"/>
      <c r="AB224" s="174"/>
      <c r="AC224" s="174"/>
      <c r="AD224" s="174"/>
      <c r="AE224" s="174"/>
    </row>
    <row r="225" ht="15.75" customHeight="1">
      <c r="A225" s="169" t="s">
        <v>2572</v>
      </c>
      <c r="B225" s="154" t="str">
        <f>IFERROR(__xludf.DUMMYFUNCTION("GOOGLETRANSLATE(A225,""zh-CN"", ""en"")"),"LVRT time 5")</f>
        <v>LVRT time 5</v>
      </c>
      <c r="C225" s="169" t="s">
        <v>2573</v>
      </c>
      <c r="D225" s="170" t="s">
        <v>2574</v>
      </c>
      <c r="E225" s="169" t="s">
        <v>104</v>
      </c>
      <c r="F225" s="171">
        <v>2.0</v>
      </c>
      <c r="G225" s="175" t="s">
        <v>1659</v>
      </c>
      <c r="H225" s="172"/>
      <c r="I225" s="172" t="s">
        <v>2154</v>
      </c>
      <c r="J225" s="170">
        <v>200.0</v>
      </c>
      <c r="K225" s="170"/>
      <c r="L225" s="170" t="s">
        <v>2575</v>
      </c>
      <c r="M225" s="136" t="str">
        <f>IFERROR(__xludf.DUMMYFUNCTION("GOOGLETRANSLATE(L225,""zh-CN"", ""en"")"),"yes")</f>
        <v>yes</v>
      </c>
      <c r="N225" s="170"/>
      <c r="O225" s="170"/>
      <c r="P225" s="170" t="s">
        <v>2576</v>
      </c>
      <c r="Q225" s="173" t="s">
        <v>2577</v>
      </c>
      <c r="R225" s="173" t="s">
        <v>99</v>
      </c>
      <c r="S225" s="173" t="s">
        <v>2578</v>
      </c>
      <c r="T225" s="173" t="s">
        <v>2579</v>
      </c>
      <c r="U225" s="174"/>
      <c r="V225" s="174"/>
      <c r="W225" s="174"/>
      <c r="X225" s="174"/>
      <c r="Y225" s="174"/>
      <c r="Z225" s="174"/>
      <c r="AA225" s="174"/>
      <c r="AB225" s="174"/>
      <c r="AC225" s="174"/>
      <c r="AD225" s="174"/>
      <c r="AE225" s="174"/>
    </row>
    <row r="226" ht="15.75" customHeight="1">
      <c r="A226" s="169" t="s">
        <v>2580</v>
      </c>
      <c r="B226" s="154" t="str">
        <f>IFERROR(__xludf.DUMMYFUNCTION("GOOGLETRANSLATE(A226,""zh-CN"", ""en"")"),"HVRT protection level")</f>
        <v>HVRT protection level</v>
      </c>
      <c r="C226" s="169" t="s">
        <v>2581</v>
      </c>
      <c r="D226" s="170" t="s">
        <v>2582</v>
      </c>
      <c r="E226" s="169" t="s">
        <v>104</v>
      </c>
      <c r="F226" s="171">
        <v>2.0</v>
      </c>
      <c r="G226" s="172" t="s">
        <v>2461</v>
      </c>
      <c r="H226" s="172"/>
      <c r="I226" s="172"/>
      <c r="J226" s="170">
        <v>2.0</v>
      </c>
      <c r="K226" s="170"/>
      <c r="L226" s="170" t="s">
        <v>2583</v>
      </c>
      <c r="M226" s="136" t="str">
        <f>IFERROR(__xludf.DUMMYFUNCTION("GOOGLETRANSLATE(L226,""zh-CN"", ""en"")"),"yes")</f>
        <v>yes</v>
      </c>
      <c r="N226" s="170"/>
      <c r="O226" s="170"/>
      <c r="P226" s="170" t="s">
        <v>2584</v>
      </c>
      <c r="Q226" s="173" t="s">
        <v>2585</v>
      </c>
      <c r="R226" s="173" t="s">
        <v>99</v>
      </c>
      <c r="S226" s="173" t="s">
        <v>2586</v>
      </c>
      <c r="T226" s="173" t="s">
        <v>2587</v>
      </c>
      <c r="U226" s="174"/>
      <c r="V226" s="174"/>
      <c r="W226" s="174"/>
      <c r="X226" s="174"/>
      <c r="Y226" s="174"/>
      <c r="Z226" s="174"/>
      <c r="AA226" s="174"/>
      <c r="AB226" s="174"/>
      <c r="AC226" s="174"/>
      <c r="AD226" s="174"/>
      <c r="AE226" s="174"/>
    </row>
    <row r="227" ht="15.75" customHeight="1">
      <c r="A227" s="141" t="s">
        <v>2588</v>
      </c>
      <c r="B227" s="154" t="str">
        <f>IFERROR(__xludf.DUMMYFUNCTION("GOOGLETRANSLATE(A227,""zh-CN"", ""en"")"),"HVRT grid unbalance support switch")</f>
        <v>HVRT grid unbalance support switch</v>
      </c>
      <c r="C227" s="141" t="s">
        <v>2589</v>
      </c>
      <c r="D227" s="136" t="s">
        <v>2590</v>
      </c>
      <c r="E227" s="141" t="s">
        <v>104</v>
      </c>
      <c r="F227" s="137">
        <v>2.0</v>
      </c>
      <c r="G227" s="188"/>
      <c r="H227" s="188"/>
      <c r="I227" s="188"/>
      <c r="J227" s="136" t="s">
        <v>2469</v>
      </c>
      <c r="K227" s="136"/>
      <c r="L227" s="136" t="s">
        <v>2591</v>
      </c>
      <c r="M227" s="136" t="str">
        <f>IFERROR(__xludf.DUMMYFUNCTION("GOOGLETRANSLATE(L227,""zh-CN"", ""en"")"),"yes")</f>
        <v>yes</v>
      </c>
      <c r="N227" s="136"/>
      <c r="O227" s="136"/>
      <c r="P227" s="136" t="s">
        <v>2592</v>
      </c>
      <c r="Q227" s="55" t="s">
        <v>2593</v>
      </c>
      <c r="R227" s="55" t="s">
        <v>99</v>
      </c>
      <c r="S227" s="55" t="s">
        <v>2594</v>
      </c>
      <c r="T227" s="55" t="s">
        <v>2595</v>
      </c>
    </row>
    <row r="228" ht="15.75" customHeight="1">
      <c r="A228" s="141" t="s">
        <v>2596</v>
      </c>
      <c r="B228" s="154" t="str">
        <f>IFERROR(__xludf.DUMMYFUNCTION("GOOGLETRANSLATE(A228,""zh-CN"", ""en"")"),"HVRT zero power mode")</f>
        <v>HVRT zero power mode</v>
      </c>
      <c r="C228" s="141" t="s">
        <v>2597</v>
      </c>
      <c r="D228" s="136" t="s">
        <v>2598</v>
      </c>
      <c r="E228" s="141" t="s">
        <v>104</v>
      </c>
      <c r="F228" s="137">
        <v>2.0</v>
      </c>
      <c r="G228" s="188"/>
      <c r="H228" s="188"/>
      <c r="I228" s="188"/>
      <c r="J228" s="136" t="s">
        <v>2469</v>
      </c>
      <c r="K228" s="136"/>
      <c r="L228" s="136" t="s">
        <v>2599</v>
      </c>
      <c r="M228" s="136" t="str">
        <f>IFERROR(__xludf.DUMMYFUNCTION("GOOGLETRANSLATE(L228,""zh-CN"", ""en"")"),"yes")</f>
        <v>yes</v>
      </c>
      <c r="N228" s="136"/>
      <c r="O228" s="136"/>
      <c r="P228" s="136" t="s">
        <v>2600</v>
      </c>
      <c r="Q228" s="55" t="s">
        <v>2601</v>
      </c>
      <c r="R228" s="55" t="s">
        <v>99</v>
      </c>
      <c r="S228" s="55" t="s">
        <v>2602</v>
      </c>
      <c r="T228" s="55" t="s">
        <v>2603</v>
      </c>
    </row>
    <row r="229" ht="15.75" customHeight="1">
      <c r="A229" s="141" t="s">
        <v>2604</v>
      </c>
      <c r="B229" s="154" t="str">
        <f>IFERROR(__xludf.DUMMYFUNCTION("GOOGLETRANSLATE(A229,""zh-CN"", ""en"")"),"HVRT K-factor")</f>
        <v>HVRT K-factor</v>
      </c>
      <c r="C229" s="141" t="s">
        <v>2605</v>
      </c>
      <c r="D229" s="136" t="s">
        <v>2606</v>
      </c>
      <c r="E229" s="141" t="s">
        <v>104</v>
      </c>
      <c r="F229" s="137">
        <v>2.0</v>
      </c>
      <c r="G229" s="188"/>
      <c r="H229" s="188"/>
      <c r="I229" s="188"/>
      <c r="J229" s="136">
        <v>0.0</v>
      </c>
      <c r="K229" s="136"/>
      <c r="L229" s="136" t="s">
        <v>2607</v>
      </c>
      <c r="M229" s="136" t="str">
        <f>IFERROR(__xludf.DUMMYFUNCTION("GOOGLETRANSLATE(L229,""zh-CN"", ""en"")"),"yes")</f>
        <v>yes</v>
      </c>
      <c r="N229" s="136"/>
      <c r="O229" s="136"/>
      <c r="P229" s="136" t="s">
        <v>2608</v>
      </c>
      <c r="Q229" s="55" t="s">
        <v>2609</v>
      </c>
      <c r="R229" s="55" t="s">
        <v>99</v>
      </c>
      <c r="S229" s="55" t="s">
        <v>2610</v>
      </c>
      <c r="T229" s="55" t="s">
        <v>2611</v>
      </c>
    </row>
    <row r="230" ht="15.75" customHeight="1">
      <c r="A230" s="169" t="s">
        <v>2612</v>
      </c>
      <c r="B230" s="154" t="str">
        <f>IFERROR(__xludf.DUMMYFUNCTION("GOOGLETRANSLATE(A230,""zh-CN"", ""en"")"),"HVRT reactive power directive")</f>
        <v>HVRT reactive power directive</v>
      </c>
      <c r="C230" s="169" t="s">
        <v>2613</v>
      </c>
      <c r="D230" s="170" t="s">
        <v>2614</v>
      </c>
      <c r="E230" s="169" t="s">
        <v>235</v>
      </c>
      <c r="F230" s="171">
        <v>2.0</v>
      </c>
      <c r="G230" s="175" t="s">
        <v>2343</v>
      </c>
      <c r="H230" s="172"/>
      <c r="I230" s="172">
        <v>0.001</v>
      </c>
      <c r="J230" s="170"/>
      <c r="K230" s="170"/>
      <c r="L230" s="170"/>
      <c r="M230" s="136" t="str">
        <f>IFERROR(__xludf.DUMMYFUNCTION("GOOGLETRANSLATE(L230,""zh-CN"", ""en"")"),"#VALUE!")</f>
        <v>#VALUE!</v>
      </c>
      <c r="N230" s="170"/>
      <c r="O230" s="170"/>
      <c r="P230" s="170" t="s">
        <v>2615</v>
      </c>
      <c r="Q230" s="173" t="s">
        <v>2616</v>
      </c>
      <c r="R230" s="173" t="s">
        <v>99</v>
      </c>
      <c r="S230" s="173" t="s">
        <v>2617</v>
      </c>
      <c r="T230" s="173" t="s">
        <v>2618</v>
      </c>
      <c r="U230" s="174"/>
      <c r="V230" s="174"/>
      <c r="W230" s="174"/>
      <c r="X230" s="174"/>
      <c r="Y230" s="174"/>
      <c r="Z230" s="174"/>
      <c r="AA230" s="174"/>
      <c r="AB230" s="174"/>
      <c r="AC230" s="174"/>
      <c r="AD230" s="174"/>
      <c r="AE230" s="174"/>
    </row>
    <row r="231" ht="15.75" customHeight="1">
      <c r="A231" s="169" t="s">
        <v>2619</v>
      </c>
      <c r="B231" s="154" t="str">
        <f>IFERROR(__xludf.DUMMYFUNCTION("GOOGLETRANSLATE(A231,""zh-CN"", ""en"")"),"HVRT active power recovery time")</f>
        <v>HVRT active power recovery time</v>
      </c>
      <c r="C231" s="169" t="s">
        <v>2620</v>
      </c>
      <c r="D231" s="170" t="s">
        <v>2621</v>
      </c>
      <c r="E231" s="169" t="s">
        <v>104</v>
      </c>
      <c r="F231" s="171">
        <v>2.0</v>
      </c>
      <c r="G231" s="175" t="s">
        <v>1659</v>
      </c>
      <c r="H231" s="172"/>
      <c r="I231" s="172" t="s">
        <v>2154</v>
      </c>
      <c r="J231" s="170"/>
      <c r="K231" s="170"/>
      <c r="L231" s="170"/>
      <c r="M231" s="136" t="str">
        <f>IFERROR(__xludf.DUMMYFUNCTION("GOOGLETRANSLATE(L231,""zh-CN"", ""en"")"),"#VALUE!")</f>
        <v>#VALUE!</v>
      </c>
      <c r="N231" s="170"/>
      <c r="O231" s="170"/>
      <c r="P231" s="170" t="s">
        <v>2622</v>
      </c>
      <c r="Q231" s="173" t="s">
        <v>2623</v>
      </c>
      <c r="R231" s="173" t="s">
        <v>99</v>
      </c>
      <c r="S231" s="173" t="s">
        <v>2624</v>
      </c>
      <c r="T231" s="173" t="s">
        <v>2625</v>
      </c>
      <c r="U231" s="174"/>
      <c r="V231" s="174"/>
      <c r="W231" s="174"/>
      <c r="X231" s="174"/>
      <c r="Y231" s="174"/>
      <c r="Z231" s="174"/>
      <c r="AA231" s="174"/>
      <c r="AB231" s="174"/>
      <c r="AC231" s="174"/>
      <c r="AD231" s="174"/>
      <c r="AE231" s="174"/>
    </row>
    <row r="232" ht="15.75" customHeight="1">
      <c r="A232" s="169" t="s">
        <v>2626</v>
      </c>
      <c r="B232" s="154" t="str">
        <f>IFERROR(__xludf.DUMMYFUNCTION("GOOGLETRANSLATE(A232,""zh-CN"", ""en"")"),"HVRT voltage 1")</f>
        <v>HVRT voltage 1</v>
      </c>
      <c r="C232" s="169" t="s">
        <v>2627</v>
      </c>
      <c r="D232" s="170" t="s">
        <v>2628</v>
      </c>
      <c r="E232" s="169" t="s">
        <v>104</v>
      </c>
      <c r="F232" s="171">
        <v>2.0</v>
      </c>
      <c r="G232" s="172" t="s">
        <v>1393</v>
      </c>
      <c r="H232" s="172"/>
      <c r="I232" s="172" t="s">
        <v>215</v>
      </c>
      <c r="J232" s="170">
        <v>2645.0</v>
      </c>
      <c r="K232" s="170"/>
      <c r="L232" s="170" t="s">
        <v>2629</v>
      </c>
      <c r="M232" s="136" t="str">
        <f>IFERROR(__xludf.DUMMYFUNCTION("GOOGLETRANSLATE(L232,""zh-CN"", ""en"")"),"yes")</f>
        <v>yes</v>
      </c>
      <c r="N232" s="170"/>
      <c r="O232" s="170"/>
      <c r="P232" s="170" t="s">
        <v>2630</v>
      </c>
      <c r="Q232" s="173" t="s">
        <v>2631</v>
      </c>
      <c r="R232" s="173" t="s">
        <v>99</v>
      </c>
      <c r="S232" s="173" t="s">
        <v>2632</v>
      </c>
      <c r="T232" s="173" t="s">
        <v>2633</v>
      </c>
      <c r="U232" s="174"/>
      <c r="V232" s="174"/>
      <c r="W232" s="174"/>
      <c r="X232" s="174"/>
      <c r="Y232" s="174"/>
      <c r="Z232" s="174"/>
      <c r="AA232" s="174"/>
      <c r="AB232" s="174"/>
      <c r="AC232" s="174"/>
      <c r="AD232" s="174"/>
      <c r="AE232" s="174"/>
    </row>
    <row r="233" ht="15.75" customHeight="1">
      <c r="A233" s="169" t="s">
        <v>2634</v>
      </c>
      <c r="B233" s="154" t="str">
        <f>IFERROR(__xludf.DUMMYFUNCTION("GOOGLETRANSLATE(A233,""zh-CN"", ""en"")"),"HVRT voltage 2")</f>
        <v>HVRT voltage 2</v>
      </c>
      <c r="C233" s="169" t="s">
        <v>2635</v>
      </c>
      <c r="D233" s="170" t="s">
        <v>2636</v>
      </c>
      <c r="E233" s="169" t="s">
        <v>104</v>
      </c>
      <c r="F233" s="171">
        <v>2.0</v>
      </c>
      <c r="G233" s="172" t="s">
        <v>1393</v>
      </c>
      <c r="H233" s="172"/>
      <c r="I233" s="172" t="s">
        <v>215</v>
      </c>
      <c r="J233" s="170" t="s">
        <v>2637</v>
      </c>
      <c r="K233" s="170"/>
      <c r="L233" s="170" t="s">
        <v>2638</v>
      </c>
      <c r="M233" s="136" t="str">
        <f>IFERROR(__xludf.DUMMYFUNCTION("GOOGLETRANSLATE(L233,""zh-CN"", ""en"")"),"yes")</f>
        <v>yes</v>
      </c>
      <c r="N233" s="170"/>
      <c r="O233" s="170"/>
      <c r="P233" s="170" t="s">
        <v>2639</v>
      </c>
      <c r="Q233" s="173" t="s">
        <v>2640</v>
      </c>
      <c r="R233" s="173" t="s">
        <v>99</v>
      </c>
      <c r="S233" s="173" t="s">
        <v>2641</v>
      </c>
      <c r="T233" s="173" t="s">
        <v>2642</v>
      </c>
      <c r="U233" s="174"/>
      <c r="V233" s="174"/>
      <c r="W233" s="174"/>
      <c r="X233" s="174"/>
      <c r="Y233" s="174"/>
      <c r="Z233" s="174"/>
      <c r="AA233" s="174"/>
      <c r="AB233" s="174"/>
      <c r="AC233" s="174"/>
      <c r="AD233" s="174"/>
      <c r="AE233" s="174"/>
    </row>
    <row r="234" ht="15.75" customHeight="1">
      <c r="A234" s="169" t="s">
        <v>2643</v>
      </c>
      <c r="B234" s="154" t="str">
        <f>IFERROR(__xludf.DUMMYFUNCTION("GOOGLETRANSLATE(A234,""zh-CN"", ""en"")"),"HVRT voltage 3")</f>
        <v>HVRT voltage 3</v>
      </c>
      <c r="C234" s="169" t="s">
        <v>2644</v>
      </c>
      <c r="D234" s="170" t="s">
        <v>2645</v>
      </c>
      <c r="E234" s="169" t="s">
        <v>104</v>
      </c>
      <c r="F234" s="171">
        <v>2.0</v>
      </c>
      <c r="G234" s="172" t="s">
        <v>1393</v>
      </c>
      <c r="H234" s="172"/>
      <c r="I234" s="172" t="s">
        <v>215</v>
      </c>
      <c r="J234" s="170">
        <v>2915.0</v>
      </c>
      <c r="K234" s="170"/>
      <c r="L234" s="170" t="s">
        <v>2646</v>
      </c>
      <c r="M234" s="136" t="str">
        <f>IFERROR(__xludf.DUMMYFUNCTION("GOOGLETRANSLATE(L234,""zh-CN"", ""en"")"),"yes")</f>
        <v>yes</v>
      </c>
      <c r="N234" s="170"/>
      <c r="O234" s="170"/>
      <c r="P234" s="170" t="s">
        <v>2647</v>
      </c>
      <c r="Q234" s="173" t="s">
        <v>2648</v>
      </c>
      <c r="R234" s="173" t="s">
        <v>99</v>
      </c>
      <c r="S234" s="173" t="s">
        <v>2649</v>
      </c>
      <c r="T234" s="173" t="s">
        <v>2650</v>
      </c>
      <c r="U234" s="174"/>
      <c r="V234" s="174"/>
      <c r="W234" s="174"/>
      <c r="X234" s="174"/>
      <c r="Y234" s="174"/>
      <c r="Z234" s="174"/>
      <c r="AA234" s="174"/>
      <c r="AB234" s="174"/>
      <c r="AC234" s="174"/>
      <c r="AD234" s="174"/>
      <c r="AE234" s="174"/>
    </row>
    <row r="235" ht="15.75" customHeight="1">
      <c r="A235" s="169" t="s">
        <v>2651</v>
      </c>
      <c r="B235" s="154" t="str">
        <f>IFERROR(__xludf.DUMMYFUNCTION("GOOGLETRANSLATE(A235,""zh-CN"", ""en"")"),"HVRT voltage 4")</f>
        <v>HVRT voltage 4</v>
      </c>
      <c r="C235" s="169" t="s">
        <v>2652</v>
      </c>
      <c r="D235" s="170" t="s">
        <v>2653</v>
      </c>
      <c r="E235" s="169" t="s">
        <v>104</v>
      </c>
      <c r="F235" s="171">
        <v>2.0</v>
      </c>
      <c r="G235" s="172" t="s">
        <v>1393</v>
      </c>
      <c r="H235" s="172"/>
      <c r="I235" s="172" t="s">
        <v>215</v>
      </c>
      <c r="J235" s="170">
        <v>2915.0</v>
      </c>
      <c r="K235" s="170"/>
      <c r="L235" s="170" t="s">
        <v>2654</v>
      </c>
      <c r="M235" s="136" t="str">
        <f>IFERROR(__xludf.DUMMYFUNCTION("GOOGLETRANSLATE(L235,""zh-CN"", ""en"")"),"yes")</f>
        <v>yes</v>
      </c>
      <c r="N235" s="170"/>
      <c r="O235" s="170"/>
      <c r="P235" s="170" t="s">
        <v>2655</v>
      </c>
      <c r="Q235" s="173" t="s">
        <v>2656</v>
      </c>
      <c r="R235" s="173" t="s">
        <v>99</v>
      </c>
      <c r="S235" s="173" t="s">
        <v>2657</v>
      </c>
      <c r="T235" s="173" t="s">
        <v>2658</v>
      </c>
      <c r="U235" s="174"/>
      <c r="V235" s="174"/>
      <c r="W235" s="174"/>
      <c r="X235" s="174"/>
      <c r="Y235" s="174"/>
      <c r="Z235" s="174"/>
      <c r="AA235" s="174"/>
      <c r="AB235" s="174"/>
      <c r="AC235" s="174"/>
      <c r="AD235" s="174"/>
      <c r="AE235" s="174"/>
    </row>
    <row r="236" ht="15.75" customHeight="1">
      <c r="A236" s="169" t="s">
        <v>2659</v>
      </c>
      <c r="B236" s="154" t="str">
        <f>IFERROR(__xludf.DUMMYFUNCTION("GOOGLETRANSLATE(A236,""zh-CN"", ""en"")"),"HVRT voltage 5")</f>
        <v>HVRT voltage 5</v>
      </c>
      <c r="C236" s="169" t="s">
        <v>2660</v>
      </c>
      <c r="D236" s="170" t="s">
        <v>2661</v>
      </c>
      <c r="E236" s="169" t="s">
        <v>104</v>
      </c>
      <c r="F236" s="171">
        <v>2.0</v>
      </c>
      <c r="G236" s="172" t="s">
        <v>1393</v>
      </c>
      <c r="H236" s="172"/>
      <c r="I236" s="172" t="s">
        <v>215</v>
      </c>
      <c r="J236" s="170">
        <v>2915.0</v>
      </c>
      <c r="K236" s="170"/>
      <c r="L236" s="170" t="s">
        <v>2662</v>
      </c>
      <c r="M236" s="136" t="str">
        <f>IFERROR(__xludf.DUMMYFUNCTION("GOOGLETRANSLATE(L236,""zh-CN"", ""en"")"),"yes")</f>
        <v>yes</v>
      </c>
      <c r="N236" s="170"/>
      <c r="O236" s="170"/>
      <c r="P236" s="170" t="s">
        <v>2663</v>
      </c>
      <c r="Q236" s="173" t="s">
        <v>2664</v>
      </c>
      <c r="R236" s="173" t="s">
        <v>99</v>
      </c>
      <c r="S236" s="173" t="s">
        <v>2665</v>
      </c>
      <c r="T236" s="173" t="s">
        <v>2666</v>
      </c>
      <c r="U236" s="174"/>
      <c r="V236" s="174"/>
      <c r="W236" s="174"/>
      <c r="X236" s="174"/>
      <c r="Y236" s="174"/>
      <c r="Z236" s="174"/>
      <c r="AA236" s="174"/>
      <c r="AB236" s="174"/>
      <c r="AC236" s="174"/>
      <c r="AD236" s="174"/>
      <c r="AE236" s="174"/>
    </row>
    <row r="237" ht="15.75" customHeight="1">
      <c r="A237" s="169" t="s">
        <v>2667</v>
      </c>
      <c r="B237" s="154" t="str">
        <f>IFERROR(__xludf.DUMMYFUNCTION("GOOGLETRANSLATE(A237,""zh-CN"", ""en"")"),"HVRT time 1")</f>
        <v>HVRT time 1</v>
      </c>
      <c r="C237" s="169" t="s">
        <v>2668</v>
      </c>
      <c r="D237" s="170" t="s">
        <v>2669</v>
      </c>
      <c r="E237" s="169" t="s">
        <v>104</v>
      </c>
      <c r="F237" s="171">
        <v>2.0</v>
      </c>
      <c r="G237" s="175" t="s">
        <v>1659</v>
      </c>
      <c r="H237" s="172"/>
      <c r="I237" s="172" t="s">
        <v>2154</v>
      </c>
      <c r="J237" s="170">
        <v>5050.0</v>
      </c>
      <c r="K237" s="170"/>
      <c r="L237" s="170" t="s">
        <v>2670</v>
      </c>
      <c r="M237" s="136" t="str">
        <f>IFERROR(__xludf.DUMMYFUNCTION("GOOGLETRANSLATE(L237,""zh-CN"", ""en"")"),"yes")</f>
        <v>yes</v>
      </c>
      <c r="N237" s="170"/>
      <c r="O237" s="170"/>
      <c r="P237" s="170" t="s">
        <v>2671</v>
      </c>
      <c r="Q237" s="173" t="s">
        <v>2672</v>
      </c>
      <c r="R237" s="173" t="s">
        <v>99</v>
      </c>
      <c r="S237" s="173" t="s">
        <v>2673</v>
      </c>
      <c r="T237" s="173" t="s">
        <v>2674</v>
      </c>
      <c r="U237" s="174"/>
      <c r="V237" s="174"/>
      <c r="W237" s="174"/>
      <c r="X237" s="174"/>
      <c r="Y237" s="174"/>
      <c r="Z237" s="174"/>
      <c r="AA237" s="174"/>
      <c r="AB237" s="174"/>
      <c r="AC237" s="174"/>
      <c r="AD237" s="174"/>
      <c r="AE237" s="174"/>
    </row>
    <row r="238" ht="15.75" customHeight="1">
      <c r="A238" s="169" t="s">
        <v>2675</v>
      </c>
      <c r="B238" s="154" t="str">
        <f>IFERROR(__xludf.DUMMYFUNCTION("GOOGLETRANSLATE(A238,""zh-CN"", ""en"")"),"HVRT time 2")</f>
        <v>HVRT time 2</v>
      </c>
      <c r="C238" s="169" t="s">
        <v>2676</v>
      </c>
      <c r="D238" s="170" t="s">
        <v>2677</v>
      </c>
      <c r="E238" s="169" t="s">
        <v>104</v>
      </c>
      <c r="F238" s="171">
        <v>2.0</v>
      </c>
      <c r="G238" s="175" t="s">
        <v>1659</v>
      </c>
      <c r="H238" s="172"/>
      <c r="I238" s="172" t="s">
        <v>2154</v>
      </c>
      <c r="J238" s="170">
        <v>100.0</v>
      </c>
      <c r="K238" s="170"/>
      <c r="L238" s="170" t="s">
        <v>2678</v>
      </c>
      <c r="M238" s="136" t="str">
        <f>IFERROR(__xludf.DUMMYFUNCTION("GOOGLETRANSLATE(L238,""zh-CN"", ""en"")"),"yes")</f>
        <v>yes</v>
      </c>
      <c r="N238" s="170"/>
      <c r="O238" s="170"/>
      <c r="P238" s="170" t="s">
        <v>2679</v>
      </c>
      <c r="Q238" s="173" t="s">
        <v>2680</v>
      </c>
      <c r="R238" s="173" t="s">
        <v>99</v>
      </c>
      <c r="S238" s="173" t="s">
        <v>2681</v>
      </c>
      <c r="T238" s="173" t="s">
        <v>2682</v>
      </c>
      <c r="U238" s="174"/>
      <c r="V238" s="174"/>
      <c r="W238" s="174"/>
      <c r="X238" s="174"/>
      <c r="Y238" s="174"/>
      <c r="Z238" s="174"/>
      <c r="AA238" s="174"/>
      <c r="AB238" s="174"/>
      <c r="AC238" s="174"/>
      <c r="AD238" s="174"/>
      <c r="AE238" s="174"/>
    </row>
    <row r="239" ht="15.75" customHeight="1">
      <c r="A239" s="169" t="s">
        <v>2683</v>
      </c>
      <c r="B239" s="154" t="str">
        <f>IFERROR(__xludf.DUMMYFUNCTION("GOOGLETRANSLATE(A239,""zh-CN"", ""en"")"),"HVRT time 3")</f>
        <v>HVRT time 3</v>
      </c>
      <c r="C239" s="169" t="s">
        <v>2684</v>
      </c>
      <c r="D239" s="170" t="s">
        <v>2685</v>
      </c>
      <c r="E239" s="169" t="s">
        <v>104</v>
      </c>
      <c r="F239" s="171">
        <v>2.0</v>
      </c>
      <c r="G239" s="175" t="s">
        <v>1659</v>
      </c>
      <c r="H239" s="172"/>
      <c r="I239" s="172" t="s">
        <v>2154</v>
      </c>
      <c r="J239" s="170">
        <v>100.0</v>
      </c>
      <c r="K239" s="170"/>
      <c r="L239" s="170" t="s">
        <v>2686</v>
      </c>
      <c r="M239" s="136" t="str">
        <f>IFERROR(__xludf.DUMMYFUNCTION("GOOGLETRANSLATE(L239,""zh-CN"", ""en"")"),"yes")</f>
        <v>yes</v>
      </c>
      <c r="N239" s="170"/>
      <c r="O239" s="170"/>
      <c r="P239" s="170" t="s">
        <v>2687</v>
      </c>
      <c r="Q239" s="173" t="s">
        <v>2688</v>
      </c>
      <c r="R239" s="173" t="s">
        <v>99</v>
      </c>
      <c r="S239" s="173" t="s">
        <v>2689</v>
      </c>
      <c r="T239" s="173" t="s">
        <v>2690</v>
      </c>
      <c r="U239" s="174"/>
      <c r="V239" s="174"/>
      <c r="W239" s="174"/>
      <c r="X239" s="174"/>
      <c r="Y239" s="174"/>
      <c r="Z239" s="174"/>
      <c r="AA239" s="174"/>
      <c r="AB239" s="174"/>
      <c r="AC239" s="174"/>
      <c r="AD239" s="174"/>
      <c r="AE239" s="174"/>
    </row>
    <row r="240" ht="15.75" customHeight="1">
      <c r="A240" s="169" t="s">
        <v>2691</v>
      </c>
      <c r="B240" s="154" t="str">
        <f>IFERROR(__xludf.DUMMYFUNCTION("GOOGLETRANSLATE(A240,""zh-CN"", ""en"")"),"HVRT time 4")</f>
        <v>HVRT time 4</v>
      </c>
      <c r="C240" s="169" t="s">
        <v>2692</v>
      </c>
      <c r="D240" s="170" t="s">
        <v>2693</v>
      </c>
      <c r="E240" s="169" t="s">
        <v>104</v>
      </c>
      <c r="F240" s="171">
        <v>2.0</v>
      </c>
      <c r="G240" s="175" t="s">
        <v>1659</v>
      </c>
      <c r="H240" s="172"/>
      <c r="I240" s="172" t="s">
        <v>2154</v>
      </c>
      <c r="J240" s="170">
        <v>100.0</v>
      </c>
      <c r="K240" s="170"/>
      <c r="L240" s="170" t="s">
        <v>2694</v>
      </c>
      <c r="M240" s="136" t="str">
        <f>IFERROR(__xludf.DUMMYFUNCTION("GOOGLETRANSLATE(L240,""zh-CN"", ""en"")"),"yes")</f>
        <v>yes</v>
      </c>
      <c r="N240" s="170"/>
      <c r="O240" s="170"/>
      <c r="P240" s="170" t="s">
        <v>2695</v>
      </c>
      <c r="Q240" s="173" t="s">
        <v>2696</v>
      </c>
      <c r="R240" s="173" t="s">
        <v>99</v>
      </c>
      <c r="S240" s="173" t="s">
        <v>2697</v>
      </c>
      <c r="T240" s="173" t="s">
        <v>2698</v>
      </c>
      <c r="U240" s="174"/>
      <c r="V240" s="174"/>
      <c r="W240" s="174"/>
      <c r="X240" s="174"/>
      <c r="Y240" s="174"/>
      <c r="Z240" s="174"/>
      <c r="AA240" s="174"/>
      <c r="AB240" s="174"/>
      <c r="AC240" s="174"/>
      <c r="AD240" s="174"/>
      <c r="AE240" s="174"/>
    </row>
    <row r="241" ht="15.75" customHeight="1">
      <c r="A241" s="169" t="s">
        <v>2699</v>
      </c>
      <c r="B241" s="154" t="str">
        <f>IFERROR(__xludf.DUMMYFUNCTION("GOOGLETRANSLATE(A241,""zh-CN"", ""en"")"),"HVRT time 5")</f>
        <v>HVRT time 5</v>
      </c>
      <c r="C241" s="169" t="s">
        <v>2700</v>
      </c>
      <c r="D241" s="170" t="s">
        <v>2701</v>
      </c>
      <c r="E241" s="169" t="s">
        <v>104</v>
      </c>
      <c r="F241" s="171">
        <v>2.0</v>
      </c>
      <c r="G241" s="175" t="s">
        <v>1659</v>
      </c>
      <c r="H241" s="172"/>
      <c r="I241" s="172" t="s">
        <v>2154</v>
      </c>
      <c r="J241" s="170">
        <v>100.0</v>
      </c>
      <c r="K241" s="170"/>
      <c r="L241" s="170" t="s">
        <v>2702</v>
      </c>
      <c r="M241" s="136" t="str">
        <f>IFERROR(__xludf.DUMMYFUNCTION("GOOGLETRANSLATE(L241,""zh-CN"", ""en"")"),"yes")</f>
        <v>yes</v>
      </c>
      <c r="N241" s="170"/>
      <c r="O241" s="170"/>
      <c r="P241" s="170" t="s">
        <v>2703</v>
      </c>
      <c r="Q241" s="173" t="s">
        <v>2704</v>
      </c>
      <c r="R241" s="173" t="s">
        <v>99</v>
      </c>
      <c r="S241" s="173" t="s">
        <v>2705</v>
      </c>
      <c r="T241" s="173" t="s">
        <v>2706</v>
      </c>
      <c r="U241" s="174"/>
      <c r="V241" s="174"/>
      <c r="W241" s="174"/>
      <c r="X241" s="174"/>
      <c r="Y241" s="174"/>
      <c r="Z241" s="174"/>
      <c r="AA241" s="174"/>
      <c r="AB241" s="174"/>
      <c r="AC241" s="174"/>
      <c r="AD241" s="174"/>
      <c r="AE241" s="174"/>
    </row>
    <row r="242" ht="15.75" customHeight="1">
      <c r="A242" s="160" t="s">
        <v>2707</v>
      </c>
      <c r="B242" s="154" t="str">
        <f>IFERROR(__xludf.DUMMYFUNCTION("GOOGLETRANSLATE(A242,""zh-CN"", ""en"")"),"DRM mode")</f>
        <v>DRM mode</v>
      </c>
      <c r="C242" s="160" t="s">
        <v>2708</v>
      </c>
      <c r="D242" s="136" t="s">
        <v>2709</v>
      </c>
      <c r="E242" s="141" t="s">
        <v>104</v>
      </c>
      <c r="F242" s="137">
        <v>2.0</v>
      </c>
      <c r="G242" s="136" t="s">
        <v>2710</v>
      </c>
      <c r="H242" s="161" t="str">
        <f>IFERROR(__xludf.DUMMYFUNCTION("GOOGLETRANSLATE(G242,""zh-CN"", ""en"")"),"1~9: DRM0~8; other values ​​are invalid")</f>
        <v>1~9: DRM0~8; other values ​​are invalid</v>
      </c>
      <c r="I242" s="161"/>
      <c r="J242" s="161"/>
      <c r="K242" s="161"/>
      <c r="L242" s="161" t="s">
        <v>2711</v>
      </c>
      <c r="M242" s="136" t="str">
        <f>IFERROR(__xludf.DUMMYFUNCTION("GOOGLETRANSLATE(L242,""zh-CN"", ""en"")"),"yes")</f>
        <v>yes</v>
      </c>
      <c r="N242" s="161"/>
      <c r="O242" s="136"/>
      <c r="P242" s="136" t="s">
        <v>2712</v>
      </c>
      <c r="Q242" s="55" t="s">
        <v>2713</v>
      </c>
      <c r="R242" s="55" t="s">
        <v>99</v>
      </c>
      <c r="S242" s="55" t="s">
        <v>2714</v>
      </c>
      <c r="T242" s="55" t="s">
        <v>2715</v>
      </c>
    </row>
    <row r="243" ht="15.75" customHeight="1">
      <c r="A243" s="160" t="s">
        <v>2716</v>
      </c>
      <c r="B243" s="154" t="str">
        <f>IFERROR(__xludf.DUMMYFUNCTION("GOOGLETRANSLATE(A243,""zh-CN"", ""en"")"),"DRM power limit value")</f>
        <v>DRM power limit value</v>
      </c>
      <c r="C243" s="160" t="s">
        <v>2717</v>
      </c>
      <c r="D243" s="136" t="s">
        <v>2718</v>
      </c>
      <c r="E243" s="141" t="s">
        <v>235</v>
      </c>
      <c r="F243" s="137">
        <v>2.0</v>
      </c>
      <c r="G243" s="141"/>
      <c r="H243" s="161"/>
      <c r="I243" s="161"/>
      <c r="J243" s="161"/>
      <c r="K243" s="161"/>
      <c r="L243" s="161" t="s">
        <v>2719</v>
      </c>
      <c r="M243" s="136" t="str">
        <f>IFERROR(__xludf.DUMMYFUNCTION("GOOGLETRANSLATE(L243,""zh-CN"", ""en"")"),"yes")</f>
        <v>yes</v>
      </c>
      <c r="N243" s="161"/>
      <c r="O243" s="136"/>
      <c r="P243" s="136" t="s">
        <v>2720</v>
      </c>
      <c r="Q243" s="55" t="s">
        <v>2721</v>
      </c>
      <c r="R243" s="55" t="s">
        <v>99</v>
      </c>
      <c r="S243" s="55" t="s">
        <v>2722</v>
      </c>
      <c r="T243" s="55" t="s">
        <v>2723</v>
      </c>
    </row>
    <row r="244" ht="15.75" customHeight="1">
      <c r="A244" s="160" t="s">
        <v>2724</v>
      </c>
      <c r="B244" s="154" t="str">
        <f>IFERROR(__xludf.DUMMYFUNCTION("GOOGLETRANSLATE(A244,""zh-CN"", ""en"")"),"DRM PF value")</f>
        <v>DRM PF value</v>
      </c>
      <c r="C244" s="160" t="s">
        <v>2725</v>
      </c>
      <c r="D244" s="136" t="s">
        <v>2726</v>
      </c>
      <c r="E244" s="141" t="s">
        <v>235</v>
      </c>
      <c r="F244" s="137">
        <v>2.0</v>
      </c>
      <c r="G244" s="141"/>
      <c r="H244" s="161"/>
      <c r="I244" s="161"/>
      <c r="J244" s="161"/>
      <c r="K244" s="161"/>
      <c r="L244" s="161" t="s">
        <v>2727</v>
      </c>
      <c r="M244" s="136" t="str">
        <f>IFERROR(__xludf.DUMMYFUNCTION("GOOGLETRANSLATE(L244,""zh-CN"", ""en"")"),"yes")</f>
        <v>yes</v>
      </c>
      <c r="N244" s="161"/>
      <c r="O244" s="136"/>
      <c r="P244" s="136" t="s">
        <v>2728</v>
      </c>
      <c r="Q244" s="55" t="s">
        <v>2729</v>
      </c>
      <c r="R244" s="55" t="s">
        <v>99</v>
      </c>
      <c r="S244" s="55" t="s">
        <v>2730</v>
      </c>
      <c r="T244" s="55" t="s">
        <v>2731</v>
      </c>
    </row>
    <row r="245" ht="15.75" customHeight="1">
      <c r="A245" s="160" t="s">
        <v>2732</v>
      </c>
      <c r="B245" s="154" t="str">
        <f>IFERROR(__xludf.DUMMYFUNCTION("GOOGLETRANSLATE(A245,""zh-CN"", ""en"")"),"RIPPLE CONTROL MODE")</f>
        <v>RIPPLE CONTROL MODE</v>
      </c>
      <c r="C245" s="160" t="s">
        <v>2733</v>
      </c>
      <c r="D245" s="136" t="s">
        <v>2734</v>
      </c>
      <c r="E245" s="141" t="s">
        <v>104</v>
      </c>
      <c r="F245" s="137">
        <v>2.0</v>
      </c>
      <c r="G245" s="136" t="s">
        <v>2735</v>
      </c>
      <c r="H245" s="161" t="str">
        <f>IFERROR(__xludf.DUMMYFUNCTION("GOOGLETRANSLATE(G245,""zh-CN"", ""en"")"),"1~5: RIPP0~4; other values ​​are invalid (including 0)")</f>
        <v>1~5: RIPP0~4; other values ​​are invalid (including 0)</v>
      </c>
      <c r="I245" s="161"/>
      <c r="J245" s="161"/>
      <c r="K245" s="161"/>
      <c r="L245" s="161" t="s">
        <v>2736</v>
      </c>
      <c r="M245" s="136" t="str">
        <f>IFERROR(__xludf.DUMMYFUNCTION("GOOGLETRANSLATE(L245,""zh-CN"", ""en"")"),"yes")</f>
        <v>yes</v>
      </c>
      <c r="N245" s="161"/>
      <c r="O245" s="136"/>
      <c r="P245" s="136" t="s">
        <v>2737</v>
      </c>
      <c r="Q245" s="55" t="s">
        <v>2738</v>
      </c>
      <c r="R245" s="55" t="s">
        <v>99</v>
      </c>
      <c r="S245" s="55" t="s">
        <v>2739</v>
      </c>
      <c r="T245" s="55" t="s">
        <v>2740</v>
      </c>
    </row>
    <row r="246" ht="15.75" customHeight="1">
      <c r="A246" s="160" t="s">
        <v>2741</v>
      </c>
      <c r="B246" s="154" t="str">
        <f>IFERROR(__xludf.DUMMYFUNCTION("GOOGLETRANSLATE(A246,""zh-CN"", ""en"")"),"RIPPLE CONTROL output power limit")</f>
        <v>RIPPLE CONTROL output power limit</v>
      </c>
      <c r="C246" s="160" t="s">
        <v>2742</v>
      </c>
      <c r="D246" s="136" t="s">
        <v>2743</v>
      </c>
      <c r="E246" s="141" t="s">
        <v>235</v>
      </c>
      <c r="F246" s="137">
        <v>2.0</v>
      </c>
      <c r="G246" s="136" t="s">
        <v>2744</v>
      </c>
      <c r="H246" s="161"/>
      <c r="I246" s="161"/>
      <c r="J246" s="161"/>
      <c r="K246" s="161"/>
      <c r="L246" s="161" t="s">
        <v>2745</v>
      </c>
      <c r="M246" s="136" t="str">
        <f>IFERROR(__xludf.DUMMYFUNCTION("GOOGLETRANSLATE(L246,""zh-CN"", ""en"")"),"yes")</f>
        <v>yes</v>
      </c>
      <c r="N246" s="161"/>
      <c r="O246" s="136"/>
      <c r="P246" s="136" t="s">
        <v>2746</v>
      </c>
      <c r="Q246" s="55" t="s">
        <v>2747</v>
      </c>
      <c r="R246" s="55" t="s">
        <v>99</v>
      </c>
      <c r="S246" s="55" t="s">
        <v>2748</v>
      </c>
      <c r="T246" s="55" t="s">
        <v>2749</v>
      </c>
    </row>
    <row r="247" ht="15.75" customHeight="1">
      <c r="A247" s="136" t="s">
        <v>2750</v>
      </c>
      <c r="B247" s="154" t="str">
        <f>IFERROR(__xludf.DUMMYFUNCTION("GOOGLETRANSLATE(A247,""zh-CN"", ""en"")"),"Initial connection time")</f>
        <v>Initial connection time</v>
      </c>
      <c r="C247" s="136" t="s">
        <v>2751</v>
      </c>
      <c r="D247" s="136" t="s">
        <v>2752</v>
      </c>
      <c r="E247" s="141" t="s">
        <v>104</v>
      </c>
      <c r="F247" s="137">
        <v>2.0</v>
      </c>
      <c r="G247" s="136"/>
      <c r="H247" s="136"/>
      <c r="I247" s="136"/>
      <c r="J247" s="136"/>
      <c r="K247" s="136"/>
      <c r="L247" s="136"/>
      <c r="M247" s="136" t="str">
        <f>IFERROR(__xludf.DUMMYFUNCTION("GOOGLETRANSLATE(L247,""zh-CN"", ""en"")"),"#VALUE!")</f>
        <v>#VALUE!</v>
      </c>
      <c r="N247" s="136"/>
      <c r="O247" s="136"/>
      <c r="P247" s="136" t="s">
        <v>2753</v>
      </c>
      <c r="Q247" s="55" t="s">
        <v>2754</v>
      </c>
      <c r="R247" s="55" t="s">
        <v>99</v>
      </c>
      <c r="S247" s="55" t="s">
        <v>2755</v>
      </c>
      <c r="T247" s="55" t="s">
        <v>2756</v>
      </c>
    </row>
    <row r="248" ht="15.75" customHeight="1">
      <c r="A248" s="136" t="s">
        <v>2757</v>
      </c>
      <c r="B248" s="154" t="str">
        <f>IFERROR(__xludf.DUMMYFUNCTION("GOOGLETRANSLATE(A248,""zh-CN"", ""en"")"),"Failure reconnection time")</f>
        <v>Failure reconnection time</v>
      </c>
      <c r="C248" s="136" t="s">
        <v>2758</v>
      </c>
      <c r="D248" s="136" t="s">
        <v>2759</v>
      </c>
      <c r="E248" s="141" t="s">
        <v>104</v>
      </c>
      <c r="F248" s="137">
        <v>2.0</v>
      </c>
      <c r="G248" s="136" t="s">
        <v>2760</v>
      </c>
      <c r="H248" s="136"/>
      <c r="I248" s="136" t="s">
        <v>817</v>
      </c>
      <c r="J248" s="136"/>
      <c r="K248" s="136"/>
      <c r="L248" s="136" t="s">
        <v>2761</v>
      </c>
      <c r="M248" s="136" t="str">
        <f>IFERROR(__xludf.DUMMYFUNCTION("GOOGLETRANSLATE(L248,""zh-CN"", ""en"")"),"yes")</f>
        <v>yes</v>
      </c>
      <c r="N248" s="136"/>
      <c r="O248" s="136"/>
      <c r="P248" s="136" t="s">
        <v>2762</v>
      </c>
      <c r="Q248" s="55" t="s">
        <v>2763</v>
      </c>
      <c r="R248" s="55" t="s">
        <v>99</v>
      </c>
      <c r="S248" s="55" t="s">
        <v>2764</v>
      </c>
      <c r="T248" s="55" t="s">
        <v>2765</v>
      </c>
    </row>
    <row r="249" ht="15.75" customHeight="1">
      <c r="A249" s="170" t="s">
        <v>2766</v>
      </c>
      <c r="B249" s="154" t="str">
        <f>IFERROR(__xludf.DUMMYFUNCTION("GOOGLETRANSLATE(A249,""zh-CN"", ""en"")"),"Feeder network power limit value")</f>
        <v>Feeder network power limit value</v>
      </c>
      <c r="C249" s="170" t="s">
        <v>2767</v>
      </c>
      <c r="D249" s="170" t="s">
        <v>2768</v>
      </c>
      <c r="E249" s="169" t="s">
        <v>285</v>
      </c>
      <c r="F249" s="171">
        <v>4.0</v>
      </c>
      <c r="G249" s="189" t="s">
        <v>1864</v>
      </c>
      <c r="H249" s="190"/>
      <c r="I249" s="190">
        <v>0.001</v>
      </c>
      <c r="J249" s="170"/>
      <c r="K249" s="170"/>
      <c r="L249" s="170" t="s">
        <v>2769</v>
      </c>
      <c r="M249" s="136" t="str">
        <f>IFERROR(__xludf.DUMMYFUNCTION("GOOGLETRANSLATE(L249,""zh-CN"", ""en"")"),"yes")</f>
        <v>yes</v>
      </c>
      <c r="N249" s="170"/>
      <c r="O249" s="170"/>
      <c r="P249" s="170" t="s">
        <v>2770</v>
      </c>
      <c r="Q249" s="173" t="s">
        <v>2771</v>
      </c>
      <c r="R249" s="173" t="s">
        <v>99</v>
      </c>
      <c r="S249" s="173" t="s">
        <v>2772</v>
      </c>
      <c r="T249" s="173" t="s">
        <v>2773</v>
      </c>
      <c r="U249" s="174"/>
      <c r="V249" s="174"/>
      <c r="W249" s="174"/>
      <c r="X249" s="174"/>
      <c r="Y249" s="174"/>
      <c r="Z249" s="174"/>
      <c r="AA249" s="174"/>
      <c r="AB249" s="174"/>
      <c r="AC249" s="174"/>
      <c r="AD249" s="174"/>
      <c r="AE249" s="174"/>
    </row>
    <row r="250" ht="15.75" customHeight="1">
      <c r="A250" s="136" t="s">
        <v>2774</v>
      </c>
      <c r="B250" s="154" t="str">
        <f>IFERROR(__xludf.DUMMYFUNCTION("GOOGLETRANSLATE(A250,""zh-CN"", ""en"")"),"Power grid power limit value")</f>
        <v>Power grid power limit value</v>
      </c>
      <c r="C250" s="136" t="s">
        <v>2775</v>
      </c>
      <c r="D250" s="136" t="s">
        <v>2776</v>
      </c>
      <c r="E250" s="141" t="s">
        <v>285</v>
      </c>
      <c r="F250" s="137">
        <v>4.0</v>
      </c>
      <c r="G250" s="191"/>
      <c r="H250" s="191"/>
      <c r="I250" s="191"/>
      <c r="J250" s="136"/>
      <c r="K250" s="136"/>
      <c r="L250" s="136"/>
      <c r="M250" s="136" t="str">
        <f>IFERROR(__xludf.DUMMYFUNCTION("GOOGLETRANSLATE(L250,""zh-CN"", ""en"")"),"#VALUE!")</f>
        <v>#VALUE!</v>
      </c>
      <c r="N250" s="136"/>
      <c r="O250" s="136"/>
      <c r="P250" s="136" t="s">
        <v>2777</v>
      </c>
      <c r="Q250" s="55" t="s">
        <v>2778</v>
      </c>
      <c r="R250" s="55" t="s">
        <v>99</v>
      </c>
      <c r="S250" s="55" t="s">
        <v>2779</v>
      </c>
      <c r="T250" s="55" t="s">
        <v>2780</v>
      </c>
    </row>
    <row r="251" ht="15.75" customHeight="1">
      <c r="A251" s="136" t="s">
        <v>2781</v>
      </c>
      <c r="B251" s="154" t="str">
        <f>IFERROR(__xludf.DUMMYFUNCTION("GOOGLETRANSLATE(A251,""zh-CN"", ""en"")"),"soft slope")</f>
        <v>soft slope</v>
      </c>
      <c r="C251" s="136" t="s">
        <v>2782</v>
      </c>
      <c r="D251" s="136" t="s">
        <v>2783</v>
      </c>
      <c r="E251" s="141" t="s">
        <v>104</v>
      </c>
      <c r="F251" s="137">
        <v>2.0</v>
      </c>
      <c r="G251" s="136" t="s">
        <v>2784</v>
      </c>
      <c r="H251" s="136"/>
      <c r="I251" s="136" t="s">
        <v>712</v>
      </c>
      <c r="J251" s="136" t="s">
        <v>2785</v>
      </c>
      <c r="K251" s="136" t="str">
        <f>IFERROR(__xludf.DUMMYFUNCTION("GOOGLETRANSLATE(J251,""zh-CN"", ""en"")"),"Grid-connected soft starting slope")</f>
        <v>Grid-connected soft starting slope</v>
      </c>
      <c r="L251" s="136" t="s">
        <v>2786</v>
      </c>
      <c r="M251" s="136" t="str">
        <f>IFERROR(__xludf.DUMMYFUNCTION("GOOGLETRANSLATE(L251,""zh-CN"", ""en"")"),"yes")</f>
        <v>yes</v>
      </c>
      <c r="N251" s="136"/>
      <c r="O251" s="136"/>
      <c r="P251" s="136" t="s">
        <v>2787</v>
      </c>
      <c r="Q251" s="55" t="s">
        <v>2788</v>
      </c>
      <c r="R251" s="55" t="s">
        <v>99</v>
      </c>
      <c r="S251" s="55" t="s">
        <v>2789</v>
      </c>
      <c r="T251" s="55" t="s">
        <v>2790</v>
      </c>
    </row>
    <row r="252" ht="15.75" customHeight="1">
      <c r="A252" s="136" t="s">
        <v>2791</v>
      </c>
      <c r="B252" s="154" t="str">
        <f>IFERROR(__xludf.DUMMYFUNCTION("GOOGLETRANSLATE(A252,""zh-CN"", ""en"")"),"Power ramp up slope")</f>
        <v>Power ramp up slope</v>
      </c>
      <c r="C252" s="136" t="s">
        <v>2792</v>
      </c>
      <c r="D252" s="136" t="s">
        <v>2793</v>
      </c>
      <c r="E252" s="141" t="s">
        <v>104</v>
      </c>
      <c r="F252" s="137">
        <v>2.0</v>
      </c>
      <c r="G252" s="191"/>
      <c r="H252" s="191"/>
      <c r="I252" s="191"/>
      <c r="J252" s="136"/>
      <c r="K252" s="136"/>
      <c r="L252" s="136"/>
      <c r="M252" s="136" t="str">
        <f>IFERROR(__xludf.DUMMYFUNCTION("GOOGLETRANSLATE(L252,""zh-CN"", ""en"")"),"#VALUE!")</f>
        <v>#VALUE!</v>
      </c>
      <c r="N252" s="136"/>
      <c r="O252" s="136"/>
      <c r="P252" s="136" t="s">
        <v>2794</v>
      </c>
      <c r="Q252" s="55" t="s">
        <v>2795</v>
      </c>
      <c r="R252" s="55" t="s">
        <v>99</v>
      </c>
      <c r="S252" s="55" t="s">
        <v>2796</v>
      </c>
      <c r="T252" s="55" t="s">
        <v>2797</v>
      </c>
    </row>
    <row r="253" ht="15.75" customHeight="1">
      <c r="A253" s="136" t="s">
        <v>2798</v>
      </c>
      <c r="B253" s="154" t="str">
        <f>IFERROR(__xludf.DUMMYFUNCTION("GOOGLETRANSLATE(A253,""zh-CN"", ""en"")"),"Power ramp down slope")</f>
        <v>Power ramp down slope</v>
      </c>
      <c r="C253" s="136" t="s">
        <v>2799</v>
      </c>
      <c r="D253" s="136" t="s">
        <v>2800</v>
      </c>
      <c r="E253" s="141" t="s">
        <v>104</v>
      </c>
      <c r="F253" s="137">
        <v>2.0</v>
      </c>
      <c r="G253" s="191"/>
      <c r="H253" s="191"/>
      <c r="I253" s="191"/>
      <c r="J253" s="136"/>
      <c r="K253" s="136"/>
      <c r="L253" s="136"/>
      <c r="M253" s="136" t="str">
        <f>IFERROR(__xludf.DUMMYFUNCTION("GOOGLETRANSLATE(L253,""zh-CN"", ""en"")"),"#VALUE!")</f>
        <v>#VALUE!</v>
      </c>
      <c r="N253" s="136"/>
      <c r="O253" s="136"/>
      <c r="P253" s="136" t="s">
        <v>2801</v>
      </c>
      <c r="Q253" s="55" t="s">
        <v>2802</v>
      </c>
      <c r="R253" s="55" t="s">
        <v>99</v>
      </c>
      <c r="S253" s="55" t="s">
        <v>2803</v>
      </c>
      <c r="T253" s="55" t="s">
        <v>2804</v>
      </c>
    </row>
    <row r="254" ht="15.75" customHeight="1">
      <c r="A254" s="159" t="s">
        <v>2805</v>
      </c>
      <c r="B254" s="154" t="str">
        <f>IFERROR(__xludf.DUMMYFUNCTION("GOOGLETRANSLATE(A254,""zh-CN"", ""en"")"),"reserved")</f>
        <v>reserved</v>
      </c>
      <c r="C254" s="160" t="s">
        <v>207</v>
      </c>
      <c r="D254" s="136" t="s">
        <v>2806</v>
      </c>
      <c r="E254" s="141"/>
      <c r="F254" s="137"/>
      <c r="G254" s="178"/>
      <c r="H254" s="161"/>
      <c r="I254" s="161"/>
      <c r="J254" s="161"/>
      <c r="K254" s="161"/>
      <c r="L254" s="161"/>
      <c r="M254" s="136" t="str">
        <f>IFERROR(__xludf.DUMMYFUNCTION("GOOGLETRANSLATE(L254,""zh-CN"", ""en"")"),"#VALUE!")</f>
        <v>#VALUE!</v>
      </c>
      <c r="N254" s="161"/>
      <c r="O254" s="161"/>
      <c r="P254" s="161"/>
      <c r="Q254" s="55" t="s">
        <v>2807</v>
      </c>
      <c r="R254" s="55" t="s">
        <v>99</v>
      </c>
      <c r="S254" s="55" t="s">
        <v>2808</v>
      </c>
      <c r="T254" s="55" t="s">
        <v>2809</v>
      </c>
    </row>
    <row r="255" ht="15.75" customHeight="1">
      <c r="A255" s="162" t="s">
        <v>2810</v>
      </c>
      <c r="B255" s="154" t="str">
        <f>IFERROR(__xludf.DUMMYFUNCTION("GOOGLETRANSLATE(A255,""zh-CN"", ""en"")"),"Set parameter 6 (EMS)")</f>
        <v>Set parameter 6 (EMS)</v>
      </c>
      <c r="C255" s="163"/>
      <c r="D255" s="163"/>
      <c r="E255" s="163"/>
      <c r="F255" s="163"/>
      <c r="G255" s="163"/>
      <c r="H255" s="163"/>
      <c r="I255" s="163"/>
      <c r="J255" s="164"/>
      <c r="K255" s="164"/>
      <c r="L255" s="152"/>
      <c r="M255" s="136" t="str">
        <f>IFERROR(__xludf.DUMMYFUNCTION("GOOGLETRANSLATE(L255,""zh-CN"", ""en"")"),"#VALUE!")</f>
        <v>#VALUE!</v>
      </c>
      <c r="N255" s="152"/>
      <c r="O255" s="152"/>
      <c r="P255" s="152"/>
      <c r="Q255" s="55" t="s">
        <v>2811</v>
      </c>
      <c r="R255" s="55" t="s">
        <v>99</v>
      </c>
      <c r="S255" s="55" t="s">
        <v>2812</v>
      </c>
      <c r="T255" s="55" t="s">
        <v>2813</v>
      </c>
    </row>
    <row r="256" ht="15.75" customHeight="1">
      <c r="A256" s="48" t="s">
        <v>2814</v>
      </c>
      <c r="B256" s="154" t="str">
        <f>IFERROR(__xludf.DUMMYFUNCTION("GOOGLETRANSLATE(A256,""zh-CN"", ""en"")"),"EMS mode")</f>
        <v>EMS mode</v>
      </c>
      <c r="C256" s="48" t="s">
        <v>2815</v>
      </c>
      <c r="D256" s="48" t="s">
        <v>766</v>
      </c>
      <c r="E256" s="48" t="s">
        <v>104</v>
      </c>
      <c r="F256" s="52">
        <v>2.0</v>
      </c>
      <c r="G256" s="48"/>
      <c r="H256" s="48"/>
      <c r="I256" s="48"/>
      <c r="J256" s="48" t="s">
        <v>2816</v>
      </c>
      <c r="K256" s="48"/>
      <c r="L256" s="48" t="s">
        <v>2817</v>
      </c>
      <c r="M256" s="136" t="str">
        <f>IFERROR(__xludf.DUMMYFUNCTION("GOOGLETRANSLATE(L256,""zh-CN"", ""en"")"),"yes")</f>
        <v>yes</v>
      </c>
      <c r="N256" s="48"/>
      <c r="O256" s="48"/>
      <c r="P256" s="48" t="s">
        <v>2818</v>
      </c>
      <c r="Q256" s="55" t="s">
        <v>2819</v>
      </c>
      <c r="R256" s="55" t="s">
        <v>99</v>
      </c>
      <c r="S256" s="55" t="s">
        <v>2820</v>
      </c>
      <c r="T256" s="55" t="s">
        <v>2821</v>
      </c>
    </row>
    <row r="257" ht="15.75" customHeight="1">
      <c r="A257" s="48" t="s">
        <v>2822</v>
      </c>
      <c r="B257" s="154" t="str">
        <f>IFERROR(__xludf.DUMMYFUNCTION("GOOGLETRANSLATE(A257,""zh-CN"", ""en"")"),"Charge and discharge instructions")</f>
        <v>Charge and discharge instructions</v>
      </c>
      <c r="C257" s="48" t="s">
        <v>2823</v>
      </c>
      <c r="D257" s="48" t="s">
        <v>2824</v>
      </c>
      <c r="E257" s="48" t="s">
        <v>104</v>
      </c>
      <c r="F257" s="52">
        <v>2.0</v>
      </c>
      <c r="G257" s="48" t="s">
        <v>2825</v>
      </c>
      <c r="H257" s="48" t="str">
        <f>IFERROR(__xludf.DUMMYFUNCTION("GOOGLETRANSLATE(G257,""zh-CN"", ""en"")"),"0xAA: charge and discharge
0xBB: Stop
0xCC: charging
0xDD: discharge")</f>
        <v>0xAA: charge and discharge
0xBB: Stop
0xCC: charging
0xDD: discharge</v>
      </c>
      <c r="I257" s="48"/>
      <c r="J257" s="48"/>
      <c r="K257" s="48"/>
      <c r="L257" s="48" t="s">
        <v>2826</v>
      </c>
      <c r="M257" s="136" t="str">
        <f>IFERROR(__xludf.DUMMYFUNCTION("GOOGLETRANSLATE(L257,""zh-CN"", ""en"")"),"no")</f>
        <v>no</v>
      </c>
      <c r="N257" s="48"/>
      <c r="O257" s="48"/>
      <c r="P257" s="48" t="s">
        <v>2827</v>
      </c>
      <c r="Q257" s="55" t="s">
        <v>2828</v>
      </c>
      <c r="R257" s="55" t="s">
        <v>99</v>
      </c>
      <c r="S257" s="55" t="s">
        <v>2829</v>
      </c>
      <c r="T257" s="55" t="s">
        <v>2830</v>
      </c>
    </row>
    <row r="258" ht="15.75" customHeight="1">
      <c r="A258" s="192" t="s">
        <v>2831</v>
      </c>
      <c r="B258" s="154" t="str">
        <f>IFERROR(__xludf.DUMMYFUNCTION("GOOGLETRANSLATE(A258,""zh-CN"", ""en"")"),"Charge and discharge power instructions")</f>
        <v>Charge and discharge power instructions</v>
      </c>
      <c r="C258" s="57" t="s">
        <v>2832</v>
      </c>
      <c r="D258" s="57" t="s">
        <v>2833</v>
      </c>
      <c r="E258" s="57" t="s">
        <v>285</v>
      </c>
      <c r="F258" s="193">
        <v>4.0</v>
      </c>
      <c r="G258" s="57"/>
      <c r="H258" s="57"/>
      <c r="I258" s="57"/>
      <c r="J258" s="57"/>
      <c r="K258" s="57"/>
      <c r="L258" s="57" t="s">
        <v>2834</v>
      </c>
      <c r="M258" s="136" t="str">
        <f>IFERROR(__xludf.DUMMYFUNCTION("GOOGLETRANSLATE(L258,""zh-CN"", ""en"")"),"no")</f>
        <v>no</v>
      </c>
      <c r="N258" s="194" t="s">
        <v>2835</v>
      </c>
      <c r="O258" s="57" t="str">
        <f>IFERROR(__xludf.DUMMYFUNCTION("GOOGLETRANSLATE(N258,""zh-CN"", ""en"")"),"""Charge and discharge power"" is changed to ""charge and discharge power command""")</f>
        <v>"Charge and discharge power" is changed to "charge and discharge power command"</v>
      </c>
      <c r="P258" s="57" t="s">
        <v>2836</v>
      </c>
      <c r="Q258" s="64" t="s">
        <v>2837</v>
      </c>
      <c r="R258" s="64" t="s">
        <v>99</v>
      </c>
      <c r="S258" s="64" t="s">
        <v>2838</v>
      </c>
      <c r="T258" s="64" t="s">
        <v>2839</v>
      </c>
      <c r="U258" s="66"/>
      <c r="V258" s="66"/>
      <c r="W258" s="66"/>
      <c r="X258" s="66"/>
      <c r="Y258" s="66"/>
      <c r="Z258" s="66"/>
      <c r="AA258" s="66"/>
      <c r="AB258" s="66"/>
      <c r="AC258" s="66"/>
      <c r="AD258" s="66"/>
      <c r="AE258" s="66"/>
    </row>
    <row r="259" ht="15.75" customHeight="1">
      <c r="A259" s="48" t="s">
        <v>2840</v>
      </c>
      <c r="B259" s="154" t="str">
        <f>IFERROR(__xludf.DUMMYFUNCTION("GOOGLETRANSLATE(A259,""zh-CN"", ""en"")"),"AC charging power percentage")</f>
        <v>AC charging power percentage</v>
      </c>
      <c r="C259" s="48" t="s">
        <v>2841</v>
      </c>
      <c r="D259" s="48" t="s">
        <v>2842</v>
      </c>
      <c r="E259" s="48" t="s">
        <v>104</v>
      </c>
      <c r="F259" s="52">
        <v>2.0</v>
      </c>
      <c r="G259" s="48" t="s">
        <v>2784</v>
      </c>
      <c r="H259" s="48"/>
      <c r="I259" s="48" t="s">
        <v>712</v>
      </c>
      <c r="J259" s="48"/>
      <c r="K259" s="48"/>
      <c r="L259" s="48" t="s">
        <v>2843</v>
      </c>
      <c r="M259" s="136" t="str">
        <f>IFERROR(__xludf.DUMMYFUNCTION("GOOGLETRANSLATE(L259,""zh-CN"", ""en"")"),"yes")</f>
        <v>yes</v>
      </c>
      <c r="N259" s="135"/>
      <c r="O259" s="48"/>
      <c r="P259" s="48" t="s">
        <v>2844</v>
      </c>
      <c r="Q259" s="55" t="s">
        <v>2845</v>
      </c>
      <c r="R259" s="55" t="s">
        <v>99</v>
      </c>
      <c r="S259" s="55" t="s">
        <v>2846</v>
      </c>
      <c r="T259" s="55" t="s">
        <v>2847</v>
      </c>
    </row>
    <row r="260" ht="15.75" customHeight="1">
      <c r="A260" s="194" t="s">
        <v>2848</v>
      </c>
      <c r="B260" s="154" t="str">
        <f>IFERROR(__xludf.DUMMYFUNCTION("GOOGLETRANSLATE(A260,""zh-CN"", ""en"")"),"AC charging maximum SOC")</f>
        <v>AC charging maximum SOC</v>
      </c>
      <c r="C260" s="194" t="s">
        <v>2849</v>
      </c>
      <c r="D260" s="57" t="s">
        <v>783</v>
      </c>
      <c r="E260" s="57" t="s">
        <v>104</v>
      </c>
      <c r="F260" s="193">
        <v>2.0</v>
      </c>
      <c r="G260" s="57" t="s">
        <v>2784</v>
      </c>
      <c r="H260" s="57"/>
      <c r="I260" s="57" t="s">
        <v>712</v>
      </c>
      <c r="J260" s="57"/>
      <c r="K260" s="57"/>
      <c r="L260" s="57" t="s">
        <v>2850</v>
      </c>
      <c r="M260" s="136" t="str">
        <f>IFERROR(__xludf.DUMMYFUNCTION("GOOGLETRANSLATE(L260,""zh-CN"", ""en"")"),"yes")</f>
        <v>yes</v>
      </c>
      <c r="N260" s="194" t="s">
        <v>2851</v>
      </c>
      <c r="O260" s="57" t="str">
        <f>IFERROR(__xludf.DUMMYFUNCTION("GOOGLETRANSLATE(N260,""zh-CN"", ""en"")"),"""Maximum charging SOC"" is modified to ""AC charging maximum SOC""; ""SocMaxChg"" is modified to ""AcSocMaxChg""")</f>
        <v>"Maximum charging SOC" is modified to "AC charging maximum SOC"; "SocMaxChg" is modified to "AcSocMaxChg"</v>
      </c>
      <c r="P260" s="57" t="s">
        <v>2852</v>
      </c>
      <c r="Q260" s="64" t="s">
        <v>2853</v>
      </c>
      <c r="R260" s="64" t="s">
        <v>99</v>
      </c>
      <c r="S260" s="64" t="s">
        <v>2854</v>
      </c>
      <c r="T260" s="64" t="s">
        <v>2855</v>
      </c>
      <c r="U260" s="66"/>
      <c r="V260" s="66"/>
      <c r="W260" s="66"/>
      <c r="X260" s="66"/>
      <c r="Y260" s="66"/>
      <c r="Z260" s="66"/>
      <c r="AA260" s="66"/>
      <c r="AB260" s="66"/>
      <c r="AC260" s="66"/>
      <c r="AD260" s="66"/>
      <c r="AE260" s="66"/>
    </row>
    <row r="261" ht="15.75" customHeight="1">
      <c r="A261" s="194" t="s">
        <v>2856</v>
      </c>
      <c r="B261" s="154" t="str">
        <f>IFERROR(__xludf.DUMMYFUNCTION("GOOGLETRANSLATE(A261,""zh-CN"", ""en"")"),"Forced discharge minimum SOC")</f>
        <v>Forced discharge minimum SOC</v>
      </c>
      <c r="C261" s="57" t="s">
        <v>2857</v>
      </c>
      <c r="D261" s="57" t="s">
        <v>788</v>
      </c>
      <c r="E261" s="57" t="s">
        <v>104</v>
      </c>
      <c r="F261" s="193">
        <v>2.0</v>
      </c>
      <c r="G261" s="57" t="s">
        <v>2784</v>
      </c>
      <c r="H261" s="57"/>
      <c r="I261" s="57" t="s">
        <v>712</v>
      </c>
      <c r="J261" s="57"/>
      <c r="K261" s="57"/>
      <c r="L261" s="57" t="s">
        <v>2858</v>
      </c>
      <c r="M261" s="136" t="str">
        <f>IFERROR(__xludf.DUMMYFUNCTION("GOOGLETRANSLATE(L261,""zh-CN"", ""en"")"),"yes")</f>
        <v>yes</v>
      </c>
      <c r="N261" s="194" t="s">
        <v>2859</v>
      </c>
      <c r="O261" s="57" t="str">
        <f>IFERROR(__xludf.DUMMYFUNCTION("GOOGLETRANSLATE(N261,""zh-CN"", ""en"")"),"""Minimum discharge SOC"" is changed to ""forced discharge minimum SOC"";")</f>
        <v>"Minimum discharge SOC" is changed to "forced discharge minimum SOC";</v>
      </c>
      <c r="P261" s="57" t="s">
        <v>2860</v>
      </c>
      <c r="Q261" s="64" t="s">
        <v>2861</v>
      </c>
      <c r="R261" s="64" t="s">
        <v>99</v>
      </c>
      <c r="S261" s="64" t="s">
        <v>2862</v>
      </c>
      <c r="T261" s="64" t="s">
        <v>2863</v>
      </c>
      <c r="U261" s="66"/>
      <c r="V261" s="66"/>
      <c r="W261" s="66"/>
      <c r="X261" s="66"/>
      <c r="Y261" s="66"/>
      <c r="Z261" s="66"/>
      <c r="AA261" s="66"/>
      <c r="AB261" s="66"/>
      <c r="AC261" s="66"/>
      <c r="AD261" s="66"/>
      <c r="AE261" s="66"/>
    </row>
    <row r="262" ht="15.75" customHeight="1">
      <c r="A262" s="48" t="s">
        <v>2864</v>
      </c>
      <c r="B262" s="154" t="str">
        <f>IFERROR(__xludf.DUMMYFUNCTION("GOOGLETRANSLATE(A262,""zh-CN"", ""en"")"),"Forced charging power percentage")</f>
        <v>Forced charging power percentage</v>
      </c>
      <c r="C262" s="48" t="s">
        <v>2865</v>
      </c>
      <c r="D262" s="48" t="s">
        <v>792</v>
      </c>
      <c r="E262" s="48" t="s">
        <v>104</v>
      </c>
      <c r="F262" s="52">
        <v>2.0</v>
      </c>
      <c r="G262" s="48" t="s">
        <v>2784</v>
      </c>
      <c r="H262" s="48"/>
      <c r="I262" s="48" t="s">
        <v>712</v>
      </c>
      <c r="J262" s="48"/>
      <c r="K262" s="48"/>
      <c r="L262" s="48" t="s">
        <v>2866</v>
      </c>
      <c r="M262" s="136" t="str">
        <f>IFERROR(__xludf.DUMMYFUNCTION("GOOGLETRANSLATE(L262,""zh-CN"", ""en"")"),"yes")</f>
        <v>yes</v>
      </c>
      <c r="N262" s="48"/>
      <c r="O262" s="48"/>
      <c r="P262" s="48" t="s">
        <v>2867</v>
      </c>
      <c r="Q262" s="55" t="s">
        <v>2868</v>
      </c>
      <c r="R262" s="55" t="s">
        <v>99</v>
      </c>
      <c r="S262" s="55" t="s">
        <v>2869</v>
      </c>
      <c r="T262" s="55" t="s">
        <v>2870</v>
      </c>
    </row>
    <row r="263" ht="15.75" customHeight="1">
      <c r="A263" s="48" t="s">
        <v>2871</v>
      </c>
      <c r="B263" s="154" t="str">
        <f>IFERROR(__xludf.DUMMYFUNCTION("GOOGLETRANSLATE(A263,""zh-CN"", ""en"")"),"Forced discharge power percentage")</f>
        <v>Forced discharge power percentage</v>
      </c>
      <c r="C263" s="48" t="s">
        <v>2872</v>
      </c>
      <c r="D263" s="48" t="s">
        <v>796</v>
      </c>
      <c r="E263" s="48" t="s">
        <v>104</v>
      </c>
      <c r="F263" s="52">
        <v>2.0</v>
      </c>
      <c r="G263" s="48" t="s">
        <v>2784</v>
      </c>
      <c r="H263" s="48"/>
      <c r="I263" s="48" t="s">
        <v>712</v>
      </c>
      <c r="J263" s="48"/>
      <c r="K263" s="48"/>
      <c r="L263" s="48" t="s">
        <v>2873</v>
      </c>
      <c r="M263" s="136" t="str">
        <f>IFERROR(__xludf.DUMMYFUNCTION("GOOGLETRANSLATE(L263,""zh-CN"", ""en"")"),"yes")</f>
        <v>yes</v>
      </c>
      <c r="N263" s="48"/>
      <c r="O263" s="48"/>
      <c r="P263" s="48" t="s">
        <v>2874</v>
      </c>
      <c r="Q263" s="55" t="s">
        <v>2875</v>
      </c>
      <c r="R263" s="55" t="s">
        <v>99</v>
      </c>
      <c r="S263" s="55" t="s">
        <v>2876</v>
      </c>
      <c r="T263" s="55" t="s">
        <v>2877</v>
      </c>
    </row>
    <row r="264" ht="15.75" customHeight="1">
      <c r="A264" s="48" t="s">
        <v>2878</v>
      </c>
      <c r="B264" s="154" t="str">
        <f>IFERROR(__xludf.DUMMYFUNCTION("GOOGLETRANSLATE(A264,""zh-CN"", ""en"")"),"AC charging start time 1")</f>
        <v>AC charging start time 1</v>
      </c>
      <c r="C264" s="48" t="s">
        <v>2879</v>
      </c>
      <c r="D264" s="48" t="s">
        <v>800</v>
      </c>
      <c r="E264" s="48" t="s">
        <v>104</v>
      </c>
      <c r="F264" s="52">
        <v>2.0</v>
      </c>
      <c r="G264" s="48" t="s">
        <v>2880</v>
      </c>
      <c r="H264" s="48"/>
      <c r="I264" s="48"/>
      <c r="J264" s="48" t="s">
        <v>2881</v>
      </c>
      <c r="K264" s="48" t="str">
        <f>IFERROR(__xludf.DUMMYFUNCTION("GOOGLETRANSLATE(J264,""zh-CN"", ""en"")"),"Distinguish between weekends and working days based on actual projects")</f>
        <v>Distinguish between weekends and working days based on actual projects</v>
      </c>
      <c r="L264" s="48" t="s">
        <v>2882</v>
      </c>
      <c r="M264" s="136" t="str">
        <f>IFERROR(__xludf.DUMMYFUNCTION("GOOGLETRANSLATE(L264,""zh-CN"", ""en"")"),"yes")</f>
        <v>yes</v>
      </c>
      <c r="N264" s="48"/>
      <c r="O264" s="48"/>
      <c r="P264" s="48" t="s">
        <v>2883</v>
      </c>
      <c r="Q264" s="55" t="s">
        <v>2884</v>
      </c>
      <c r="R264" s="55" t="s">
        <v>99</v>
      </c>
      <c r="S264" s="55" t="s">
        <v>2885</v>
      </c>
      <c r="T264" s="55" t="s">
        <v>2886</v>
      </c>
    </row>
    <row r="265" ht="15.75" customHeight="1">
      <c r="A265" s="48" t="s">
        <v>2887</v>
      </c>
      <c r="B265" s="154" t="str">
        <f>IFERROR(__xludf.DUMMYFUNCTION("GOOGLETRANSLATE(A265,""zh-CN"", ""en"")"),"AC charging end time 1")</f>
        <v>AC charging end time 1</v>
      </c>
      <c r="C265" s="48" t="s">
        <v>2888</v>
      </c>
      <c r="D265" s="48" t="s">
        <v>804</v>
      </c>
      <c r="E265" s="48" t="s">
        <v>104</v>
      </c>
      <c r="F265" s="52">
        <v>2.0</v>
      </c>
      <c r="G265" s="48" t="s">
        <v>2880</v>
      </c>
      <c r="H265" s="48"/>
      <c r="I265" s="48"/>
      <c r="J265" s="48"/>
      <c r="K265" s="48"/>
      <c r="L265" s="48" t="s">
        <v>2889</v>
      </c>
      <c r="M265" s="136" t="str">
        <f>IFERROR(__xludf.DUMMYFUNCTION("GOOGLETRANSLATE(L265,""zh-CN"", ""en"")"),"yes")</f>
        <v>yes</v>
      </c>
      <c r="N265" s="48"/>
      <c r="O265" s="48"/>
      <c r="P265" s="48" t="s">
        <v>2890</v>
      </c>
      <c r="Q265" s="55" t="s">
        <v>2891</v>
      </c>
      <c r="R265" s="55" t="s">
        <v>99</v>
      </c>
      <c r="S265" s="55" t="s">
        <v>2892</v>
      </c>
      <c r="T265" s="55" t="s">
        <v>2893</v>
      </c>
    </row>
    <row r="266" ht="15.75" customHeight="1">
      <c r="A266" s="48" t="s">
        <v>2894</v>
      </c>
      <c r="B266" s="154" t="str">
        <f>IFERROR(__xludf.DUMMYFUNCTION("GOOGLETRANSLATE(A266,""zh-CN"", ""en"")"),"AC charging start time 2")</f>
        <v>AC charging start time 2</v>
      </c>
      <c r="C266" s="48" t="s">
        <v>2895</v>
      </c>
      <c r="D266" s="48" t="s">
        <v>808</v>
      </c>
      <c r="E266" s="48" t="s">
        <v>104</v>
      </c>
      <c r="F266" s="52">
        <v>2.0</v>
      </c>
      <c r="G266" s="48" t="s">
        <v>2880</v>
      </c>
      <c r="H266" s="48"/>
      <c r="I266" s="48"/>
      <c r="J266" s="48"/>
      <c r="K266" s="48"/>
      <c r="L266" s="48" t="s">
        <v>2896</v>
      </c>
      <c r="M266" s="136" t="str">
        <f>IFERROR(__xludf.DUMMYFUNCTION("GOOGLETRANSLATE(L266,""zh-CN"", ""en"")"),"yes")</f>
        <v>yes</v>
      </c>
      <c r="N266" s="48"/>
      <c r="O266" s="48"/>
      <c r="P266" s="48" t="s">
        <v>2897</v>
      </c>
      <c r="Q266" s="55" t="s">
        <v>2898</v>
      </c>
      <c r="R266" s="55" t="s">
        <v>99</v>
      </c>
      <c r="S266" s="55" t="s">
        <v>2899</v>
      </c>
      <c r="T266" s="55" t="s">
        <v>2900</v>
      </c>
    </row>
    <row r="267" ht="15.75" customHeight="1">
      <c r="A267" s="48" t="s">
        <v>2901</v>
      </c>
      <c r="B267" s="154" t="str">
        <f>IFERROR(__xludf.DUMMYFUNCTION("GOOGLETRANSLATE(A267,""zh-CN"", ""en"")"),"AC charging end time 2")</f>
        <v>AC charging end time 2</v>
      </c>
      <c r="C267" s="48" t="s">
        <v>2902</v>
      </c>
      <c r="D267" s="48" t="s">
        <v>812</v>
      </c>
      <c r="E267" s="48" t="s">
        <v>104</v>
      </c>
      <c r="F267" s="52">
        <v>2.0</v>
      </c>
      <c r="G267" s="48" t="s">
        <v>2880</v>
      </c>
      <c r="H267" s="48"/>
      <c r="I267" s="48"/>
      <c r="J267" s="48"/>
      <c r="K267" s="48"/>
      <c r="L267" s="48" t="s">
        <v>2903</v>
      </c>
      <c r="M267" s="136" t="str">
        <f>IFERROR(__xludf.DUMMYFUNCTION("GOOGLETRANSLATE(L267,""zh-CN"", ""en"")"),"yes")</f>
        <v>yes</v>
      </c>
      <c r="N267" s="48"/>
      <c r="O267" s="48"/>
      <c r="P267" s="48" t="s">
        <v>2904</v>
      </c>
      <c r="Q267" s="55" t="s">
        <v>2905</v>
      </c>
      <c r="R267" s="55" t="s">
        <v>99</v>
      </c>
      <c r="S267" s="55" t="s">
        <v>2906</v>
      </c>
      <c r="T267" s="55" t="s">
        <v>2907</v>
      </c>
    </row>
    <row r="268" ht="15.75" customHeight="1">
      <c r="A268" s="48" t="s">
        <v>2908</v>
      </c>
      <c r="B268" s="154" t="str">
        <f>IFERROR(__xludf.DUMMYFUNCTION("GOOGLETRANSLATE(A268,""zh-CN"", ""en"")"),"AC charging start time 3")</f>
        <v>AC charging start time 3</v>
      </c>
      <c r="C268" s="48" t="s">
        <v>2909</v>
      </c>
      <c r="D268" s="48" t="s">
        <v>816</v>
      </c>
      <c r="E268" s="48" t="s">
        <v>104</v>
      </c>
      <c r="F268" s="52">
        <v>2.0</v>
      </c>
      <c r="G268" s="48" t="s">
        <v>2880</v>
      </c>
      <c r="H268" s="48"/>
      <c r="I268" s="48"/>
      <c r="J268" s="48"/>
      <c r="K268" s="48"/>
      <c r="L268" s="48" t="s">
        <v>2910</v>
      </c>
      <c r="M268" s="136" t="str">
        <f>IFERROR(__xludf.DUMMYFUNCTION("GOOGLETRANSLATE(L268,""zh-CN"", ""en"")"),"yes")</f>
        <v>yes</v>
      </c>
      <c r="N268" s="48"/>
      <c r="O268" s="48"/>
      <c r="P268" s="48" t="s">
        <v>2911</v>
      </c>
      <c r="Q268" s="55" t="s">
        <v>2912</v>
      </c>
      <c r="R268" s="55" t="s">
        <v>99</v>
      </c>
      <c r="S268" s="55" t="s">
        <v>2913</v>
      </c>
      <c r="T268" s="55" t="s">
        <v>2914</v>
      </c>
    </row>
    <row r="269" ht="15.75" customHeight="1">
      <c r="A269" s="48" t="s">
        <v>2915</v>
      </c>
      <c r="B269" s="154" t="str">
        <f>IFERROR(__xludf.DUMMYFUNCTION("GOOGLETRANSLATE(A269,""zh-CN"", ""en"")"),"AC charging end time 3")</f>
        <v>AC charging end time 3</v>
      </c>
      <c r="C269" s="48" t="s">
        <v>2916</v>
      </c>
      <c r="D269" s="48" t="s">
        <v>821</v>
      </c>
      <c r="E269" s="48" t="s">
        <v>104</v>
      </c>
      <c r="F269" s="52">
        <v>2.0</v>
      </c>
      <c r="G269" s="48" t="s">
        <v>2880</v>
      </c>
      <c r="H269" s="48"/>
      <c r="I269" s="48"/>
      <c r="J269" s="48"/>
      <c r="K269" s="48"/>
      <c r="L269" s="48" t="s">
        <v>2917</v>
      </c>
      <c r="M269" s="136" t="str">
        <f>IFERROR(__xludf.DUMMYFUNCTION("GOOGLETRANSLATE(L269,""zh-CN"", ""en"")"),"yes")</f>
        <v>yes</v>
      </c>
      <c r="N269" s="48"/>
      <c r="O269" s="48"/>
      <c r="P269" s="48" t="s">
        <v>2918</v>
      </c>
      <c r="Q269" s="55" t="s">
        <v>2919</v>
      </c>
      <c r="R269" s="55" t="s">
        <v>99</v>
      </c>
      <c r="S269" s="55" t="s">
        <v>2920</v>
      </c>
      <c r="T269" s="55" t="s">
        <v>2921</v>
      </c>
    </row>
    <row r="270" ht="15.75" customHeight="1">
      <c r="A270" s="48" t="s">
        <v>2922</v>
      </c>
      <c r="B270" s="154" t="str">
        <f>IFERROR(__xludf.DUMMYFUNCTION("GOOGLETRANSLATE(A270,""zh-CN"", ""en"")"),"AC charging start time 4")</f>
        <v>AC charging start time 4</v>
      </c>
      <c r="C270" s="48" t="s">
        <v>2923</v>
      </c>
      <c r="D270" s="48" t="s">
        <v>826</v>
      </c>
      <c r="E270" s="48" t="s">
        <v>104</v>
      </c>
      <c r="F270" s="52">
        <v>2.0</v>
      </c>
      <c r="G270" s="48"/>
      <c r="H270" s="48"/>
      <c r="I270" s="48"/>
      <c r="J270" s="48"/>
      <c r="K270" s="48"/>
      <c r="L270" s="48"/>
      <c r="M270" s="136" t="str">
        <f>IFERROR(__xludf.DUMMYFUNCTION("GOOGLETRANSLATE(L270,""zh-CN"", ""en"")"),"#VALUE!")</f>
        <v>#VALUE!</v>
      </c>
      <c r="N270" s="48"/>
      <c r="O270" s="48"/>
      <c r="P270" s="48" t="s">
        <v>2924</v>
      </c>
      <c r="Q270" s="55" t="s">
        <v>2925</v>
      </c>
      <c r="R270" s="55" t="s">
        <v>99</v>
      </c>
      <c r="S270" s="55" t="s">
        <v>2926</v>
      </c>
      <c r="T270" s="55" t="s">
        <v>2927</v>
      </c>
    </row>
    <row r="271" ht="15.75" customHeight="1">
      <c r="A271" s="48" t="s">
        <v>2928</v>
      </c>
      <c r="B271" s="154" t="str">
        <f>IFERROR(__xludf.DUMMYFUNCTION("GOOGLETRANSLATE(A271,""zh-CN"", ""en"")"),"AC charging end time 4")</f>
        <v>AC charging end time 4</v>
      </c>
      <c r="C271" s="48" t="s">
        <v>2929</v>
      </c>
      <c r="D271" s="48" t="s">
        <v>831</v>
      </c>
      <c r="E271" s="48" t="s">
        <v>104</v>
      </c>
      <c r="F271" s="52">
        <v>2.0</v>
      </c>
      <c r="G271" s="48"/>
      <c r="H271" s="48"/>
      <c r="I271" s="48"/>
      <c r="J271" s="48"/>
      <c r="K271" s="48"/>
      <c r="L271" s="48"/>
      <c r="M271" s="136" t="str">
        <f>IFERROR(__xludf.DUMMYFUNCTION("GOOGLETRANSLATE(L271,""zh-CN"", ""en"")"),"#VALUE!")</f>
        <v>#VALUE!</v>
      </c>
      <c r="N271" s="48"/>
      <c r="O271" s="48"/>
      <c r="P271" s="48" t="s">
        <v>2930</v>
      </c>
      <c r="Q271" s="55" t="s">
        <v>2931</v>
      </c>
      <c r="R271" s="55" t="s">
        <v>99</v>
      </c>
      <c r="S271" s="55" t="s">
        <v>2932</v>
      </c>
      <c r="T271" s="55" t="s">
        <v>2933</v>
      </c>
    </row>
    <row r="272" ht="15.75" customHeight="1">
      <c r="A272" s="48" t="s">
        <v>2934</v>
      </c>
      <c r="B272" s="154" t="str">
        <f>IFERROR(__xludf.DUMMYFUNCTION("GOOGLETRANSLATE(A272,""zh-CN"", ""en"")"),"Forced charging start time 1")</f>
        <v>Forced charging start time 1</v>
      </c>
      <c r="C272" s="48" t="s">
        <v>2935</v>
      </c>
      <c r="D272" s="48" t="s">
        <v>836</v>
      </c>
      <c r="E272" s="48" t="s">
        <v>104</v>
      </c>
      <c r="F272" s="52">
        <v>2.0</v>
      </c>
      <c r="G272" s="48" t="s">
        <v>2880</v>
      </c>
      <c r="H272" s="48"/>
      <c r="I272" s="48"/>
      <c r="J272" s="48"/>
      <c r="K272" s="48"/>
      <c r="L272" s="48" t="s">
        <v>2936</v>
      </c>
      <c r="M272" s="136" t="str">
        <f>IFERROR(__xludf.DUMMYFUNCTION("GOOGLETRANSLATE(L272,""zh-CN"", ""en"")"),"yes")</f>
        <v>yes</v>
      </c>
      <c r="N272" s="48"/>
      <c r="O272" s="48"/>
      <c r="P272" s="48" t="s">
        <v>2937</v>
      </c>
      <c r="Q272" s="55" t="s">
        <v>2938</v>
      </c>
      <c r="R272" s="55" t="s">
        <v>99</v>
      </c>
      <c r="S272" s="55" t="s">
        <v>2939</v>
      </c>
      <c r="T272" s="55" t="s">
        <v>2940</v>
      </c>
    </row>
    <row r="273" ht="15.75" customHeight="1">
      <c r="A273" s="48" t="s">
        <v>2941</v>
      </c>
      <c r="B273" s="154" t="str">
        <f>IFERROR(__xludf.DUMMYFUNCTION("GOOGLETRANSLATE(A273,""zh-CN"", ""en"")"),"Forced charging end time 1")</f>
        <v>Forced charging end time 1</v>
      </c>
      <c r="C273" s="48" t="s">
        <v>2942</v>
      </c>
      <c r="D273" s="48" t="s">
        <v>841</v>
      </c>
      <c r="E273" s="48" t="s">
        <v>104</v>
      </c>
      <c r="F273" s="52">
        <v>2.0</v>
      </c>
      <c r="G273" s="48" t="s">
        <v>2880</v>
      </c>
      <c r="H273" s="48"/>
      <c r="I273" s="48"/>
      <c r="J273" s="48"/>
      <c r="K273" s="48"/>
      <c r="L273" s="48" t="s">
        <v>2943</v>
      </c>
      <c r="M273" s="136" t="str">
        <f>IFERROR(__xludf.DUMMYFUNCTION("GOOGLETRANSLATE(L273,""zh-CN"", ""en"")"),"yes")</f>
        <v>yes</v>
      </c>
      <c r="N273" s="48"/>
      <c r="O273" s="48"/>
      <c r="P273" s="48" t="s">
        <v>2944</v>
      </c>
      <c r="Q273" s="55" t="s">
        <v>2945</v>
      </c>
      <c r="R273" s="55" t="s">
        <v>99</v>
      </c>
      <c r="S273" s="55" t="s">
        <v>2946</v>
      </c>
      <c r="T273" s="55" t="s">
        <v>2947</v>
      </c>
    </row>
    <row r="274" ht="15.75" customHeight="1">
      <c r="A274" s="48" t="s">
        <v>2948</v>
      </c>
      <c r="B274" s="154" t="str">
        <f>IFERROR(__xludf.DUMMYFUNCTION("GOOGLETRANSLATE(A274,""zh-CN"", ""en"")"),"Forced charging start time 2")</f>
        <v>Forced charging start time 2</v>
      </c>
      <c r="C274" s="48" t="s">
        <v>2949</v>
      </c>
      <c r="D274" s="48" t="s">
        <v>845</v>
      </c>
      <c r="E274" s="48" t="s">
        <v>104</v>
      </c>
      <c r="F274" s="52">
        <v>2.0</v>
      </c>
      <c r="G274" s="48" t="s">
        <v>2880</v>
      </c>
      <c r="H274" s="48"/>
      <c r="I274" s="48"/>
      <c r="J274" s="48"/>
      <c r="K274" s="48"/>
      <c r="L274" s="48" t="s">
        <v>2950</v>
      </c>
      <c r="M274" s="136" t="str">
        <f>IFERROR(__xludf.DUMMYFUNCTION("GOOGLETRANSLATE(L274,""zh-CN"", ""en"")"),"yes")</f>
        <v>yes</v>
      </c>
      <c r="N274" s="48"/>
      <c r="O274" s="48"/>
      <c r="P274" s="48" t="s">
        <v>2951</v>
      </c>
      <c r="Q274" s="55" t="s">
        <v>2952</v>
      </c>
      <c r="R274" s="55" t="s">
        <v>99</v>
      </c>
      <c r="S274" s="55" t="s">
        <v>2953</v>
      </c>
      <c r="T274" s="55" t="s">
        <v>2954</v>
      </c>
    </row>
    <row r="275" ht="15.75" customHeight="1">
      <c r="A275" s="48" t="s">
        <v>2955</v>
      </c>
      <c r="B275" s="154" t="str">
        <f>IFERROR(__xludf.DUMMYFUNCTION("GOOGLETRANSLATE(A275,""zh-CN"", ""en"")"),"Forced charging end time 2")</f>
        <v>Forced charging end time 2</v>
      </c>
      <c r="C275" s="48" t="s">
        <v>2956</v>
      </c>
      <c r="D275" s="48" t="s">
        <v>849</v>
      </c>
      <c r="E275" s="48" t="s">
        <v>104</v>
      </c>
      <c r="F275" s="52">
        <v>2.0</v>
      </c>
      <c r="G275" s="48" t="s">
        <v>2880</v>
      </c>
      <c r="H275" s="48"/>
      <c r="I275" s="48"/>
      <c r="J275" s="48"/>
      <c r="K275" s="48"/>
      <c r="L275" s="48" t="s">
        <v>2957</v>
      </c>
      <c r="M275" s="136" t="str">
        <f>IFERROR(__xludf.DUMMYFUNCTION("GOOGLETRANSLATE(L275,""zh-CN"", ""en"")"),"yes")</f>
        <v>yes</v>
      </c>
      <c r="N275" s="48"/>
      <c r="O275" s="48"/>
      <c r="P275" s="48" t="s">
        <v>2958</v>
      </c>
      <c r="Q275" s="55" t="s">
        <v>2959</v>
      </c>
      <c r="R275" s="55" t="s">
        <v>99</v>
      </c>
      <c r="S275" s="55" t="s">
        <v>2960</v>
      </c>
      <c r="T275" s="55" t="s">
        <v>2961</v>
      </c>
    </row>
    <row r="276" ht="15.75" customHeight="1">
      <c r="A276" s="48" t="s">
        <v>2962</v>
      </c>
      <c r="B276" s="154" t="str">
        <f>IFERROR(__xludf.DUMMYFUNCTION("GOOGLETRANSLATE(A276,""zh-CN"", ""en"")"),"Forced charging start time 3")</f>
        <v>Forced charging start time 3</v>
      </c>
      <c r="C276" s="48" t="s">
        <v>2963</v>
      </c>
      <c r="D276" s="48" t="s">
        <v>853</v>
      </c>
      <c r="E276" s="48" t="s">
        <v>104</v>
      </c>
      <c r="F276" s="52">
        <v>2.0</v>
      </c>
      <c r="G276" s="48" t="s">
        <v>2880</v>
      </c>
      <c r="H276" s="48"/>
      <c r="I276" s="48"/>
      <c r="J276" s="48"/>
      <c r="K276" s="48"/>
      <c r="L276" s="48" t="s">
        <v>2964</v>
      </c>
      <c r="M276" s="136" t="str">
        <f>IFERROR(__xludf.DUMMYFUNCTION("GOOGLETRANSLATE(L276,""zh-CN"", ""en"")"),"yes")</f>
        <v>yes</v>
      </c>
      <c r="N276" s="48"/>
      <c r="O276" s="48"/>
      <c r="P276" s="48" t="s">
        <v>2965</v>
      </c>
      <c r="Q276" s="55" t="s">
        <v>2966</v>
      </c>
      <c r="R276" s="55" t="s">
        <v>99</v>
      </c>
      <c r="S276" s="55" t="s">
        <v>2967</v>
      </c>
      <c r="T276" s="55" t="s">
        <v>2968</v>
      </c>
    </row>
    <row r="277" ht="15.75" customHeight="1">
      <c r="A277" s="48" t="s">
        <v>2969</v>
      </c>
      <c r="B277" s="154" t="str">
        <f>IFERROR(__xludf.DUMMYFUNCTION("GOOGLETRANSLATE(A277,""zh-CN"", ""en"")"),"Forced charging end time 3")</f>
        <v>Forced charging end time 3</v>
      </c>
      <c r="C277" s="48" t="s">
        <v>2970</v>
      </c>
      <c r="D277" s="48" t="s">
        <v>857</v>
      </c>
      <c r="E277" s="48" t="s">
        <v>104</v>
      </c>
      <c r="F277" s="52">
        <v>2.0</v>
      </c>
      <c r="G277" s="48" t="s">
        <v>2880</v>
      </c>
      <c r="H277" s="48"/>
      <c r="I277" s="48"/>
      <c r="J277" s="48"/>
      <c r="K277" s="48"/>
      <c r="L277" s="48" t="s">
        <v>2971</v>
      </c>
      <c r="M277" s="136" t="str">
        <f>IFERROR(__xludf.DUMMYFUNCTION("GOOGLETRANSLATE(L277,""zh-CN"", ""en"")"),"yes")</f>
        <v>yes</v>
      </c>
      <c r="N277" s="48"/>
      <c r="O277" s="48"/>
      <c r="P277" s="48" t="s">
        <v>2972</v>
      </c>
      <c r="Q277" s="55" t="s">
        <v>2973</v>
      </c>
      <c r="R277" s="55" t="s">
        <v>99</v>
      </c>
      <c r="S277" s="55" t="s">
        <v>2974</v>
      </c>
      <c r="T277" s="55" t="s">
        <v>2975</v>
      </c>
    </row>
    <row r="278" ht="15.75" customHeight="1">
      <c r="A278" s="48" t="s">
        <v>2976</v>
      </c>
      <c r="B278" s="154" t="str">
        <f>IFERROR(__xludf.DUMMYFUNCTION("GOOGLETRANSLATE(A278,""zh-CN"", ""en"")"),"Forced charging start time 4")</f>
        <v>Forced charging start time 4</v>
      </c>
      <c r="C278" s="48" t="s">
        <v>2977</v>
      </c>
      <c r="D278" s="48" t="s">
        <v>861</v>
      </c>
      <c r="E278" s="48" t="s">
        <v>104</v>
      </c>
      <c r="F278" s="52">
        <v>2.0</v>
      </c>
      <c r="G278" s="48"/>
      <c r="H278" s="48"/>
      <c r="I278" s="48"/>
      <c r="J278" s="48"/>
      <c r="K278" s="48"/>
      <c r="L278" s="48"/>
      <c r="M278" s="136" t="str">
        <f>IFERROR(__xludf.DUMMYFUNCTION("GOOGLETRANSLATE(L278,""zh-CN"", ""en"")"),"#VALUE!")</f>
        <v>#VALUE!</v>
      </c>
      <c r="N278" s="48"/>
      <c r="O278" s="48"/>
      <c r="P278" s="48" t="s">
        <v>2978</v>
      </c>
      <c r="Q278" s="55" t="s">
        <v>2979</v>
      </c>
      <c r="R278" s="55" t="s">
        <v>99</v>
      </c>
      <c r="S278" s="55" t="s">
        <v>2980</v>
      </c>
      <c r="T278" s="55" t="s">
        <v>2981</v>
      </c>
    </row>
    <row r="279" ht="15.75" customHeight="1">
      <c r="A279" s="48" t="s">
        <v>2982</v>
      </c>
      <c r="B279" s="154" t="str">
        <f>IFERROR(__xludf.DUMMYFUNCTION("GOOGLETRANSLATE(A279,""zh-CN"", ""en"")"),"Forced charging end time 4")</f>
        <v>Forced charging end time 4</v>
      </c>
      <c r="C279" s="48" t="s">
        <v>2983</v>
      </c>
      <c r="D279" s="48" t="s">
        <v>2984</v>
      </c>
      <c r="E279" s="48" t="s">
        <v>104</v>
      </c>
      <c r="F279" s="52">
        <v>2.0</v>
      </c>
      <c r="G279" s="48"/>
      <c r="H279" s="48"/>
      <c r="I279" s="48"/>
      <c r="J279" s="48"/>
      <c r="K279" s="48"/>
      <c r="L279" s="48"/>
      <c r="M279" s="136" t="str">
        <f>IFERROR(__xludf.DUMMYFUNCTION("GOOGLETRANSLATE(L279,""zh-CN"", ""en"")"),"#VALUE!")</f>
        <v>#VALUE!</v>
      </c>
      <c r="N279" s="48"/>
      <c r="O279" s="48"/>
      <c r="P279" s="48" t="s">
        <v>2985</v>
      </c>
      <c r="Q279" s="55" t="s">
        <v>2986</v>
      </c>
      <c r="R279" s="55" t="s">
        <v>99</v>
      </c>
      <c r="S279" s="55" t="s">
        <v>2987</v>
      </c>
      <c r="T279" s="55" t="s">
        <v>2988</v>
      </c>
    </row>
    <row r="280" ht="15.75" customHeight="1">
      <c r="A280" s="48" t="s">
        <v>2989</v>
      </c>
      <c r="B280" s="154" t="str">
        <f>IFERROR(__xludf.DUMMYFUNCTION("GOOGLETRANSLATE(A280,""zh-CN"", ""en"")"),"Forced discharge start time 1")</f>
        <v>Forced discharge start time 1</v>
      </c>
      <c r="C280" s="48" t="s">
        <v>2990</v>
      </c>
      <c r="D280" s="48" t="s">
        <v>2991</v>
      </c>
      <c r="E280" s="48" t="s">
        <v>104</v>
      </c>
      <c r="F280" s="52">
        <v>2.0</v>
      </c>
      <c r="G280" s="48" t="s">
        <v>2880</v>
      </c>
      <c r="H280" s="48"/>
      <c r="I280" s="48"/>
      <c r="J280" s="48"/>
      <c r="K280" s="48"/>
      <c r="L280" s="48" t="s">
        <v>2992</v>
      </c>
      <c r="M280" s="136" t="str">
        <f>IFERROR(__xludf.DUMMYFUNCTION("GOOGLETRANSLATE(L280,""zh-CN"", ""en"")"),"yes")</f>
        <v>yes</v>
      </c>
      <c r="N280" s="48"/>
      <c r="O280" s="48"/>
      <c r="P280" s="48" t="s">
        <v>2993</v>
      </c>
      <c r="Q280" s="55" t="s">
        <v>2994</v>
      </c>
      <c r="R280" s="55" t="s">
        <v>99</v>
      </c>
      <c r="S280" s="55" t="s">
        <v>2995</v>
      </c>
      <c r="T280" s="55" t="s">
        <v>2996</v>
      </c>
    </row>
    <row r="281" ht="15.75" customHeight="1">
      <c r="A281" s="48" t="s">
        <v>2997</v>
      </c>
      <c r="B281" s="154" t="str">
        <f>IFERROR(__xludf.DUMMYFUNCTION("GOOGLETRANSLATE(A281,""zh-CN"", ""en"")"),"Forced discharge end time 1")</f>
        <v>Forced discharge end time 1</v>
      </c>
      <c r="C281" s="48" t="s">
        <v>2998</v>
      </c>
      <c r="D281" s="48" t="s">
        <v>2999</v>
      </c>
      <c r="E281" s="48" t="s">
        <v>104</v>
      </c>
      <c r="F281" s="52">
        <v>2.0</v>
      </c>
      <c r="G281" s="48" t="s">
        <v>2880</v>
      </c>
      <c r="H281" s="48"/>
      <c r="I281" s="48"/>
      <c r="J281" s="48"/>
      <c r="K281" s="48"/>
      <c r="L281" s="48" t="s">
        <v>3000</v>
      </c>
      <c r="M281" s="136" t="str">
        <f>IFERROR(__xludf.DUMMYFUNCTION("GOOGLETRANSLATE(L281,""zh-CN"", ""en"")"),"yes")</f>
        <v>yes</v>
      </c>
      <c r="N281" s="48"/>
      <c r="O281" s="48"/>
      <c r="P281" s="48" t="s">
        <v>3001</v>
      </c>
      <c r="Q281" s="55" t="s">
        <v>3002</v>
      </c>
      <c r="R281" s="55" t="s">
        <v>99</v>
      </c>
      <c r="S281" s="55" t="s">
        <v>3003</v>
      </c>
      <c r="T281" s="55" t="s">
        <v>3004</v>
      </c>
    </row>
    <row r="282" ht="15.75" customHeight="1">
      <c r="A282" s="48" t="s">
        <v>3005</v>
      </c>
      <c r="B282" s="154" t="str">
        <f>IFERROR(__xludf.DUMMYFUNCTION("GOOGLETRANSLATE(A282,""zh-CN"", ""en"")"),"Forced discharge start time 2")</f>
        <v>Forced discharge start time 2</v>
      </c>
      <c r="C282" s="48" t="s">
        <v>3006</v>
      </c>
      <c r="D282" s="48" t="s">
        <v>3007</v>
      </c>
      <c r="E282" s="48" t="s">
        <v>104</v>
      </c>
      <c r="F282" s="52">
        <v>2.0</v>
      </c>
      <c r="G282" s="48" t="s">
        <v>2880</v>
      </c>
      <c r="H282" s="48"/>
      <c r="I282" s="48"/>
      <c r="J282" s="48"/>
      <c r="K282" s="48"/>
      <c r="L282" s="48" t="s">
        <v>3008</v>
      </c>
      <c r="M282" s="136" t="str">
        <f>IFERROR(__xludf.DUMMYFUNCTION("GOOGLETRANSLATE(L282,""zh-CN"", ""en"")"),"yes")</f>
        <v>yes</v>
      </c>
      <c r="N282" s="48"/>
      <c r="O282" s="48"/>
      <c r="P282" s="48" t="s">
        <v>3009</v>
      </c>
      <c r="Q282" s="55" t="s">
        <v>3010</v>
      </c>
      <c r="R282" s="55" t="s">
        <v>99</v>
      </c>
      <c r="S282" s="55" t="s">
        <v>3011</v>
      </c>
      <c r="T282" s="55" t="s">
        <v>3012</v>
      </c>
    </row>
    <row r="283" ht="15.75" customHeight="1">
      <c r="A283" s="48" t="s">
        <v>3013</v>
      </c>
      <c r="B283" s="154" t="str">
        <f>IFERROR(__xludf.DUMMYFUNCTION("GOOGLETRANSLATE(A283,""zh-CN"", ""en"")"),"Forced discharge end time 2")</f>
        <v>Forced discharge end time 2</v>
      </c>
      <c r="C283" s="48" t="s">
        <v>3014</v>
      </c>
      <c r="D283" s="48" t="s">
        <v>3015</v>
      </c>
      <c r="E283" s="48" t="s">
        <v>104</v>
      </c>
      <c r="F283" s="52">
        <v>2.0</v>
      </c>
      <c r="G283" s="48" t="s">
        <v>2880</v>
      </c>
      <c r="H283" s="48"/>
      <c r="I283" s="48"/>
      <c r="J283" s="48"/>
      <c r="K283" s="48"/>
      <c r="L283" s="48" t="s">
        <v>3016</v>
      </c>
      <c r="M283" s="136" t="str">
        <f>IFERROR(__xludf.DUMMYFUNCTION("GOOGLETRANSLATE(L283,""zh-CN"", ""en"")"),"yes")</f>
        <v>yes</v>
      </c>
      <c r="N283" s="48"/>
      <c r="O283" s="48"/>
      <c r="P283" s="48" t="s">
        <v>3017</v>
      </c>
      <c r="Q283" s="55" t="s">
        <v>3018</v>
      </c>
      <c r="R283" s="55" t="s">
        <v>99</v>
      </c>
      <c r="S283" s="55" t="s">
        <v>3019</v>
      </c>
      <c r="T283" s="55" t="s">
        <v>3020</v>
      </c>
    </row>
    <row r="284" ht="15.75" customHeight="1">
      <c r="A284" s="48" t="s">
        <v>3021</v>
      </c>
      <c r="B284" s="154" t="str">
        <f>IFERROR(__xludf.DUMMYFUNCTION("GOOGLETRANSLATE(A284,""zh-CN"", ""en"")"),"Forced discharge start time 3")</f>
        <v>Forced discharge start time 3</v>
      </c>
      <c r="C284" s="48" t="s">
        <v>3022</v>
      </c>
      <c r="D284" s="48" t="s">
        <v>3023</v>
      </c>
      <c r="E284" s="48" t="s">
        <v>104</v>
      </c>
      <c r="F284" s="52">
        <v>2.0</v>
      </c>
      <c r="G284" s="48" t="s">
        <v>2880</v>
      </c>
      <c r="H284" s="48"/>
      <c r="I284" s="48"/>
      <c r="J284" s="48"/>
      <c r="K284" s="48"/>
      <c r="L284" s="48" t="s">
        <v>3024</v>
      </c>
      <c r="M284" s="136" t="str">
        <f>IFERROR(__xludf.DUMMYFUNCTION("GOOGLETRANSLATE(L284,""zh-CN"", ""en"")"),"yes")</f>
        <v>yes</v>
      </c>
      <c r="N284" s="48"/>
      <c r="O284" s="48"/>
      <c r="P284" s="48" t="s">
        <v>3025</v>
      </c>
      <c r="Q284" s="55" t="s">
        <v>3026</v>
      </c>
      <c r="R284" s="55" t="s">
        <v>99</v>
      </c>
      <c r="S284" s="55" t="s">
        <v>3027</v>
      </c>
      <c r="T284" s="55" t="s">
        <v>3028</v>
      </c>
    </row>
    <row r="285" ht="15.75" customHeight="1">
      <c r="A285" s="48" t="s">
        <v>3029</v>
      </c>
      <c r="B285" s="154" t="str">
        <f>IFERROR(__xludf.DUMMYFUNCTION("GOOGLETRANSLATE(A285,""zh-CN"", ""en"")"),"Forced discharge end time 3")</f>
        <v>Forced discharge end time 3</v>
      </c>
      <c r="C285" s="48" t="s">
        <v>3030</v>
      </c>
      <c r="D285" s="48" t="s">
        <v>3031</v>
      </c>
      <c r="E285" s="48" t="s">
        <v>104</v>
      </c>
      <c r="F285" s="52">
        <v>2.0</v>
      </c>
      <c r="G285" s="48" t="s">
        <v>2880</v>
      </c>
      <c r="H285" s="48"/>
      <c r="I285" s="48"/>
      <c r="J285" s="48"/>
      <c r="K285" s="48"/>
      <c r="L285" s="48" t="s">
        <v>3032</v>
      </c>
      <c r="M285" s="136" t="str">
        <f>IFERROR(__xludf.DUMMYFUNCTION("GOOGLETRANSLATE(L285,""zh-CN"", ""en"")"),"yes")</f>
        <v>yes</v>
      </c>
      <c r="N285" s="48"/>
      <c r="O285" s="48"/>
      <c r="P285" s="48" t="s">
        <v>3033</v>
      </c>
      <c r="Q285" s="55" t="s">
        <v>3034</v>
      </c>
      <c r="R285" s="55" t="s">
        <v>99</v>
      </c>
      <c r="S285" s="55" t="s">
        <v>3035</v>
      </c>
      <c r="T285" s="55" t="s">
        <v>3036</v>
      </c>
    </row>
    <row r="286" ht="15.75" customHeight="1">
      <c r="A286" s="48" t="s">
        <v>3037</v>
      </c>
      <c r="B286" s="154" t="str">
        <f>IFERROR(__xludf.DUMMYFUNCTION("GOOGLETRANSLATE(A286,""zh-CN"", ""en"")"),"Forced discharge start time 4")</f>
        <v>Forced discharge start time 4</v>
      </c>
      <c r="C286" s="48" t="s">
        <v>3038</v>
      </c>
      <c r="D286" s="48" t="s">
        <v>3039</v>
      </c>
      <c r="E286" s="48" t="s">
        <v>104</v>
      </c>
      <c r="F286" s="52">
        <v>2.0</v>
      </c>
      <c r="G286" s="48"/>
      <c r="H286" s="48"/>
      <c r="I286" s="48"/>
      <c r="J286" s="48"/>
      <c r="K286" s="48"/>
      <c r="L286" s="48"/>
      <c r="M286" s="136" t="str">
        <f>IFERROR(__xludf.DUMMYFUNCTION("GOOGLETRANSLATE(L286,""zh-CN"", ""en"")"),"#VALUE!")</f>
        <v>#VALUE!</v>
      </c>
      <c r="N286" s="48"/>
      <c r="O286" s="48"/>
      <c r="P286" s="48" t="s">
        <v>3040</v>
      </c>
      <c r="Q286" s="55" t="s">
        <v>3041</v>
      </c>
      <c r="R286" s="55" t="s">
        <v>99</v>
      </c>
      <c r="S286" s="55" t="s">
        <v>3042</v>
      </c>
      <c r="T286" s="55" t="s">
        <v>3043</v>
      </c>
    </row>
    <row r="287" ht="15.75" customHeight="1">
      <c r="A287" s="48" t="s">
        <v>3044</v>
      </c>
      <c r="B287" s="154" t="str">
        <f>IFERROR(__xludf.DUMMYFUNCTION("GOOGLETRANSLATE(A287,""zh-CN"", ""en"")"),"Forced discharge end time 4")</f>
        <v>Forced discharge end time 4</v>
      </c>
      <c r="C287" s="48" t="s">
        <v>3045</v>
      </c>
      <c r="D287" s="48" t="s">
        <v>3046</v>
      </c>
      <c r="E287" s="48" t="s">
        <v>104</v>
      </c>
      <c r="F287" s="52">
        <v>2.0</v>
      </c>
      <c r="G287" s="48"/>
      <c r="H287" s="48"/>
      <c r="I287" s="48"/>
      <c r="J287" s="48"/>
      <c r="K287" s="48"/>
      <c r="L287" s="48"/>
      <c r="M287" s="136" t="str">
        <f>IFERROR(__xludf.DUMMYFUNCTION("GOOGLETRANSLATE(L287,""zh-CN"", ""en"")"),"#VALUE!")</f>
        <v>#VALUE!</v>
      </c>
      <c r="N287" s="48"/>
      <c r="O287" s="48"/>
      <c r="P287" s="48" t="s">
        <v>3047</v>
      </c>
      <c r="Q287" s="55" t="s">
        <v>3048</v>
      </c>
      <c r="R287" s="55" t="s">
        <v>99</v>
      </c>
      <c r="S287" s="55" t="s">
        <v>3049</v>
      </c>
      <c r="T287" s="55" t="s">
        <v>3050</v>
      </c>
    </row>
    <row r="288" ht="15.75" customHeight="1">
      <c r="A288" s="48" t="s">
        <v>3051</v>
      </c>
      <c r="B288" s="154" t="str">
        <f>IFERROR(__xludf.DUMMYFUNCTION("GOOGLETRANSLATE(A288,""zh-CN"", ""en"")"),"Discharge prohibition start time 1")</f>
        <v>Discharge prohibition start time 1</v>
      </c>
      <c r="C288" s="48" t="s">
        <v>3052</v>
      </c>
      <c r="D288" s="48" t="s">
        <v>3053</v>
      </c>
      <c r="E288" s="48" t="s">
        <v>104</v>
      </c>
      <c r="F288" s="52">
        <v>2.0</v>
      </c>
      <c r="G288" s="48" t="s">
        <v>2880</v>
      </c>
      <c r="H288" s="48"/>
      <c r="I288" s="48"/>
      <c r="J288" s="48"/>
      <c r="K288" s="48"/>
      <c r="L288" s="48" t="s">
        <v>3054</v>
      </c>
      <c r="M288" s="136" t="str">
        <f>IFERROR(__xludf.DUMMYFUNCTION("GOOGLETRANSLATE(L288,""zh-CN"", ""en"")"),"yes")</f>
        <v>yes</v>
      </c>
      <c r="N288" s="48"/>
      <c r="O288" s="48"/>
      <c r="P288" s="48" t="s">
        <v>3055</v>
      </c>
      <c r="Q288" s="55" t="s">
        <v>3056</v>
      </c>
      <c r="R288" s="55" t="s">
        <v>99</v>
      </c>
      <c r="S288" s="55" t="s">
        <v>3057</v>
      </c>
      <c r="T288" s="55" t="s">
        <v>3058</v>
      </c>
    </row>
    <row r="289" ht="15.75" customHeight="1">
      <c r="A289" s="48" t="s">
        <v>3059</v>
      </c>
      <c r="B289" s="154" t="str">
        <f>IFERROR(__xludf.DUMMYFUNCTION("GOOGLETRANSLATE(A289,""zh-CN"", ""en"")"),"Discharge prohibited end time 1")</f>
        <v>Discharge prohibited end time 1</v>
      </c>
      <c r="C289" s="48" t="s">
        <v>3060</v>
      </c>
      <c r="D289" s="48" t="s">
        <v>3061</v>
      </c>
      <c r="E289" s="48" t="s">
        <v>104</v>
      </c>
      <c r="F289" s="52">
        <v>2.0</v>
      </c>
      <c r="G289" s="48" t="s">
        <v>2880</v>
      </c>
      <c r="H289" s="48"/>
      <c r="I289" s="48"/>
      <c r="J289" s="48"/>
      <c r="K289" s="48"/>
      <c r="L289" s="48" t="s">
        <v>3062</v>
      </c>
      <c r="M289" s="136" t="str">
        <f>IFERROR(__xludf.DUMMYFUNCTION("GOOGLETRANSLATE(L289,""zh-CN"", ""en"")"),"yes")</f>
        <v>yes</v>
      </c>
      <c r="N289" s="48"/>
      <c r="O289" s="48"/>
      <c r="P289" s="48" t="s">
        <v>3063</v>
      </c>
      <c r="Q289" s="55" t="s">
        <v>3064</v>
      </c>
      <c r="R289" s="55" t="s">
        <v>99</v>
      </c>
      <c r="S289" s="55" t="s">
        <v>3065</v>
      </c>
      <c r="T289" s="55" t="s">
        <v>3066</v>
      </c>
    </row>
    <row r="290" ht="15.75" customHeight="1">
      <c r="A290" s="48" t="s">
        <v>3067</v>
      </c>
      <c r="B290" s="154" t="str">
        <f>IFERROR(__xludf.DUMMYFUNCTION("GOOGLETRANSLATE(A290,""zh-CN"", ""en"")"),"Discharge prohibition start time 2")</f>
        <v>Discharge prohibition start time 2</v>
      </c>
      <c r="C290" s="48" t="s">
        <v>3068</v>
      </c>
      <c r="D290" s="48" t="s">
        <v>3069</v>
      </c>
      <c r="E290" s="48" t="s">
        <v>104</v>
      </c>
      <c r="F290" s="52">
        <v>2.0</v>
      </c>
      <c r="G290" s="48" t="s">
        <v>2880</v>
      </c>
      <c r="H290" s="48"/>
      <c r="I290" s="48"/>
      <c r="J290" s="48"/>
      <c r="K290" s="48"/>
      <c r="L290" s="48" t="s">
        <v>3070</v>
      </c>
      <c r="M290" s="136" t="str">
        <f>IFERROR(__xludf.DUMMYFUNCTION("GOOGLETRANSLATE(L290,""zh-CN"", ""en"")"),"yes")</f>
        <v>yes</v>
      </c>
      <c r="N290" s="48"/>
      <c r="O290" s="48"/>
      <c r="P290" s="48" t="s">
        <v>3071</v>
      </c>
      <c r="Q290" s="55" t="s">
        <v>3072</v>
      </c>
      <c r="R290" s="55" t="s">
        <v>99</v>
      </c>
      <c r="S290" s="55" t="s">
        <v>3073</v>
      </c>
      <c r="T290" s="55" t="s">
        <v>3074</v>
      </c>
    </row>
    <row r="291" ht="15.75" customHeight="1">
      <c r="A291" s="48" t="s">
        <v>3075</v>
      </c>
      <c r="B291" s="154" t="str">
        <f>IFERROR(__xludf.DUMMYFUNCTION("GOOGLETRANSLATE(A291,""zh-CN"", ""en"")"),"Discharge prohibition end time 2")</f>
        <v>Discharge prohibition end time 2</v>
      </c>
      <c r="C291" s="48" t="s">
        <v>3076</v>
      </c>
      <c r="D291" s="48" t="s">
        <v>3077</v>
      </c>
      <c r="E291" s="48" t="s">
        <v>104</v>
      </c>
      <c r="F291" s="52">
        <v>2.0</v>
      </c>
      <c r="G291" s="48" t="s">
        <v>2880</v>
      </c>
      <c r="H291" s="48"/>
      <c r="I291" s="48"/>
      <c r="J291" s="48"/>
      <c r="K291" s="48"/>
      <c r="L291" s="48" t="s">
        <v>3078</v>
      </c>
      <c r="M291" s="136" t="str">
        <f>IFERROR(__xludf.DUMMYFUNCTION("GOOGLETRANSLATE(L291,""zh-CN"", ""en"")"),"yes")</f>
        <v>yes</v>
      </c>
      <c r="N291" s="48"/>
      <c r="O291" s="48"/>
      <c r="P291" s="48" t="s">
        <v>3079</v>
      </c>
      <c r="Q291" s="55" t="s">
        <v>3080</v>
      </c>
      <c r="R291" s="55" t="s">
        <v>99</v>
      </c>
      <c r="S291" s="55" t="s">
        <v>3081</v>
      </c>
      <c r="T291" s="55" t="s">
        <v>3082</v>
      </c>
    </row>
    <row r="292" ht="15.75" customHeight="1">
      <c r="A292" s="48" t="s">
        <v>3083</v>
      </c>
      <c r="B292" s="154" t="str">
        <f>IFERROR(__xludf.DUMMYFUNCTION("GOOGLETRANSLATE(A292,""zh-CN"", ""en"")"),"Discharge prohibition start time 3")</f>
        <v>Discharge prohibition start time 3</v>
      </c>
      <c r="C292" s="48" t="s">
        <v>3084</v>
      </c>
      <c r="D292" s="48" t="s">
        <v>3085</v>
      </c>
      <c r="E292" s="48" t="s">
        <v>104</v>
      </c>
      <c r="F292" s="52">
        <v>2.0</v>
      </c>
      <c r="G292" s="48" t="s">
        <v>2880</v>
      </c>
      <c r="H292" s="48"/>
      <c r="I292" s="48"/>
      <c r="J292" s="48"/>
      <c r="K292" s="48"/>
      <c r="L292" s="48" t="s">
        <v>3086</v>
      </c>
      <c r="M292" s="136" t="str">
        <f>IFERROR(__xludf.DUMMYFUNCTION("GOOGLETRANSLATE(L292,""zh-CN"", ""en"")"),"yes")</f>
        <v>yes</v>
      </c>
      <c r="N292" s="48"/>
      <c r="O292" s="48"/>
      <c r="P292" s="48" t="s">
        <v>3087</v>
      </c>
      <c r="Q292" s="55" t="s">
        <v>3088</v>
      </c>
      <c r="R292" s="55" t="s">
        <v>99</v>
      </c>
      <c r="S292" s="55" t="s">
        <v>3089</v>
      </c>
      <c r="T292" s="55" t="s">
        <v>3090</v>
      </c>
    </row>
    <row r="293" ht="15.75" customHeight="1">
      <c r="A293" s="48" t="s">
        <v>3091</v>
      </c>
      <c r="B293" s="154" t="str">
        <f>IFERROR(__xludf.DUMMYFUNCTION("GOOGLETRANSLATE(A293,""zh-CN"", ""en"")"),"Discharge prohibition end time 3")</f>
        <v>Discharge prohibition end time 3</v>
      </c>
      <c r="C293" s="48" t="s">
        <v>3092</v>
      </c>
      <c r="D293" s="48" t="s">
        <v>3093</v>
      </c>
      <c r="E293" s="48" t="s">
        <v>104</v>
      </c>
      <c r="F293" s="52">
        <v>2.0</v>
      </c>
      <c r="G293" s="48" t="s">
        <v>2880</v>
      </c>
      <c r="H293" s="48"/>
      <c r="I293" s="48"/>
      <c r="J293" s="48"/>
      <c r="K293" s="48"/>
      <c r="L293" s="48" t="s">
        <v>3094</v>
      </c>
      <c r="M293" s="136" t="str">
        <f>IFERROR(__xludf.DUMMYFUNCTION("GOOGLETRANSLATE(L293,""zh-CN"", ""en"")"),"yes")</f>
        <v>yes</v>
      </c>
      <c r="N293" s="48"/>
      <c r="O293" s="48"/>
      <c r="P293" s="48" t="s">
        <v>3095</v>
      </c>
      <c r="Q293" s="55" t="s">
        <v>3096</v>
      </c>
      <c r="R293" s="55" t="s">
        <v>99</v>
      </c>
      <c r="S293" s="55" t="s">
        <v>3097</v>
      </c>
      <c r="T293" s="55" t="s">
        <v>3098</v>
      </c>
    </row>
    <row r="294" ht="15.75" customHeight="1">
      <c r="A294" s="48" t="s">
        <v>3099</v>
      </c>
      <c r="B294" s="154" t="str">
        <f>IFERROR(__xludf.DUMMYFUNCTION("GOOGLETRANSLATE(A294,""zh-CN"", ""en"")"),"Discharge prohibition start time 4")</f>
        <v>Discharge prohibition start time 4</v>
      </c>
      <c r="C294" s="48" t="s">
        <v>3100</v>
      </c>
      <c r="D294" s="48" t="s">
        <v>3101</v>
      </c>
      <c r="E294" s="48" t="s">
        <v>104</v>
      </c>
      <c r="F294" s="52">
        <v>2.0</v>
      </c>
      <c r="G294" s="48"/>
      <c r="H294" s="48"/>
      <c r="I294" s="48"/>
      <c r="J294" s="48"/>
      <c r="K294" s="48"/>
      <c r="L294" s="48"/>
      <c r="M294" s="136" t="str">
        <f>IFERROR(__xludf.DUMMYFUNCTION("GOOGLETRANSLATE(L294,""zh-CN"", ""en"")"),"#VALUE!")</f>
        <v>#VALUE!</v>
      </c>
      <c r="N294" s="48"/>
      <c r="O294" s="48"/>
      <c r="P294" s="48" t="s">
        <v>3102</v>
      </c>
      <c r="Q294" s="55" t="s">
        <v>3103</v>
      </c>
      <c r="R294" s="55" t="s">
        <v>99</v>
      </c>
      <c r="S294" s="55" t="s">
        <v>3104</v>
      </c>
      <c r="T294" s="55" t="s">
        <v>3105</v>
      </c>
    </row>
    <row r="295" ht="15.75" customHeight="1">
      <c r="A295" s="48" t="s">
        <v>3106</v>
      </c>
      <c r="B295" s="154" t="str">
        <f>IFERROR(__xludf.DUMMYFUNCTION("GOOGLETRANSLATE(A295,""zh-CN"", ""en"")"),"Discharge prohibition end time 4")</f>
        <v>Discharge prohibition end time 4</v>
      </c>
      <c r="C295" s="48" t="s">
        <v>3107</v>
      </c>
      <c r="D295" s="48" t="s">
        <v>3108</v>
      </c>
      <c r="E295" s="48" t="s">
        <v>104</v>
      </c>
      <c r="F295" s="52">
        <v>2.0</v>
      </c>
      <c r="G295" s="48"/>
      <c r="H295" s="48"/>
      <c r="I295" s="48"/>
      <c r="J295" s="48"/>
      <c r="K295" s="48"/>
      <c r="L295" s="48"/>
      <c r="M295" s="136" t="str">
        <f>IFERROR(__xludf.DUMMYFUNCTION("GOOGLETRANSLATE(L295,""zh-CN"", ""en"")"),"#VALUE!")</f>
        <v>#VALUE!</v>
      </c>
      <c r="N295" s="48"/>
      <c r="O295" s="48"/>
      <c r="P295" s="48" t="s">
        <v>3109</v>
      </c>
      <c r="Q295" s="55" t="s">
        <v>3110</v>
      </c>
      <c r="R295" s="55" t="s">
        <v>99</v>
      </c>
      <c r="S295" s="55" t="s">
        <v>3111</v>
      </c>
      <c r="T295" s="55" t="s">
        <v>3112</v>
      </c>
    </row>
    <row r="296" ht="15.75" customHeight="1">
      <c r="A296" s="48" t="s">
        <v>3113</v>
      </c>
      <c r="B296" s="154" t="str">
        <f>IFERROR(__xludf.DUMMYFUNCTION("GOOGLETRANSLATE(A296,""zh-CN"", ""en"")"),"load regulation mode")</f>
        <v>load regulation mode</v>
      </c>
      <c r="C296" s="48" t="s">
        <v>3114</v>
      </c>
      <c r="D296" s="48" t="s">
        <v>3115</v>
      </c>
      <c r="E296" s="48" t="s">
        <v>104</v>
      </c>
      <c r="F296" s="52">
        <v>2.0</v>
      </c>
      <c r="G296" s="48" t="s">
        <v>3116</v>
      </c>
      <c r="H296" s="48" t="str">
        <f>IFERROR(__xludf.DUMMYFUNCTION("GOOGLETRANSLATE(G296,""zh-CN"", ""en"")"),"0: switch mode
1: Timing mode
2: Intelligent mode
3: Close")</f>
        <v>0: switch mode
1: Timing mode
2: Intelligent mode
3: Close</v>
      </c>
      <c r="I296" s="48"/>
      <c r="J296" s="48"/>
      <c r="K296" s="48"/>
      <c r="L296" s="48" t="s">
        <v>3117</v>
      </c>
      <c r="M296" s="136" t="str">
        <f>IFERROR(__xludf.DUMMYFUNCTION("GOOGLETRANSLATE(L296,""zh-CN"", ""en"")"),"yes")</f>
        <v>yes</v>
      </c>
      <c r="N296" s="48"/>
      <c r="O296" s="48"/>
      <c r="P296" s="48" t="s">
        <v>3118</v>
      </c>
      <c r="Q296" s="55" t="s">
        <v>3119</v>
      </c>
      <c r="R296" s="55" t="s">
        <v>99</v>
      </c>
      <c r="S296" s="55" t="s">
        <v>3120</v>
      </c>
      <c r="T296" s="55" t="s">
        <v>3121</v>
      </c>
    </row>
    <row r="297" ht="15.75" customHeight="1">
      <c r="A297" s="48" t="s">
        <v>3122</v>
      </c>
      <c r="B297" s="154" t="str">
        <f>IFERROR(__xludf.DUMMYFUNCTION("GOOGLETRANSLATE(A297,""zh-CN"", ""en"")"),"Load on time 1")</f>
        <v>Load on time 1</v>
      </c>
      <c r="C297" s="48" t="s">
        <v>3123</v>
      </c>
      <c r="D297" s="48" t="s">
        <v>3124</v>
      </c>
      <c r="E297" s="48" t="s">
        <v>104</v>
      </c>
      <c r="F297" s="52">
        <v>2.0</v>
      </c>
      <c r="G297" s="48"/>
      <c r="H297" s="48"/>
      <c r="I297" s="48"/>
      <c r="J297" s="48"/>
      <c r="K297" s="48"/>
      <c r="L297" s="48"/>
      <c r="M297" s="136" t="str">
        <f>IFERROR(__xludf.DUMMYFUNCTION("GOOGLETRANSLATE(L297,""zh-CN"", ""en"")"),"#VALUE!")</f>
        <v>#VALUE!</v>
      </c>
      <c r="N297" s="48"/>
      <c r="O297" s="48"/>
      <c r="P297" s="48" t="s">
        <v>3125</v>
      </c>
      <c r="Q297" s="55" t="s">
        <v>3126</v>
      </c>
      <c r="R297" s="55" t="s">
        <v>99</v>
      </c>
      <c r="S297" s="55" t="s">
        <v>3127</v>
      </c>
      <c r="T297" s="55" t="s">
        <v>3128</v>
      </c>
    </row>
    <row r="298" ht="15.75" customHeight="1">
      <c r="A298" s="48" t="s">
        <v>3129</v>
      </c>
      <c r="B298" s="154" t="str">
        <f>IFERROR(__xludf.DUMMYFUNCTION("GOOGLETRANSLATE(A298,""zh-CN"", ""en"")"),"Load off time 1")</f>
        <v>Load off time 1</v>
      </c>
      <c r="C298" s="48" t="s">
        <v>3130</v>
      </c>
      <c r="D298" s="48" t="s">
        <v>3131</v>
      </c>
      <c r="E298" s="48" t="s">
        <v>104</v>
      </c>
      <c r="F298" s="52">
        <v>2.0</v>
      </c>
      <c r="G298" s="48"/>
      <c r="H298" s="48"/>
      <c r="I298" s="48"/>
      <c r="J298" s="48"/>
      <c r="K298" s="48"/>
      <c r="L298" s="48"/>
      <c r="M298" s="136" t="str">
        <f>IFERROR(__xludf.DUMMYFUNCTION("GOOGLETRANSLATE(L298,""zh-CN"", ""en"")"),"#VALUE!")</f>
        <v>#VALUE!</v>
      </c>
      <c r="N298" s="48"/>
      <c r="O298" s="48"/>
      <c r="P298" s="48" t="s">
        <v>3132</v>
      </c>
      <c r="Q298" s="55" t="s">
        <v>3133</v>
      </c>
      <c r="R298" s="55" t="s">
        <v>99</v>
      </c>
      <c r="S298" s="55" t="s">
        <v>3134</v>
      </c>
      <c r="T298" s="55" t="s">
        <v>3135</v>
      </c>
    </row>
    <row r="299" ht="15.75" customHeight="1">
      <c r="A299" s="48" t="s">
        <v>3136</v>
      </c>
      <c r="B299" s="154" t="str">
        <f>IFERROR(__xludf.DUMMYFUNCTION("GOOGLETRANSLATE(A299,""zh-CN"", ""en"")"),"Load on time 2")</f>
        <v>Load on time 2</v>
      </c>
      <c r="C299" s="48" t="s">
        <v>3137</v>
      </c>
      <c r="D299" s="48" t="s">
        <v>3138</v>
      </c>
      <c r="E299" s="48" t="s">
        <v>104</v>
      </c>
      <c r="F299" s="52">
        <v>2.0</v>
      </c>
      <c r="G299" s="48"/>
      <c r="H299" s="48"/>
      <c r="I299" s="48"/>
      <c r="J299" s="48"/>
      <c r="K299" s="48"/>
      <c r="L299" s="48"/>
      <c r="M299" s="136" t="str">
        <f>IFERROR(__xludf.DUMMYFUNCTION("GOOGLETRANSLATE(L299,""zh-CN"", ""en"")"),"#VALUE!")</f>
        <v>#VALUE!</v>
      </c>
      <c r="N299" s="48"/>
      <c r="O299" s="48"/>
      <c r="P299" s="48" t="s">
        <v>3139</v>
      </c>
      <c r="Q299" s="55" t="s">
        <v>3140</v>
      </c>
      <c r="R299" s="55" t="s">
        <v>99</v>
      </c>
      <c r="S299" s="55" t="s">
        <v>3141</v>
      </c>
      <c r="T299" s="55" t="s">
        <v>3142</v>
      </c>
    </row>
    <row r="300" ht="15.75" customHeight="1">
      <c r="A300" s="48" t="s">
        <v>3143</v>
      </c>
      <c r="B300" s="154" t="str">
        <f>IFERROR(__xludf.DUMMYFUNCTION("GOOGLETRANSLATE(A300,""zh-CN"", ""en"")"),"Load off time 2")</f>
        <v>Load off time 2</v>
      </c>
      <c r="C300" s="48" t="s">
        <v>3144</v>
      </c>
      <c r="D300" s="48" t="s">
        <v>3145</v>
      </c>
      <c r="E300" s="48" t="s">
        <v>104</v>
      </c>
      <c r="F300" s="52">
        <v>2.0</v>
      </c>
      <c r="G300" s="48"/>
      <c r="H300" s="48"/>
      <c r="I300" s="48"/>
      <c r="J300" s="48"/>
      <c r="K300" s="48"/>
      <c r="L300" s="48"/>
      <c r="M300" s="136" t="str">
        <f>IFERROR(__xludf.DUMMYFUNCTION("GOOGLETRANSLATE(L300,""zh-CN"", ""en"")"),"#VALUE!")</f>
        <v>#VALUE!</v>
      </c>
      <c r="N300" s="48"/>
      <c r="O300" s="48"/>
      <c r="P300" s="48" t="s">
        <v>3146</v>
      </c>
      <c r="Q300" s="55" t="s">
        <v>3147</v>
      </c>
      <c r="R300" s="55" t="s">
        <v>99</v>
      </c>
      <c r="S300" s="55" t="s">
        <v>3148</v>
      </c>
      <c r="T300" s="55" t="s">
        <v>3149</v>
      </c>
    </row>
    <row r="301" ht="15.75" customHeight="1">
      <c r="A301" s="48" t="s">
        <v>3150</v>
      </c>
      <c r="B301" s="154" t="str">
        <f>IFERROR(__xludf.DUMMYFUNCTION("GOOGLETRANSLATE(A301,""zh-CN"", ""en"")"),"Load rated power")</f>
        <v>Load rated power</v>
      </c>
      <c r="C301" s="48" t="s">
        <v>3151</v>
      </c>
      <c r="D301" s="48" t="s">
        <v>3152</v>
      </c>
      <c r="E301" s="48" t="s">
        <v>110</v>
      </c>
      <c r="F301" s="52">
        <v>4.0</v>
      </c>
      <c r="G301" s="48"/>
      <c r="H301" s="48"/>
      <c r="I301" s="48"/>
      <c r="J301" s="48"/>
      <c r="K301" s="48"/>
      <c r="L301" s="48" t="s">
        <v>3153</v>
      </c>
      <c r="M301" s="136" t="str">
        <f>IFERROR(__xludf.DUMMYFUNCTION("GOOGLETRANSLATE(L301,""zh-CN"", ""en"")"),"yes")</f>
        <v>yes</v>
      </c>
      <c r="N301" s="48"/>
      <c r="O301" s="48"/>
      <c r="P301" s="48" t="s">
        <v>3154</v>
      </c>
      <c r="Q301" s="55" t="s">
        <v>3155</v>
      </c>
      <c r="R301" s="55" t="s">
        <v>99</v>
      </c>
      <c r="S301" s="55" t="s">
        <v>3156</v>
      </c>
      <c r="T301" s="55" t="s">
        <v>3157</v>
      </c>
    </row>
    <row r="302" ht="15.75" customHeight="1">
      <c r="A302" s="194" t="s">
        <v>3158</v>
      </c>
      <c r="B302" s="154" t="str">
        <f>IFERROR(__xludf.DUMMYFUNCTION("GOOGLETRANSLATE(A302,""zh-CN"", ""en"")"),"Forced charging maximum SOC")</f>
        <v>Forced charging maximum SOC</v>
      </c>
      <c r="C302" s="194" t="s">
        <v>3159</v>
      </c>
      <c r="D302" s="194">
        <v>2548.0</v>
      </c>
      <c r="E302" s="194" t="s">
        <v>104</v>
      </c>
      <c r="F302" s="195">
        <v>2.0</v>
      </c>
      <c r="G302" s="194" t="s">
        <v>2784</v>
      </c>
      <c r="H302" s="196"/>
      <c r="I302" s="192" t="s">
        <v>712</v>
      </c>
      <c r="J302" s="192"/>
      <c r="K302" s="192"/>
      <c r="L302" s="192" t="s">
        <v>975</v>
      </c>
      <c r="M302" s="136" t="str">
        <f>IFERROR(__xludf.DUMMYFUNCTION("GOOGLETRANSLATE(L302,""zh-CN"", ""en"")"),"yes")</f>
        <v>yes</v>
      </c>
      <c r="N302" s="155"/>
      <c r="O302" s="155"/>
      <c r="P302" s="155" t="s">
        <v>3160</v>
      </c>
      <c r="Q302" s="55" t="s">
        <v>3161</v>
      </c>
      <c r="R302" s="55" t="s">
        <v>99</v>
      </c>
      <c r="S302" s="55" t="s">
        <v>3162</v>
      </c>
      <c r="T302" s="55" t="s">
        <v>3163</v>
      </c>
    </row>
    <row r="303" ht="15.75" customHeight="1">
      <c r="A303" s="48" t="s">
        <v>3164</v>
      </c>
      <c r="B303" s="154" t="str">
        <f>IFERROR(__xludf.DUMMYFUNCTION("GOOGLETRANSLATE(A303,""zh-CN"", ""en"")"),"reserved")</f>
        <v>reserved</v>
      </c>
      <c r="C303" s="48" t="s">
        <v>207</v>
      </c>
      <c r="D303" s="48" t="s">
        <v>3165</v>
      </c>
      <c r="E303" s="48"/>
      <c r="F303" s="52"/>
      <c r="G303" s="48"/>
      <c r="H303" s="48"/>
      <c r="I303" s="48"/>
      <c r="J303" s="48"/>
      <c r="K303" s="48"/>
      <c r="L303" s="48"/>
      <c r="M303" s="136" t="str">
        <f>IFERROR(__xludf.DUMMYFUNCTION("GOOGLETRANSLATE(L303,""zh-CN"", ""en"")"),"#VALUE!")</f>
        <v>#VALUE!</v>
      </c>
      <c r="N303" s="48"/>
      <c r="O303" s="48"/>
      <c r="P303" s="48"/>
      <c r="Q303" s="55" t="s">
        <v>3166</v>
      </c>
      <c r="R303" s="55" t="s">
        <v>99</v>
      </c>
      <c r="S303" s="55" t="s">
        <v>3167</v>
      </c>
      <c r="T303" s="55" t="s">
        <v>3168</v>
      </c>
    </row>
    <row r="304" ht="15.75" customHeight="1">
      <c r="A304" s="162" t="s">
        <v>3169</v>
      </c>
      <c r="B304" s="154" t="str">
        <f>IFERROR(__xludf.DUMMYFUNCTION("GOOGLETRANSLATE(A304,""zh-CN"", ""en"")"),"Set parameter 7 (battery parameters)")</f>
        <v>Set parameter 7 (battery parameters)</v>
      </c>
      <c r="C304" s="163"/>
      <c r="D304" s="163"/>
      <c r="E304" s="163"/>
      <c r="F304" s="163"/>
      <c r="G304" s="163"/>
      <c r="H304" s="163"/>
      <c r="I304" s="163"/>
      <c r="J304" s="164"/>
      <c r="K304" s="164"/>
      <c r="L304" s="152"/>
      <c r="M304" s="136" t="str">
        <f>IFERROR(__xludf.DUMMYFUNCTION("GOOGLETRANSLATE(L304,""zh-CN"", ""en"")"),"#VALUE!")</f>
        <v>#VALUE!</v>
      </c>
      <c r="N304" s="152"/>
      <c r="O304" s="152"/>
      <c r="P304" s="152"/>
      <c r="Q304" s="55" t="s">
        <v>3170</v>
      </c>
      <c r="R304" s="55" t="s">
        <v>99</v>
      </c>
      <c r="S304" s="55" t="s">
        <v>3171</v>
      </c>
      <c r="T304" s="55" t="s">
        <v>3172</v>
      </c>
    </row>
    <row r="305" ht="15.75" customHeight="1">
      <c r="A305" s="136" t="s">
        <v>3173</v>
      </c>
      <c r="B305" s="154" t="str">
        <f>IFERROR(__xludf.DUMMYFUNCTION("GOOGLETRANSLATE(A305,""zh-CN"", ""en"")"),"Battery Type")</f>
        <v>Battery Type</v>
      </c>
      <c r="C305" s="136" t="s">
        <v>3174</v>
      </c>
      <c r="D305" s="136" t="s">
        <v>3175</v>
      </c>
      <c r="E305" s="136" t="s">
        <v>104</v>
      </c>
      <c r="F305" s="137">
        <v>2.0</v>
      </c>
      <c r="G305" s="161"/>
      <c r="H305" s="136"/>
      <c r="I305" s="136"/>
      <c r="J305" s="136" t="s">
        <v>3176</v>
      </c>
      <c r="K305" s="136" t="str">
        <f>IFERROR(__xludf.DUMMYFUNCTION("GOOGLETRANSLATE(J305,""zh-CN"", ""en"")"),"0: No battery 1: Lithium battery, 2: Lead-acid battery 3: Analog battery")</f>
        <v>0: No battery 1: Lithium battery, 2: Lead-acid battery 3: Analog battery</v>
      </c>
      <c r="L305" s="136" t="s">
        <v>3177</v>
      </c>
      <c r="M305" s="136" t="str">
        <f>IFERROR(__xludf.DUMMYFUNCTION("GOOGLETRANSLATE(L305,""zh-CN"", ""en"")"),"yes")</f>
        <v>yes</v>
      </c>
      <c r="N305" s="136"/>
      <c r="O305" s="136"/>
      <c r="P305" s="136" t="s">
        <v>3178</v>
      </c>
      <c r="Q305" s="55" t="s">
        <v>3179</v>
      </c>
      <c r="R305" s="55" t="s">
        <v>99</v>
      </c>
      <c r="S305" s="55" t="s">
        <v>3180</v>
      </c>
      <c r="T305" s="55" t="s">
        <v>3181</v>
      </c>
    </row>
    <row r="306" ht="15.75" customHeight="1">
      <c r="A306" s="136" t="s">
        <v>3182</v>
      </c>
      <c r="B306" s="154" t="str">
        <f>IFERROR(__xludf.DUMMYFUNCTION("GOOGLETRANSLATE(A306,""zh-CN"", ""en"")"),"Lithium battery manufacturer")</f>
        <v>Lithium battery manufacturer</v>
      </c>
      <c r="C306" s="136" t="s">
        <v>3183</v>
      </c>
      <c r="D306" s="136" t="s">
        <v>3184</v>
      </c>
      <c r="E306" s="136" t="s">
        <v>104</v>
      </c>
      <c r="F306" s="137">
        <v>2.0</v>
      </c>
      <c r="G306" s="136"/>
      <c r="H306" s="136"/>
      <c r="I306" s="136"/>
      <c r="J306" s="136"/>
      <c r="K306" s="136"/>
      <c r="L306" s="136" t="s">
        <v>3185</v>
      </c>
      <c r="M306" s="136" t="str">
        <f>IFERROR(__xludf.DUMMYFUNCTION("GOOGLETRANSLATE(L306,""zh-CN"", ""en"")"),"yes")</f>
        <v>yes</v>
      </c>
      <c r="N306" s="136"/>
      <c r="O306" s="136"/>
      <c r="P306" s="136" t="s">
        <v>3186</v>
      </c>
      <c r="Q306" s="55" t="s">
        <v>3187</v>
      </c>
      <c r="R306" s="55" t="s">
        <v>99</v>
      </c>
      <c r="S306" s="55" t="s">
        <v>3188</v>
      </c>
      <c r="T306" s="55" t="s">
        <v>3189</v>
      </c>
    </row>
    <row r="307" ht="15.75" customHeight="1">
      <c r="A307" s="136" t="s">
        <v>3190</v>
      </c>
      <c r="B307" s="154" t="str">
        <f>IFERROR(__xludf.DUMMYFUNCTION("GOOGLETRANSLATE(A307,""zh-CN"", ""en"")"),"Battery rated voltage")</f>
        <v>Battery rated voltage</v>
      </c>
      <c r="C307" s="136" t="s">
        <v>3191</v>
      </c>
      <c r="D307" s="136" t="s">
        <v>3192</v>
      </c>
      <c r="E307" s="136" t="s">
        <v>104</v>
      </c>
      <c r="F307" s="137">
        <v>2.0</v>
      </c>
      <c r="G307" s="136" t="s">
        <v>3193</v>
      </c>
      <c r="H307" s="136"/>
      <c r="I307" s="136" t="s">
        <v>215</v>
      </c>
      <c r="J307" s="136"/>
      <c r="K307" s="136"/>
      <c r="L307" s="136" t="s">
        <v>3194</v>
      </c>
      <c r="M307" s="136" t="str">
        <f>IFERROR(__xludf.DUMMYFUNCTION("GOOGLETRANSLATE(L307,""zh-CN"", ""en"")"),"yes")</f>
        <v>yes</v>
      </c>
      <c r="N307" s="136"/>
      <c r="O307" s="136"/>
      <c r="P307" s="136" t="s">
        <v>3195</v>
      </c>
      <c r="Q307" s="55" t="s">
        <v>3196</v>
      </c>
      <c r="R307" s="55" t="s">
        <v>99</v>
      </c>
      <c r="S307" s="55" t="s">
        <v>3197</v>
      </c>
      <c r="T307" s="55" t="s">
        <v>3198</v>
      </c>
    </row>
    <row r="308" ht="15.75" customHeight="1">
      <c r="A308" s="136" t="s">
        <v>3199</v>
      </c>
      <c r="B308" s="154" t="str">
        <f>IFERROR(__xludf.DUMMYFUNCTION("GOOGLETRANSLATE(A308,""zh-CN"", ""en"")"),"battery capacity")</f>
        <v>battery capacity</v>
      </c>
      <c r="C308" s="136" t="s">
        <v>3200</v>
      </c>
      <c r="D308" s="136" t="s">
        <v>3201</v>
      </c>
      <c r="E308" s="136" t="s">
        <v>104</v>
      </c>
      <c r="F308" s="137">
        <v>2.0</v>
      </c>
      <c r="G308" s="136" t="s">
        <v>3202</v>
      </c>
      <c r="H308" s="136"/>
      <c r="I308" s="136" t="s">
        <v>3203</v>
      </c>
      <c r="J308" s="136"/>
      <c r="K308" s="136"/>
      <c r="L308" s="136" t="s">
        <v>3204</v>
      </c>
      <c r="M308" s="136" t="str">
        <f>IFERROR(__xludf.DUMMYFUNCTION("GOOGLETRANSLATE(L308,""zh-CN"", ""en"")"),"yes")</f>
        <v>yes</v>
      </c>
      <c r="N308" s="136"/>
      <c r="O308" s="136"/>
      <c r="P308" s="136" t="s">
        <v>3205</v>
      </c>
      <c r="Q308" s="55" t="s">
        <v>3206</v>
      </c>
      <c r="R308" s="55" t="s">
        <v>99</v>
      </c>
      <c r="S308" s="55" t="s">
        <v>3207</v>
      </c>
      <c r="T308" s="55" t="s">
        <v>3208</v>
      </c>
    </row>
    <row r="309" ht="15.75" customHeight="1">
      <c r="A309" s="136" t="s">
        <v>3209</v>
      </c>
      <c r="B309" s="154" t="str">
        <f>IFERROR(__xludf.DUMMYFUNCTION("GOOGLETRANSLATE(A309,""zh-CN"", ""en"")"),"Allowed number of daily charges and discharges")</f>
        <v>Allowed number of daily charges and discharges</v>
      </c>
      <c r="C309" s="136" t="s">
        <v>3210</v>
      </c>
      <c r="D309" s="136" t="s">
        <v>3211</v>
      </c>
      <c r="E309" s="136" t="s">
        <v>104</v>
      </c>
      <c r="F309" s="137">
        <v>2.0</v>
      </c>
      <c r="G309" s="197" t="s">
        <v>3212</v>
      </c>
      <c r="H309" s="136"/>
      <c r="I309" s="136"/>
      <c r="J309" s="136"/>
      <c r="K309" s="136"/>
      <c r="L309" s="136" t="s">
        <v>3213</v>
      </c>
      <c r="M309" s="136" t="str">
        <f>IFERROR(__xludf.DUMMYFUNCTION("GOOGLETRANSLATE(L309,""zh-CN"", ""en"")"),"yes")</f>
        <v>yes</v>
      </c>
      <c r="N309" s="136"/>
      <c r="O309" s="136"/>
      <c r="P309" s="136" t="s">
        <v>3214</v>
      </c>
      <c r="Q309" s="55" t="s">
        <v>3215</v>
      </c>
      <c r="R309" s="55" t="s">
        <v>99</v>
      </c>
      <c r="S309" s="55" t="s">
        <v>3216</v>
      </c>
      <c r="T309" s="55" t="s">
        <v>3217</v>
      </c>
    </row>
    <row r="310" ht="15.75" customHeight="1">
      <c r="A310" s="136" t="s">
        <v>3218</v>
      </c>
      <c r="B310" s="154" t="str">
        <f>IFERROR(__xludf.DUMMYFUNCTION("GOOGLETRANSLATE(A310,""zh-CN"", ""en"")"),"SOC upper limit")</f>
        <v>SOC upper limit</v>
      </c>
      <c r="C310" s="136" t="s">
        <v>3219</v>
      </c>
      <c r="D310" s="136" t="s">
        <v>3220</v>
      </c>
      <c r="E310" s="136" t="s">
        <v>104</v>
      </c>
      <c r="F310" s="137">
        <v>2.0</v>
      </c>
      <c r="G310" s="136" t="s">
        <v>3221</v>
      </c>
      <c r="H310" s="158"/>
      <c r="I310" s="158">
        <v>0.001</v>
      </c>
      <c r="J310" s="136"/>
      <c r="K310" s="136"/>
      <c r="L310" s="136" t="s">
        <v>3222</v>
      </c>
      <c r="M310" s="136" t="str">
        <f>IFERROR(__xludf.DUMMYFUNCTION("GOOGLETRANSLATE(L310,""zh-CN"", ""en"")"),"yes")</f>
        <v>yes</v>
      </c>
      <c r="N310" s="136"/>
      <c r="O310" s="136"/>
      <c r="P310" s="136" t="s">
        <v>3223</v>
      </c>
      <c r="Q310" s="55" t="s">
        <v>3224</v>
      </c>
      <c r="R310" s="55" t="s">
        <v>99</v>
      </c>
      <c r="S310" s="55" t="s">
        <v>3225</v>
      </c>
      <c r="T310" s="55" t="s">
        <v>3226</v>
      </c>
    </row>
    <row r="311" ht="15.75" customHeight="1">
      <c r="A311" s="136" t="s">
        <v>3227</v>
      </c>
      <c r="B311" s="154" t="str">
        <f>IFERROR(__xludf.DUMMYFUNCTION("GOOGLETRANSLATE(A311,""zh-CN"", ""en"")"),"SOC lower limit")</f>
        <v>SOC lower limit</v>
      </c>
      <c r="C311" s="136" t="s">
        <v>3228</v>
      </c>
      <c r="D311" s="136" t="s">
        <v>3229</v>
      </c>
      <c r="E311" s="136" t="s">
        <v>104</v>
      </c>
      <c r="F311" s="137">
        <v>2.0</v>
      </c>
      <c r="G311" s="136" t="s">
        <v>3230</v>
      </c>
      <c r="H311" s="158"/>
      <c r="I311" s="158">
        <v>0.001</v>
      </c>
      <c r="J311" s="136"/>
      <c r="K311" s="136"/>
      <c r="L311" s="136" t="s">
        <v>3231</v>
      </c>
      <c r="M311" s="136" t="str">
        <f>IFERROR(__xludf.DUMMYFUNCTION("GOOGLETRANSLATE(L311,""zh-CN"", ""en"")"),"yes")</f>
        <v>yes</v>
      </c>
      <c r="N311" s="136"/>
      <c r="O311" s="136"/>
      <c r="P311" s="136" t="s">
        <v>3232</v>
      </c>
      <c r="Q311" s="55" t="s">
        <v>3233</v>
      </c>
      <c r="R311" s="55" t="s">
        <v>99</v>
      </c>
      <c r="S311" s="55" t="s">
        <v>3234</v>
      </c>
      <c r="T311" s="55" t="s">
        <v>3235</v>
      </c>
    </row>
    <row r="312" ht="15.75" customHeight="1">
      <c r="A312" s="136" t="s">
        <v>3236</v>
      </c>
      <c r="B312" s="154" t="str">
        <f>IFERROR(__xludf.DUMMYFUNCTION("GOOGLETRANSLATE(A312,""zh-CN"", ""en"")"),"Battery overvoltage threshold")</f>
        <v>Battery overvoltage threshold</v>
      </c>
      <c r="C312" s="136" t="s">
        <v>3237</v>
      </c>
      <c r="D312" s="136" t="s">
        <v>3238</v>
      </c>
      <c r="E312" s="136" t="s">
        <v>104</v>
      </c>
      <c r="F312" s="137">
        <v>2.0</v>
      </c>
      <c r="G312" s="136" t="s">
        <v>3239</v>
      </c>
      <c r="H312" s="136"/>
      <c r="I312" s="136" t="s">
        <v>215</v>
      </c>
      <c r="J312" s="136"/>
      <c r="K312" s="136"/>
      <c r="L312" s="136" t="s">
        <v>3240</v>
      </c>
      <c r="M312" s="136" t="str">
        <f>IFERROR(__xludf.DUMMYFUNCTION("GOOGLETRANSLATE(L312,""zh-CN"", ""en"")"),"yes")</f>
        <v>yes</v>
      </c>
      <c r="N312" s="136"/>
      <c r="O312" s="136"/>
      <c r="P312" s="136" t="s">
        <v>3241</v>
      </c>
      <c r="Q312" s="55" t="s">
        <v>3242</v>
      </c>
      <c r="R312" s="55" t="s">
        <v>99</v>
      </c>
      <c r="S312" s="55" t="s">
        <v>3243</v>
      </c>
      <c r="T312" s="55" t="s">
        <v>3244</v>
      </c>
    </row>
    <row r="313" ht="15.75" customHeight="1">
      <c r="A313" s="136" t="s">
        <v>3245</v>
      </c>
      <c r="B313" s="154" t="str">
        <f>IFERROR(__xludf.DUMMYFUNCTION("GOOGLETRANSLATE(A313,""zh-CN"", ""en"")"),"Battery undervoltage threshold")</f>
        <v>Battery undervoltage threshold</v>
      </c>
      <c r="C313" s="136" t="s">
        <v>3246</v>
      </c>
      <c r="D313" s="136" t="s">
        <v>3247</v>
      </c>
      <c r="E313" s="136" t="s">
        <v>104</v>
      </c>
      <c r="F313" s="137">
        <v>2.0</v>
      </c>
      <c r="G313" s="136" t="s">
        <v>3248</v>
      </c>
      <c r="H313" s="136"/>
      <c r="I313" s="136" t="s">
        <v>215</v>
      </c>
      <c r="J313" s="136"/>
      <c r="K313" s="136"/>
      <c r="L313" s="136" t="s">
        <v>3249</v>
      </c>
      <c r="M313" s="136" t="str">
        <f>IFERROR(__xludf.DUMMYFUNCTION("GOOGLETRANSLATE(L313,""zh-CN"", ""en"")"),"yes")</f>
        <v>yes</v>
      </c>
      <c r="N313" s="136"/>
      <c r="O313" s="136"/>
      <c r="P313" s="136" t="s">
        <v>3250</v>
      </c>
      <c r="Q313" s="55" t="s">
        <v>3251</v>
      </c>
      <c r="R313" s="55" t="s">
        <v>99</v>
      </c>
      <c r="S313" s="55" t="s">
        <v>3252</v>
      </c>
      <c r="T313" s="55" t="s">
        <v>3253</v>
      </c>
    </row>
    <row r="314" ht="15.75" customHeight="1">
      <c r="A314" s="136" t="s">
        <v>3254</v>
      </c>
      <c r="B314" s="154" t="str">
        <f>IFERROR(__xludf.DUMMYFUNCTION("GOOGLETRANSLATE(A314,""zh-CN"", ""en"")"),"Maximum charging current")</f>
        <v>Maximum charging current</v>
      </c>
      <c r="C314" s="136" t="s">
        <v>3255</v>
      </c>
      <c r="D314" s="136" t="s">
        <v>3256</v>
      </c>
      <c r="E314" s="136" t="s">
        <v>104</v>
      </c>
      <c r="F314" s="137">
        <v>2.0</v>
      </c>
      <c r="G314" s="136" t="s">
        <v>3257</v>
      </c>
      <c r="H314" s="136" t="str">
        <f>IFERROR(__xludf.DUMMYFUNCTION("GOOGLETRANSLATE(G314,""zh-CN"", ""en"")"),"50~2000
Nandu defaults to 250, Samsung defaults to 1000
")</f>
        <v>50~2000
Nandu defaults to 250, Samsung defaults to 1000
</v>
      </c>
      <c r="I314" s="136" t="s">
        <v>197</v>
      </c>
      <c r="J314" s="136"/>
      <c r="K314" s="136"/>
      <c r="L314" s="136" t="s">
        <v>3258</v>
      </c>
      <c r="M314" s="136" t="str">
        <f>IFERROR(__xludf.DUMMYFUNCTION("GOOGLETRANSLATE(L314,""zh-CN"", ""en"")"),"yes")</f>
        <v>yes</v>
      </c>
      <c r="N314" s="136"/>
      <c r="O314" s="136"/>
      <c r="P314" s="136" t="s">
        <v>3259</v>
      </c>
      <c r="Q314" s="55" t="s">
        <v>3260</v>
      </c>
      <c r="R314" s="55" t="s">
        <v>99</v>
      </c>
      <c r="S314" s="55" t="s">
        <v>3261</v>
      </c>
      <c r="T314" s="55" t="s">
        <v>3262</v>
      </c>
    </row>
    <row r="315" ht="15.75" customHeight="1">
      <c r="A315" s="136" t="s">
        <v>3263</v>
      </c>
      <c r="B315" s="154" t="str">
        <f>IFERROR(__xludf.DUMMYFUNCTION("GOOGLETRANSLATE(A315,""zh-CN"", ""en"")"),"Maximum discharge current")</f>
        <v>Maximum discharge current</v>
      </c>
      <c r="C315" s="136" t="s">
        <v>3264</v>
      </c>
      <c r="D315" s="136" t="s">
        <v>3265</v>
      </c>
      <c r="E315" s="136" t="s">
        <v>104</v>
      </c>
      <c r="F315" s="137">
        <v>2.0</v>
      </c>
      <c r="G315" s="136" t="s">
        <v>3266</v>
      </c>
      <c r="H315" s="136" t="str">
        <f>IFERROR(__xludf.DUMMYFUNCTION("GOOGLETRANSLATE(G315,""zh-CN"", ""en"")"),"100~2000C default 1000
")</f>
        <v>100~2000C default 1000
</v>
      </c>
      <c r="I315" s="136" t="s">
        <v>197</v>
      </c>
      <c r="J315" s="136"/>
      <c r="K315" s="136"/>
      <c r="L315" s="136" t="s">
        <v>3267</v>
      </c>
      <c r="M315" s="136" t="str">
        <f>IFERROR(__xludf.DUMMYFUNCTION("GOOGLETRANSLATE(L315,""zh-CN"", ""en"")"),"yes")</f>
        <v>yes</v>
      </c>
      <c r="N315" s="136"/>
      <c r="O315" s="136"/>
      <c r="P315" s="136" t="s">
        <v>3268</v>
      </c>
      <c r="Q315" s="55" t="s">
        <v>3269</v>
      </c>
      <c r="R315" s="55" t="s">
        <v>99</v>
      </c>
      <c r="S315" s="55" t="s">
        <v>3270</v>
      </c>
      <c r="T315" s="55" t="s">
        <v>3271</v>
      </c>
    </row>
    <row r="316" ht="15.75" customHeight="1">
      <c r="A316" s="136" t="s">
        <v>3272</v>
      </c>
      <c r="B316" s="154" t="str">
        <f>IFERROR(__xludf.DUMMYFUNCTION("GOOGLETRANSLATE(A316,""zh-CN"", ""en"")"),"Battery over temperature threshold")</f>
        <v>Battery over temperature threshold</v>
      </c>
      <c r="C316" s="136" t="s">
        <v>3273</v>
      </c>
      <c r="D316" s="136" t="s">
        <v>3274</v>
      </c>
      <c r="E316" s="136" t="s">
        <v>235</v>
      </c>
      <c r="F316" s="137">
        <v>2.0</v>
      </c>
      <c r="G316" s="136" t="s">
        <v>3275</v>
      </c>
      <c r="H316" s="136" t="str">
        <f>IFERROR(__xludf.DUMMYFUNCTION("GOOGLETRANSLATE(G316,""zh-CN"", ""en"")"),"200~850
Default 600")</f>
        <v>200~850
Default 600</v>
      </c>
      <c r="I316" s="136" t="s">
        <v>3276</v>
      </c>
      <c r="J316" s="136"/>
      <c r="K316" s="136"/>
      <c r="L316" s="136" t="s">
        <v>3277</v>
      </c>
      <c r="M316" s="136" t="str">
        <f>IFERROR(__xludf.DUMMYFUNCTION("GOOGLETRANSLATE(L316,""zh-CN"", ""en"")"),"yes")</f>
        <v>yes</v>
      </c>
      <c r="N316" s="136"/>
      <c r="O316" s="136"/>
      <c r="P316" s="136" t="s">
        <v>3278</v>
      </c>
      <c r="Q316" s="55" t="s">
        <v>3279</v>
      </c>
      <c r="R316" s="55" t="s">
        <v>99</v>
      </c>
      <c r="S316" s="55" t="s">
        <v>3280</v>
      </c>
      <c r="T316" s="55" t="s">
        <v>3281</v>
      </c>
    </row>
    <row r="317" ht="15.75" customHeight="1">
      <c r="A317" s="136" t="s">
        <v>3282</v>
      </c>
      <c r="B317" s="154" t="str">
        <f>IFERROR(__xludf.DUMMYFUNCTION("GOOGLETRANSLATE(A317,""zh-CN"", ""en"")"),"Battery under-temperature threshold")</f>
        <v>Battery under-temperature threshold</v>
      </c>
      <c r="C317" s="136" t="s">
        <v>3283</v>
      </c>
      <c r="D317" s="136" t="s">
        <v>3284</v>
      </c>
      <c r="E317" s="136" t="s">
        <v>235</v>
      </c>
      <c r="F317" s="137">
        <v>2.0</v>
      </c>
      <c r="G317" s="136" t="s">
        <v>3285</v>
      </c>
      <c r="H317" s="136" t="str">
        <f>IFERROR(__xludf.DUMMYFUNCTION("GOOGLETRANSLATE(G317,""zh-CN"", ""en"")"),"(-300~100)
Default -20.0")</f>
        <v>(-300~100)
Default -20.0</v>
      </c>
      <c r="I317" s="136" t="s">
        <v>3286</v>
      </c>
      <c r="J317" s="136"/>
      <c r="K317" s="136"/>
      <c r="L317" s="136" t="s">
        <v>3287</v>
      </c>
      <c r="M317" s="136" t="str">
        <f>IFERROR(__xludf.DUMMYFUNCTION("GOOGLETRANSLATE(L317,""zh-CN"", ""en"")"),"yes")</f>
        <v>yes</v>
      </c>
      <c r="N317" s="136"/>
      <c r="O317" s="136"/>
      <c r="P317" s="136" t="s">
        <v>3288</v>
      </c>
      <c r="Q317" s="55" t="s">
        <v>3289</v>
      </c>
      <c r="R317" s="55" t="s">
        <v>99</v>
      </c>
      <c r="S317" s="55" t="s">
        <v>3290</v>
      </c>
      <c r="T317" s="55" t="s">
        <v>3291</v>
      </c>
    </row>
    <row r="318" ht="15.75" customHeight="1">
      <c r="A318" s="136" t="s">
        <v>3292</v>
      </c>
      <c r="B318" s="154" t="str">
        <f>IFERROR(__xludf.DUMMYFUNCTION("GOOGLETRANSLATE(A318,""zh-CN"", ""en"")"),"Constant charging voltage")</f>
        <v>Constant charging voltage</v>
      </c>
      <c r="C318" s="136" t="s">
        <v>3293</v>
      </c>
      <c r="D318" s="136" t="s">
        <v>3294</v>
      </c>
      <c r="E318" s="136" t="s">
        <v>104</v>
      </c>
      <c r="F318" s="137">
        <v>2.0</v>
      </c>
      <c r="G318" s="136" t="s">
        <v>3295</v>
      </c>
      <c r="H318" s="136"/>
      <c r="I318" s="136" t="s">
        <v>215</v>
      </c>
      <c r="J318" s="136"/>
      <c r="K318" s="136"/>
      <c r="L318" s="136" t="s">
        <v>3296</v>
      </c>
      <c r="M318" s="136" t="str">
        <f>IFERROR(__xludf.DUMMYFUNCTION("GOOGLETRANSLATE(L318,""zh-CN"", ""en"")"),"yes")</f>
        <v>yes</v>
      </c>
      <c r="N318" s="136"/>
      <c r="O318" s="136"/>
      <c r="P318" s="136" t="s">
        <v>3297</v>
      </c>
      <c r="Q318" s="55" t="s">
        <v>3298</v>
      </c>
      <c r="R318" s="55" t="s">
        <v>99</v>
      </c>
      <c r="S318" s="55" t="s">
        <v>3299</v>
      </c>
      <c r="T318" s="55" t="s">
        <v>3300</v>
      </c>
    </row>
    <row r="319" ht="15.75" customHeight="1">
      <c r="A319" s="136" t="s">
        <v>3301</v>
      </c>
      <c r="B319" s="154" t="str">
        <f>IFERROR(__xludf.DUMMYFUNCTION("GOOGLETRANSLATE(A319,""zh-CN"", ""en"")"),"Constant voltage charge termination current")</f>
        <v>Constant voltage charge termination current</v>
      </c>
      <c r="C319" s="136" t="s">
        <v>3302</v>
      </c>
      <c r="D319" s="136" t="s">
        <v>3303</v>
      </c>
      <c r="E319" s="136" t="s">
        <v>104</v>
      </c>
      <c r="F319" s="137">
        <v>2.0</v>
      </c>
      <c r="G319" s="136" t="s">
        <v>3304</v>
      </c>
      <c r="H319" s="136"/>
      <c r="I319" s="136" t="s">
        <v>197</v>
      </c>
      <c r="J319" s="136"/>
      <c r="K319" s="136"/>
      <c r="L319" s="136" t="s">
        <v>3305</v>
      </c>
      <c r="M319" s="136" t="str">
        <f>IFERROR(__xludf.DUMMYFUNCTION("GOOGLETRANSLATE(L319,""zh-CN"", ""en"")"),"yes")</f>
        <v>yes</v>
      </c>
      <c r="N319" s="136"/>
      <c r="O319" s="136"/>
      <c r="P319" s="136" t="s">
        <v>3306</v>
      </c>
      <c r="Q319" s="55" t="s">
        <v>3307</v>
      </c>
      <c r="R319" s="55" t="s">
        <v>99</v>
      </c>
      <c r="S319" s="55" t="s">
        <v>3308</v>
      </c>
      <c r="T319" s="55" t="s">
        <v>3309</v>
      </c>
    </row>
    <row r="320" ht="15.75" customHeight="1">
      <c r="A320" s="170" t="s">
        <v>3310</v>
      </c>
      <c r="B320" s="154" t="str">
        <f>IFERROR(__xludf.DUMMYFUNCTION("GOOGLETRANSLATE(A320,""zh-CN"", ""en"")"),"Constant voltage charging time")</f>
        <v>Constant voltage charging time</v>
      </c>
      <c r="C320" s="170" t="s">
        <v>3311</v>
      </c>
      <c r="D320" s="170" t="s">
        <v>3312</v>
      </c>
      <c r="E320" s="170" t="s">
        <v>104</v>
      </c>
      <c r="F320" s="171">
        <v>2.0</v>
      </c>
      <c r="G320" s="181" t="s">
        <v>3313</v>
      </c>
      <c r="H320" s="181"/>
      <c r="I320" s="181" t="s">
        <v>215</v>
      </c>
      <c r="J320" s="170"/>
      <c r="K320" s="170"/>
      <c r="L320" s="170" t="s">
        <v>3314</v>
      </c>
      <c r="M320" s="136" t="str">
        <f>IFERROR(__xludf.DUMMYFUNCTION("GOOGLETRANSLATE(L320,""zh-CN"", ""en"")"),"yes")</f>
        <v>yes</v>
      </c>
      <c r="N320" s="170"/>
      <c r="O320" s="170"/>
      <c r="P320" s="170" t="s">
        <v>3315</v>
      </c>
      <c r="Q320" s="173" t="s">
        <v>3316</v>
      </c>
      <c r="R320" s="173" t="s">
        <v>99</v>
      </c>
      <c r="S320" s="173" t="s">
        <v>3317</v>
      </c>
      <c r="T320" s="173" t="s">
        <v>3318</v>
      </c>
      <c r="U320" s="174"/>
      <c r="V320" s="174"/>
      <c r="W320" s="174"/>
      <c r="X320" s="174"/>
      <c r="Y320" s="174"/>
      <c r="Z320" s="174"/>
      <c r="AA320" s="174"/>
      <c r="AB320" s="174"/>
      <c r="AC320" s="174"/>
      <c r="AD320" s="174"/>
      <c r="AE320" s="174"/>
    </row>
    <row r="321" ht="15.75" customHeight="1">
      <c r="A321" s="136" t="s">
        <v>3319</v>
      </c>
      <c r="B321" s="154" t="str">
        <f>IFERROR(__xludf.DUMMYFUNCTION("GOOGLETRANSLATE(A321,""zh-CN"", ""en"")"),"Discharge termination voltage")</f>
        <v>Discharge termination voltage</v>
      </c>
      <c r="C321" s="136" t="s">
        <v>3320</v>
      </c>
      <c r="D321" s="136" t="s">
        <v>3321</v>
      </c>
      <c r="E321" s="136" t="s">
        <v>104</v>
      </c>
      <c r="F321" s="137">
        <v>2.0</v>
      </c>
      <c r="G321" s="136" t="s">
        <v>3313</v>
      </c>
      <c r="H321" s="136"/>
      <c r="I321" s="136" t="s">
        <v>215</v>
      </c>
      <c r="J321" s="136"/>
      <c r="K321" s="136"/>
      <c r="L321" s="136" t="s">
        <v>3322</v>
      </c>
      <c r="M321" s="136" t="str">
        <f>IFERROR(__xludf.DUMMYFUNCTION("GOOGLETRANSLATE(L321,""zh-CN"", ""en"")"),"yes")</f>
        <v>yes</v>
      </c>
      <c r="N321" s="136"/>
      <c r="O321" s="136"/>
      <c r="P321" s="136" t="s">
        <v>3323</v>
      </c>
      <c r="Q321" s="55" t="s">
        <v>3324</v>
      </c>
      <c r="R321" s="55" t="s">
        <v>99</v>
      </c>
      <c r="S321" s="55" t="s">
        <v>3325</v>
      </c>
      <c r="T321" s="55" t="s">
        <v>3326</v>
      </c>
    </row>
    <row r="322" ht="15.75" customHeight="1">
      <c r="A322" s="170" t="s">
        <v>3327</v>
      </c>
      <c r="B322" s="154" t="str">
        <f>IFERROR(__xludf.DUMMYFUNCTION("GOOGLETRANSLATE(A322,""zh-CN"", ""en"")"),"Emergency charging starting voltage")</f>
        <v>Emergency charging starting voltage</v>
      </c>
      <c r="C322" s="198" t="s">
        <v>3328</v>
      </c>
      <c r="D322" s="170" t="s">
        <v>3329</v>
      </c>
      <c r="E322" s="170" t="s">
        <v>104</v>
      </c>
      <c r="F322" s="171">
        <v>2.0</v>
      </c>
      <c r="G322" s="181" t="s">
        <v>3330</v>
      </c>
      <c r="H322" s="170"/>
      <c r="I322" s="170" t="s">
        <v>215</v>
      </c>
      <c r="J322" s="170"/>
      <c r="K322" s="170"/>
      <c r="L322" s="170"/>
      <c r="M322" s="136" t="str">
        <f>IFERROR(__xludf.DUMMYFUNCTION("GOOGLETRANSLATE(L322,""zh-CN"", ""en"")"),"#VALUE!")</f>
        <v>#VALUE!</v>
      </c>
      <c r="N322" s="170"/>
      <c r="O322" s="170"/>
      <c r="P322" s="170" t="s">
        <v>3331</v>
      </c>
      <c r="Q322" s="173" t="s">
        <v>3332</v>
      </c>
      <c r="R322" s="173" t="s">
        <v>99</v>
      </c>
      <c r="S322" s="173" t="s">
        <v>3333</v>
      </c>
      <c r="T322" s="173" t="s">
        <v>3334</v>
      </c>
      <c r="U322" s="174"/>
      <c r="V322" s="174"/>
      <c r="W322" s="174"/>
      <c r="X322" s="174"/>
      <c r="Y322" s="174"/>
      <c r="Z322" s="174"/>
      <c r="AA322" s="174"/>
      <c r="AB322" s="174"/>
      <c r="AC322" s="174"/>
      <c r="AD322" s="174"/>
      <c r="AE322" s="174"/>
    </row>
    <row r="323" ht="15.75" customHeight="1">
      <c r="A323" s="170" t="s">
        <v>3335</v>
      </c>
      <c r="B323" s="154" t="str">
        <f>IFERROR(__xludf.DUMMYFUNCTION("GOOGLETRANSLATE(A323,""zh-CN"", ""en"")"),"Emergency charging stop voltage")</f>
        <v>Emergency charging stop voltage</v>
      </c>
      <c r="C323" s="198" t="s">
        <v>3336</v>
      </c>
      <c r="D323" s="170" t="s">
        <v>3337</v>
      </c>
      <c r="E323" s="170" t="s">
        <v>104</v>
      </c>
      <c r="F323" s="171">
        <v>2.0</v>
      </c>
      <c r="G323" s="181" t="s">
        <v>3330</v>
      </c>
      <c r="H323" s="170"/>
      <c r="I323" s="170" t="s">
        <v>215</v>
      </c>
      <c r="J323" s="170"/>
      <c r="K323" s="170"/>
      <c r="L323" s="170"/>
      <c r="M323" s="136" t="str">
        <f>IFERROR(__xludf.DUMMYFUNCTION("GOOGLETRANSLATE(L323,""zh-CN"", ""en"")"),"#VALUE!")</f>
        <v>#VALUE!</v>
      </c>
      <c r="N323" s="170"/>
      <c r="O323" s="170"/>
      <c r="P323" s="170" t="s">
        <v>3338</v>
      </c>
      <c r="Q323" s="173" t="s">
        <v>3339</v>
      </c>
      <c r="R323" s="173" t="s">
        <v>99</v>
      </c>
      <c r="S323" s="173" t="s">
        <v>3340</v>
      </c>
      <c r="T323" s="173" t="s">
        <v>3341</v>
      </c>
      <c r="U323" s="174"/>
      <c r="V323" s="174"/>
      <c r="W323" s="174"/>
      <c r="X323" s="174"/>
      <c r="Y323" s="174"/>
      <c r="Z323" s="174"/>
      <c r="AA323" s="174"/>
      <c r="AB323" s="174"/>
      <c r="AC323" s="174"/>
      <c r="AD323" s="174"/>
      <c r="AE323" s="174"/>
    </row>
    <row r="324" ht="15.75" customHeight="1">
      <c r="A324" s="136" t="s">
        <v>3342</v>
      </c>
      <c r="B324" s="154" t="str">
        <f>IFERROR(__xludf.DUMMYFUNCTION("GOOGLETRANSLATE(A324,""zh-CN"", ""en"")"),"Emergency charging current")</f>
        <v>Emergency charging current</v>
      </c>
      <c r="C324" s="136" t="s">
        <v>3343</v>
      </c>
      <c r="D324" s="136" t="s">
        <v>3344</v>
      </c>
      <c r="E324" s="136" t="s">
        <v>104</v>
      </c>
      <c r="F324" s="137">
        <v>2.0</v>
      </c>
      <c r="G324" s="136" t="s">
        <v>3345</v>
      </c>
      <c r="H324" s="136"/>
      <c r="I324" s="136" t="s">
        <v>197</v>
      </c>
      <c r="J324" s="136"/>
      <c r="K324" s="136"/>
      <c r="L324" s="136" t="s">
        <v>3346</v>
      </c>
      <c r="M324" s="136" t="str">
        <f>IFERROR(__xludf.DUMMYFUNCTION("GOOGLETRANSLATE(L324,""zh-CN"", ""en"")"),"yes")</f>
        <v>yes</v>
      </c>
      <c r="N324" s="136"/>
      <c r="O324" s="136"/>
      <c r="P324" s="136" t="s">
        <v>3347</v>
      </c>
      <c r="Q324" s="55" t="s">
        <v>3348</v>
      </c>
      <c r="R324" s="55" t="s">
        <v>99</v>
      </c>
      <c r="S324" s="55" t="s">
        <v>3349</v>
      </c>
      <c r="T324" s="55" t="s">
        <v>3350</v>
      </c>
    </row>
    <row r="325" ht="15.75" customHeight="1">
      <c r="A325" s="136" t="s">
        <v>3351</v>
      </c>
      <c r="B325" s="154" t="str">
        <f>IFERROR(__xludf.DUMMYFUNCTION("GOOGLETRANSLATE(A325,""zh-CN"", ""en"")"),"Resistor compensation")</f>
        <v>Resistor compensation</v>
      </c>
      <c r="C325" s="136" t="s">
        <v>3352</v>
      </c>
      <c r="D325" s="136" t="s">
        <v>3353</v>
      </c>
      <c r="E325" s="136" t="s">
        <v>235</v>
      </c>
      <c r="F325" s="137">
        <v>2.0</v>
      </c>
      <c r="G325" s="136" t="s">
        <v>3354</v>
      </c>
      <c r="H325" s="136"/>
      <c r="I325" s="136" t="s">
        <v>3355</v>
      </c>
      <c r="J325" s="136"/>
      <c r="K325" s="136"/>
      <c r="L325" s="136" t="s">
        <v>3356</v>
      </c>
      <c r="M325" s="136" t="str">
        <f>IFERROR(__xludf.DUMMYFUNCTION("GOOGLETRANSLATE(L325,""zh-CN"", ""en"")"),"yes")</f>
        <v>yes</v>
      </c>
      <c r="N325" s="136"/>
      <c r="O325" s="136"/>
      <c r="P325" s="136" t="s">
        <v>3357</v>
      </c>
      <c r="Q325" s="55" t="s">
        <v>3358</v>
      </c>
      <c r="R325" s="55" t="s">
        <v>99</v>
      </c>
      <c r="S325" s="55" t="s">
        <v>3359</v>
      </c>
      <c r="T325" s="55" t="s">
        <v>3360</v>
      </c>
    </row>
    <row r="326" ht="15.75" customHeight="1">
      <c r="A326" s="136" t="s">
        <v>3361</v>
      </c>
      <c r="B326" s="154" t="str">
        <f>IFERROR(__xludf.DUMMYFUNCTION("GOOGLETRANSLATE(A326,""zh-CN"", ""en"")"),"temperature compensation")</f>
        <v>temperature compensation</v>
      </c>
      <c r="C326" s="136" t="s">
        <v>3362</v>
      </c>
      <c r="D326" s="136" t="s">
        <v>3363</v>
      </c>
      <c r="E326" s="136" t="s">
        <v>235</v>
      </c>
      <c r="F326" s="137">
        <v>2.0</v>
      </c>
      <c r="G326" s="136"/>
      <c r="H326" s="136"/>
      <c r="I326" s="136" t="s">
        <v>3364</v>
      </c>
      <c r="J326" s="136"/>
      <c r="K326" s="136"/>
      <c r="L326" s="136" t="s">
        <v>3365</v>
      </c>
      <c r="M326" s="136" t="str">
        <f>IFERROR(__xludf.DUMMYFUNCTION("GOOGLETRANSLATE(L326,""zh-CN"", ""en"")"),"yes")</f>
        <v>yes</v>
      </c>
      <c r="N326" s="136"/>
      <c r="O326" s="136"/>
      <c r="P326" s="136" t="s">
        <v>3366</v>
      </c>
      <c r="Q326" s="55" t="s">
        <v>3367</v>
      </c>
      <c r="R326" s="55" t="s">
        <v>99</v>
      </c>
      <c r="S326" s="55" t="s">
        <v>3368</v>
      </c>
      <c r="T326" s="55" t="s">
        <v>3369</v>
      </c>
    </row>
    <row r="327" ht="15.75" customHeight="1">
      <c r="A327" s="157" t="s">
        <v>3370</v>
      </c>
      <c r="B327" s="154" t="str">
        <f>IFERROR(__xludf.DUMMYFUNCTION("GOOGLETRANSLATE(A327,""zh-CN"", ""en"")"),"Maximum charging power")</f>
        <v>Maximum charging power</v>
      </c>
      <c r="C327" s="136" t="s">
        <v>3371</v>
      </c>
      <c r="D327" s="136" t="s">
        <v>914</v>
      </c>
      <c r="E327" s="136" t="s">
        <v>110</v>
      </c>
      <c r="F327" s="137">
        <v>4.0</v>
      </c>
      <c r="G327" s="136" t="s">
        <v>3372</v>
      </c>
      <c r="H327" s="136"/>
      <c r="I327" s="136" t="s">
        <v>111</v>
      </c>
      <c r="J327" s="136"/>
      <c r="K327" s="136"/>
      <c r="L327" s="136" t="s">
        <v>3373</v>
      </c>
      <c r="M327" s="136" t="str">
        <f>IFERROR(__xludf.DUMMYFUNCTION("GOOGLETRANSLATE(L327,""zh-CN"", ""en"")"),"yes")</f>
        <v>yes</v>
      </c>
      <c r="N327" s="136"/>
      <c r="O327" s="136"/>
      <c r="P327" s="136" t="s">
        <v>3374</v>
      </c>
      <c r="Q327" s="55" t="s">
        <v>3375</v>
      </c>
      <c r="R327" s="55" t="s">
        <v>99</v>
      </c>
      <c r="S327" s="55" t="s">
        <v>3376</v>
      </c>
      <c r="T327" s="55" t="s">
        <v>3377</v>
      </c>
    </row>
    <row r="328" ht="15.75" customHeight="1">
      <c r="A328" s="157" t="s">
        <v>3378</v>
      </c>
      <c r="B328" s="154" t="str">
        <f>IFERROR(__xludf.DUMMYFUNCTION("GOOGLETRANSLATE(A328,""zh-CN"", ""en"")"),"Maximum charge change rate")</f>
        <v>Maximum charge change rate</v>
      </c>
      <c r="C328" s="136" t="s">
        <v>3379</v>
      </c>
      <c r="D328" s="136">
        <v>3024.0</v>
      </c>
      <c r="E328" s="136" t="s">
        <v>104</v>
      </c>
      <c r="F328" s="137">
        <v>2.0</v>
      </c>
      <c r="G328" s="136" t="s">
        <v>2744</v>
      </c>
      <c r="H328" s="136"/>
      <c r="I328" s="136" t="s">
        <v>712</v>
      </c>
      <c r="J328" s="136"/>
      <c r="K328" s="136"/>
      <c r="L328" s="136" t="s">
        <v>3380</v>
      </c>
      <c r="M328" s="136" t="str">
        <f>IFERROR(__xludf.DUMMYFUNCTION("GOOGLETRANSLATE(L328,""zh-CN"", ""en"")"),"yes")</f>
        <v>yes</v>
      </c>
      <c r="N328" s="136"/>
      <c r="O328" s="136"/>
      <c r="P328" s="136" t="s">
        <v>3381</v>
      </c>
      <c r="Q328" s="55" t="s">
        <v>3382</v>
      </c>
      <c r="R328" s="55" t="s">
        <v>99</v>
      </c>
      <c r="S328" s="55" t="s">
        <v>3383</v>
      </c>
      <c r="T328" s="55" t="s">
        <v>3384</v>
      </c>
    </row>
    <row r="329" ht="15.75" customHeight="1">
      <c r="A329" s="157" t="s">
        <v>3385</v>
      </c>
      <c r="B329" s="154" t="str">
        <f>IFERROR(__xludf.DUMMYFUNCTION("GOOGLETRANSLATE(A329,""zh-CN"", ""en"")"),"Maximum release point change rate")</f>
        <v>Maximum release point change rate</v>
      </c>
      <c r="C329" s="136" t="s">
        <v>3386</v>
      </c>
      <c r="D329" s="136">
        <v>3025.0</v>
      </c>
      <c r="E329" s="136" t="s">
        <v>104</v>
      </c>
      <c r="F329" s="137">
        <v>2.0</v>
      </c>
      <c r="G329" s="136" t="s">
        <v>2744</v>
      </c>
      <c r="H329" s="136"/>
      <c r="I329" s="136" t="s">
        <v>712</v>
      </c>
      <c r="J329" s="136"/>
      <c r="K329" s="136"/>
      <c r="L329" s="136" t="s">
        <v>3387</v>
      </c>
      <c r="M329" s="136" t="str">
        <f>IFERROR(__xludf.DUMMYFUNCTION("GOOGLETRANSLATE(L329,""zh-CN"", ""en"")"),"yes")</f>
        <v>yes</v>
      </c>
      <c r="N329" s="136"/>
      <c r="O329" s="136"/>
      <c r="P329" s="136" t="s">
        <v>3388</v>
      </c>
      <c r="Q329" s="55" t="s">
        <v>3389</v>
      </c>
      <c r="R329" s="55" t="s">
        <v>99</v>
      </c>
      <c r="S329" s="55" t="s">
        <v>3390</v>
      </c>
      <c r="T329" s="55" t="s">
        <v>3391</v>
      </c>
    </row>
    <row r="330" ht="15.75" customHeight="1">
      <c r="A330" s="194" t="s">
        <v>3392</v>
      </c>
      <c r="B330" s="154" t="str">
        <f>IFERROR(__xludf.DUMMYFUNCTION("GOOGLETRANSLATE(A330,""zh-CN"", ""en"")"),"Lead-acid battery manufacturers")</f>
        <v>Lead-acid battery manufacturers</v>
      </c>
      <c r="C330" s="155" t="s">
        <v>3393</v>
      </c>
      <c r="D330" s="155">
        <v>3026.0</v>
      </c>
      <c r="E330" s="155" t="s">
        <v>104</v>
      </c>
      <c r="F330" s="199"/>
      <c r="G330" s="155" t="s">
        <v>3394</v>
      </c>
      <c r="H330" s="155" t="str">
        <f>IFERROR(__xludf.DUMMYFUNCTION("GOOGLETRANSLATE(G330,""zh-CN"", ""en"")"),"0.common
1. SACRED
2.")</f>
        <v>0.common
1. SACRED
2.</v>
      </c>
      <c r="I330" s="155"/>
      <c r="J330" s="155"/>
      <c r="K330" s="155"/>
      <c r="L330" s="155"/>
      <c r="M330" s="155"/>
      <c r="N330" s="155"/>
      <c r="O330" s="155"/>
      <c r="P330" s="155"/>
      <c r="Q330" s="200"/>
      <c r="R330" s="200"/>
      <c r="S330" s="200"/>
      <c r="T330" s="200"/>
      <c r="U330" s="201"/>
      <c r="V330" s="201"/>
      <c r="W330" s="201"/>
      <c r="X330" s="201"/>
      <c r="Y330" s="201"/>
      <c r="Z330" s="201"/>
      <c r="AA330" s="201"/>
      <c r="AB330" s="201"/>
      <c r="AC330" s="201"/>
      <c r="AD330" s="201"/>
      <c r="AE330" s="201"/>
    </row>
    <row r="331" ht="15.75" customHeight="1">
      <c r="A331" s="157" t="s">
        <v>3395</v>
      </c>
      <c r="B331" s="136"/>
      <c r="C331" s="136" t="s">
        <v>207</v>
      </c>
      <c r="D331" s="136" t="s">
        <v>3396</v>
      </c>
      <c r="E331" s="136"/>
      <c r="F331" s="137"/>
      <c r="G331" s="136"/>
      <c r="H331" s="136"/>
      <c r="I331" s="136"/>
      <c r="J331" s="136"/>
      <c r="K331" s="136"/>
      <c r="L331" s="136"/>
      <c r="M331" s="136"/>
      <c r="N331" s="136"/>
      <c r="O331" s="136"/>
      <c r="P331" s="136"/>
      <c r="Q331" s="55" t="s">
        <v>3397</v>
      </c>
      <c r="R331" s="55" t="s">
        <v>99</v>
      </c>
      <c r="S331" s="55" t="s">
        <v>3398</v>
      </c>
      <c r="T331" s="55" t="s">
        <v>3399</v>
      </c>
    </row>
    <row r="332" ht="15.75" customHeight="1">
      <c r="A332" s="202"/>
      <c r="B332" s="202"/>
      <c r="C332" s="202"/>
      <c r="D332" s="31"/>
      <c r="E332" s="31"/>
      <c r="F332" s="144"/>
      <c r="G332" s="31"/>
      <c r="H332" s="31"/>
      <c r="I332" s="31"/>
      <c r="J332" s="31"/>
      <c r="K332" s="31"/>
      <c r="L332" s="31"/>
      <c r="M332" s="31"/>
      <c r="N332" s="31"/>
      <c r="O332" s="31"/>
      <c r="P332" s="31"/>
      <c r="Q332" s="203"/>
      <c r="R332" s="203"/>
      <c r="S332" s="203"/>
      <c r="T332" s="203"/>
    </row>
    <row r="333" ht="15.75" customHeight="1">
      <c r="A333" s="202"/>
      <c r="B333" s="202"/>
      <c r="C333" s="202"/>
      <c r="D333" s="31"/>
      <c r="E333" s="31"/>
      <c r="F333" s="144"/>
      <c r="G333" s="31"/>
      <c r="H333" s="31"/>
      <c r="I333" s="31"/>
      <c r="J333" s="31"/>
      <c r="K333" s="31"/>
      <c r="L333" s="31"/>
      <c r="M333" s="31"/>
      <c r="N333" s="31"/>
      <c r="O333" s="31"/>
      <c r="P333" s="31"/>
      <c r="Q333" s="203"/>
      <c r="R333" s="203"/>
      <c r="S333" s="203"/>
      <c r="T333" s="203"/>
    </row>
    <row r="334" ht="15.75" customHeight="1">
      <c r="A334" s="202"/>
      <c r="B334" s="202"/>
      <c r="C334" s="202"/>
      <c r="D334" s="31"/>
      <c r="E334" s="31"/>
      <c r="F334" s="144"/>
      <c r="G334" s="31"/>
      <c r="H334" s="31"/>
      <c r="I334" s="31"/>
      <c r="J334" s="31"/>
      <c r="K334" s="31"/>
      <c r="L334" s="31"/>
      <c r="M334" s="31"/>
      <c r="N334" s="31"/>
      <c r="O334" s="31"/>
      <c r="P334" s="31"/>
      <c r="Q334" s="203"/>
      <c r="R334" s="203"/>
      <c r="S334" s="203"/>
      <c r="T334" s="203"/>
    </row>
    <row r="335" ht="15.75" customHeight="1">
      <c r="A335" s="202"/>
      <c r="B335" s="202"/>
      <c r="C335" s="202"/>
      <c r="D335" s="31"/>
      <c r="E335" s="31"/>
      <c r="F335" s="144"/>
      <c r="G335" s="31"/>
      <c r="H335" s="31"/>
      <c r="I335" s="31"/>
      <c r="J335" s="31"/>
      <c r="K335" s="31"/>
      <c r="L335" s="31"/>
      <c r="M335" s="31"/>
      <c r="N335" s="31"/>
      <c r="O335" s="31"/>
      <c r="P335" s="31"/>
      <c r="Q335" s="203"/>
      <c r="R335" s="203"/>
      <c r="S335" s="203"/>
      <c r="T335" s="203"/>
    </row>
    <row r="336" ht="15.75" customHeight="1">
      <c r="A336" s="202"/>
      <c r="B336" s="202"/>
      <c r="C336" s="202"/>
      <c r="D336" s="31"/>
      <c r="E336" s="31"/>
      <c r="F336" s="144"/>
      <c r="G336" s="31"/>
      <c r="H336" s="31"/>
      <c r="I336" s="31"/>
      <c r="J336" s="31"/>
      <c r="K336" s="31"/>
      <c r="L336" s="31"/>
      <c r="M336" s="31"/>
      <c r="N336" s="31"/>
      <c r="O336" s="31"/>
      <c r="P336" s="31"/>
      <c r="Q336" s="203"/>
      <c r="R336" s="203"/>
      <c r="S336" s="203"/>
      <c r="T336" s="203"/>
    </row>
    <row r="337" ht="15.75" customHeight="1">
      <c r="A337" s="202"/>
      <c r="B337" s="202"/>
      <c r="C337" s="202"/>
      <c r="D337" s="31"/>
      <c r="E337" s="31"/>
      <c r="F337" s="144"/>
      <c r="G337" s="31"/>
      <c r="H337" s="31"/>
      <c r="I337" s="31"/>
      <c r="J337" s="31"/>
      <c r="K337" s="31"/>
      <c r="L337" s="31"/>
      <c r="M337" s="31"/>
      <c r="N337" s="31"/>
      <c r="O337" s="31"/>
      <c r="P337" s="31"/>
      <c r="Q337" s="203"/>
      <c r="R337" s="203"/>
      <c r="S337" s="203"/>
      <c r="T337" s="203"/>
    </row>
    <row r="338" ht="15.75" customHeight="1">
      <c r="A338" s="202"/>
      <c r="B338" s="202"/>
      <c r="C338" s="202"/>
      <c r="D338" s="31"/>
      <c r="E338" s="31"/>
      <c r="F338" s="144"/>
      <c r="G338" s="31"/>
      <c r="H338" s="31"/>
      <c r="I338" s="31"/>
      <c r="J338" s="31"/>
      <c r="K338" s="31"/>
      <c r="L338" s="31"/>
      <c r="M338" s="31"/>
      <c r="N338" s="31"/>
      <c r="O338" s="31"/>
      <c r="P338" s="31"/>
      <c r="Q338" s="203"/>
      <c r="R338" s="203"/>
      <c r="S338" s="203"/>
      <c r="T338" s="203"/>
    </row>
    <row r="339" ht="15.75" customHeight="1">
      <c r="A339" s="202"/>
      <c r="B339" s="202"/>
      <c r="C339" s="202"/>
      <c r="D339" s="31"/>
      <c r="E339" s="31"/>
      <c r="F339" s="144"/>
      <c r="G339" s="31"/>
      <c r="H339" s="31"/>
      <c r="I339" s="31"/>
      <c r="J339" s="31"/>
      <c r="K339" s="31"/>
      <c r="L339" s="31"/>
      <c r="M339" s="31"/>
      <c r="N339" s="31"/>
      <c r="O339" s="31"/>
      <c r="P339" s="31"/>
      <c r="Q339" s="203"/>
      <c r="R339" s="203"/>
      <c r="S339" s="203"/>
      <c r="T339" s="203"/>
    </row>
    <row r="340" ht="15.75" customHeight="1">
      <c r="A340" s="202"/>
      <c r="B340" s="202"/>
      <c r="C340" s="202"/>
      <c r="D340" s="31"/>
      <c r="E340" s="31"/>
      <c r="F340" s="144"/>
      <c r="G340" s="31"/>
      <c r="H340" s="31"/>
      <c r="I340" s="31"/>
      <c r="J340" s="31"/>
      <c r="K340" s="31"/>
      <c r="L340" s="31"/>
      <c r="M340" s="31"/>
      <c r="N340" s="31"/>
      <c r="O340" s="31"/>
      <c r="P340" s="31"/>
      <c r="Q340" s="203"/>
      <c r="R340" s="203"/>
      <c r="S340" s="203"/>
      <c r="T340" s="203"/>
    </row>
    <row r="341" ht="15.75" customHeight="1">
      <c r="A341" s="202"/>
      <c r="B341" s="202"/>
      <c r="C341" s="202"/>
      <c r="D341" s="31"/>
      <c r="E341" s="31"/>
      <c r="F341" s="144"/>
      <c r="G341" s="31"/>
      <c r="H341" s="31"/>
      <c r="I341" s="31"/>
      <c r="J341" s="31"/>
      <c r="K341" s="31"/>
      <c r="L341" s="31"/>
      <c r="M341" s="31"/>
      <c r="N341" s="31"/>
      <c r="O341" s="31"/>
      <c r="P341" s="31"/>
      <c r="Q341" s="203"/>
      <c r="R341" s="203"/>
      <c r="S341" s="203"/>
      <c r="T341" s="203"/>
    </row>
    <row r="342" ht="15.75" customHeight="1">
      <c r="A342" s="202"/>
      <c r="B342" s="202"/>
      <c r="C342" s="202"/>
      <c r="D342" s="31"/>
      <c r="E342" s="31"/>
      <c r="F342" s="144"/>
      <c r="G342" s="31"/>
      <c r="H342" s="31"/>
      <c r="I342" s="31"/>
      <c r="J342" s="31"/>
      <c r="K342" s="31"/>
      <c r="L342" s="31"/>
      <c r="M342" s="31"/>
      <c r="N342" s="31"/>
      <c r="O342" s="31"/>
      <c r="P342" s="31"/>
      <c r="Q342" s="203"/>
      <c r="R342" s="203"/>
      <c r="S342" s="203"/>
      <c r="T342" s="203"/>
    </row>
    <row r="343" ht="15.75" customHeight="1">
      <c r="A343" s="202"/>
      <c r="B343" s="202"/>
      <c r="C343" s="202"/>
      <c r="D343" s="31"/>
      <c r="E343" s="31"/>
      <c r="F343" s="144"/>
      <c r="G343" s="31"/>
      <c r="H343" s="31"/>
      <c r="I343" s="31"/>
      <c r="J343" s="31"/>
      <c r="K343" s="31"/>
      <c r="L343" s="31"/>
      <c r="M343" s="31"/>
      <c r="N343" s="31"/>
      <c r="O343" s="31"/>
      <c r="P343" s="31"/>
      <c r="Q343" s="203"/>
      <c r="R343" s="203"/>
      <c r="S343" s="203"/>
      <c r="T343" s="203"/>
    </row>
    <row r="344" ht="15.75" customHeight="1">
      <c r="A344" s="202"/>
      <c r="B344" s="202"/>
      <c r="C344" s="202"/>
      <c r="D344" s="31"/>
      <c r="E344" s="31"/>
      <c r="F344" s="144"/>
      <c r="G344" s="31"/>
      <c r="H344" s="31"/>
      <c r="I344" s="31"/>
      <c r="J344" s="31"/>
      <c r="K344" s="31"/>
      <c r="L344" s="31"/>
      <c r="M344" s="31"/>
      <c r="N344" s="31"/>
      <c r="O344" s="31"/>
      <c r="P344" s="31"/>
      <c r="Q344" s="203"/>
      <c r="R344" s="203"/>
      <c r="S344" s="203"/>
      <c r="T344" s="203"/>
    </row>
    <row r="345" ht="15.75" customHeight="1">
      <c r="A345" s="202"/>
      <c r="B345" s="202"/>
      <c r="C345" s="202"/>
      <c r="D345" s="31"/>
      <c r="E345" s="31"/>
      <c r="F345" s="144"/>
      <c r="G345" s="31"/>
      <c r="H345" s="31"/>
      <c r="I345" s="31"/>
      <c r="J345" s="31"/>
      <c r="K345" s="31"/>
      <c r="L345" s="31"/>
      <c r="M345" s="31"/>
      <c r="N345" s="31"/>
      <c r="O345" s="31"/>
      <c r="P345" s="31"/>
      <c r="Q345" s="203"/>
      <c r="R345" s="203"/>
      <c r="S345" s="203"/>
      <c r="T345" s="203"/>
    </row>
    <row r="346" ht="15.75" customHeight="1">
      <c r="A346" s="202"/>
      <c r="B346" s="202"/>
      <c r="C346" s="202"/>
      <c r="D346" s="31"/>
      <c r="E346" s="31"/>
      <c r="F346" s="144"/>
      <c r="G346" s="31"/>
      <c r="H346" s="31"/>
      <c r="I346" s="31"/>
      <c r="J346" s="31"/>
      <c r="K346" s="31"/>
      <c r="L346" s="31"/>
      <c r="M346" s="31"/>
      <c r="N346" s="31"/>
      <c r="O346" s="31"/>
      <c r="P346" s="31"/>
      <c r="Q346" s="203"/>
      <c r="R346" s="203"/>
      <c r="S346" s="203"/>
      <c r="T346" s="203"/>
    </row>
    <row r="347" ht="15.75" customHeight="1">
      <c r="A347" s="202"/>
      <c r="B347" s="202"/>
      <c r="C347" s="202"/>
      <c r="D347" s="31"/>
      <c r="E347" s="31"/>
      <c r="F347" s="144"/>
      <c r="G347" s="31"/>
      <c r="H347" s="31"/>
      <c r="I347" s="31"/>
      <c r="J347" s="31"/>
      <c r="K347" s="31"/>
      <c r="L347" s="31"/>
      <c r="M347" s="31"/>
      <c r="N347" s="31"/>
      <c r="O347" s="31"/>
      <c r="P347" s="31"/>
      <c r="Q347" s="203"/>
      <c r="R347" s="203"/>
      <c r="S347" s="203"/>
      <c r="T347" s="203"/>
    </row>
    <row r="348" ht="15.75" customHeight="1">
      <c r="A348" s="202"/>
      <c r="B348" s="202"/>
      <c r="C348" s="202"/>
      <c r="D348" s="31"/>
      <c r="E348" s="31"/>
      <c r="F348" s="144"/>
      <c r="G348" s="31"/>
      <c r="H348" s="31"/>
      <c r="I348" s="31"/>
      <c r="J348" s="31"/>
      <c r="K348" s="31"/>
      <c r="L348" s="31"/>
      <c r="M348" s="31"/>
      <c r="N348" s="31"/>
      <c r="O348" s="31"/>
      <c r="P348" s="31"/>
      <c r="Q348" s="203"/>
      <c r="R348" s="203"/>
      <c r="S348" s="203"/>
      <c r="T348" s="203"/>
    </row>
    <row r="349" ht="15.75" customHeight="1">
      <c r="A349" s="202"/>
      <c r="B349" s="202"/>
      <c r="C349" s="202"/>
      <c r="D349" s="31"/>
      <c r="E349" s="31"/>
      <c r="F349" s="144"/>
      <c r="G349" s="31"/>
      <c r="H349" s="31"/>
      <c r="I349" s="31"/>
      <c r="J349" s="31"/>
      <c r="K349" s="31"/>
      <c r="L349" s="31"/>
      <c r="M349" s="31"/>
      <c r="N349" s="31"/>
      <c r="O349" s="31"/>
      <c r="P349" s="31"/>
      <c r="Q349" s="203"/>
      <c r="R349" s="203"/>
      <c r="S349" s="203"/>
      <c r="T349" s="203"/>
    </row>
    <row r="350" ht="15.75" customHeight="1">
      <c r="A350" s="202"/>
      <c r="B350" s="202"/>
      <c r="C350" s="202"/>
      <c r="D350" s="31"/>
      <c r="E350" s="31"/>
      <c r="F350" s="144"/>
      <c r="G350" s="31"/>
      <c r="H350" s="31"/>
      <c r="I350" s="31"/>
      <c r="J350" s="31"/>
      <c r="K350" s="31"/>
      <c r="L350" s="31"/>
      <c r="M350" s="31"/>
      <c r="N350" s="31"/>
      <c r="O350" s="31"/>
      <c r="P350" s="31"/>
      <c r="Q350" s="203"/>
      <c r="R350" s="203"/>
      <c r="S350" s="203"/>
      <c r="T350" s="203"/>
    </row>
    <row r="351" ht="15.75" customHeight="1">
      <c r="A351" s="202"/>
      <c r="B351" s="202"/>
      <c r="C351" s="202"/>
      <c r="D351" s="31"/>
      <c r="E351" s="31"/>
      <c r="F351" s="144"/>
      <c r="G351" s="31"/>
      <c r="H351" s="31"/>
      <c r="I351" s="31"/>
      <c r="J351" s="31"/>
      <c r="K351" s="31"/>
      <c r="L351" s="31"/>
      <c r="M351" s="31"/>
      <c r="N351" s="31"/>
      <c r="O351" s="31"/>
      <c r="P351" s="31"/>
      <c r="Q351" s="203"/>
      <c r="R351" s="203"/>
      <c r="S351" s="203"/>
      <c r="T351" s="203"/>
    </row>
    <row r="352" ht="15.75" customHeight="1">
      <c r="A352" s="202"/>
      <c r="B352" s="202"/>
      <c r="C352" s="202"/>
      <c r="D352" s="31"/>
      <c r="E352" s="31"/>
      <c r="F352" s="144"/>
      <c r="G352" s="31"/>
      <c r="H352" s="31"/>
      <c r="I352" s="31"/>
      <c r="J352" s="31"/>
      <c r="K352" s="31"/>
      <c r="L352" s="31"/>
      <c r="M352" s="31"/>
      <c r="N352" s="31"/>
      <c r="O352" s="31"/>
      <c r="P352" s="31"/>
      <c r="Q352" s="203"/>
      <c r="R352" s="203"/>
      <c r="S352" s="203"/>
      <c r="T352" s="203"/>
    </row>
    <row r="353" ht="15.75" customHeight="1">
      <c r="A353" s="202"/>
      <c r="B353" s="202"/>
      <c r="C353" s="202"/>
      <c r="D353" s="31"/>
      <c r="E353" s="31"/>
      <c r="F353" s="144"/>
      <c r="G353" s="31"/>
      <c r="H353" s="31"/>
      <c r="I353" s="31"/>
      <c r="J353" s="31"/>
      <c r="K353" s="31"/>
      <c r="L353" s="31"/>
      <c r="M353" s="31"/>
      <c r="N353" s="31"/>
      <c r="O353" s="31"/>
      <c r="P353" s="31"/>
      <c r="Q353" s="203"/>
      <c r="R353" s="203"/>
      <c r="S353" s="203"/>
      <c r="T353" s="203"/>
    </row>
    <row r="354" ht="15.75" customHeight="1">
      <c r="A354" s="202"/>
      <c r="B354" s="202"/>
      <c r="C354" s="202"/>
      <c r="D354" s="31"/>
      <c r="E354" s="31"/>
      <c r="F354" s="144"/>
      <c r="G354" s="31"/>
      <c r="H354" s="31"/>
      <c r="I354" s="31"/>
      <c r="J354" s="31"/>
      <c r="K354" s="31"/>
      <c r="L354" s="31"/>
      <c r="M354" s="31"/>
      <c r="N354" s="31"/>
      <c r="O354" s="31"/>
      <c r="P354" s="31"/>
      <c r="Q354" s="203"/>
      <c r="R354" s="203"/>
      <c r="S354" s="203"/>
      <c r="T354" s="203"/>
    </row>
    <row r="355" ht="15.75" customHeight="1">
      <c r="A355" s="202"/>
      <c r="B355" s="202"/>
      <c r="C355" s="202"/>
      <c r="D355" s="31"/>
      <c r="E355" s="31"/>
      <c r="F355" s="144"/>
      <c r="G355" s="31"/>
      <c r="H355" s="31"/>
      <c r="I355" s="31"/>
      <c r="J355" s="31"/>
      <c r="K355" s="31"/>
      <c r="L355" s="31"/>
      <c r="M355" s="31"/>
      <c r="N355" s="31"/>
      <c r="O355" s="31"/>
      <c r="P355" s="31"/>
      <c r="Q355" s="203"/>
      <c r="R355" s="203"/>
      <c r="S355" s="203"/>
      <c r="T355" s="203"/>
    </row>
    <row r="356" ht="15.75" customHeight="1">
      <c r="A356" s="202"/>
      <c r="B356" s="202"/>
      <c r="C356" s="202"/>
      <c r="D356" s="31"/>
      <c r="E356" s="31"/>
      <c r="F356" s="144"/>
      <c r="G356" s="31"/>
      <c r="H356" s="31"/>
      <c r="I356" s="31"/>
      <c r="J356" s="31"/>
      <c r="K356" s="31"/>
      <c r="L356" s="31"/>
      <c r="M356" s="31"/>
      <c r="N356" s="31"/>
      <c r="O356" s="31"/>
      <c r="P356" s="31"/>
      <c r="Q356" s="203"/>
      <c r="R356" s="203"/>
      <c r="S356" s="203"/>
      <c r="T356" s="203"/>
    </row>
    <row r="357" ht="15.75" customHeight="1">
      <c r="A357" s="202"/>
      <c r="B357" s="202"/>
      <c r="C357" s="202"/>
      <c r="D357" s="31"/>
      <c r="E357" s="31"/>
      <c r="F357" s="144"/>
      <c r="G357" s="31"/>
      <c r="H357" s="31"/>
      <c r="I357" s="31"/>
      <c r="J357" s="31"/>
      <c r="K357" s="31"/>
      <c r="L357" s="31"/>
      <c r="M357" s="31"/>
      <c r="N357" s="31"/>
      <c r="O357" s="31"/>
      <c r="P357" s="31"/>
      <c r="Q357" s="203"/>
      <c r="R357" s="203"/>
      <c r="S357" s="203"/>
      <c r="T357" s="203"/>
    </row>
    <row r="358" ht="15.75" customHeight="1">
      <c r="A358" s="202"/>
      <c r="B358" s="202"/>
      <c r="C358" s="202"/>
      <c r="D358" s="31"/>
      <c r="E358" s="31"/>
      <c r="F358" s="144"/>
      <c r="G358" s="31"/>
      <c r="H358" s="31"/>
      <c r="I358" s="31"/>
      <c r="J358" s="31"/>
      <c r="K358" s="31"/>
      <c r="L358" s="31"/>
      <c r="M358" s="31"/>
      <c r="N358" s="31"/>
      <c r="O358" s="31"/>
      <c r="P358" s="31"/>
      <c r="Q358" s="203"/>
      <c r="R358" s="203"/>
      <c r="S358" s="203"/>
      <c r="T358" s="203"/>
    </row>
    <row r="359" ht="15.75" customHeight="1">
      <c r="A359" s="202"/>
      <c r="B359" s="202"/>
      <c r="C359" s="202"/>
      <c r="D359" s="31"/>
      <c r="E359" s="31"/>
      <c r="F359" s="144"/>
      <c r="G359" s="31"/>
      <c r="H359" s="31"/>
      <c r="I359" s="31"/>
      <c r="J359" s="31"/>
      <c r="K359" s="31"/>
      <c r="L359" s="31"/>
      <c r="M359" s="31"/>
      <c r="N359" s="31"/>
      <c r="O359" s="31"/>
      <c r="P359" s="31"/>
      <c r="Q359" s="203"/>
      <c r="R359" s="203"/>
      <c r="S359" s="203"/>
      <c r="T359" s="203"/>
    </row>
    <row r="360" ht="15.75" customHeight="1">
      <c r="A360" s="202"/>
      <c r="B360" s="202"/>
      <c r="C360" s="202"/>
      <c r="D360" s="31"/>
      <c r="E360" s="31"/>
      <c r="F360" s="144"/>
      <c r="G360" s="31"/>
      <c r="H360" s="31"/>
      <c r="I360" s="31"/>
      <c r="J360" s="31"/>
      <c r="K360" s="31"/>
      <c r="L360" s="31"/>
      <c r="M360" s="31"/>
      <c r="N360" s="31"/>
      <c r="O360" s="31"/>
      <c r="P360" s="31"/>
      <c r="Q360" s="203"/>
      <c r="R360" s="203"/>
      <c r="S360" s="203"/>
      <c r="T360" s="203"/>
    </row>
    <row r="361" ht="15.75" customHeight="1">
      <c r="A361" s="202"/>
      <c r="B361" s="202"/>
      <c r="C361" s="202"/>
      <c r="D361" s="31"/>
      <c r="E361" s="31"/>
      <c r="F361" s="144"/>
      <c r="G361" s="31"/>
      <c r="H361" s="31"/>
      <c r="I361" s="31"/>
      <c r="J361" s="31"/>
      <c r="K361" s="31"/>
      <c r="L361" s="31"/>
      <c r="M361" s="31"/>
      <c r="N361" s="31"/>
      <c r="O361" s="31"/>
      <c r="P361" s="31"/>
      <c r="Q361" s="203"/>
      <c r="R361" s="203"/>
      <c r="S361" s="203"/>
      <c r="T361" s="203"/>
    </row>
    <row r="362" ht="15.75" customHeight="1">
      <c r="A362" s="202"/>
      <c r="B362" s="202"/>
      <c r="C362" s="202"/>
      <c r="D362" s="31"/>
      <c r="E362" s="31"/>
      <c r="F362" s="144"/>
      <c r="G362" s="31"/>
      <c r="H362" s="31"/>
      <c r="I362" s="31"/>
      <c r="J362" s="31"/>
      <c r="K362" s="31"/>
      <c r="L362" s="31"/>
      <c r="M362" s="31"/>
      <c r="N362" s="31"/>
      <c r="O362" s="31"/>
      <c r="P362" s="31"/>
      <c r="Q362" s="203"/>
      <c r="R362" s="203"/>
      <c r="S362" s="203"/>
      <c r="T362" s="203"/>
    </row>
    <row r="363" ht="15.75" customHeight="1">
      <c r="A363" s="202"/>
      <c r="B363" s="202"/>
      <c r="C363" s="202"/>
      <c r="D363" s="31"/>
      <c r="E363" s="31"/>
      <c r="F363" s="144"/>
      <c r="G363" s="31"/>
      <c r="H363" s="31"/>
      <c r="I363" s="31"/>
      <c r="J363" s="31"/>
      <c r="K363" s="31"/>
      <c r="L363" s="31"/>
      <c r="M363" s="31"/>
      <c r="N363" s="31"/>
      <c r="O363" s="31"/>
      <c r="P363" s="31"/>
      <c r="Q363" s="203"/>
      <c r="R363" s="203"/>
      <c r="S363" s="203"/>
      <c r="T363" s="203"/>
    </row>
    <row r="364" ht="15.75" customHeight="1">
      <c r="A364" s="202"/>
      <c r="B364" s="202"/>
      <c r="C364" s="202"/>
      <c r="D364" s="31"/>
      <c r="E364" s="31"/>
      <c r="F364" s="144"/>
      <c r="G364" s="31"/>
      <c r="H364" s="31"/>
      <c r="I364" s="31"/>
      <c r="J364" s="31"/>
      <c r="K364" s="31"/>
      <c r="L364" s="31"/>
      <c r="M364" s="31"/>
      <c r="N364" s="31"/>
      <c r="O364" s="31"/>
      <c r="P364" s="31"/>
      <c r="Q364" s="203"/>
      <c r="R364" s="203"/>
      <c r="S364" s="203"/>
      <c r="T364" s="203"/>
    </row>
    <row r="365" ht="15.75" customHeight="1">
      <c r="A365" s="202"/>
      <c r="B365" s="202"/>
      <c r="C365" s="202"/>
      <c r="D365" s="31"/>
      <c r="E365" s="31"/>
      <c r="F365" s="144"/>
      <c r="G365" s="31"/>
      <c r="H365" s="31"/>
      <c r="I365" s="31"/>
      <c r="J365" s="31"/>
      <c r="K365" s="31"/>
      <c r="L365" s="31"/>
      <c r="M365" s="31"/>
      <c r="N365" s="31"/>
      <c r="O365" s="31"/>
      <c r="P365" s="31"/>
      <c r="Q365" s="203"/>
      <c r="R365" s="203"/>
      <c r="S365" s="203"/>
      <c r="T365" s="203"/>
    </row>
    <row r="366" ht="15.75" customHeight="1">
      <c r="A366" s="202"/>
      <c r="B366" s="202"/>
      <c r="C366" s="202"/>
      <c r="D366" s="31"/>
      <c r="E366" s="31"/>
      <c r="F366" s="144"/>
      <c r="G366" s="31"/>
      <c r="H366" s="31"/>
      <c r="I366" s="31"/>
      <c r="J366" s="31"/>
      <c r="K366" s="31"/>
      <c r="L366" s="31"/>
      <c r="M366" s="31"/>
      <c r="N366" s="31"/>
      <c r="O366" s="31"/>
      <c r="P366" s="31"/>
      <c r="Q366" s="203"/>
      <c r="R366" s="203"/>
      <c r="S366" s="203"/>
      <c r="T366" s="203"/>
    </row>
    <row r="367" ht="15.75" customHeight="1">
      <c r="A367" s="202"/>
      <c r="B367" s="202"/>
      <c r="C367" s="202"/>
      <c r="D367" s="31"/>
      <c r="E367" s="31"/>
      <c r="F367" s="144"/>
      <c r="G367" s="31"/>
      <c r="H367" s="31"/>
      <c r="I367" s="31"/>
      <c r="J367" s="31"/>
      <c r="K367" s="31"/>
      <c r="L367" s="31"/>
      <c r="M367" s="31"/>
      <c r="N367" s="31"/>
      <c r="O367" s="31"/>
      <c r="P367" s="31"/>
      <c r="Q367" s="203"/>
      <c r="R367" s="203"/>
      <c r="S367" s="203"/>
      <c r="T367" s="203"/>
    </row>
    <row r="368" ht="15.75" customHeight="1">
      <c r="A368" s="202"/>
      <c r="B368" s="202"/>
      <c r="C368" s="202"/>
      <c r="D368" s="31"/>
      <c r="E368" s="31"/>
      <c r="F368" s="144"/>
      <c r="G368" s="31"/>
      <c r="H368" s="31"/>
      <c r="I368" s="31"/>
      <c r="J368" s="31"/>
      <c r="K368" s="31"/>
      <c r="L368" s="31"/>
      <c r="M368" s="31"/>
      <c r="N368" s="31"/>
      <c r="O368" s="31"/>
      <c r="P368" s="31"/>
      <c r="Q368" s="203"/>
      <c r="R368" s="203"/>
      <c r="S368" s="203"/>
      <c r="T368" s="203"/>
    </row>
    <row r="369" ht="15.75" customHeight="1">
      <c r="A369" s="202"/>
      <c r="B369" s="202"/>
      <c r="C369" s="202"/>
      <c r="D369" s="31"/>
      <c r="E369" s="31"/>
      <c r="F369" s="144"/>
      <c r="G369" s="31"/>
      <c r="H369" s="31"/>
      <c r="I369" s="31"/>
      <c r="J369" s="31"/>
      <c r="K369" s="31"/>
      <c r="L369" s="31"/>
      <c r="M369" s="31"/>
      <c r="N369" s="31"/>
      <c r="O369" s="31"/>
      <c r="P369" s="31"/>
      <c r="Q369" s="203"/>
      <c r="R369" s="203"/>
      <c r="S369" s="203"/>
      <c r="T369" s="203"/>
    </row>
    <row r="370" ht="15.75" customHeight="1">
      <c r="A370" s="202"/>
      <c r="B370" s="202"/>
      <c r="C370" s="202"/>
      <c r="D370" s="31"/>
      <c r="E370" s="31"/>
      <c r="F370" s="144"/>
      <c r="G370" s="31"/>
      <c r="H370" s="31"/>
      <c r="I370" s="31"/>
      <c r="J370" s="31"/>
      <c r="K370" s="31"/>
      <c r="L370" s="31"/>
      <c r="M370" s="31"/>
      <c r="N370" s="31"/>
      <c r="O370" s="31"/>
      <c r="P370" s="31"/>
      <c r="Q370" s="203"/>
      <c r="R370" s="203"/>
      <c r="S370" s="203"/>
      <c r="T370" s="203"/>
    </row>
    <row r="371" ht="15.75" customHeight="1">
      <c r="A371" s="202"/>
      <c r="B371" s="202"/>
      <c r="C371" s="202"/>
      <c r="D371" s="31"/>
      <c r="E371" s="31"/>
      <c r="F371" s="144"/>
      <c r="G371" s="31"/>
      <c r="H371" s="31"/>
      <c r="I371" s="31"/>
      <c r="J371" s="31"/>
      <c r="K371" s="31"/>
      <c r="L371" s="31"/>
      <c r="M371" s="31"/>
      <c r="N371" s="31"/>
      <c r="O371" s="31"/>
      <c r="P371" s="31"/>
      <c r="Q371" s="203"/>
      <c r="R371" s="203"/>
      <c r="S371" s="203"/>
      <c r="T371" s="203"/>
    </row>
    <row r="372" ht="15.75" customHeight="1">
      <c r="A372" s="202"/>
      <c r="B372" s="202"/>
      <c r="C372" s="202"/>
      <c r="D372" s="31"/>
      <c r="E372" s="31"/>
      <c r="F372" s="144"/>
      <c r="G372" s="31"/>
      <c r="H372" s="31"/>
      <c r="I372" s="31"/>
      <c r="J372" s="31"/>
      <c r="K372" s="31"/>
      <c r="L372" s="31"/>
      <c r="M372" s="31"/>
      <c r="N372" s="31"/>
      <c r="O372" s="31"/>
      <c r="P372" s="31"/>
      <c r="Q372" s="203"/>
      <c r="R372" s="203"/>
      <c r="S372" s="203"/>
      <c r="T372" s="203"/>
    </row>
    <row r="373" ht="15.75" customHeight="1">
      <c r="A373" s="202"/>
      <c r="B373" s="202"/>
      <c r="C373" s="202"/>
      <c r="D373" s="31"/>
      <c r="E373" s="31"/>
      <c r="F373" s="144"/>
      <c r="G373" s="31"/>
      <c r="H373" s="31"/>
      <c r="I373" s="31"/>
      <c r="J373" s="31"/>
      <c r="K373" s="31"/>
      <c r="L373" s="31"/>
      <c r="M373" s="31"/>
      <c r="N373" s="31"/>
      <c r="O373" s="31"/>
      <c r="P373" s="31"/>
      <c r="Q373" s="203"/>
      <c r="R373" s="203"/>
      <c r="S373" s="203"/>
      <c r="T373" s="203"/>
    </row>
    <row r="374" ht="15.75" customHeight="1">
      <c r="A374" s="202"/>
      <c r="B374" s="202"/>
      <c r="C374" s="202"/>
      <c r="D374" s="31"/>
      <c r="E374" s="31"/>
      <c r="F374" s="144"/>
      <c r="G374" s="31"/>
      <c r="H374" s="31"/>
      <c r="I374" s="31"/>
      <c r="J374" s="31"/>
      <c r="K374" s="31"/>
      <c r="L374" s="31"/>
      <c r="M374" s="31"/>
      <c r="N374" s="31"/>
      <c r="O374" s="31"/>
      <c r="P374" s="31"/>
      <c r="Q374" s="203"/>
      <c r="R374" s="203"/>
      <c r="S374" s="203"/>
      <c r="T374" s="203"/>
    </row>
    <row r="375" ht="15.75" customHeight="1">
      <c r="A375" s="202"/>
      <c r="B375" s="202"/>
      <c r="C375" s="202"/>
      <c r="D375" s="31"/>
      <c r="E375" s="31"/>
      <c r="F375" s="144"/>
      <c r="G375" s="31"/>
      <c r="H375" s="31"/>
      <c r="I375" s="31"/>
      <c r="J375" s="31"/>
      <c r="K375" s="31"/>
      <c r="L375" s="31"/>
      <c r="M375" s="31"/>
      <c r="N375" s="31"/>
      <c r="O375" s="31"/>
      <c r="P375" s="31"/>
      <c r="Q375" s="203"/>
      <c r="R375" s="203"/>
      <c r="S375" s="203"/>
      <c r="T375" s="203"/>
    </row>
    <row r="376" ht="15.75" customHeight="1">
      <c r="A376" s="202"/>
      <c r="B376" s="202"/>
      <c r="C376" s="202"/>
      <c r="D376" s="31"/>
      <c r="E376" s="31"/>
      <c r="F376" s="144"/>
      <c r="G376" s="31"/>
      <c r="H376" s="31"/>
      <c r="I376" s="31"/>
      <c r="J376" s="31"/>
      <c r="K376" s="31"/>
      <c r="L376" s="31"/>
      <c r="M376" s="31"/>
      <c r="N376" s="31"/>
      <c r="O376" s="31"/>
      <c r="P376" s="31"/>
      <c r="Q376" s="203"/>
      <c r="R376" s="203"/>
      <c r="S376" s="203"/>
      <c r="T376" s="203"/>
    </row>
    <row r="377" ht="15.75" customHeight="1">
      <c r="A377" s="202"/>
      <c r="B377" s="202"/>
      <c r="C377" s="202"/>
      <c r="D377" s="31"/>
      <c r="E377" s="31"/>
      <c r="F377" s="144"/>
      <c r="G377" s="31"/>
      <c r="H377" s="31"/>
      <c r="I377" s="31"/>
      <c r="J377" s="31"/>
      <c r="K377" s="31"/>
      <c r="L377" s="31"/>
      <c r="M377" s="31"/>
      <c r="N377" s="31"/>
      <c r="O377" s="31"/>
      <c r="P377" s="31"/>
      <c r="Q377" s="203"/>
      <c r="R377" s="203"/>
      <c r="S377" s="203"/>
      <c r="T377" s="203"/>
    </row>
    <row r="378" ht="15.75" customHeight="1">
      <c r="A378" s="202"/>
      <c r="B378" s="202"/>
      <c r="C378" s="202"/>
      <c r="D378" s="31"/>
      <c r="E378" s="31"/>
      <c r="F378" s="144"/>
      <c r="G378" s="31"/>
      <c r="H378" s="31"/>
      <c r="I378" s="31"/>
      <c r="J378" s="31"/>
      <c r="K378" s="31"/>
      <c r="L378" s="31"/>
      <c r="M378" s="31"/>
      <c r="N378" s="31"/>
      <c r="O378" s="31"/>
      <c r="P378" s="31"/>
      <c r="Q378" s="203"/>
      <c r="R378" s="203"/>
      <c r="S378" s="203"/>
      <c r="T378" s="203"/>
    </row>
    <row r="379" ht="15.75" customHeight="1">
      <c r="A379" s="202"/>
      <c r="B379" s="202"/>
      <c r="C379" s="202"/>
      <c r="D379" s="31"/>
      <c r="E379" s="31"/>
      <c r="F379" s="144"/>
      <c r="G379" s="31"/>
      <c r="H379" s="31"/>
      <c r="I379" s="31"/>
      <c r="J379" s="31"/>
      <c r="K379" s="31"/>
      <c r="L379" s="31"/>
      <c r="M379" s="31"/>
      <c r="N379" s="31"/>
      <c r="O379" s="31"/>
      <c r="P379" s="31"/>
      <c r="Q379" s="203"/>
      <c r="R379" s="203"/>
      <c r="S379" s="203"/>
      <c r="T379" s="203"/>
    </row>
    <row r="380" ht="15.75" customHeight="1">
      <c r="A380" s="202"/>
      <c r="B380" s="202"/>
      <c r="C380" s="202"/>
      <c r="D380" s="31"/>
      <c r="E380" s="31"/>
      <c r="F380" s="144"/>
      <c r="G380" s="31"/>
      <c r="H380" s="31"/>
      <c r="I380" s="31"/>
      <c r="J380" s="31"/>
      <c r="K380" s="31"/>
      <c r="L380" s="31"/>
      <c r="M380" s="31"/>
      <c r="N380" s="31"/>
      <c r="O380" s="31"/>
      <c r="P380" s="31"/>
      <c r="Q380" s="203"/>
      <c r="R380" s="203"/>
      <c r="S380" s="203"/>
      <c r="T380" s="203"/>
    </row>
    <row r="381" ht="15.75" customHeight="1">
      <c r="A381" s="202"/>
      <c r="B381" s="202"/>
      <c r="C381" s="202"/>
      <c r="D381" s="31"/>
      <c r="E381" s="31"/>
      <c r="F381" s="144"/>
      <c r="G381" s="31"/>
      <c r="H381" s="31"/>
      <c r="I381" s="31"/>
      <c r="J381" s="31"/>
      <c r="K381" s="31"/>
      <c r="L381" s="31"/>
      <c r="M381" s="31"/>
      <c r="N381" s="31"/>
      <c r="O381" s="31"/>
      <c r="P381" s="31"/>
      <c r="Q381" s="203"/>
      <c r="R381" s="203"/>
      <c r="S381" s="203"/>
      <c r="T381" s="203"/>
    </row>
    <row r="382" ht="15.75" customHeight="1">
      <c r="A382" s="202"/>
      <c r="B382" s="202"/>
      <c r="C382" s="202"/>
      <c r="D382" s="31"/>
      <c r="E382" s="31"/>
      <c r="F382" s="144"/>
      <c r="G382" s="31"/>
      <c r="H382" s="31"/>
      <c r="I382" s="31"/>
      <c r="J382" s="31"/>
      <c r="K382" s="31"/>
      <c r="L382" s="31"/>
      <c r="M382" s="31"/>
      <c r="N382" s="31"/>
      <c r="O382" s="31"/>
      <c r="P382" s="31"/>
      <c r="Q382" s="203"/>
      <c r="R382" s="203"/>
      <c r="S382" s="203"/>
      <c r="T382" s="203"/>
    </row>
    <row r="383" ht="15.75" customHeight="1">
      <c r="A383" s="202"/>
      <c r="B383" s="202"/>
      <c r="C383" s="202"/>
      <c r="D383" s="31"/>
      <c r="E383" s="31"/>
      <c r="F383" s="144"/>
      <c r="G383" s="31"/>
      <c r="H383" s="31"/>
      <c r="I383" s="31"/>
      <c r="J383" s="31"/>
      <c r="K383" s="31"/>
      <c r="L383" s="31"/>
      <c r="M383" s="31"/>
      <c r="N383" s="31"/>
      <c r="O383" s="31"/>
      <c r="P383" s="31"/>
      <c r="Q383" s="203"/>
      <c r="R383" s="203"/>
      <c r="S383" s="203"/>
      <c r="T383" s="203"/>
    </row>
    <row r="384" ht="15.75" customHeight="1">
      <c r="A384" s="202"/>
      <c r="B384" s="202"/>
      <c r="C384" s="202"/>
      <c r="D384" s="31"/>
      <c r="E384" s="31"/>
      <c r="F384" s="144"/>
      <c r="G384" s="31"/>
      <c r="H384" s="31"/>
      <c r="I384" s="31"/>
      <c r="J384" s="31"/>
      <c r="K384" s="31"/>
      <c r="L384" s="31"/>
      <c r="M384" s="31"/>
      <c r="N384" s="31"/>
      <c r="O384" s="31"/>
      <c r="P384" s="31"/>
      <c r="Q384" s="203"/>
      <c r="R384" s="203"/>
      <c r="S384" s="203"/>
      <c r="T384" s="203"/>
    </row>
    <row r="385" ht="15.75" customHeight="1">
      <c r="A385" s="202"/>
      <c r="B385" s="202"/>
      <c r="C385" s="202"/>
      <c r="D385" s="31"/>
      <c r="E385" s="31"/>
      <c r="F385" s="144"/>
      <c r="G385" s="31"/>
      <c r="H385" s="31"/>
      <c r="I385" s="31"/>
      <c r="J385" s="31"/>
      <c r="K385" s="31"/>
      <c r="L385" s="31"/>
      <c r="M385" s="31"/>
      <c r="N385" s="31"/>
      <c r="O385" s="31"/>
      <c r="P385" s="31"/>
      <c r="Q385" s="203"/>
      <c r="R385" s="203"/>
      <c r="S385" s="203"/>
      <c r="T385" s="203"/>
    </row>
    <row r="386" ht="15.75" customHeight="1">
      <c r="A386" s="202"/>
      <c r="B386" s="202"/>
      <c r="C386" s="202"/>
      <c r="D386" s="31"/>
      <c r="E386" s="31"/>
      <c r="F386" s="144"/>
      <c r="G386" s="31"/>
      <c r="H386" s="31"/>
      <c r="I386" s="31"/>
      <c r="J386" s="31"/>
      <c r="K386" s="31"/>
      <c r="L386" s="31"/>
      <c r="M386" s="31"/>
      <c r="N386" s="31"/>
      <c r="O386" s="31"/>
      <c r="P386" s="31"/>
      <c r="Q386" s="203"/>
      <c r="R386" s="203"/>
      <c r="S386" s="203"/>
      <c r="T386" s="203"/>
    </row>
    <row r="387" ht="15.75" customHeight="1">
      <c r="A387" s="202"/>
      <c r="B387" s="202"/>
      <c r="C387" s="202"/>
      <c r="D387" s="31"/>
      <c r="E387" s="31"/>
      <c r="F387" s="144"/>
      <c r="G387" s="31"/>
      <c r="H387" s="31"/>
      <c r="I387" s="31"/>
      <c r="J387" s="31"/>
      <c r="K387" s="31"/>
      <c r="L387" s="31"/>
      <c r="M387" s="31"/>
      <c r="N387" s="31"/>
      <c r="O387" s="31"/>
      <c r="P387" s="31"/>
      <c r="Q387" s="203"/>
      <c r="R387" s="203"/>
      <c r="S387" s="203"/>
      <c r="T387" s="203"/>
    </row>
    <row r="388" ht="15.75" customHeight="1">
      <c r="A388" s="202"/>
      <c r="B388" s="202"/>
      <c r="C388" s="202"/>
      <c r="D388" s="31"/>
      <c r="E388" s="31"/>
      <c r="F388" s="144"/>
      <c r="G388" s="31"/>
      <c r="H388" s="31"/>
      <c r="I388" s="31"/>
      <c r="J388" s="31"/>
      <c r="K388" s="31"/>
      <c r="L388" s="31"/>
      <c r="M388" s="31"/>
      <c r="N388" s="31"/>
      <c r="O388" s="31"/>
      <c r="P388" s="31"/>
      <c r="Q388" s="203"/>
      <c r="R388" s="203"/>
      <c r="S388" s="203"/>
      <c r="T388" s="203"/>
    </row>
    <row r="389" ht="15.75" customHeight="1">
      <c r="A389" s="202"/>
      <c r="B389" s="202"/>
      <c r="C389" s="202"/>
      <c r="D389" s="31"/>
      <c r="E389" s="31"/>
      <c r="F389" s="144"/>
      <c r="G389" s="31"/>
      <c r="H389" s="31"/>
      <c r="I389" s="31"/>
      <c r="J389" s="31"/>
      <c r="K389" s="31"/>
      <c r="L389" s="31"/>
      <c r="M389" s="31"/>
      <c r="N389" s="31"/>
      <c r="O389" s="31"/>
      <c r="P389" s="31"/>
      <c r="Q389" s="203"/>
      <c r="R389" s="203"/>
      <c r="S389" s="203"/>
      <c r="T389" s="203"/>
    </row>
    <row r="390" ht="15.75" customHeight="1">
      <c r="A390" s="202"/>
      <c r="B390" s="202"/>
      <c r="C390" s="202"/>
      <c r="D390" s="31"/>
      <c r="E390" s="31"/>
      <c r="F390" s="144"/>
      <c r="G390" s="31"/>
      <c r="H390" s="31"/>
      <c r="I390" s="31"/>
      <c r="J390" s="31"/>
      <c r="K390" s="31"/>
      <c r="L390" s="31"/>
      <c r="M390" s="31"/>
      <c r="N390" s="31"/>
      <c r="O390" s="31"/>
      <c r="P390" s="31"/>
      <c r="Q390" s="203"/>
      <c r="R390" s="203"/>
      <c r="S390" s="203"/>
      <c r="T390" s="203"/>
    </row>
    <row r="391" ht="15.75" customHeight="1">
      <c r="A391" s="202"/>
      <c r="B391" s="202"/>
      <c r="C391" s="202"/>
      <c r="D391" s="31"/>
      <c r="E391" s="31"/>
      <c r="F391" s="144"/>
      <c r="G391" s="31"/>
      <c r="H391" s="31"/>
      <c r="I391" s="31"/>
      <c r="J391" s="31"/>
      <c r="K391" s="31"/>
      <c r="L391" s="31"/>
      <c r="M391" s="31"/>
      <c r="N391" s="31"/>
      <c r="O391" s="31"/>
      <c r="P391" s="31"/>
      <c r="Q391" s="203"/>
      <c r="R391" s="203"/>
      <c r="S391" s="203"/>
      <c r="T391" s="203"/>
    </row>
    <row r="392" ht="15.75" customHeight="1">
      <c r="A392" s="202"/>
      <c r="B392" s="202"/>
      <c r="C392" s="202"/>
      <c r="D392" s="31"/>
      <c r="E392" s="31"/>
      <c r="F392" s="144"/>
      <c r="G392" s="31"/>
      <c r="H392" s="31"/>
      <c r="I392" s="31"/>
      <c r="J392" s="31"/>
      <c r="K392" s="31"/>
      <c r="L392" s="31"/>
      <c r="M392" s="31"/>
      <c r="N392" s="31"/>
      <c r="O392" s="31"/>
      <c r="P392" s="31"/>
      <c r="Q392" s="203"/>
      <c r="R392" s="203"/>
      <c r="S392" s="203"/>
      <c r="T392" s="203"/>
    </row>
    <row r="393" ht="15.75" customHeight="1">
      <c r="A393" s="202"/>
      <c r="B393" s="202"/>
      <c r="C393" s="202"/>
      <c r="D393" s="31"/>
      <c r="E393" s="31"/>
      <c r="F393" s="144"/>
      <c r="G393" s="31"/>
      <c r="H393" s="31"/>
      <c r="I393" s="31"/>
      <c r="J393" s="31"/>
      <c r="K393" s="31"/>
      <c r="L393" s="31"/>
      <c r="M393" s="31"/>
      <c r="N393" s="31"/>
      <c r="O393" s="31"/>
      <c r="P393" s="31"/>
      <c r="Q393" s="203"/>
      <c r="R393" s="203"/>
      <c r="S393" s="203"/>
      <c r="T393" s="203"/>
    </row>
    <row r="394" ht="15.75" customHeight="1">
      <c r="A394" s="202"/>
      <c r="B394" s="202"/>
      <c r="C394" s="202"/>
      <c r="D394" s="31"/>
      <c r="E394" s="31"/>
      <c r="F394" s="144"/>
      <c r="G394" s="31"/>
      <c r="H394" s="31"/>
      <c r="I394" s="31"/>
      <c r="J394" s="31"/>
      <c r="K394" s="31"/>
      <c r="L394" s="31"/>
      <c r="M394" s="31"/>
      <c r="N394" s="31"/>
      <c r="O394" s="31"/>
      <c r="P394" s="31"/>
      <c r="Q394" s="203"/>
      <c r="R394" s="203"/>
      <c r="S394" s="203"/>
      <c r="T394" s="203"/>
    </row>
    <row r="395" ht="15.75" customHeight="1">
      <c r="A395" s="202"/>
      <c r="B395" s="202"/>
      <c r="C395" s="202"/>
      <c r="D395" s="31"/>
      <c r="E395" s="31"/>
      <c r="F395" s="144"/>
      <c r="G395" s="31"/>
      <c r="H395" s="31"/>
      <c r="I395" s="31"/>
      <c r="J395" s="31"/>
      <c r="K395" s="31"/>
      <c r="L395" s="31"/>
      <c r="M395" s="31"/>
      <c r="N395" s="31"/>
      <c r="O395" s="31"/>
      <c r="P395" s="31"/>
      <c r="Q395" s="203"/>
      <c r="R395" s="203"/>
      <c r="S395" s="203"/>
      <c r="T395" s="203"/>
    </row>
    <row r="396" ht="15.75" customHeight="1">
      <c r="A396" s="202"/>
      <c r="B396" s="202"/>
      <c r="C396" s="202"/>
      <c r="D396" s="31"/>
      <c r="E396" s="31"/>
      <c r="F396" s="144"/>
      <c r="G396" s="31"/>
      <c r="H396" s="31"/>
      <c r="I396" s="31"/>
      <c r="J396" s="31"/>
      <c r="K396" s="31"/>
      <c r="L396" s="31"/>
      <c r="M396" s="31"/>
      <c r="N396" s="31"/>
      <c r="O396" s="31"/>
      <c r="P396" s="31"/>
      <c r="Q396" s="203"/>
      <c r="R396" s="203"/>
      <c r="S396" s="203"/>
      <c r="T396" s="203"/>
    </row>
    <row r="397" ht="15.75" customHeight="1">
      <c r="A397" s="202"/>
      <c r="B397" s="202"/>
      <c r="C397" s="202"/>
      <c r="D397" s="31"/>
      <c r="E397" s="31"/>
      <c r="F397" s="144"/>
      <c r="G397" s="31"/>
      <c r="H397" s="31"/>
      <c r="I397" s="31"/>
      <c r="J397" s="31"/>
      <c r="K397" s="31"/>
      <c r="L397" s="31"/>
      <c r="M397" s="31"/>
      <c r="N397" s="31"/>
      <c r="O397" s="31"/>
      <c r="P397" s="31"/>
      <c r="Q397" s="203"/>
      <c r="R397" s="203"/>
      <c r="S397" s="203"/>
      <c r="T397" s="203"/>
    </row>
    <row r="398" ht="15.75" customHeight="1">
      <c r="A398" s="202"/>
      <c r="B398" s="202"/>
      <c r="C398" s="202"/>
      <c r="D398" s="31"/>
      <c r="E398" s="31"/>
      <c r="F398" s="144"/>
      <c r="G398" s="31"/>
      <c r="H398" s="31"/>
      <c r="I398" s="31"/>
      <c r="J398" s="31"/>
      <c r="K398" s="31"/>
      <c r="L398" s="31"/>
      <c r="M398" s="31"/>
      <c r="N398" s="31"/>
      <c r="O398" s="31"/>
      <c r="P398" s="31"/>
      <c r="Q398" s="203"/>
      <c r="R398" s="203"/>
      <c r="S398" s="203"/>
      <c r="T398" s="203"/>
    </row>
    <row r="399" ht="15.75" customHeight="1">
      <c r="A399" s="202"/>
      <c r="B399" s="202"/>
      <c r="C399" s="202"/>
      <c r="D399" s="31"/>
      <c r="E399" s="31"/>
      <c r="F399" s="144"/>
      <c r="G399" s="31"/>
      <c r="H399" s="31"/>
      <c r="I399" s="31"/>
      <c r="J399" s="31"/>
      <c r="K399" s="31"/>
      <c r="L399" s="31"/>
      <c r="M399" s="31"/>
      <c r="N399" s="31"/>
      <c r="O399" s="31"/>
      <c r="P399" s="31"/>
      <c r="Q399" s="203"/>
      <c r="R399" s="203"/>
      <c r="S399" s="203"/>
      <c r="T399" s="203"/>
    </row>
    <row r="400" ht="15.75" customHeight="1">
      <c r="A400" s="202"/>
      <c r="B400" s="202"/>
      <c r="C400" s="202"/>
      <c r="D400" s="31"/>
      <c r="E400" s="31"/>
      <c r="F400" s="144"/>
      <c r="G400" s="31"/>
      <c r="H400" s="31"/>
      <c r="I400" s="31"/>
      <c r="J400" s="31"/>
      <c r="K400" s="31"/>
      <c r="L400" s="31"/>
      <c r="M400" s="31"/>
      <c r="N400" s="31"/>
      <c r="O400" s="31"/>
      <c r="P400" s="31"/>
      <c r="Q400" s="203"/>
      <c r="R400" s="203"/>
      <c r="S400" s="203"/>
      <c r="T400" s="203"/>
    </row>
    <row r="401" ht="15.75" customHeight="1">
      <c r="A401" s="202"/>
      <c r="B401" s="202"/>
      <c r="C401" s="202"/>
      <c r="D401" s="31"/>
      <c r="E401" s="31"/>
      <c r="F401" s="144"/>
      <c r="G401" s="31"/>
      <c r="H401" s="31"/>
      <c r="I401" s="31"/>
      <c r="J401" s="31"/>
      <c r="K401" s="31"/>
      <c r="L401" s="31"/>
      <c r="M401" s="31"/>
      <c r="N401" s="31"/>
      <c r="O401" s="31"/>
      <c r="P401" s="31"/>
      <c r="Q401" s="203"/>
      <c r="R401" s="203"/>
      <c r="S401" s="203"/>
      <c r="T401" s="203"/>
    </row>
    <row r="402" ht="15.75" customHeight="1">
      <c r="A402" s="202"/>
      <c r="B402" s="202"/>
      <c r="C402" s="202"/>
      <c r="D402" s="31"/>
      <c r="E402" s="31"/>
      <c r="F402" s="144"/>
      <c r="G402" s="31"/>
      <c r="H402" s="31"/>
      <c r="I402" s="31"/>
      <c r="J402" s="31"/>
      <c r="K402" s="31"/>
      <c r="L402" s="31"/>
      <c r="M402" s="31"/>
      <c r="N402" s="31"/>
      <c r="O402" s="31"/>
      <c r="P402" s="31"/>
      <c r="Q402" s="203"/>
      <c r="R402" s="203"/>
      <c r="S402" s="203"/>
      <c r="T402" s="203"/>
    </row>
    <row r="403" ht="15.75" customHeight="1">
      <c r="A403" s="202"/>
      <c r="B403" s="202"/>
      <c r="C403" s="202"/>
      <c r="D403" s="31"/>
      <c r="E403" s="31"/>
      <c r="F403" s="144"/>
      <c r="G403" s="31"/>
      <c r="H403" s="31"/>
      <c r="I403" s="31"/>
      <c r="J403" s="31"/>
      <c r="K403" s="31"/>
      <c r="L403" s="31"/>
      <c r="M403" s="31"/>
      <c r="N403" s="31"/>
      <c r="O403" s="31"/>
      <c r="P403" s="31"/>
      <c r="Q403" s="203"/>
      <c r="R403" s="203"/>
      <c r="S403" s="203"/>
      <c r="T403" s="203"/>
    </row>
    <row r="404" ht="15.75" customHeight="1">
      <c r="A404" s="202"/>
      <c r="B404" s="202"/>
      <c r="C404" s="202"/>
      <c r="D404" s="31"/>
      <c r="E404" s="31"/>
      <c r="F404" s="144"/>
      <c r="G404" s="31"/>
      <c r="H404" s="31"/>
      <c r="I404" s="31"/>
      <c r="J404" s="31"/>
      <c r="K404" s="31"/>
      <c r="L404" s="31"/>
      <c r="M404" s="31"/>
      <c r="N404" s="31"/>
      <c r="O404" s="31"/>
      <c r="P404" s="31"/>
      <c r="Q404" s="203"/>
      <c r="R404" s="203"/>
      <c r="S404" s="203"/>
      <c r="T404" s="203"/>
    </row>
    <row r="405" ht="15.75" customHeight="1">
      <c r="A405" s="202"/>
      <c r="B405" s="202"/>
      <c r="C405" s="202"/>
      <c r="D405" s="31"/>
      <c r="E405" s="31"/>
      <c r="F405" s="144"/>
      <c r="G405" s="31"/>
      <c r="H405" s="31"/>
      <c r="I405" s="31"/>
      <c r="J405" s="31"/>
      <c r="K405" s="31"/>
      <c r="L405" s="31"/>
      <c r="M405" s="31"/>
      <c r="N405" s="31"/>
      <c r="O405" s="31"/>
      <c r="P405" s="31"/>
      <c r="Q405" s="203"/>
      <c r="R405" s="203"/>
      <c r="S405" s="203"/>
      <c r="T405" s="203"/>
    </row>
    <row r="406" ht="15.75" customHeight="1">
      <c r="A406" s="202"/>
      <c r="B406" s="202"/>
      <c r="C406" s="202"/>
      <c r="D406" s="31"/>
      <c r="E406" s="31"/>
      <c r="F406" s="144"/>
      <c r="G406" s="31"/>
      <c r="H406" s="31"/>
      <c r="I406" s="31"/>
      <c r="J406" s="31"/>
      <c r="K406" s="31"/>
      <c r="L406" s="31"/>
      <c r="M406" s="31"/>
      <c r="N406" s="31"/>
      <c r="O406" s="31"/>
      <c r="P406" s="31"/>
      <c r="Q406" s="203"/>
      <c r="R406" s="203"/>
      <c r="S406" s="203"/>
      <c r="T406" s="203"/>
    </row>
    <row r="407" ht="15.75" customHeight="1">
      <c r="A407" s="202"/>
      <c r="B407" s="202"/>
      <c r="C407" s="202"/>
      <c r="D407" s="31"/>
      <c r="E407" s="31"/>
      <c r="F407" s="144"/>
      <c r="G407" s="31"/>
      <c r="H407" s="31"/>
      <c r="I407" s="31"/>
      <c r="J407" s="31"/>
      <c r="K407" s="31"/>
      <c r="L407" s="31"/>
      <c r="M407" s="31"/>
      <c r="N407" s="31"/>
      <c r="O407" s="31"/>
      <c r="P407" s="31"/>
      <c r="Q407" s="203"/>
      <c r="R407" s="203"/>
      <c r="S407" s="203"/>
      <c r="T407" s="203"/>
    </row>
    <row r="408" ht="15.75" customHeight="1">
      <c r="A408" s="202"/>
      <c r="B408" s="202"/>
      <c r="C408" s="202"/>
      <c r="D408" s="31"/>
      <c r="E408" s="31"/>
      <c r="F408" s="144"/>
      <c r="G408" s="31"/>
      <c r="H408" s="31"/>
      <c r="I408" s="31"/>
      <c r="J408" s="31"/>
      <c r="K408" s="31"/>
      <c r="L408" s="31"/>
      <c r="M408" s="31"/>
      <c r="N408" s="31"/>
      <c r="O408" s="31"/>
      <c r="P408" s="31"/>
      <c r="Q408" s="203"/>
      <c r="R408" s="203"/>
      <c r="S408" s="203"/>
      <c r="T408" s="203"/>
    </row>
    <row r="409" ht="15.75" customHeight="1">
      <c r="A409" s="202"/>
      <c r="B409" s="202"/>
      <c r="C409" s="202"/>
      <c r="D409" s="31"/>
      <c r="E409" s="31"/>
      <c r="F409" s="144"/>
      <c r="G409" s="31"/>
      <c r="H409" s="31"/>
      <c r="I409" s="31"/>
      <c r="J409" s="31"/>
      <c r="K409" s="31"/>
      <c r="L409" s="31"/>
      <c r="M409" s="31"/>
      <c r="N409" s="31"/>
      <c r="O409" s="31"/>
      <c r="P409" s="31"/>
      <c r="Q409" s="203"/>
      <c r="R409" s="203"/>
      <c r="S409" s="203"/>
      <c r="T409" s="203"/>
    </row>
    <row r="410" ht="15.75" customHeight="1">
      <c r="A410" s="202"/>
      <c r="B410" s="202"/>
      <c r="C410" s="202"/>
      <c r="D410" s="31"/>
      <c r="E410" s="31"/>
      <c r="F410" s="144"/>
      <c r="G410" s="31"/>
      <c r="H410" s="31"/>
      <c r="I410" s="31"/>
      <c r="J410" s="31"/>
      <c r="K410" s="31"/>
      <c r="L410" s="31"/>
      <c r="M410" s="31"/>
      <c r="N410" s="31"/>
      <c r="O410" s="31"/>
      <c r="P410" s="31"/>
      <c r="Q410" s="203"/>
      <c r="R410" s="203"/>
      <c r="S410" s="203"/>
      <c r="T410" s="203"/>
    </row>
    <row r="411" ht="15.75" customHeight="1">
      <c r="A411" s="202"/>
      <c r="B411" s="202"/>
      <c r="C411" s="202"/>
      <c r="D411" s="31"/>
      <c r="E411" s="31"/>
      <c r="F411" s="144"/>
      <c r="G411" s="31"/>
      <c r="H411" s="31"/>
      <c r="I411" s="31"/>
      <c r="J411" s="31"/>
      <c r="K411" s="31"/>
      <c r="L411" s="31"/>
      <c r="M411" s="31"/>
      <c r="N411" s="31"/>
      <c r="O411" s="31"/>
      <c r="P411" s="31"/>
      <c r="Q411" s="203"/>
      <c r="R411" s="203"/>
      <c r="S411" s="203"/>
      <c r="T411" s="203"/>
    </row>
    <row r="412" ht="15.75" customHeight="1">
      <c r="A412" s="202"/>
      <c r="B412" s="202"/>
      <c r="C412" s="202"/>
      <c r="D412" s="31"/>
      <c r="E412" s="31"/>
      <c r="F412" s="144"/>
      <c r="G412" s="31"/>
      <c r="H412" s="31"/>
      <c r="I412" s="31"/>
      <c r="J412" s="31"/>
      <c r="K412" s="31"/>
      <c r="L412" s="31"/>
      <c r="M412" s="31"/>
      <c r="N412" s="31"/>
      <c r="O412" s="31"/>
      <c r="P412" s="31"/>
      <c r="Q412" s="203"/>
      <c r="R412" s="203"/>
      <c r="S412" s="203"/>
      <c r="T412" s="203"/>
    </row>
    <row r="413" ht="15.75" customHeight="1">
      <c r="A413" s="202"/>
      <c r="B413" s="202"/>
      <c r="C413" s="202"/>
      <c r="D413" s="31"/>
      <c r="E413" s="31"/>
      <c r="F413" s="144"/>
      <c r="G413" s="31"/>
      <c r="H413" s="31"/>
      <c r="I413" s="31"/>
      <c r="J413" s="31"/>
      <c r="K413" s="31"/>
      <c r="L413" s="31"/>
      <c r="M413" s="31"/>
      <c r="N413" s="31"/>
      <c r="O413" s="31"/>
      <c r="P413" s="31"/>
      <c r="Q413" s="203"/>
      <c r="R413" s="203"/>
      <c r="S413" s="203"/>
      <c r="T413" s="203"/>
    </row>
    <row r="414" ht="15.75" customHeight="1">
      <c r="A414" s="202"/>
      <c r="B414" s="202"/>
      <c r="C414" s="202"/>
      <c r="D414" s="31"/>
      <c r="E414" s="31"/>
      <c r="F414" s="144"/>
      <c r="G414" s="31"/>
      <c r="H414" s="31"/>
      <c r="I414" s="31"/>
      <c r="J414" s="31"/>
      <c r="K414" s="31"/>
      <c r="L414" s="31"/>
      <c r="M414" s="31"/>
      <c r="N414" s="31"/>
      <c r="O414" s="31"/>
      <c r="P414" s="31"/>
      <c r="Q414" s="203"/>
      <c r="R414" s="203"/>
      <c r="S414" s="203"/>
      <c r="T414" s="203"/>
    </row>
    <row r="415" ht="15.75" customHeight="1">
      <c r="A415" s="202"/>
      <c r="B415" s="202"/>
      <c r="C415" s="202"/>
      <c r="D415" s="31"/>
      <c r="E415" s="31"/>
      <c r="F415" s="144"/>
      <c r="G415" s="31"/>
      <c r="H415" s="31"/>
      <c r="I415" s="31"/>
      <c r="J415" s="31"/>
      <c r="K415" s="31"/>
      <c r="L415" s="31"/>
      <c r="M415" s="31"/>
      <c r="N415" s="31"/>
      <c r="O415" s="31"/>
      <c r="P415" s="31"/>
      <c r="Q415" s="203"/>
      <c r="R415" s="203"/>
      <c r="S415" s="203"/>
      <c r="T415" s="203"/>
    </row>
    <row r="416" ht="15.75" customHeight="1">
      <c r="A416" s="202"/>
      <c r="B416" s="202"/>
      <c r="C416" s="202"/>
      <c r="D416" s="31"/>
      <c r="E416" s="31"/>
      <c r="F416" s="144"/>
      <c r="G416" s="31"/>
      <c r="H416" s="31"/>
      <c r="I416" s="31"/>
      <c r="J416" s="31"/>
      <c r="K416" s="31"/>
      <c r="L416" s="31"/>
      <c r="M416" s="31"/>
      <c r="N416" s="31"/>
      <c r="O416" s="31"/>
      <c r="P416" s="31"/>
      <c r="Q416" s="203"/>
      <c r="R416" s="203"/>
      <c r="S416" s="203"/>
      <c r="T416" s="203"/>
    </row>
    <row r="417" ht="15.75" customHeight="1">
      <c r="A417" s="202"/>
      <c r="B417" s="202"/>
      <c r="C417" s="202"/>
      <c r="D417" s="31"/>
      <c r="E417" s="31"/>
      <c r="F417" s="144"/>
      <c r="G417" s="31"/>
      <c r="H417" s="31"/>
      <c r="I417" s="31"/>
      <c r="J417" s="31"/>
      <c r="K417" s="31"/>
      <c r="L417" s="31"/>
      <c r="M417" s="31"/>
      <c r="N417" s="31"/>
      <c r="O417" s="31"/>
      <c r="P417" s="31"/>
      <c r="Q417" s="203"/>
      <c r="R417" s="203"/>
      <c r="S417" s="203"/>
      <c r="T417" s="203"/>
    </row>
    <row r="418" ht="15.75" customHeight="1">
      <c r="A418" s="202"/>
      <c r="B418" s="202"/>
      <c r="C418" s="202"/>
      <c r="D418" s="31"/>
      <c r="E418" s="31"/>
      <c r="F418" s="144"/>
      <c r="G418" s="31"/>
      <c r="H418" s="31"/>
      <c r="I418" s="31"/>
      <c r="J418" s="31"/>
      <c r="K418" s="31"/>
      <c r="L418" s="31"/>
      <c r="M418" s="31"/>
      <c r="N418" s="31"/>
      <c r="O418" s="31"/>
      <c r="P418" s="31"/>
      <c r="Q418" s="203"/>
      <c r="R418" s="203"/>
      <c r="S418" s="203"/>
      <c r="T418" s="203"/>
    </row>
    <row r="419" ht="15.75" customHeight="1">
      <c r="A419" s="202"/>
      <c r="B419" s="202"/>
      <c r="C419" s="202"/>
      <c r="D419" s="31"/>
      <c r="E419" s="31"/>
      <c r="F419" s="144"/>
      <c r="G419" s="31"/>
      <c r="H419" s="31"/>
      <c r="I419" s="31"/>
      <c r="J419" s="31"/>
      <c r="K419" s="31"/>
      <c r="L419" s="31"/>
      <c r="M419" s="31"/>
      <c r="N419" s="31"/>
      <c r="O419" s="31"/>
      <c r="P419" s="31"/>
      <c r="Q419" s="203"/>
      <c r="R419" s="203"/>
      <c r="S419" s="203"/>
      <c r="T419" s="203"/>
    </row>
    <row r="420" ht="15.75" customHeight="1">
      <c r="A420" s="202"/>
      <c r="B420" s="202"/>
      <c r="C420" s="202"/>
      <c r="D420" s="31"/>
      <c r="E420" s="31"/>
      <c r="F420" s="144"/>
      <c r="G420" s="31"/>
      <c r="H420" s="31"/>
      <c r="I420" s="31"/>
      <c r="J420" s="31"/>
      <c r="K420" s="31"/>
      <c r="L420" s="31"/>
      <c r="M420" s="31"/>
      <c r="N420" s="31"/>
      <c r="O420" s="31"/>
      <c r="P420" s="31"/>
      <c r="Q420" s="203"/>
      <c r="R420" s="203"/>
      <c r="S420" s="203"/>
      <c r="T420" s="203"/>
    </row>
    <row r="421" ht="15.75" customHeight="1">
      <c r="A421" s="202"/>
      <c r="B421" s="202"/>
      <c r="C421" s="202"/>
      <c r="D421" s="31"/>
      <c r="E421" s="31"/>
      <c r="F421" s="144"/>
      <c r="G421" s="31"/>
      <c r="H421" s="31"/>
      <c r="I421" s="31"/>
      <c r="J421" s="31"/>
      <c r="K421" s="31"/>
      <c r="L421" s="31"/>
      <c r="M421" s="31"/>
      <c r="N421" s="31"/>
      <c r="O421" s="31"/>
      <c r="P421" s="31"/>
      <c r="Q421" s="203"/>
      <c r="R421" s="203"/>
      <c r="S421" s="203"/>
      <c r="T421" s="203"/>
    </row>
    <row r="422" ht="15.75" customHeight="1">
      <c r="A422" s="202"/>
      <c r="B422" s="202"/>
      <c r="C422" s="202"/>
      <c r="D422" s="31"/>
      <c r="E422" s="31"/>
      <c r="F422" s="144"/>
      <c r="G422" s="31"/>
      <c r="H422" s="31"/>
      <c r="I422" s="31"/>
      <c r="J422" s="31"/>
      <c r="K422" s="31"/>
      <c r="L422" s="31"/>
      <c r="M422" s="31"/>
      <c r="N422" s="31"/>
      <c r="O422" s="31"/>
      <c r="P422" s="31"/>
      <c r="Q422" s="203"/>
      <c r="R422" s="203"/>
      <c r="S422" s="203"/>
      <c r="T422" s="203"/>
    </row>
    <row r="423" ht="15.75" customHeight="1">
      <c r="A423" s="202"/>
      <c r="B423" s="202"/>
      <c r="C423" s="202"/>
      <c r="D423" s="31"/>
      <c r="E423" s="31"/>
      <c r="F423" s="144"/>
      <c r="G423" s="31"/>
      <c r="H423" s="31"/>
      <c r="I423" s="31"/>
      <c r="J423" s="31"/>
      <c r="K423" s="31"/>
      <c r="L423" s="31"/>
      <c r="M423" s="31"/>
      <c r="N423" s="31"/>
      <c r="O423" s="31"/>
      <c r="P423" s="31"/>
      <c r="Q423" s="203"/>
      <c r="R423" s="203"/>
      <c r="S423" s="203"/>
      <c r="T423" s="203"/>
    </row>
    <row r="424" ht="15.75" customHeight="1">
      <c r="A424" s="202"/>
      <c r="B424" s="202"/>
      <c r="C424" s="202"/>
      <c r="D424" s="31"/>
      <c r="E424" s="31"/>
      <c r="F424" s="144"/>
      <c r="G424" s="31"/>
      <c r="H424" s="31"/>
      <c r="I424" s="31"/>
      <c r="J424" s="31"/>
      <c r="K424" s="31"/>
      <c r="L424" s="31"/>
      <c r="M424" s="31"/>
      <c r="N424" s="31"/>
      <c r="O424" s="31"/>
      <c r="P424" s="31"/>
      <c r="Q424" s="203"/>
      <c r="R424" s="203"/>
      <c r="S424" s="203"/>
      <c r="T424" s="203"/>
    </row>
    <row r="425" ht="15.75" customHeight="1">
      <c r="A425" s="202"/>
      <c r="B425" s="202"/>
      <c r="C425" s="202"/>
      <c r="D425" s="31"/>
      <c r="E425" s="31"/>
      <c r="F425" s="144"/>
      <c r="G425" s="31"/>
      <c r="H425" s="31"/>
      <c r="I425" s="31"/>
      <c r="J425" s="31"/>
      <c r="K425" s="31"/>
      <c r="L425" s="31"/>
      <c r="M425" s="31"/>
      <c r="N425" s="31"/>
      <c r="O425" s="31"/>
      <c r="P425" s="31"/>
      <c r="Q425" s="203"/>
      <c r="R425" s="203"/>
      <c r="S425" s="203"/>
      <c r="T425" s="203"/>
    </row>
    <row r="426" ht="15.75" customHeight="1">
      <c r="A426" s="202"/>
      <c r="B426" s="202"/>
      <c r="C426" s="202"/>
      <c r="D426" s="31"/>
      <c r="E426" s="31"/>
      <c r="F426" s="144"/>
      <c r="G426" s="31"/>
      <c r="H426" s="31"/>
      <c r="I426" s="31"/>
      <c r="J426" s="31"/>
      <c r="K426" s="31"/>
      <c r="L426" s="31"/>
      <c r="M426" s="31"/>
      <c r="N426" s="31"/>
      <c r="O426" s="31"/>
      <c r="P426" s="31"/>
      <c r="Q426" s="203"/>
      <c r="R426" s="203"/>
      <c r="S426" s="203"/>
      <c r="T426" s="203"/>
    </row>
    <row r="427" ht="15.75" customHeight="1">
      <c r="A427" s="202"/>
      <c r="B427" s="202"/>
      <c r="C427" s="202"/>
      <c r="D427" s="31"/>
      <c r="E427" s="31"/>
      <c r="F427" s="144"/>
      <c r="G427" s="31"/>
      <c r="H427" s="31"/>
      <c r="I427" s="31"/>
      <c r="J427" s="31"/>
      <c r="K427" s="31"/>
      <c r="L427" s="31"/>
      <c r="M427" s="31"/>
      <c r="N427" s="31"/>
      <c r="O427" s="31"/>
      <c r="P427" s="31"/>
      <c r="Q427" s="203"/>
      <c r="R427" s="203"/>
      <c r="S427" s="203"/>
      <c r="T427" s="203"/>
    </row>
    <row r="428" ht="15.75" customHeight="1">
      <c r="A428" s="202"/>
      <c r="B428" s="202"/>
      <c r="C428" s="202"/>
      <c r="D428" s="31"/>
      <c r="E428" s="31"/>
      <c r="F428" s="144"/>
      <c r="G428" s="31"/>
      <c r="H428" s="31"/>
      <c r="I428" s="31"/>
      <c r="J428" s="31"/>
      <c r="K428" s="31"/>
      <c r="L428" s="31"/>
      <c r="M428" s="31"/>
      <c r="N428" s="31"/>
      <c r="O428" s="31"/>
      <c r="P428" s="31"/>
      <c r="Q428" s="203"/>
      <c r="R428" s="203"/>
      <c r="S428" s="203"/>
      <c r="T428" s="203"/>
    </row>
    <row r="429" ht="15.75" customHeight="1">
      <c r="A429" s="202"/>
      <c r="B429" s="202"/>
      <c r="C429" s="202"/>
      <c r="D429" s="31"/>
      <c r="E429" s="31"/>
      <c r="F429" s="144"/>
      <c r="G429" s="31"/>
      <c r="H429" s="31"/>
      <c r="I429" s="31"/>
      <c r="J429" s="31"/>
      <c r="K429" s="31"/>
      <c r="L429" s="31"/>
      <c r="M429" s="31"/>
      <c r="N429" s="31"/>
      <c r="O429" s="31"/>
      <c r="P429" s="31"/>
      <c r="Q429" s="203"/>
      <c r="R429" s="203"/>
      <c r="S429" s="203"/>
      <c r="T429" s="203"/>
    </row>
    <row r="430" ht="15.75" customHeight="1">
      <c r="A430" s="202"/>
      <c r="B430" s="202"/>
      <c r="C430" s="202"/>
      <c r="D430" s="31"/>
      <c r="E430" s="31"/>
      <c r="F430" s="144"/>
      <c r="G430" s="31"/>
      <c r="H430" s="31"/>
      <c r="I430" s="31"/>
      <c r="J430" s="31"/>
      <c r="K430" s="31"/>
      <c r="L430" s="31"/>
      <c r="M430" s="31"/>
      <c r="N430" s="31"/>
      <c r="O430" s="31"/>
      <c r="P430" s="31"/>
      <c r="Q430" s="203"/>
      <c r="R430" s="203"/>
      <c r="S430" s="203"/>
      <c r="T430" s="203"/>
    </row>
    <row r="431" ht="15.75" customHeight="1">
      <c r="A431" s="202"/>
      <c r="B431" s="202"/>
      <c r="C431" s="202"/>
      <c r="D431" s="31"/>
      <c r="E431" s="31"/>
      <c r="F431" s="144"/>
      <c r="G431" s="31"/>
      <c r="H431" s="31"/>
      <c r="I431" s="31"/>
      <c r="J431" s="31"/>
      <c r="K431" s="31"/>
      <c r="L431" s="31"/>
      <c r="M431" s="31"/>
      <c r="N431" s="31"/>
      <c r="O431" s="31"/>
      <c r="P431" s="31"/>
      <c r="Q431" s="203"/>
      <c r="R431" s="203"/>
      <c r="S431" s="203"/>
      <c r="T431" s="203"/>
    </row>
    <row r="432" ht="15.75" customHeight="1">
      <c r="A432" s="202"/>
      <c r="B432" s="202"/>
      <c r="C432" s="202"/>
      <c r="D432" s="31"/>
      <c r="E432" s="31"/>
      <c r="F432" s="144"/>
      <c r="G432" s="31"/>
      <c r="H432" s="31"/>
      <c r="I432" s="31"/>
      <c r="J432" s="31"/>
      <c r="K432" s="31"/>
      <c r="L432" s="31"/>
      <c r="M432" s="31"/>
      <c r="N432" s="31"/>
      <c r="O432" s="31"/>
      <c r="P432" s="31"/>
      <c r="Q432" s="203"/>
      <c r="R432" s="203"/>
      <c r="S432" s="203"/>
      <c r="T432" s="203"/>
    </row>
    <row r="433" ht="15.75" customHeight="1">
      <c r="A433" s="202"/>
      <c r="B433" s="202"/>
      <c r="C433" s="202"/>
      <c r="D433" s="31"/>
      <c r="E433" s="31"/>
      <c r="F433" s="144"/>
      <c r="G433" s="31"/>
      <c r="H433" s="31"/>
      <c r="I433" s="31"/>
      <c r="J433" s="31"/>
      <c r="K433" s="31"/>
      <c r="L433" s="31"/>
      <c r="M433" s="31"/>
      <c r="N433" s="31"/>
      <c r="O433" s="31"/>
      <c r="P433" s="31"/>
      <c r="Q433" s="203"/>
      <c r="R433" s="203"/>
      <c r="S433" s="203"/>
      <c r="T433" s="203"/>
    </row>
    <row r="434" ht="15.75" customHeight="1">
      <c r="A434" s="202"/>
      <c r="B434" s="202"/>
      <c r="C434" s="202"/>
      <c r="D434" s="31"/>
      <c r="E434" s="31"/>
      <c r="F434" s="144"/>
      <c r="G434" s="31"/>
      <c r="H434" s="31"/>
      <c r="I434" s="31"/>
      <c r="J434" s="31"/>
      <c r="K434" s="31"/>
      <c r="L434" s="31"/>
      <c r="M434" s="31"/>
      <c r="N434" s="31"/>
      <c r="O434" s="31"/>
      <c r="P434" s="31"/>
      <c r="Q434" s="203"/>
      <c r="R434" s="203"/>
      <c r="S434" s="203"/>
      <c r="T434" s="203"/>
    </row>
    <row r="435" ht="15.75" customHeight="1">
      <c r="A435" s="202"/>
      <c r="B435" s="202"/>
      <c r="C435" s="202"/>
      <c r="D435" s="31"/>
      <c r="E435" s="31"/>
      <c r="F435" s="144"/>
      <c r="G435" s="31"/>
      <c r="H435" s="31"/>
      <c r="I435" s="31"/>
      <c r="J435" s="31"/>
      <c r="K435" s="31"/>
      <c r="L435" s="31"/>
      <c r="M435" s="31"/>
      <c r="N435" s="31"/>
      <c r="O435" s="31"/>
      <c r="P435" s="31"/>
      <c r="Q435" s="203"/>
      <c r="R435" s="203"/>
      <c r="S435" s="203"/>
      <c r="T435" s="203"/>
    </row>
    <row r="436" ht="15.75" customHeight="1">
      <c r="A436" s="202"/>
      <c r="B436" s="202"/>
      <c r="C436" s="202"/>
      <c r="D436" s="31"/>
      <c r="E436" s="31"/>
      <c r="F436" s="144"/>
      <c r="G436" s="31"/>
      <c r="H436" s="31"/>
      <c r="I436" s="31"/>
      <c r="J436" s="31"/>
      <c r="K436" s="31"/>
      <c r="L436" s="31"/>
      <c r="M436" s="31"/>
      <c r="N436" s="31"/>
      <c r="O436" s="31"/>
      <c r="P436" s="31"/>
      <c r="Q436" s="203"/>
      <c r="R436" s="203"/>
      <c r="S436" s="203"/>
      <c r="T436" s="203"/>
    </row>
    <row r="437" ht="15.75" customHeight="1">
      <c r="A437" s="202"/>
      <c r="B437" s="202"/>
      <c r="C437" s="202"/>
      <c r="D437" s="31"/>
      <c r="E437" s="31"/>
      <c r="F437" s="144"/>
      <c r="G437" s="31"/>
      <c r="H437" s="31"/>
      <c r="I437" s="31"/>
      <c r="J437" s="31"/>
      <c r="K437" s="31"/>
      <c r="L437" s="31"/>
      <c r="M437" s="31"/>
      <c r="N437" s="31"/>
      <c r="O437" s="31"/>
      <c r="P437" s="31"/>
      <c r="Q437" s="203"/>
      <c r="R437" s="203"/>
      <c r="S437" s="203"/>
      <c r="T437" s="203"/>
    </row>
    <row r="438" ht="15.75" customHeight="1">
      <c r="A438" s="202"/>
      <c r="B438" s="202"/>
      <c r="C438" s="202"/>
      <c r="D438" s="31"/>
      <c r="E438" s="31"/>
      <c r="F438" s="144"/>
      <c r="G438" s="31"/>
      <c r="H438" s="31"/>
      <c r="I438" s="31"/>
      <c r="J438" s="31"/>
      <c r="K438" s="31"/>
      <c r="L438" s="31"/>
      <c r="M438" s="31"/>
      <c r="N438" s="31"/>
      <c r="O438" s="31"/>
      <c r="P438" s="31"/>
      <c r="Q438" s="203"/>
      <c r="R438" s="203"/>
      <c r="S438" s="203"/>
      <c r="T438" s="203"/>
    </row>
    <row r="439" ht="15.75" customHeight="1">
      <c r="A439" s="202"/>
      <c r="B439" s="202"/>
      <c r="C439" s="202"/>
      <c r="D439" s="31"/>
      <c r="E439" s="31"/>
      <c r="F439" s="144"/>
      <c r="G439" s="31"/>
      <c r="H439" s="31"/>
      <c r="I439" s="31"/>
      <c r="J439" s="31"/>
      <c r="K439" s="31"/>
      <c r="L439" s="31"/>
      <c r="M439" s="31"/>
      <c r="N439" s="31"/>
      <c r="O439" s="31"/>
      <c r="P439" s="31"/>
      <c r="Q439" s="203"/>
      <c r="R439" s="203"/>
      <c r="S439" s="203"/>
      <c r="T439" s="203"/>
    </row>
    <row r="440" ht="15.75" customHeight="1">
      <c r="A440" s="202"/>
      <c r="B440" s="202"/>
      <c r="C440" s="202"/>
      <c r="D440" s="31"/>
      <c r="E440" s="31"/>
      <c r="F440" s="144"/>
      <c r="G440" s="31"/>
      <c r="H440" s="31"/>
      <c r="I440" s="31"/>
      <c r="J440" s="31"/>
      <c r="K440" s="31"/>
      <c r="L440" s="31"/>
      <c r="M440" s="31"/>
      <c r="N440" s="31"/>
      <c r="O440" s="31"/>
      <c r="P440" s="31"/>
      <c r="Q440" s="203"/>
      <c r="R440" s="203"/>
      <c r="S440" s="203"/>
      <c r="T440" s="203"/>
    </row>
    <row r="441" ht="15.75" customHeight="1">
      <c r="A441" s="202"/>
      <c r="B441" s="202"/>
      <c r="C441" s="202"/>
      <c r="D441" s="31"/>
      <c r="E441" s="31"/>
      <c r="F441" s="144"/>
      <c r="G441" s="31"/>
      <c r="H441" s="31"/>
      <c r="I441" s="31"/>
      <c r="J441" s="31"/>
      <c r="K441" s="31"/>
      <c r="L441" s="31"/>
      <c r="M441" s="31"/>
      <c r="N441" s="31"/>
      <c r="O441" s="31"/>
      <c r="P441" s="31"/>
      <c r="Q441" s="203"/>
      <c r="R441" s="203"/>
      <c r="S441" s="203"/>
      <c r="T441" s="203"/>
    </row>
    <row r="442" ht="15.75" customHeight="1">
      <c r="A442" s="202"/>
      <c r="B442" s="202"/>
      <c r="C442" s="202"/>
      <c r="D442" s="31"/>
      <c r="E442" s="31"/>
      <c r="F442" s="144"/>
      <c r="G442" s="31"/>
      <c r="H442" s="31"/>
      <c r="I442" s="31"/>
      <c r="J442" s="31"/>
      <c r="K442" s="31"/>
      <c r="L442" s="31"/>
      <c r="M442" s="31"/>
      <c r="N442" s="31"/>
      <c r="O442" s="31"/>
      <c r="P442" s="31"/>
      <c r="Q442" s="203"/>
      <c r="R442" s="203"/>
      <c r="S442" s="203"/>
      <c r="T442" s="203"/>
    </row>
    <row r="443" ht="15.75" customHeight="1">
      <c r="A443" s="202"/>
      <c r="B443" s="202"/>
      <c r="C443" s="202"/>
      <c r="D443" s="31"/>
      <c r="E443" s="31"/>
      <c r="F443" s="144"/>
      <c r="G443" s="31"/>
      <c r="H443" s="31"/>
      <c r="I443" s="31"/>
      <c r="J443" s="31"/>
      <c r="K443" s="31"/>
      <c r="L443" s="31"/>
      <c r="M443" s="31"/>
      <c r="N443" s="31"/>
      <c r="O443" s="31"/>
      <c r="P443" s="31"/>
      <c r="Q443" s="203"/>
      <c r="R443" s="203"/>
      <c r="S443" s="203"/>
      <c r="T443" s="203"/>
    </row>
    <row r="444" ht="15.75" customHeight="1">
      <c r="A444" s="202"/>
      <c r="B444" s="202"/>
      <c r="C444" s="202"/>
      <c r="D444" s="31"/>
      <c r="E444" s="31"/>
      <c r="F444" s="144"/>
      <c r="G444" s="31"/>
      <c r="H444" s="31"/>
      <c r="I444" s="31"/>
      <c r="J444" s="31"/>
      <c r="K444" s="31"/>
      <c r="L444" s="31"/>
      <c r="M444" s="31"/>
      <c r="N444" s="31"/>
      <c r="O444" s="31"/>
      <c r="P444" s="31"/>
      <c r="Q444" s="203"/>
      <c r="R444" s="203"/>
      <c r="S444" s="203"/>
      <c r="T444" s="203"/>
    </row>
    <row r="445" ht="15.75" customHeight="1">
      <c r="A445" s="202"/>
      <c r="B445" s="202"/>
      <c r="C445" s="202"/>
      <c r="D445" s="31"/>
      <c r="E445" s="31"/>
      <c r="F445" s="144"/>
      <c r="G445" s="31"/>
      <c r="H445" s="31"/>
      <c r="I445" s="31"/>
      <c r="J445" s="31"/>
      <c r="K445" s="31"/>
      <c r="L445" s="31"/>
      <c r="M445" s="31"/>
      <c r="N445" s="31"/>
      <c r="O445" s="31"/>
      <c r="P445" s="31"/>
      <c r="Q445" s="203"/>
      <c r="R445" s="203"/>
      <c r="S445" s="203"/>
      <c r="T445" s="203"/>
    </row>
    <row r="446" ht="15.75" customHeight="1">
      <c r="A446" s="202"/>
      <c r="B446" s="202"/>
      <c r="C446" s="202"/>
      <c r="D446" s="31"/>
      <c r="E446" s="31"/>
      <c r="F446" s="144"/>
      <c r="G446" s="31"/>
      <c r="H446" s="31"/>
      <c r="I446" s="31"/>
      <c r="J446" s="31"/>
      <c r="K446" s="31"/>
      <c r="L446" s="31"/>
      <c r="M446" s="31"/>
      <c r="N446" s="31"/>
      <c r="O446" s="31"/>
      <c r="P446" s="31"/>
      <c r="Q446" s="203"/>
      <c r="R446" s="203"/>
      <c r="S446" s="203"/>
      <c r="T446" s="203"/>
    </row>
    <row r="447" ht="15.75" customHeight="1">
      <c r="A447" s="202"/>
      <c r="B447" s="202"/>
      <c r="C447" s="202"/>
      <c r="D447" s="31"/>
      <c r="E447" s="31"/>
      <c r="F447" s="144"/>
      <c r="G447" s="31"/>
      <c r="H447" s="31"/>
      <c r="I447" s="31"/>
      <c r="J447" s="31"/>
      <c r="K447" s="31"/>
      <c r="L447" s="31"/>
      <c r="M447" s="31"/>
      <c r="N447" s="31"/>
      <c r="O447" s="31"/>
      <c r="P447" s="31"/>
      <c r="Q447" s="203"/>
      <c r="R447" s="203"/>
      <c r="S447" s="203"/>
      <c r="T447" s="203"/>
    </row>
    <row r="448" ht="15.75" customHeight="1">
      <c r="A448" s="202"/>
      <c r="B448" s="202"/>
      <c r="C448" s="202"/>
      <c r="D448" s="31"/>
      <c r="E448" s="31"/>
      <c r="F448" s="144"/>
      <c r="G448" s="31"/>
      <c r="H448" s="31"/>
      <c r="I448" s="31"/>
      <c r="J448" s="31"/>
      <c r="K448" s="31"/>
      <c r="L448" s="31"/>
      <c r="M448" s="31"/>
      <c r="N448" s="31"/>
      <c r="O448" s="31"/>
      <c r="P448" s="31"/>
      <c r="Q448" s="203"/>
      <c r="R448" s="203"/>
      <c r="S448" s="203"/>
      <c r="T448" s="203"/>
    </row>
    <row r="449" ht="15.75" customHeight="1">
      <c r="A449" s="202"/>
      <c r="B449" s="202"/>
      <c r="C449" s="202"/>
      <c r="D449" s="31"/>
      <c r="E449" s="31"/>
      <c r="F449" s="144"/>
      <c r="G449" s="31"/>
      <c r="H449" s="31"/>
      <c r="I449" s="31"/>
      <c r="J449" s="31"/>
      <c r="K449" s="31"/>
      <c r="L449" s="31"/>
      <c r="M449" s="31"/>
      <c r="N449" s="31"/>
      <c r="O449" s="31"/>
      <c r="P449" s="31"/>
      <c r="Q449" s="203"/>
      <c r="R449" s="203"/>
      <c r="S449" s="203"/>
      <c r="T449" s="203"/>
    </row>
    <row r="450" ht="15.75" customHeight="1">
      <c r="A450" s="202"/>
      <c r="B450" s="202"/>
      <c r="C450" s="202"/>
      <c r="D450" s="31"/>
      <c r="E450" s="31"/>
      <c r="F450" s="144"/>
      <c r="G450" s="31"/>
      <c r="H450" s="31"/>
      <c r="I450" s="31"/>
      <c r="J450" s="31"/>
      <c r="K450" s="31"/>
      <c r="L450" s="31"/>
      <c r="M450" s="31"/>
      <c r="N450" s="31"/>
      <c r="O450" s="31"/>
      <c r="P450" s="31"/>
      <c r="Q450" s="203"/>
      <c r="R450" s="203"/>
      <c r="S450" s="203"/>
      <c r="T450" s="203"/>
    </row>
    <row r="451" ht="15.75" customHeight="1">
      <c r="A451" s="202"/>
      <c r="B451" s="202"/>
      <c r="C451" s="202"/>
      <c r="D451" s="31"/>
      <c r="E451" s="31"/>
      <c r="F451" s="144"/>
      <c r="G451" s="31"/>
      <c r="H451" s="31"/>
      <c r="I451" s="31"/>
      <c r="J451" s="31"/>
      <c r="K451" s="31"/>
      <c r="L451" s="31"/>
      <c r="M451" s="31"/>
      <c r="N451" s="31"/>
      <c r="O451" s="31"/>
      <c r="P451" s="31"/>
      <c r="Q451" s="203"/>
      <c r="R451" s="203"/>
      <c r="S451" s="203"/>
      <c r="T451" s="203"/>
    </row>
    <row r="452" ht="15.75" customHeight="1">
      <c r="A452" s="202"/>
      <c r="B452" s="202"/>
      <c r="C452" s="202"/>
      <c r="D452" s="31"/>
      <c r="E452" s="31"/>
      <c r="F452" s="144"/>
      <c r="G452" s="31"/>
      <c r="H452" s="31"/>
      <c r="I452" s="31"/>
      <c r="J452" s="31"/>
      <c r="K452" s="31"/>
      <c r="L452" s="31"/>
      <c r="M452" s="31"/>
      <c r="N452" s="31"/>
      <c r="O452" s="31"/>
      <c r="P452" s="31"/>
      <c r="Q452" s="203"/>
      <c r="R452" s="203"/>
      <c r="S452" s="203"/>
      <c r="T452" s="203"/>
    </row>
    <row r="453" ht="15.75" customHeight="1">
      <c r="A453" s="202"/>
      <c r="B453" s="202"/>
      <c r="C453" s="202"/>
      <c r="D453" s="31"/>
      <c r="E453" s="31"/>
      <c r="F453" s="144"/>
      <c r="G453" s="31"/>
      <c r="H453" s="31"/>
      <c r="I453" s="31"/>
      <c r="J453" s="31"/>
      <c r="K453" s="31"/>
      <c r="L453" s="31"/>
      <c r="M453" s="31"/>
      <c r="N453" s="31"/>
      <c r="O453" s="31"/>
      <c r="P453" s="31"/>
      <c r="Q453" s="203"/>
      <c r="R453" s="203"/>
      <c r="S453" s="203"/>
      <c r="T453" s="203"/>
    </row>
    <row r="454" ht="15.75" customHeight="1">
      <c r="A454" s="202"/>
      <c r="B454" s="202"/>
      <c r="C454" s="202"/>
      <c r="D454" s="31"/>
      <c r="E454" s="31"/>
      <c r="F454" s="144"/>
      <c r="G454" s="31"/>
      <c r="H454" s="31"/>
      <c r="I454" s="31"/>
      <c r="J454" s="31"/>
      <c r="K454" s="31"/>
      <c r="L454" s="31"/>
      <c r="M454" s="31"/>
      <c r="N454" s="31"/>
      <c r="O454" s="31"/>
      <c r="P454" s="31"/>
      <c r="Q454" s="203"/>
      <c r="R454" s="203"/>
      <c r="S454" s="203"/>
      <c r="T454" s="203"/>
    </row>
    <row r="455" ht="15.75" customHeight="1">
      <c r="A455" s="202"/>
      <c r="B455" s="202"/>
      <c r="C455" s="202"/>
      <c r="D455" s="31"/>
      <c r="E455" s="31"/>
      <c r="F455" s="144"/>
      <c r="G455" s="31"/>
      <c r="H455" s="31"/>
      <c r="I455" s="31"/>
      <c r="J455" s="31"/>
      <c r="K455" s="31"/>
      <c r="L455" s="31"/>
      <c r="M455" s="31"/>
      <c r="N455" s="31"/>
      <c r="O455" s="31"/>
      <c r="P455" s="31"/>
      <c r="Q455" s="203"/>
      <c r="R455" s="203"/>
      <c r="S455" s="203"/>
      <c r="T455" s="203"/>
    </row>
    <row r="456" ht="15.75" customHeight="1">
      <c r="A456" s="202"/>
      <c r="B456" s="202"/>
      <c r="C456" s="202"/>
      <c r="D456" s="31"/>
      <c r="E456" s="31"/>
      <c r="F456" s="144"/>
      <c r="G456" s="31"/>
      <c r="H456" s="31"/>
      <c r="I456" s="31"/>
      <c r="J456" s="31"/>
      <c r="K456" s="31"/>
      <c r="L456" s="31"/>
      <c r="M456" s="31"/>
      <c r="N456" s="31"/>
      <c r="O456" s="31"/>
      <c r="P456" s="31"/>
      <c r="Q456" s="203"/>
      <c r="R456" s="203"/>
      <c r="S456" s="203"/>
      <c r="T456" s="203"/>
    </row>
    <row r="457" ht="15.75" customHeight="1">
      <c r="A457" s="202"/>
      <c r="B457" s="202"/>
      <c r="C457" s="202"/>
      <c r="D457" s="31"/>
      <c r="E457" s="31"/>
      <c r="F457" s="144"/>
      <c r="G457" s="31"/>
      <c r="H457" s="31"/>
      <c r="I457" s="31"/>
      <c r="J457" s="31"/>
      <c r="K457" s="31"/>
      <c r="L457" s="31"/>
      <c r="M457" s="31"/>
      <c r="N457" s="31"/>
      <c r="O457" s="31"/>
      <c r="P457" s="31"/>
      <c r="Q457" s="203"/>
      <c r="R457" s="203"/>
      <c r="S457" s="203"/>
      <c r="T457" s="203"/>
    </row>
    <row r="458" ht="15.75" customHeight="1">
      <c r="A458" s="202"/>
      <c r="B458" s="202"/>
      <c r="C458" s="202"/>
      <c r="D458" s="31"/>
      <c r="E458" s="31"/>
      <c r="F458" s="144"/>
      <c r="G458" s="31"/>
      <c r="H458" s="31"/>
      <c r="I458" s="31"/>
      <c r="J458" s="31"/>
      <c r="K458" s="31"/>
      <c r="L458" s="31"/>
      <c r="M458" s="31"/>
      <c r="N458" s="31"/>
      <c r="O458" s="31"/>
      <c r="P458" s="31"/>
      <c r="Q458" s="203"/>
      <c r="R458" s="203"/>
      <c r="S458" s="203"/>
      <c r="T458" s="203"/>
    </row>
    <row r="459" ht="15.75" customHeight="1">
      <c r="A459" s="202"/>
      <c r="B459" s="202"/>
      <c r="C459" s="202"/>
      <c r="D459" s="31"/>
      <c r="E459" s="31"/>
      <c r="F459" s="144"/>
      <c r="G459" s="31"/>
      <c r="H459" s="31"/>
      <c r="I459" s="31"/>
      <c r="J459" s="31"/>
      <c r="K459" s="31"/>
      <c r="L459" s="31"/>
      <c r="M459" s="31"/>
      <c r="N459" s="31"/>
      <c r="O459" s="31"/>
      <c r="P459" s="31"/>
      <c r="Q459" s="203"/>
      <c r="R459" s="203"/>
      <c r="S459" s="203"/>
      <c r="T459" s="203"/>
    </row>
    <row r="460" ht="15.75" customHeight="1">
      <c r="A460" s="202"/>
      <c r="B460" s="202"/>
      <c r="C460" s="202"/>
      <c r="D460" s="31"/>
      <c r="E460" s="31"/>
      <c r="F460" s="144"/>
      <c r="G460" s="31"/>
      <c r="H460" s="31"/>
      <c r="I460" s="31"/>
      <c r="J460" s="31"/>
      <c r="K460" s="31"/>
      <c r="L460" s="31"/>
      <c r="M460" s="31"/>
      <c r="N460" s="31"/>
      <c r="O460" s="31"/>
      <c r="P460" s="31"/>
      <c r="Q460" s="203"/>
      <c r="R460" s="203"/>
      <c r="S460" s="203"/>
      <c r="T460" s="203"/>
    </row>
    <row r="461" ht="15.75" customHeight="1">
      <c r="A461" s="202"/>
      <c r="B461" s="202"/>
      <c r="C461" s="202"/>
      <c r="D461" s="31"/>
      <c r="E461" s="31"/>
      <c r="F461" s="144"/>
      <c r="G461" s="31"/>
      <c r="H461" s="31"/>
      <c r="I461" s="31"/>
      <c r="J461" s="31"/>
      <c r="K461" s="31"/>
      <c r="L461" s="31"/>
      <c r="M461" s="31"/>
      <c r="N461" s="31"/>
      <c r="O461" s="31"/>
      <c r="P461" s="31"/>
      <c r="Q461" s="203"/>
      <c r="R461" s="203"/>
      <c r="S461" s="203"/>
      <c r="T461" s="203"/>
    </row>
    <row r="462" ht="15.75" customHeight="1">
      <c r="A462" s="202"/>
      <c r="B462" s="202"/>
      <c r="C462" s="202"/>
      <c r="D462" s="31"/>
      <c r="E462" s="31"/>
      <c r="F462" s="144"/>
      <c r="G462" s="31"/>
      <c r="H462" s="31"/>
      <c r="I462" s="31"/>
      <c r="J462" s="31"/>
      <c r="K462" s="31"/>
      <c r="L462" s="31"/>
      <c r="M462" s="31"/>
      <c r="N462" s="31"/>
      <c r="O462" s="31"/>
      <c r="P462" s="31"/>
      <c r="Q462" s="203"/>
      <c r="R462" s="203"/>
      <c r="S462" s="203"/>
      <c r="T462" s="203"/>
    </row>
    <row r="463" ht="15.75" customHeight="1">
      <c r="A463" s="202"/>
      <c r="B463" s="202"/>
      <c r="C463" s="202"/>
      <c r="D463" s="31"/>
      <c r="E463" s="31"/>
      <c r="F463" s="144"/>
      <c r="G463" s="31"/>
      <c r="H463" s="31"/>
      <c r="I463" s="31"/>
      <c r="J463" s="31"/>
      <c r="K463" s="31"/>
      <c r="L463" s="31"/>
      <c r="M463" s="31"/>
      <c r="N463" s="31"/>
      <c r="O463" s="31"/>
      <c r="P463" s="31"/>
      <c r="Q463" s="203"/>
      <c r="R463" s="203"/>
      <c r="S463" s="203"/>
      <c r="T463" s="203"/>
    </row>
    <row r="464" ht="15.75" customHeight="1">
      <c r="A464" s="202"/>
      <c r="B464" s="202"/>
      <c r="C464" s="202"/>
      <c r="D464" s="31"/>
      <c r="E464" s="31"/>
      <c r="F464" s="144"/>
      <c r="G464" s="31"/>
      <c r="H464" s="31"/>
      <c r="I464" s="31"/>
      <c r="J464" s="31"/>
      <c r="K464" s="31"/>
      <c r="L464" s="31"/>
      <c r="M464" s="31"/>
      <c r="N464" s="31"/>
      <c r="O464" s="31"/>
      <c r="P464" s="31"/>
      <c r="Q464" s="203"/>
      <c r="R464" s="203"/>
      <c r="S464" s="203"/>
      <c r="T464" s="203"/>
    </row>
    <row r="465" ht="15.75" customHeight="1">
      <c r="A465" s="202"/>
      <c r="B465" s="202"/>
      <c r="C465" s="202"/>
      <c r="D465" s="31"/>
      <c r="E465" s="31"/>
      <c r="F465" s="144"/>
      <c r="G465" s="31"/>
      <c r="H465" s="31"/>
      <c r="I465" s="31"/>
      <c r="J465" s="31"/>
      <c r="K465" s="31"/>
      <c r="L465" s="31"/>
      <c r="M465" s="31"/>
      <c r="N465" s="31"/>
      <c r="O465" s="31"/>
      <c r="P465" s="31"/>
      <c r="Q465" s="203"/>
      <c r="R465" s="203"/>
      <c r="S465" s="203"/>
      <c r="T465" s="203"/>
    </row>
    <row r="466" ht="15.75" customHeight="1">
      <c r="A466" s="202"/>
      <c r="B466" s="202"/>
      <c r="C466" s="202"/>
      <c r="D466" s="31"/>
      <c r="E466" s="31"/>
      <c r="F466" s="144"/>
      <c r="G466" s="31"/>
      <c r="H466" s="31"/>
      <c r="I466" s="31"/>
      <c r="J466" s="31"/>
      <c r="K466" s="31"/>
      <c r="L466" s="31"/>
      <c r="M466" s="31"/>
      <c r="N466" s="31"/>
      <c r="O466" s="31"/>
      <c r="P466" s="31"/>
      <c r="Q466" s="203"/>
      <c r="R466" s="203"/>
      <c r="S466" s="203"/>
      <c r="T466" s="203"/>
    </row>
    <row r="467" ht="15.75" customHeight="1">
      <c r="A467" s="202"/>
      <c r="B467" s="202"/>
      <c r="C467" s="202"/>
      <c r="D467" s="31"/>
      <c r="E467" s="31"/>
      <c r="F467" s="144"/>
      <c r="G467" s="31"/>
      <c r="H467" s="31"/>
      <c r="I467" s="31"/>
      <c r="J467" s="31"/>
      <c r="K467" s="31"/>
      <c r="L467" s="31"/>
      <c r="M467" s="31"/>
      <c r="N467" s="31"/>
      <c r="O467" s="31"/>
      <c r="P467" s="31"/>
      <c r="Q467" s="203"/>
      <c r="R467" s="203"/>
      <c r="S467" s="203"/>
      <c r="T467" s="203"/>
    </row>
    <row r="468" ht="15.75" customHeight="1">
      <c r="A468" s="202"/>
      <c r="B468" s="202"/>
      <c r="C468" s="202"/>
      <c r="D468" s="31"/>
      <c r="E468" s="31"/>
      <c r="F468" s="144"/>
      <c r="G468" s="31"/>
      <c r="H468" s="31"/>
      <c r="I468" s="31"/>
      <c r="J468" s="31"/>
      <c r="K468" s="31"/>
      <c r="L468" s="31"/>
      <c r="M468" s="31"/>
      <c r="N468" s="31"/>
      <c r="O468" s="31"/>
      <c r="P468" s="31"/>
      <c r="Q468" s="203"/>
      <c r="R468" s="203"/>
      <c r="S468" s="203"/>
      <c r="T468" s="203"/>
    </row>
    <row r="469" ht="15.75" customHeight="1">
      <c r="A469" s="202"/>
      <c r="B469" s="202"/>
      <c r="C469" s="202"/>
      <c r="D469" s="31"/>
      <c r="E469" s="31"/>
      <c r="F469" s="144"/>
      <c r="G469" s="31"/>
      <c r="H469" s="31"/>
      <c r="I469" s="31"/>
      <c r="J469" s="31"/>
      <c r="K469" s="31"/>
      <c r="L469" s="31"/>
      <c r="M469" s="31"/>
      <c r="N469" s="31"/>
      <c r="O469" s="31"/>
      <c r="P469" s="31"/>
      <c r="Q469" s="203"/>
      <c r="R469" s="203"/>
      <c r="S469" s="203"/>
      <c r="T469" s="203"/>
    </row>
    <row r="470" ht="15.75" customHeight="1">
      <c r="A470" s="202"/>
      <c r="B470" s="202"/>
      <c r="C470" s="202"/>
      <c r="D470" s="31"/>
      <c r="E470" s="31"/>
      <c r="F470" s="144"/>
      <c r="G470" s="31"/>
      <c r="H470" s="31"/>
      <c r="I470" s="31"/>
      <c r="J470" s="31"/>
      <c r="K470" s="31"/>
      <c r="L470" s="31"/>
      <c r="M470" s="31"/>
      <c r="N470" s="31"/>
      <c r="O470" s="31"/>
      <c r="P470" s="31"/>
      <c r="Q470" s="203"/>
      <c r="R470" s="203"/>
      <c r="S470" s="203"/>
      <c r="T470" s="203"/>
    </row>
    <row r="471" ht="15.75" customHeight="1">
      <c r="A471" s="202"/>
      <c r="B471" s="202"/>
      <c r="C471" s="202"/>
      <c r="D471" s="31"/>
      <c r="E471" s="31"/>
      <c r="F471" s="144"/>
      <c r="G471" s="31"/>
      <c r="H471" s="31"/>
      <c r="I471" s="31"/>
      <c r="J471" s="31"/>
      <c r="K471" s="31"/>
      <c r="L471" s="31"/>
      <c r="M471" s="31"/>
      <c r="N471" s="31"/>
      <c r="O471" s="31"/>
      <c r="P471" s="31"/>
      <c r="Q471" s="203"/>
      <c r="R471" s="203"/>
      <c r="S471" s="203"/>
      <c r="T471" s="203"/>
    </row>
    <row r="472" ht="15.75" customHeight="1">
      <c r="A472" s="202"/>
      <c r="B472" s="202"/>
      <c r="C472" s="202"/>
      <c r="D472" s="31"/>
      <c r="E472" s="31"/>
      <c r="F472" s="144"/>
      <c r="G472" s="31"/>
      <c r="H472" s="31"/>
      <c r="I472" s="31"/>
      <c r="J472" s="31"/>
      <c r="K472" s="31"/>
      <c r="L472" s="31"/>
      <c r="M472" s="31"/>
      <c r="N472" s="31"/>
      <c r="O472" s="31"/>
      <c r="P472" s="31"/>
      <c r="Q472" s="203"/>
      <c r="R472" s="203"/>
      <c r="S472" s="203"/>
      <c r="T472" s="203"/>
    </row>
    <row r="473" ht="15.75" customHeight="1">
      <c r="A473" s="202"/>
      <c r="B473" s="202"/>
      <c r="C473" s="202"/>
      <c r="D473" s="31"/>
      <c r="E473" s="31"/>
      <c r="F473" s="144"/>
      <c r="G473" s="31"/>
      <c r="H473" s="31"/>
      <c r="I473" s="31"/>
      <c r="J473" s="31"/>
      <c r="K473" s="31"/>
      <c r="L473" s="31"/>
      <c r="M473" s="31"/>
      <c r="N473" s="31"/>
      <c r="O473" s="31"/>
      <c r="P473" s="31"/>
      <c r="Q473" s="203"/>
      <c r="R473" s="203"/>
      <c r="S473" s="203"/>
      <c r="T473" s="203"/>
    </row>
    <row r="474" ht="15.75" customHeight="1">
      <c r="A474" s="202"/>
      <c r="B474" s="202"/>
      <c r="C474" s="202"/>
      <c r="D474" s="31"/>
      <c r="E474" s="31"/>
      <c r="F474" s="144"/>
      <c r="G474" s="31"/>
      <c r="H474" s="31"/>
      <c r="I474" s="31"/>
      <c r="J474" s="31"/>
      <c r="K474" s="31"/>
      <c r="L474" s="31"/>
      <c r="M474" s="31"/>
      <c r="N474" s="31"/>
      <c r="O474" s="31"/>
      <c r="P474" s="31"/>
      <c r="Q474" s="203"/>
      <c r="R474" s="203"/>
      <c r="S474" s="203"/>
      <c r="T474" s="203"/>
    </row>
    <row r="475" ht="15.75" customHeight="1">
      <c r="A475" s="202"/>
      <c r="B475" s="202"/>
      <c r="C475" s="202"/>
      <c r="D475" s="31"/>
      <c r="E475" s="31"/>
      <c r="F475" s="144"/>
      <c r="G475" s="31"/>
      <c r="H475" s="31"/>
      <c r="I475" s="31"/>
      <c r="J475" s="31"/>
      <c r="K475" s="31"/>
      <c r="L475" s="31"/>
      <c r="M475" s="31"/>
      <c r="N475" s="31"/>
      <c r="O475" s="31"/>
      <c r="P475" s="31"/>
      <c r="Q475" s="203"/>
      <c r="R475" s="203"/>
      <c r="S475" s="203"/>
      <c r="T475" s="203"/>
    </row>
    <row r="476" ht="15.75" customHeight="1">
      <c r="A476" s="202"/>
      <c r="B476" s="202"/>
      <c r="C476" s="202"/>
      <c r="D476" s="31"/>
      <c r="E476" s="31"/>
      <c r="F476" s="144"/>
      <c r="G476" s="31"/>
      <c r="H476" s="31"/>
      <c r="I476" s="31"/>
      <c r="J476" s="31"/>
      <c r="K476" s="31"/>
      <c r="L476" s="31"/>
      <c r="M476" s="31"/>
      <c r="N476" s="31"/>
      <c r="O476" s="31"/>
      <c r="P476" s="31"/>
      <c r="Q476" s="203"/>
      <c r="R476" s="203"/>
      <c r="S476" s="203"/>
      <c r="T476" s="203"/>
    </row>
    <row r="477" ht="15.75" customHeight="1">
      <c r="A477" s="202"/>
      <c r="B477" s="202"/>
      <c r="C477" s="202"/>
      <c r="D477" s="31"/>
      <c r="E477" s="31"/>
      <c r="F477" s="144"/>
      <c r="G477" s="31"/>
      <c r="H477" s="31"/>
      <c r="I477" s="31"/>
      <c r="J477" s="31"/>
      <c r="K477" s="31"/>
      <c r="L477" s="31"/>
      <c r="M477" s="31"/>
      <c r="N477" s="31"/>
      <c r="O477" s="31"/>
      <c r="P477" s="31"/>
      <c r="Q477" s="203"/>
      <c r="R477" s="203"/>
      <c r="S477" s="203"/>
      <c r="T477" s="203"/>
    </row>
    <row r="478" ht="15.75" customHeight="1">
      <c r="A478" s="202"/>
      <c r="B478" s="202"/>
      <c r="C478" s="202"/>
      <c r="D478" s="31"/>
      <c r="E478" s="31"/>
      <c r="F478" s="144"/>
      <c r="G478" s="31"/>
      <c r="H478" s="31"/>
      <c r="I478" s="31"/>
      <c r="J478" s="31"/>
      <c r="K478" s="31"/>
      <c r="L478" s="31"/>
      <c r="M478" s="31"/>
      <c r="N478" s="31"/>
      <c r="O478" s="31"/>
      <c r="P478" s="31"/>
      <c r="Q478" s="203"/>
      <c r="R478" s="203"/>
      <c r="S478" s="203"/>
      <c r="T478" s="203"/>
    </row>
    <row r="479" ht="15.75" customHeight="1">
      <c r="A479" s="202"/>
      <c r="B479" s="202"/>
      <c r="C479" s="202"/>
      <c r="D479" s="31"/>
      <c r="E479" s="31"/>
      <c r="F479" s="144"/>
      <c r="G479" s="31"/>
      <c r="H479" s="31"/>
      <c r="I479" s="31"/>
      <c r="J479" s="31"/>
      <c r="K479" s="31"/>
      <c r="L479" s="31"/>
      <c r="M479" s="31"/>
      <c r="N479" s="31"/>
      <c r="O479" s="31"/>
      <c r="P479" s="31"/>
      <c r="Q479" s="203"/>
      <c r="R479" s="203"/>
      <c r="S479" s="203"/>
      <c r="T479" s="203"/>
    </row>
    <row r="480" ht="15.75" customHeight="1">
      <c r="A480" s="202"/>
      <c r="B480" s="202"/>
      <c r="C480" s="202"/>
      <c r="D480" s="31"/>
      <c r="E480" s="31"/>
      <c r="F480" s="144"/>
      <c r="G480" s="31"/>
      <c r="H480" s="31"/>
      <c r="I480" s="31"/>
      <c r="J480" s="31"/>
      <c r="K480" s="31"/>
      <c r="L480" s="31"/>
      <c r="M480" s="31"/>
      <c r="N480" s="31"/>
      <c r="O480" s="31"/>
      <c r="P480" s="31"/>
      <c r="Q480" s="203"/>
      <c r="R480" s="203"/>
      <c r="S480" s="203"/>
      <c r="T480" s="203"/>
    </row>
    <row r="481" ht="15.75" customHeight="1">
      <c r="A481" s="202"/>
      <c r="B481" s="202"/>
      <c r="C481" s="202"/>
      <c r="D481" s="31"/>
      <c r="E481" s="31"/>
      <c r="F481" s="144"/>
      <c r="G481" s="31"/>
      <c r="H481" s="31"/>
      <c r="I481" s="31"/>
      <c r="J481" s="31"/>
      <c r="K481" s="31"/>
      <c r="L481" s="31"/>
      <c r="M481" s="31"/>
      <c r="N481" s="31"/>
      <c r="O481" s="31"/>
      <c r="P481" s="31"/>
      <c r="Q481" s="203"/>
      <c r="R481" s="203"/>
      <c r="S481" s="203"/>
      <c r="T481" s="203"/>
    </row>
    <row r="482" ht="15.75" customHeight="1">
      <c r="A482" s="202"/>
      <c r="B482" s="202"/>
      <c r="C482" s="202"/>
      <c r="D482" s="31"/>
      <c r="E482" s="31"/>
      <c r="F482" s="144"/>
      <c r="G482" s="31"/>
      <c r="H482" s="31"/>
      <c r="I482" s="31"/>
      <c r="J482" s="31"/>
      <c r="K482" s="31"/>
      <c r="L482" s="31"/>
      <c r="M482" s="31"/>
      <c r="N482" s="31"/>
      <c r="O482" s="31"/>
      <c r="P482" s="31"/>
      <c r="Q482" s="203"/>
      <c r="R482" s="203"/>
      <c r="S482" s="203"/>
      <c r="T482" s="203"/>
    </row>
    <row r="483" ht="15.75" customHeight="1">
      <c r="A483" s="202"/>
      <c r="B483" s="202"/>
      <c r="C483" s="202"/>
      <c r="D483" s="31"/>
      <c r="E483" s="31"/>
      <c r="F483" s="144"/>
      <c r="G483" s="31"/>
      <c r="H483" s="31"/>
      <c r="I483" s="31"/>
      <c r="J483" s="31"/>
      <c r="K483" s="31"/>
      <c r="L483" s="31"/>
      <c r="M483" s="31"/>
      <c r="N483" s="31"/>
      <c r="O483" s="31"/>
      <c r="P483" s="31"/>
      <c r="Q483" s="203"/>
      <c r="R483" s="203"/>
      <c r="S483" s="203"/>
      <c r="T483" s="203"/>
    </row>
    <row r="484" ht="15.75" customHeight="1">
      <c r="A484" s="202"/>
      <c r="B484" s="202"/>
      <c r="C484" s="202"/>
      <c r="D484" s="31"/>
      <c r="E484" s="31"/>
      <c r="F484" s="144"/>
      <c r="G484" s="31"/>
      <c r="H484" s="31"/>
      <c r="I484" s="31"/>
      <c r="J484" s="31"/>
      <c r="K484" s="31"/>
      <c r="L484" s="31"/>
      <c r="M484" s="31"/>
      <c r="N484" s="31"/>
      <c r="O484" s="31"/>
      <c r="P484" s="31"/>
      <c r="Q484" s="203"/>
      <c r="R484" s="203"/>
      <c r="S484" s="203"/>
      <c r="T484" s="203"/>
    </row>
    <row r="485" ht="15.75" customHeight="1">
      <c r="A485" s="202"/>
      <c r="B485" s="202"/>
      <c r="C485" s="202"/>
      <c r="D485" s="31"/>
      <c r="E485" s="31"/>
      <c r="F485" s="144"/>
      <c r="G485" s="31"/>
      <c r="H485" s="31"/>
      <c r="I485" s="31"/>
      <c r="J485" s="31"/>
      <c r="K485" s="31"/>
      <c r="L485" s="31"/>
      <c r="M485" s="31"/>
      <c r="N485" s="31"/>
      <c r="O485" s="31"/>
      <c r="P485" s="31"/>
      <c r="Q485" s="203"/>
      <c r="R485" s="203"/>
      <c r="S485" s="203"/>
      <c r="T485" s="203"/>
    </row>
    <row r="486" ht="15.75" customHeight="1">
      <c r="A486" s="202"/>
      <c r="B486" s="202"/>
      <c r="C486" s="202"/>
      <c r="D486" s="31"/>
      <c r="E486" s="31"/>
      <c r="F486" s="144"/>
      <c r="G486" s="31"/>
      <c r="H486" s="31"/>
      <c r="I486" s="31"/>
      <c r="J486" s="31"/>
      <c r="K486" s="31"/>
      <c r="L486" s="31"/>
      <c r="M486" s="31"/>
      <c r="N486" s="31"/>
      <c r="O486" s="31"/>
      <c r="P486" s="31"/>
      <c r="Q486" s="203"/>
      <c r="R486" s="203"/>
      <c r="S486" s="203"/>
      <c r="T486" s="203"/>
    </row>
    <row r="487" ht="15.75" customHeight="1">
      <c r="A487" s="202"/>
      <c r="B487" s="202"/>
      <c r="C487" s="202"/>
      <c r="D487" s="31"/>
      <c r="E487" s="31"/>
      <c r="F487" s="144"/>
      <c r="G487" s="31"/>
      <c r="H487" s="31"/>
      <c r="I487" s="31"/>
      <c r="J487" s="31"/>
      <c r="K487" s="31"/>
      <c r="L487" s="31"/>
      <c r="M487" s="31"/>
      <c r="N487" s="31"/>
      <c r="O487" s="31"/>
      <c r="P487" s="31"/>
      <c r="Q487" s="203"/>
      <c r="R487" s="203"/>
      <c r="S487" s="203"/>
      <c r="T487" s="203"/>
    </row>
    <row r="488" ht="15.75" customHeight="1">
      <c r="A488" s="202"/>
      <c r="B488" s="202"/>
      <c r="C488" s="202"/>
      <c r="D488" s="31"/>
      <c r="E488" s="31"/>
      <c r="F488" s="144"/>
      <c r="G488" s="31"/>
      <c r="H488" s="31"/>
      <c r="I488" s="31"/>
      <c r="J488" s="31"/>
      <c r="K488" s="31"/>
      <c r="L488" s="31"/>
      <c r="M488" s="31"/>
      <c r="N488" s="31"/>
      <c r="O488" s="31"/>
      <c r="P488" s="31"/>
      <c r="Q488" s="203"/>
      <c r="R488" s="203"/>
      <c r="S488" s="203"/>
      <c r="T488" s="203"/>
    </row>
    <row r="489" ht="15.75" customHeight="1">
      <c r="A489" s="202"/>
      <c r="B489" s="202"/>
      <c r="C489" s="202"/>
      <c r="D489" s="31"/>
      <c r="E489" s="31"/>
      <c r="F489" s="144"/>
      <c r="G489" s="31"/>
      <c r="H489" s="31"/>
      <c r="I489" s="31"/>
      <c r="J489" s="31"/>
      <c r="K489" s="31"/>
      <c r="L489" s="31"/>
      <c r="M489" s="31"/>
      <c r="N489" s="31"/>
      <c r="O489" s="31"/>
      <c r="P489" s="31"/>
      <c r="Q489" s="203"/>
      <c r="R489" s="203"/>
      <c r="S489" s="203"/>
      <c r="T489" s="203"/>
    </row>
    <row r="490" ht="15.75" customHeight="1">
      <c r="A490" s="202"/>
      <c r="B490" s="202"/>
      <c r="C490" s="202"/>
      <c r="D490" s="31"/>
      <c r="E490" s="31"/>
      <c r="F490" s="144"/>
      <c r="G490" s="31"/>
      <c r="H490" s="31"/>
      <c r="I490" s="31"/>
      <c r="J490" s="31"/>
      <c r="K490" s="31"/>
      <c r="L490" s="31"/>
      <c r="M490" s="31"/>
      <c r="N490" s="31"/>
      <c r="O490" s="31"/>
      <c r="P490" s="31"/>
      <c r="Q490" s="203"/>
      <c r="R490" s="203"/>
      <c r="S490" s="203"/>
      <c r="T490" s="203"/>
    </row>
    <row r="491" ht="15.75" customHeight="1">
      <c r="A491" s="202"/>
      <c r="B491" s="202"/>
      <c r="C491" s="202"/>
      <c r="D491" s="31"/>
      <c r="E491" s="31"/>
      <c r="F491" s="144"/>
      <c r="G491" s="31"/>
      <c r="H491" s="31"/>
      <c r="I491" s="31"/>
      <c r="J491" s="31"/>
      <c r="K491" s="31"/>
      <c r="L491" s="31"/>
      <c r="M491" s="31"/>
      <c r="N491" s="31"/>
      <c r="O491" s="31"/>
      <c r="P491" s="31"/>
      <c r="Q491" s="203"/>
      <c r="R491" s="203"/>
      <c r="S491" s="203"/>
      <c r="T491" s="203"/>
    </row>
    <row r="492" ht="15.75" customHeight="1">
      <c r="A492" s="202"/>
      <c r="B492" s="202"/>
      <c r="C492" s="202"/>
      <c r="D492" s="31"/>
      <c r="E492" s="31"/>
      <c r="F492" s="144"/>
      <c r="G492" s="31"/>
      <c r="H492" s="31"/>
      <c r="I492" s="31"/>
      <c r="J492" s="31"/>
      <c r="K492" s="31"/>
      <c r="L492" s="31"/>
      <c r="M492" s="31"/>
      <c r="N492" s="31"/>
      <c r="O492" s="31"/>
      <c r="P492" s="31"/>
      <c r="Q492" s="203"/>
      <c r="R492" s="203"/>
      <c r="S492" s="203"/>
      <c r="T492" s="203"/>
    </row>
    <row r="493" ht="15.75" customHeight="1">
      <c r="A493" s="202"/>
      <c r="B493" s="202"/>
      <c r="C493" s="202"/>
      <c r="D493" s="31"/>
      <c r="E493" s="31"/>
      <c r="F493" s="144"/>
      <c r="G493" s="31"/>
      <c r="H493" s="31"/>
      <c r="I493" s="31"/>
      <c r="J493" s="31"/>
      <c r="K493" s="31"/>
      <c r="L493" s="31"/>
      <c r="M493" s="31"/>
      <c r="N493" s="31"/>
      <c r="O493" s="31"/>
      <c r="P493" s="31"/>
      <c r="Q493" s="203"/>
      <c r="R493" s="203"/>
      <c r="S493" s="203"/>
      <c r="T493" s="203"/>
    </row>
    <row r="494" ht="15.75" customHeight="1">
      <c r="A494" s="202"/>
      <c r="B494" s="202"/>
      <c r="C494" s="202"/>
      <c r="D494" s="31"/>
      <c r="E494" s="31"/>
      <c r="F494" s="144"/>
      <c r="G494" s="31"/>
      <c r="H494" s="31"/>
      <c r="I494" s="31"/>
      <c r="J494" s="31"/>
      <c r="K494" s="31"/>
      <c r="L494" s="31"/>
      <c r="M494" s="31"/>
      <c r="N494" s="31"/>
      <c r="O494" s="31"/>
      <c r="P494" s="31"/>
      <c r="Q494" s="203"/>
      <c r="R494" s="203"/>
      <c r="S494" s="203"/>
      <c r="T494" s="203"/>
    </row>
    <row r="495" ht="15.75" customHeight="1">
      <c r="A495" s="202"/>
      <c r="B495" s="202"/>
      <c r="C495" s="202"/>
      <c r="D495" s="31"/>
      <c r="E495" s="31"/>
      <c r="F495" s="144"/>
      <c r="G495" s="31"/>
      <c r="H495" s="31"/>
      <c r="I495" s="31"/>
      <c r="J495" s="31"/>
      <c r="K495" s="31"/>
      <c r="L495" s="31"/>
      <c r="M495" s="31"/>
      <c r="N495" s="31"/>
      <c r="O495" s="31"/>
      <c r="P495" s="31"/>
      <c r="Q495" s="203"/>
      <c r="R495" s="203"/>
      <c r="S495" s="203"/>
      <c r="T495" s="203"/>
    </row>
    <row r="496" ht="15.75" customHeight="1">
      <c r="A496" s="202"/>
      <c r="B496" s="202"/>
      <c r="C496" s="202"/>
      <c r="D496" s="31"/>
      <c r="E496" s="31"/>
      <c r="F496" s="144"/>
      <c r="G496" s="31"/>
      <c r="H496" s="31"/>
      <c r="I496" s="31"/>
      <c r="J496" s="31"/>
      <c r="K496" s="31"/>
      <c r="L496" s="31"/>
      <c r="M496" s="31"/>
      <c r="N496" s="31"/>
      <c r="O496" s="31"/>
      <c r="P496" s="31"/>
      <c r="Q496" s="203"/>
      <c r="R496" s="203"/>
      <c r="S496" s="203"/>
      <c r="T496" s="203"/>
    </row>
    <row r="497" ht="15.75" customHeight="1">
      <c r="A497" s="202"/>
      <c r="B497" s="202"/>
      <c r="C497" s="202"/>
      <c r="D497" s="31"/>
      <c r="E497" s="31"/>
      <c r="F497" s="144"/>
      <c r="G497" s="31"/>
      <c r="H497" s="31"/>
      <c r="I497" s="31"/>
      <c r="J497" s="31"/>
      <c r="K497" s="31"/>
      <c r="L497" s="31"/>
      <c r="M497" s="31"/>
      <c r="N497" s="31"/>
      <c r="O497" s="31"/>
      <c r="P497" s="31"/>
      <c r="Q497" s="203"/>
      <c r="R497" s="203"/>
      <c r="S497" s="203"/>
      <c r="T497" s="203"/>
    </row>
    <row r="498" ht="15.75" customHeight="1">
      <c r="A498" s="202"/>
      <c r="B498" s="202"/>
      <c r="C498" s="202"/>
      <c r="D498" s="31"/>
      <c r="E498" s="31"/>
      <c r="F498" s="144"/>
      <c r="G498" s="31"/>
      <c r="H498" s="31"/>
      <c r="I498" s="31"/>
      <c r="J498" s="31"/>
      <c r="K498" s="31"/>
      <c r="L498" s="31"/>
      <c r="M498" s="31"/>
      <c r="N498" s="31"/>
      <c r="O498" s="31"/>
      <c r="P498" s="31"/>
      <c r="Q498" s="203"/>
      <c r="R498" s="203"/>
      <c r="S498" s="203"/>
      <c r="T498" s="203"/>
    </row>
    <row r="499" ht="15.75" customHeight="1">
      <c r="A499" s="202"/>
      <c r="B499" s="202"/>
      <c r="C499" s="202"/>
      <c r="D499" s="31"/>
      <c r="E499" s="31"/>
      <c r="F499" s="144"/>
      <c r="G499" s="31"/>
      <c r="H499" s="31"/>
      <c r="I499" s="31"/>
      <c r="J499" s="31"/>
      <c r="K499" s="31"/>
      <c r="L499" s="31"/>
      <c r="M499" s="31"/>
      <c r="N499" s="31"/>
      <c r="O499" s="31"/>
      <c r="P499" s="31"/>
      <c r="Q499" s="203"/>
      <c r="R499" s="203"/>
      <c r="S499" s="203"/>
      <c r="T499" s="203"/>
    </row>
    <row r="500" ht="15.75" customHeight="1">
      <c r="A500" s="202"/>
      <c r="B500" s="202"/>
      <c r="C500" s="202"/>
      <c r="D500" s="31"/>
      <c r="E500" s="31"/>
      <c r="F500" s="144"/>
      <c r="G500" s="31"/>
      <c r="H500" s="31"/>
      <c r="I500" s="31"/>
      <c r="J500" s="31"/>
      <c r="K500" s="31"/>
      <c r="L500" s="31"/>
      <c r="M500" s="31"/>
      <c r="N500" s="31"/>
      <c r="O500" s="31"/>
      <c r="P500" s="31"/>
      <c r="Q500" s="203"/>
      <c r="R500" s="203"/>
      <c r="S500" s="203"/>
      <c r="T500" s="203"/>
    </row>
    <row r="501" ht="15.75" customHeight="1">
      <c r="A501" s="202"/>
      <c r="B501" s="202"/>
      <c r="C501" s="202"/>
      <c r="D501" s="31"/>
      <c r="E501" s="31"/>
      <c r="F501" s="144"/>
      <c r="G501" s="31"/>
      <c r="H501" s="31"/>
      <c r="I501" s="31"/>
      <c r="J501" s="31"/>
      <c r="K501" s="31"/>
      <c r="L501" s="31"/>
      <c r="M501" s="31"/>
      <c r="N501" s="31"/>
      <c r="O501" s="31"/>
      <c r="P501" s="31"/>
      <c r="Q501" s="203"/>
      <c r="R501" s="203"/>
      <c r="S501" s="203"/>
      <c r="T501" s="203"/>
    </row>
    <row r="502" ht="15.75" customHeight="1">
      <c r="A502" s="202"/>
      <c r="B502" s="202"/>
      <c r="C502" s="202"/>
      <c r="D502" s="31"/>
      <c r="E502" s="31"/>
      <c r="F502" s="144"/>
      <c r="G502" s="31"/>
      <c r="H502" s="31"/>
      <c r="I502" s="31"/>
      <c r="J502" s="31"/>
      <c r="K502" s="31"/>
      <c r="L502" s="31"/>
      <c r="M502" s="31"/>
      <c r="N502" s="31"/>
      <c r="O502" s="31"/>
      <c r="P502" s="31"/>
      <c r="Q502" s="203"/>
      <c r="R502" s="203"/>
      <c r="S502" s="203"/>
      <c r="T502" s="203"/>
    </row>
    <row r="503" ht="15.75" customHeight="1">
      <c r="A503" s="202"/>
      <c r="B503" s="202"/>
      <c r="C503" s="202"/>
      <c r="D503" s="31"/>
      <c r="E503" s="31"/>
      <c r="F503" s="144"/>
      <c r="G503" s="31"/>
      <c r="H503" s="31"/>
      <c r="I503" s="31"/>
      <c r="J503" s="31"/>
      <c r="K503" s="31"/>
      <c r="L503" s="31"/>
      <c r="M503" s="31"/>
      <c r="N503" s="31"/>
      <c r="O503" s="31"/>
      <c r="P503" s="31"/>
      <c r="Q503" s="203"/>
      <c r="R503" s="203"/>
      <c r="S503" s="203"/>
      <c r="T503" s="203"/>
    </row>
    <row r="504" ht="15.75" customHeight="1">
      <c r="A504" s="202"/>
      <c r="B504" s="202"/>
      <c r="C504" s="202"/>
      <c r="D504" s="31"/>
      <c r="E504" s="31"/>
      <c r="F504" s="144"/>
      <c r="G504" s="31"/>
      <c r="H504" s="31"/>
      <c r="I504" s="31"/>
      <c r="J504" s="31"/>
      <c r="K504" s="31"/>
      <c r="L504" s="31"/>
      <c r="M504" s="31"/>
      <c r="N504" s="31"/>
      <c r="O504" s="31"/>
      <c r="P504" s="31"/>
      <c r="Q504" s="203"/>
      <c r="R504" s="203"/>
      <c r="S504" s="203"/>
      <c r="T504" s="203"/>
    </row>
    <row r="505" ht="15.75" customHeight="1">
      <c r="A505" s="202"/>
      <c r="B505" s="202"/>
      <c r="C505" s="202"/>
      <c r="D505" s="31"/>
      <c r="E505" s="31"/>
      <c r="F505" s="144"/>
      <c r="G505" s="31"/>
      <c r="H505" s="31"/>
      <c r="I505" s="31"/>
      <c r="J505" s="31"/>
      <c r="K505" s="31"/>
      <c r="L505" s="31"/>
      <c r="M505" s="31"/>
      <c r="N505" s="31"/>
      <c r="O505" s="31"/>
      <c r="P505" s="31"/>
      <c r="Q505" s="203"/>
      <c r="R505" s="203"/>
      <c r="S505" s="203"/>
      <c r="T505" s="203"/>
    </row>
    <row r="506" ht="15.75" customHeight="1">
      <c r="A506" s="202"/>
      <c r="B506" s="202"/>
      <c r="C506" s="202"/>
      <c r="D506" s="31"/>
      <c r="E506" s="31"/>
      <c r="F506" s="144"/>
      <c r="G506" s="31"/>
      <c r="H506" s="31"/>
      <c r="I506" s="31"/>
      <c r="J506" s="31"/>
      <c r="K506" s="31"/>
      <c r="L506" s="31"/>
      <c r="M506" s="31"/>
      <c r="N506" s="31"/>
      <c r="O506" s="31"/>
      <c r="P506" s="31"/>
      <c r="Q506" s="203"/>
      <c r="R506" s="203"/>
      <c r="S506" s="203"/>
      <c r="T506" s="203"/>
    </row>
    <row r="507" ht="15.75" customHeight="1">
      <c r="A507" s="202"/>
      <c r="B507" s="202"/>
      <c r="C507" s="202"/>
      <c r="D507" s="31"/>
      <c r="E507" s="31"/>
      <c r="F507" s="144"/>
      <c r="G507" s="31"/>
      <c r="H507" s="31"/>
      <c r="I507" s="31"/>
      <c r="J507" s="31"/>
      <c r="K507" s="31"/>
      <c r="L507" s="31"/>
      <c r="M507" s="31"/>
      <c r="N507" s="31"/>
      <c r="O507" s="31"/>
      <c r="P507" s="31"/>
      <c r="Q507" s="203"/>
      <c r="R507" s="203"/>
      <c r="S507" s="203"/>
      <c r="T507" s="203"/>
    </row>
    <row r="508" ht="15.75" customHeight="1">
      <c r="A508" s="202"/>
      <c r="B508" s="202"/>
      <c r="C508" s="202"/>
      <c r="D508" s="31"/>
      <c r="E508" s="31"/>
      <c r="F508" s="144"/>
      <c r="G508" s="31"/>
      <c r="H508" s="31"/>
      <c r="I508" s="31"/>
      <c r="J508" s="31"/>
      <c r="K508" s="31"/>
      <c r="L508" s="31"/>
      <c r="M508" s="31"/>
      <c r="N508" s="31"/>
      <c r="O508" s="31"/>
      <c r="P508" s="31"/>
      <c r="Q508" s="203"/>
      <c r="R508" s="203"/>
      <c r="S508" s="203"/>
      <c r="T508" s="203"/>
    </row>
    <row r="509" ht="15.75" customHeight="1">
      <c r="A509" s="202"/>
      <c r="B509" s="202"/>
      <c r="C509" s="202"/>
      <c r="D509" s="31"/>
      <c r="E509" s="31"/>
      <c r="F509" s="144"/>
      <c r="G509" s="31"/>
      <c r="H509" s="31"/>
      <c r="I509" s="31"/>
      <c r="J509" s="31"/>
      <c r="K509" s="31"/>
      <c r="L509" s="31"/>
      <c r="M509" s="31"/>
      <c r="N509" s="31"/>
      <c r="O509" s="31"/>
      <c r="P509" s="31"/>
      <c r="Q509" s="203"/>
      <c r="R509" s="203"/>
      <c r="S509" s="203"/>
      <c r="T509" s="203"/>
    </row>
    <row r="510" ht="15.75" customHeight="1">
      <c r="A510" s="202"/>
      <c r="B510" s="202"/>
      <c r="C510" s="202"/>
      <c r="D510" s="31"/>
      <c r="E510" s="31"/>
      <c r="F510" s="144"/>
      <c r="G510" s="31"/>
      <c r="H510" s="31"/>
      <c r="I510" s="31"/>
      <c r="J510" s="31"/>
      <c r="K510" s="31"/>
      <c r="L510" s="31"/>
      <c r="M510" s="31"/>
      <c r="N510" s="31"/>
      <c r="O510" s="31"/>
      <c r="P510" s="31"/>
      <c r="Q510" s="203"/>
      <c r="R510" s="203"/>
      <c r="S510" s="203"/>
      <c r="T510" s="203"/>
    </row>
    <row r="511" ht="15.75" customHeight="1">
      <c r="A511" s="202"/>
      <c r="B511" s="202"/>
      <c r="C511" s="202"/>
      <c r="D511" s="31"/>
      <c r="E511" s="31"/>
      <c r="F511" s="144"/>
      <c r="G511" s="31"/>
      <c r="H511" s="31"/>
      <c r="I511" s="31"/>
      <c r="J511" s="31"/>
      <c r="K511" s="31"/>
      <c r="L511" s="31"/>
      <c r="M511" s="31"/>
      <c r="N511" s="31"/>
      <c r="O511" s="31"/>
      <c r="P511" s="31"/>
      <c r="Q511" s="203"/>
      <c r="R511" s="203"/>
      <c r="S511" s="203"/>
      <c r="T511" s="203"/>
    </row>
    <row r="512" ht="15.75" customHeight="1">
      <c r="A512" s="202"/>
      <c r="B512" s="202"/>
      <c r="C512" s="202"/>
      <c r="D512" s="31"/>
      <c r="E512" s="31"/>
      <c r="F512" s="144"/>
      <c r="G512" s="31"/>
      <c r="H512" s="31"/>
      <c r="I512" s="31"/>
      <c r="J512" s="31"/>
      <c r="K512" s="31"/>
      <c r="L512" s="31"/>
      <c r="M512" s="31"/>
      <c r="N512" s="31"/>
      <c r="O512" s="31"/>
      <c r="P512" s="31"/>
      <c r="Q512" s="203"/>
      <c r="R512" s="203"/>
      <c r="S512" s="203"/>
      <c r="T512" s="203"/>
    </row>
    <row r="513" ht="15.75" customHeight="1">
      <c r="A513" s="202"/>
      <c r="B513" s="202"/>
      <c r="C513" s="202"/>
      <c r="D513" s="31"/>
      <c r="E513" s="31"/>
      <c r="F513" s="144"/>
      <c r="G513" s="31"/>
      <c r="H513" s="31"/>
      <c r="I513" s="31"/>
      <c r="J513" s="31"/>
      <c r="K513" s="31"/>
      <c r="L513" s="31"/>
      <c r="M513" s="31"/>
      <c r="N513" s="31"/>
      <c r="O513" s="31"/>
      <c r="P513" s="31"/>
      <c r="Q513" s="203"/>
      <c r="R513" s="203"/>
      <c r="S513" s="203"/>
      <c r="T513" s="203"/>
    </row>
    <row r="514" ht="15.75" customHeight="1">
      <c r="A514" s="202"/>
      <c r="B514" s="202"/>
      <c r="C514" s="202"/>
      <c r="D514" s="31"/>
      <c r="E514" s="31"/>
      <c r="F514" s="144"/>
      <c r="G514" s="31"/>
      <c r="H514" s="31"/>
      <c r="I514" s="31"/>
      <c r="J514" s="31"/>
      <c r="K514" s="31"/>
      <c r="L514" s="31"/>
      <c r="M514" s="31"/>
      <c r="N514" s="31"/>
      <c r="O514" s="31"/>
      <c r="P514" s="31"/>
      <c r="Q514" s="203"/>
      <c r="R514" s="203"/>
      <c r="S514" s="203"/>
      <c r="T514" s="203"/>
    </row>
    <row r="515" ht="15.75" customHeight="1">
      <c r="A515" s="202"/>
      <c r="B515" s="202"/>
      <c r="C515" s="202"/>
      <c r="D515" s="31"/>
      <c r="E515" s="31"/>
      <c r="F515" s="144"/>
      <c r="G515" s="31"/>
      <c r="H515" s="31"/>
      <c r="I515" s="31"/>
      <c r="J515" s="31"/>
      <c r="K515" s="31"/>
      <c r="L515" s="31"/>
      <c r="M515" s="31"/>
      <c r="N515" s="31"/>
      <c r="O515" s="31"/>
      <c r="P515" s="31"/>
      <c r="Q515" s="203"/>
      <c r="R515" s="203"/>
      <c r="S515" s="203"/>
      <c r="T515" s="203"/>
    </row>
    <row r="516" ht="15.75" customHeight="1">
      <c r="A516" s="202"/>
      <c r="B516" s="202"/>
      <c r="C516" s="202"/>
      <c r="D516" s="31"/>
      <c r="E516" s="31"/>
      <c r="F516" s="144"/>
      <c r="G516" s="31"/>
      <c r="H516" s="31"/>
      <c r="I516" s="31"/>
      <c r="J516" s="31"/>
      <c r="K516" s="31"/>
      <c r="L516" s="31"/>
      <c r="M516" s="31"/>
      <c r="N516" s="31"/>
      <c r="O516" s="31"/>
      <c r="P516" s="31"/>
      <c r="Q516" s="203"/>
      <c r="R516" s="203"/>
      <c r="S516" s="203"/>
      <c r="T516" s="203"/>
    </row>
    <row r="517" ht="15.75" customHeight="1">
      <c r="A517" s="202"/>
      <c r="B517" s="202"/>
      <c r="C517" s="202"/>
      <c r="D517" s="31"/>
      <c r="E517" s="31"/>
      <c r="F517" s="144"/>
      <c r="G517" s="31"/>
      <c r="H517" s="31"/>
      <c r="I517" s="31"/>
      <c r="J517" s="31"/>
      <c r="K517" s="31"/>
      <c r="L517" s="31"/>
      <c r="M517" s="31"/>
      <c r="N517" s="31"/>
      <c r="O517" s="31"/>
      <c r="P517" s="31"/>
      <c r="Q517" s="203"/>
      <c r="R517" s="203"/>
      <c r="S517" s="203"/>
      <c r="T517" s="203"/>
    </row>
    <row r="518" ht="15.75" customHeight="1">
      <c r="A518" s="202"/>
      <c r="B518" s="202"/>
      <c r="C518" s="202"/>
      <c r="D518" s="31"/>
      <c r="E518" s="31"/>
      <c r="F518" s="144"/>
      <c r="G518" s="31"/>
      <c r="H518" s="31"/>
      <c r="I518" s="31"/>
      <c r="J518" s="31"/>
      <c r="K518" s="31"/>
      <c r="L518" s="31"/>
      <c r="M518" s="31"/>
      <c r="N518" s="31"/>
      <c r="O518" s="31"/>
      <c r="P518" s="31"/>
      <c r="Q518" s="203"/>
      <c r="R518" s="203"/>
      <c r="S518" s="203"/>
      <c r="T518" s="203"/>
    </row>
    <row r="519" ht="15.75" customHeight="1">
      <c r="A519" s="202"/>
      <c r="B519" s="202"/>
      <c r="C519" s="202"/>
      <c r="D519" s="31"/>
      <c r="E519" s="31"/>
      <c r="F519" s="144"/>
      <c r="G519" s="31"/>
      <c r="H519" s="31"/>
      <c r="I519" s="31"/>
      <c r="J519" s="31"/>
      <c r="K519" s="31"/>
      <c r="L519" s="31"/>
      <c r="M519" s="31"/>
      <c r="N519" s="31"/>
      <c r="O519" s="31"/>
      <c r="P519" s="31"/>
      <c r="Q519" s="203"/>
      <c r="R519" s="203"/>
      <c r="S519" s="203"/>
      <c r="T519" s="203"/>
    </row>
    <row r="520" ht="15.75" customHeight="1">
      <c r="A520" s="202"/>
      <c r="B520" s="202"/>
      <c r="C520" s="202"/>
      <c r="D520" s="31"/>
      <c r="E520" s="31"/>
      <c r="F520" s="144"/>
      <c r="G520" s="31"/>
      <c r="H520" s="31"/>
      <c r="I520" s="31"/>
      <c r="J520" s="31"/>
      <c r="K520" s="31"/>
      <c r="L520" s="31"/>
      <c r="M520" s="31"/>
      <c r="N520" s="31"/>
      <c r="O520" s="31"/>
      <c r="P520" s="31"/>
      <c r="Q520" s="203"/>
      <c r="R520" s="203"/>
      <c r="S520" s="203"/>
      <c r="T520" s="203"/>
    </row>
    <row r="521" ht="15.75" customHeight="1">
      <c r="A521" s="202"/>
      <c r="B521" s="202"/>
      <c r="C521" s="202"/>
      <c r="D521" s="31"/>
      <c r="E521" s="31"/>
      <c r="F521" s="144"/>
      <c r="G521" s="31"/>
      <c r="H521" s="31"/>
      <c r="I521" s="31"/>
      <c r="J521" s="31"/>
      <c r="K521" s="31"/>
      <c r="L521" s="31"/>
      <c r="M521" s="31"/>
      <c r="N521" s="31"/>
      <c r="O521" s="31"/>
      <c r="P521" s="31"/>
      <c r="Q521" s="203"/>
      <c r="R521" s="203"/>
      <c r="S521" s="203"/>
      <c r="T521" s="203"/>
    </row>
    <row r="522" ht="15.75" customHeight="1">
      <c r="A522" s="202"/>
      <c r="B522" s="202"/>
      <c r="C522" s="202"/>
      <c r="D522" s="31"/>
      <c r="E522" s="31"/>
      <c r="F522" s="144"/>
      <c r="G522" s="31"/>
      <c r="H522" s="31"/>
      <c r="I522" s="31"/>
      <c r="J522" s="31"/>
      <c r="K522" s="31"/>
      <c r="L522" s="31"/>
      <c r="M522" s="31"/>
      <c r="N522" s="31"/>
      <c r="O522" s="31"/>
      <c r="P522" s="31"/>
      <c r="Q522" s="203"/>
      <c r="R522" s="203"/>
      <c r="S522" s="203"/>
      <c r="T522" s="203"/>
    </row>
    <row r="523" ht="15.75" customHeight="1">
      <c r="A523" s="202"/>
      <c r="B523" s="202"/>
      <c r="C523" s="202"/>
      <c r="D523" s="31"/>
      <c r="E523" s="31"/>
      <c r="F523" s="144"/>
      <c r="G523" s="31"/>
      <c r="H523" s="31"/>
      <c r="I523" s="31"/>
      <c r="J523" s="31"/>
      <c r="K523" s="31"/>
      <c r="L523" s="31"/>
      <c r="M523" s="31"/>
      <c r="N523" s="31"/>
      <c r="O523" s="31"/>
      <c r="P523" s="31"/>
      <c r="Q523" s="203"/>
      <c r="R523" s="203"/>
      <c r="S523" s="203"/>
      <c r="T523" s="203"/>
    </row>
    <row r="524" ht="15.75" customHeight="1">
      <c r="A524" s="202"/>
      <c r="B524" s="202"/>
      <c r="C524" s="202"/>
      <c r="D524" s="31"/>
      <c r="E524" s="31"/>
      <c r="F524" s="144"/>
      <c r="G524" s="31"/>
      <c r="H524" s="31"/>
      <c r="I524" s="31"/>
      <c r="J524" s="31"/>
      <c r="K524" s="31"/>
      <c r="L524" s="31"/>
      <c r="M524" s="31"/>
      <c r="N524" s="31"/>
      <c r="O524" s="31"/>
      <c r="P524" s="31"/>
      <c r="Q524" s="203"/>
      <c r="R524" s="203"/>
      <c r="S524" s="203"/>
      <c r="T524" s="203"/>
    </row>
    <row r="525" ht="15.75" customHeight="1">
      <c r="A525" s="202"/>
      <c r="B525" s="202"/>
      <c r="C525" s="202"/>
      <c r="D525" s="31"/>
      <c r="E525" s="31"/>
      <c r="F525" s="144"/>
      <c r="G525" s="31"/>
      <c r="H525" s="31"/>
      <c r="I525" s="31"/>
      <c r="J525" s="31"/>
      <c r="K525" s="31"/>
      <c r="L525" s="31"/>
      <c r="M525" s="31"/>
      <c r="N525" s="31"/>
      <c r="O525" s="31"/>
      <c r="P525" s="31"/>
      <c r="Q525" s="203"/>
      <c r="R525" s="203"/>
      <c r="S525" s="203"/>
      <c r="T525" s="203"/>
    </row>
    <row r="526" ht="15.75" customHeight="1">
      <c r="A526" s="202"/>
      <c r="B526" s="202"/>
      <c r="C526" s="202"/>
      <c r="D526" s="31"/>
      <c r="E526" s="31"/>
      <c r="F526" s="144"/>
      <c r="G526" s="31"/>
      <c r="H526" s="31"/>
      <c r="I526" s="31"/>
      <c r="J526" s="31"/>
      <c r="K526" s="31"/>
      <c r="L526" s="31"/>
      <c r="M526" s="31"/>
      <c r="N526" s="31"/>
      <c r="O526" s="31"/>
      <c r="P526" s="31"/>
      <c r="Q526" s="203"/>
      <c r="R526" s="203"/>
      <c r="S526" s="203"/>
      <c r="T526" s="203"/>
    </row>
    <row r="527" ht="15.75" customHeight="1">
      <c r="A527" s="202"/>
      <c r="B527" s="202"/>
      <c r="C527" s="202"/>
      <c r="D527" s="31"/>
      <c r="E527" s="31"/>
      <c r="F527" s="144"/>
      <c r="G527" s="31"/>
      <c r="H527" s="31"/>
      <c r="I527" s="31"/>
      <c r="J527" s="31"/>
      <c r="K527" s="31"/>
      <c r="L527" s="31"/>
      <c r="M527" s="31"/>
      <c r="N527" s="31"/>
      <c r="O527" s="31"/>
      <c r="P527" s="31"/>
      <c r="Q527" s="203"/>
      <c r="R527" s="203"/>
      <c r="S527" s="203"/>
      <c r="T527" s="203"/>
    </row>
    <row r="528" ht="15.75" customHeight="1">
      <c r="A528" s="202"/>
      <c r="B528" s="202"/>
      <c r="C528" s="202"/>
      <c r="D528" s="31"/>
      <c r="E528" s="31"/>
      <c r="F528" s="144"/>
      <c r="G528" s="31"/>
      <c r="H528" s="31"/>
      <c r="I528" s="31"/>
      <c r="J528" s="31"/>
      <c r="K528" s="31"/>
      <c r="L528" s="31"/>
      <c r="M528" s="31"/>
      <c r="N528" s="31"/>
      <c r="O528" s="31"/>
      <c r="P528" s="31"/>
      <c r="Q528" s="203"/>
      <c r="R528" s="203"/>
      <c r="S528" s="203"/>
      <c r="T528" s="203"/>
    </row>
    <row r="529" ht="15.75" customHeight="1">
      <c r="A529" s="202"/>
      <c r="B529" s="202"/>
      <c r="C529" s="202"/>
      <c r="D529" s="31"/>
      <c r="E529" s="31"/>
      <c r="F529" s="144"/>
      <c r="G529" s="31"/>
      <c r="H529" s="31"/>
      <c r="I529" s="31"/>
      <c r="J529" s="31"/>
      <c r="K529" s="31"/>
      <c r="L529" s="31"/>
      <c r="M529" s="31"/>
      <c r="N529" s="31"/>
      <c r="O529" s="31"/>
      <c r="P529" s="31"/>
      <c r="Q529" s="203"/>
      <c r="R529" s="203"/>
      <c r="S529" s="203"/>
      <c r="T529" s="203"/>
    </row>
    <row r="530" ht="15.75" customHeight="1">
      <c r="A530" s="202"/>
      <c r="B530" s="202"/>
      <c r="C530" s="202"/>
      <c r="D530" s="31"/>
      <c r="E530" s="31"/>
      <c r="F530" s="144"/>
      <c r="G530" s="31"/>
      <c r="H530" s="31"/>
      <c r="I530" s="31"/>
      <c r="J530" s="31"/>
      <c r="K530" s="31"/>
      <c r="L530" s="31"/>
      <c r="M530" s="31"/>
      <c r="N530" s="31"/>
      <c r="O530" s="31"/>
      <c r="P530" s="31"/>
      <c r="Q530" s="203"/>
      <c r="R530" s="203"/>
      <c r="S530" s="203"/>
      <c r="T530" s="203"/>
    </row>
    <row r="531" ht="15.75" customHeight="1">
      <c r="A531" s="202"/>
      <c r="B531" s="202"/>
      <c r="C531" s="202"/>
      <c r="D531" s="31"/>
      <c r="E531" s="31"/>
      <c r="F531" s="144"/>
      <c r="G531" s="31"/>
      <c r="H531" s="31"/>
      <c r="I531" s="31"/>
      <c r="J531" s="31"/>
      <c r="K531" s="31"/>
      <c r="L531" s="31"/>
      <c r="M531" s="31"/>
      <c r="N531" s="31"/>
      <c r="O531" s="31"/>
      <c r="P531" s="31"/>
      <c r="Q531" s="203"/>
      <c r="R531" s="203"/>
      <c r="S531" s="203"/>
      <c r="T531" s="203"/>
    </row>
    <row r="532" ht="15.75" customHeight="1">
      <c r="A532" s="202"/>
      <c r="B532" s="202"/>
      <c r="C532" s="202"/>
      <c r="D532" s="31"/>
      <c r="E532" s="31"/>
      <c r="F532" s="144"/>
      <c r="G532" s="31"/>
      <c r="H532" s="31"/>
      <c r="I532" s="31"/>
      <c r="J532" s="31"/>
      <c r="K532" s="31"/>
      <c r="L532" s="31"/>
      <c r="M532" s="31"/>
      <c r="N532" s="31"/>
      <c r="O532" s="31"/>
      <c r="P532" s="31"/>
      <c r="Q532" s="203"/>
      <c r="R532" s="203"/>
      <c r="S532" s="203"/>
      <c r="T532" s="203"/>
    </row>
    <row r="533" ht="15.75" customHeight="1">
      <c r="A533" s="202"/>
      <c r="B533" s="202"/>
      <c r="C533" s="202"/>
      <c r="D533" s="31"/>
      <c r="E533" s="31"/>
      <c r="F533" s="144"/>
      <c r="G533" s="31"/>
      <c r="H533" s="31"/>
      <c r="I533" s="31"/>
      <c r="J533" s="31"/>
      <c r="K533" s="31"/>
      <c r="L533" s="31"/>
      <c r="M533" s="31"/>
      <c r="N533" s="31"/>
      <c r="O533" s="31"/>
      <c r="P533" s="31"/>
      <c r="Q533" s="203"/>
      <c r="R533" s="203"/>
      <c r="S533" s="203"/>
      <c r="T533" s="203"/>
    </row>
    <row r="534" ht="15.75" customHeight="1">
      <c r="A534" s="202"/>
      <c r="B534" s="202"/>
      <c r="C534" s="202"/>
      <c r="D534" s="31"/>
      <c r="E534" s="31"/>
      <c r="F534" s="144"/>
      <c r="G534" s="31"/>
      <c r="H534" s="31"/>
      <c r="I534" s="31"/>
      <c r="J534" s="31"/>
      <c r="K534" s="31"/>
      <c r="L534" s="31"/>
      <c r="M534" s="31"/>
      <c r="N534" s="31"/>
      <c r="O534" s="31"/>
      <c r="P534" s="31"/>
      <c r="Q534" s="203"/>
      <c r="R534" s="203"/>
      <c r="S534" s="203"/>
      <c r="T534" s="203"/>
    </row>
    <row r="535" ht="15.75" customHeight="1">
      <c r="A535" s="202"/>
      <c r="B535" s="202"/>
      <c r="C535" s="202"/>
      <c r="D535" s="31"/>
      <c r="E535" s="31"/>
      <c r="F535" s="144"/>
      <c r="G535" s="31"/>
      <c r="H535" s="31"/>
      <c r="I535" s="31"/>
      <c r="J535" s="31"/>
      <c r="K535" s="31"/>
      <c r="L535" s="31"/>
      <c r="M535" s="31"/>
      <c r="N535" s="31"/>
      <c r="O535" s="31"/>
      <c r="P535" s="31"/>
      <c r="Q535" s="203"/>
      <c r="R535" s="203"/>
      <c r="S535" s="203"/>
      <c r="T535" s="203"/>
    </row>
    <row r="536" ht="15.75" customHeight="1">
      <c r="A536" s="202"/>
      <c r="B536" s="202"/>
      <c r="C536" s="202"/>
      <c r="D536" s="31"/>
      <c r="E536" s="31"/>
      <c r="F536" s="144"/>
      <c r="G536" s="31"/>
      <c r="H536" s="31"/>
      <c r="I536" s="31"/>
      <c r="J536" s="31"/>
      <c r="K536" s="31"/>
      <c r="L536" s="31"/>
      <c r="M536" s="31"/>
      <c r="N536" s="31"/>
      <c r="O536" s="31"/>
      <c r="P536" s="31"/>
      <c r="Q536" s="203"/>
      <c r="R536" s="203"/>
      <c r="S536" s="203"/>
      <c r="T536" s="203"/>
    </row>
    <row r="537" ht="15.75" customHeight="1">
      <c r="A537" s="202"/>
      <c r="B537" s="202"/>
      <c r="C537" s="202"/>
      <c r="D537" s="31"/>
      <c r="E537" s="31"/>
      <c r="F537" s="144"/>
      <c r="G537" s="31"/>
      <c r="H537" s="31"/>
      <c r="I537" s="31"/>
      <c r="J537" s="31"/>
      <c r="K537" s="31"/>
      <c r="L537" s="31"/>
      <c r="M537" s="31"/>
      <c r="N537" s="31"/>
      <c r="O537" s="31"/>
      <c r="P537" s="31"/>
      <c r="Q537" s="203"/>
      <c r="R537" s="203"/>
      <c r="S537" s="203"/>
      <c r="T537" s="203"/>
    </row>
    <row r="538" ht="15.75" customHeight="1">
      <c r="A538" s="202"/>
      <c r="B538" s="202"/>
      <c r="C538" s="202"/>
      <c r="D538" s="31"/>
      <c r="E538" s="31"/>
      <c r="F538" s="144"/>
      <c r="G538" s="31"/>
      <c r="H538" s="31"/>
      <c r="I538" s="31"/>
      <c r="J538" s="31"/>
      <c r="K538" s="31"/>
      <c r="L538" s="31"/>
      <c r="M538" s="31"/>
      <c r="N538" s="31"/>
      <c r="O538" s="31"/>
      <c r="P538" s="31"/>
      <c r="Q538" s="203"/>
      <c r="R538" s="203"/>
      <c r="S538" s="203"/>
      <c r="T538" s="203"/>
    </row>
    <row r="539" ht="15.75" customHeight="1">
      <c r="A539" s="202"/>
      <c r="B539" s="202"/>
      <c r="C539" s="202"/>
      <c r="D539" s="31"/>
      <c r="E539" s="31"/>
      <c r="F539" s="144"/>
      <c r="G539" s="31"/>
      <c r="H539" s="31"/>
      <c r="I539" s="31"/>
      <c r="J539" s="31"/>
      <c r="K539" s="31"/>
      <c r="L539" s="31"/>
      <c r="M539" s="31"/>
      <c r="N539" s="31"/>
      <c r="O539" s="31"/>
      <c r="P539" s="31"/>
      <c r="Q539" s="203"/>
      <c r="R539" s="203"/>
      <c r="S539" s="203"/>
      <c r="T539" s="203"/>
    </row>
    <row r="540" ht="15.75" customHeight="1">
      <c r="A540" s="202"/>
      <c r="B540" s="202"/>
      <c r="C540" s="202"/>
      <c r="D540" s="31"/>
      <c r="E540" s="31"/>
      <c r="F540" s="144"/>
      <c r="G540" s="31"/>
      <c r="H540" s="31"/>
      <c r="I540" s="31"/>
      <c r="J540" s="31"/>
      <c r="K540" s="31"/>
      <c r="L540" s="31"/>
      <c r="M540" s="31"/>
      <c r="N540" s="31"/>
      <c r="O540" s="31"/>
      <c r="P540" s="31"/>
      <c r="Q540" s="203"/>
      <c r="R540" s="203"/>
      <c r="S540" s="203"/>
      <c r="T540" s="203"/>
    </row>
    <row r="541" ht="15.75" customHeight="1">
      <c r="A541" s="202"/>
      <c r="B541" s="202"/>
      <c r="C541" s="202"/>
      <c r="D541" s="31"/>
      <c r="E541" s="31"/>
      <c r="F541" s="144"/>
      <c r="G541" s="31"/>
      <c r="H541" s="31"/>
      <c r="I541" s="31"/>
      <c r="J541" s="31"/>
      <c r="K541" s="31"/>
      <c r="L541" s="31"/>
      <c r="M541" s="31"/>
      <c r="N541" s="31"/>
      <c r="O541" s="31"/>
      <c r="P541" s="31"/>
      <c r="Q541" s="203"/>
      <c r="R541" s="203"/>
      <c r="S541" s="203"/>
      <c r="T541" s="203"/>
    </row>
    <row r="542" ht="15.75" customHeight="1">
      <c r="A542" s="202"/>
      <c r="B542" s="202"/>
      <c r="C542" s="202"/>
      <c r="D542" s="31"/>
      <c r="E542" s="31"/>
      <c r="F542" s="144"/>
      <c r="G542" s="31"/>
      <c r="H542" s="31"/>
      <c r="I542" s="31"/>
      <c r="J542" s="31"/>
      <c r="K542" s="31"/>
      <c r="L542" s="31"/>
      <c r="M542" s="31"/>
      <c r="N542" s="31"/>
      <c r="O542" s="31"/>
      <c r="P542" s="31"/>
      <c r="Q542" s="203"/>
      <c r="R542" s="203"/>
      <c r="S542" s="203"/>
      <c r="T542" s="203"/>
    </row>
    <row r="543" ht="15.75" customHeight="1">
      <c r="A543" s="202"/>
      <c r="B543" s="202"/>
      <c r="C543" s="202"/>
      <c r="D543" s="31"/>
      <c r="E543" s="31"/>
      <c r="F543" s="144"/>
      <c r="G543" s="31"/>
      <c r="H543" s="31"/>
      <c r="I543" s="31"/>
      <c r="J543" s="31"/>
      <c r="K543" s="31"/>
      <c r="L543" s="31"/>
      <c r="M543" s="31"/>
      <c r="N543" s="31"/>
      <c r="O543" s="31"/>
      <c r="P543" s="31"/>
      <c r="Q543" s="203"/>
      <c r="R543" s="203"/>
      <c r="S543" s="203"/>
      <c r="T543" s="203"/>
    </row>
    <row r="544" ht="15.75" customHeight="1">
      <c r="A544" s="202"/>
      <c r="B544" s="202"/>
      <c r="C544" s="202"/>
      <c r="D544" s="31"/>
      <c r="E544" s="31"/>
      <c r="F544" s="144"/>
      <c r="G544" s="31"/>
      <c r="H544" s="31"/>
      <c r="I544" s="31"/>
      <c r="J544" s="31"/>
      <c r="K544" s="31"/>
      <c r="L544" s="31"/>
      <c r="M544" s="31"/>
      <c r="N544" s="31"/>
      <c r="O544" s="31"/>
      <c r="P544" s="31"/>
      <c r="Q544" s="203"/>
      <c r="R544" s="203"/>
      <c r="S544" s="203"/>
      <c r="T544" s="203"/>
    </row>
    <row r="545" ht="15.75" customHeight="1">
      <c r="A545" s="202"/>
      <c r="B545" s="202"/>
      <c r="C545" s="202"/>
      <c r="D545" s="31"/>
      <c r="E545" s="31"/>
      <c r="F545" s="144"/>
      <c r="G545" s="31"/>
      <c r="H545" s="31"/>
      <c r="I545" s="31"/>
      <c r="J545" s="31"/>
      <c r="K545" s="31"/>
      <c r="L545" s="31"/>
      <c r="M545" s="31"/>
      <c r="N545" s="31"/>
      <c r="O545" s="31"/>
      <c r="P545" s="31"/>
      <c r="Q545" s="203"/>
      <c r="R545" s="203"/>
      <c r="S545" s="203"/>
      <c r="T545" s="203"/>
    </row>
    <row r="546" ht="15.75" customHeight="1">
      <c r="A546" s="202"/>
      <c r="B546" s="202"/>
      <c r="C546" s="202"/>
      <c r="D546" s="31"/>
      <c r="E546" s="31"/>
      <c r="F546" s="144"/>
      <c r="G546" s="31"/>
      <c r="H546" s="31"/>
      <c r="I546" s="31"/>
      <c r="J546" s="31"/>
      <c r="K546" s="31"/>
      <c r="L546" s="31"/>
      <c r="M546" s="31"/>
      <c r="N546" s="31"/>
      <c r="O546" s="31"/>
      <c r="P546" s="31"/>
      <c r="Q546" s="203"/>
      <c r="R546" s="203"/>
      <c r="S546" s="203"/>
      <c r="T546" s="203"/>
    </row>
    <row r="547" ht="15.75" customHeight="1">
      <c r="A547" s="202"/>
      <c r="B547" s="202"/>
      <c r="C547" s="202"/>
      <c r="D547" s="31"/>
      <c r="E547" s="31"/>
      <c r="F547" s="144"/>
      <c r="G547" s="31"/>
      <c r="H547" s="31"/>
      <c r="I547" s="31"/>
      <c r="J547" s="31"/>
      <c r="K547" s="31"/>
      <c r="L547" s="31"/>
      <c r="M547" s="31"/>
      <c r="N547" s="31"/>
      <c r="O547" s="31"/>
      <c r="P547" s="31"/>
      <c r="Q547" s="203"/>
      <c r="R547" s="203"/>
      <c r="S547" s="203"/>
      <c r="T547" s="203"/>
    </row>
    <row r="548" ht="15.75" customHeight="1">
      <c r="A548" s="202"/>
      <c r="B548" s="202"/>
      <c r="C548" s="202"/>
      <c r="D548" s="31"/>
      <c r="E548" s="31"/>
      <c r="F548" s="144"/>
      <c r="G548" s="31"/>
      <c r="H548" s="31"/>
      <c r="I548" s="31"/>
      <c r="J548" s="31"/>
      <c r="K548" s="31"/>
      <c r="L548" s="31"/>
      <c r="M548" s="31"/>
      <c r="N548" s="31"/>
      <c r="O548" s="31"/>
      <c r="P548" s="31"/>
      <c r="Q548" s="203"/>
      <c r="R548" s="203"/>
      <c r="S548" s="203"/>
      <c r="T548" s="203"/>
    </row>
    <row r="549" ht="15.75" customHeight="1">
      <c r="A549" s="202"/>
      <c r="B549" s="202"/>
      <c r="C549" s="202"/>
      <c r="D549" s="31"/>
      <c r="E549" s="31"/>
      <c r="F549" s="144"/>
      <c r="G549" s="31"/>
      <c r="H549" s="31"/>
      <c r="I549" s="31"/>
      <c r="J549" s="31"/>
      <c r="K549" s="31"/>
      <c r="L549" s="31"/>
      <c r="M549" s="31"/>
      <c r="N549" s="31"/>
      <c r="O549" s="31"/>
      <c r="P549" s="31"/>
      <c r="Q549" s="203"/>
      <c r="R549" s="203"/>
      <c r="S549" s="203"/>
      <c r="T549" s="203"/>
    </row>
    <row r="550" ht="15.75" customHeight="1">
      <c r="A550" s="202"/>
      <c r="B550" s="202"/>
      <c r="C550" s="202"/>
      <c r="D550" s="31"/>
      <c r="E550" s="31"/>
      <c r="F550" s="144"/>
      <c r="G550" s="31"/>
      <c r="H550" s="31"/>
      <c r="I550" s="31"/>
      <c r="J550" s="31"/>
      <c r="K550" s="31"/>
      <c r="L550" s="31"/>
      <c r="M550" s="31"/>
      <c r="N550" s="31"/>
      <c r="O550" s="31"/>
      <c r="P550" s="31"/>
      <c r="Q550" s="203"/>
      <c r="R550" s="203"/>
      <c r="S550" s="203"/>
      <c r="T550" s="203"/>
    </row>
    <row r="551" ht="15.75" customHeight="1">
      <c r="A551" s="202"/>
      <c r="B551" s="202"/>
      <c r="C551" s="202"/>
      <c r="D551" s="31"/>
      <c r="E551" s="31"/>
      <c r="F551" s="144"/>
      <c r="G551" s="31"/>
      <c r="H551" s="31"/>
      <c r="I551" s="31"/>
      <c r="J551" s="31"/>
      <c r="K551" s="31"/>
      <c r="L551" s="31"/>
      <c r="M551" s="31"/>
      <c r="N551" s="31"/>
      <c r="O551" s="31"/>
      <c r="P551" s="31"/>
      <c r="Q551" s="203"/>
      <c r="R551" s="203"/>
      <c r="S551" s="203"/>
      <c r="T551" s="203"/>
    </row>
    <row r="552" ht="15.75" customHeight="1">
      <c r="A552" s="202"/>
      <c r="B552" s="202"/>
      <c r="C552" s="202"/>
      <c r="D552" s="31"/>
      <c r="E552" s="31"/>
      <c r="F552" s="144"/>
      <c r="G552" s="31"/>
      <c r="H552" s="31"/>
      <c r="I552" s="31"/>
      <c r="J552" s="31"/>
      <c r="K552" s="31"/>
      <c r="L552" s="31"/>
      <c r="M552" s="31"/>
      <c r="N552" s="31"/>
      <c r="O552" s="31"/>
      <c r="P552" s="31"/>
      <c r="Q552" s="203"/>
      <c r="R552" s="203"/>
      <c r="S552" s="203"/>
      <c r="T552" s="203"/>
    </row>
    <row r="553" ht="15.75" customHeight="1">
      <c r="A553" s="202"/>
      <c r="B553" s="202"/>
      <c r="C553" s="202"/>
      <c r="D553" s="31"/>
      <c r="E553" s="31"/>
      <c r="F553" s="144"/>
      <c r="G553" s="31"/>
      <c r="H553" s="31"/>
      <c r="I553" s="31"/>
      <c r="J553" s="31"/>
      <c r="K553" s="31"/>
      <c r="L553" s="31"/>
      <c r="M553" s="31"/>
      <c r="N553" s="31"/>
      <c r="O553" s="31"/>
      <c r="P553" s="31"/>
      <c r="Q553" s="203"/>
      <c r="R553" s="203"/>
      <c r="S553" s="203"/>
      <c r="T553" s="203"/>
    </row>
    <row r="554" ht="15.75" customHeight="1">
      <c r="A554" s="202"/>
      <c r="B554" s="202"/>
      <c r="C554" s="202"/>
      <c r="D554" s="31"/>
      <c r="E554" s="31"/>
      <c r="F554" s="144"/>
      <c r="G554" s="31"/>
      <c r="H554" s="31"/>
      <c r="I554" s="31"/>
      <c r="J554" s="31"/>
      <c r="K554" s="31"/>
      <c r="L554" s="31"/>
      <c r="M554" s="31"/>
      <c r="N554" s="31"/>
      <c r="O554" s="31"/>
      <c r="P554" s="31"/>
      <c r="Q554" s="203"/>
      <c r="R554" s="203"/>
      <c r="S554" s="203"/>
      <c r="T554" s="203"/>
    </row>
    <row r="555" ht="15.75" customHeight="1">
      <c r="A555" s="202"/>
      <c r="B555" s="202"/>
      <c r="C555" s="202"/>
      <c r="D555" s="31"/>
      <c r="E555" s="31"/>
      <c r="F555" s="144"/>
      <c r="G555" s="31"/>
      <c r="H555" s="31"/>
      <c r="I555" s="31"/>
      <c r="J555" s="31"/>
      <c r="K555" s="31"/>
      <c r="L555" s="31"/>
      <c r="M555" s="31"/>
      <c r="N555" s="31"/>
      <c r="O555" s="31"/>
      <c r="P555" s="31"/>
      <c r="Q555" s="203"/>
      <c r="R555" s="203"/>
      <c r="S555" s="203"/>
      <c r="T555" s="203"/>
    </row>
    <row r="556" ht="15.75" customHeight="1">
      <c r="A556" s="202"/>
      <c r="B556" s="202"/>
      <c r="C556" s="202"/>
      <c r="D556" s="31"/>
      <c r="E556" s="31"/>
      <c r="F556" s="144"/>
      <c r="G556" s="31"/>
      <c r="H556" s="31"/>
      <c r="I556" s="31"/>
      <c r="J556" s="31"/>
      <c r="K556" s="31"/>
      <c r="L556" s="31"/>
      <c r="M556" s="31"/>
      <c r="N556" s="31"/>
      <c r="O556" s="31"/>
      <c r="P556" s="31"/>
      <c r="Q556" s="203"/>
      <c r="R556" s="203"/>
      <c r="S556" s="203"/>
      <c r="T556" s="203"/>
    </row>
    <row r="557" ht="15.75" customHeight="1">
      <c r="A557" s="202"/>
      <c r="B557" s="202"/>
      <c r="C557" s="202"/>
      <c r="D557" s="31"/>
      <c r="E557" s="31"/>
      <c r="F557" s="144"/>
      <c r="G557" s="31"/>
      <c r="H557" s="31"/>
      <c r="I557" s="31"/>
      <c r="J557" s="31"/>
      <c r="K557" s="31"/>
      <c r="L557" s="31"/>
      <c r="M557" s="31"/>
      <c r="N557" s="31"/>
      <c r="O557" s="31"/>
      <c r="P557" s="31"/>
      <c r="Q557" s="203"/>
      <c r="R557" s="203"/>
      <c r="S557" s="203"/>
      <c r="T557" s="203"/>
    </row>
    <row r="558" ht="15.75" customHeight="1">
      <c r="A558" s="202"/>
      <c r="B558" s="202"/>
      <c r="C558" s="202"/>
      <c r="D558" s="31"/>
      <c r="E558" s="31"/>
      <c r="F558" s="144"/>
      <c r="G558" s="31"/>
      <c r="H558" s="31"/>
      <c r="I558" s="31"/>
      <c r="J558" s="31"/>
      <c r="K558" s="31"/>
      <c r="L558" s="31"/>
      <c r="M558" s="31"/>
      <c r="N558" s="31"/>
      <c r="O558" s="31"/>
      <c r="P558" s="31"/>
      <c r="Q558" s="203"/>
      <c r="R558" s="203"/>
      <c r="S558" s="203"/>
      <c r="T558" s="203"/>
    </row>
    <row r="559" ht="15.75" customHeight="1">
      <c r="A559" s="202"/>
      <c r="B559" s="202"/>
      <c r="C559" s="202"/>
      <c r="D559" s="31"/>
      <c r="E559" s="31"/>
      <c r="F559" s="144"/>
      <c r="G559" s="31"/>
      <c r="H559" s="31"/>
      <c r="I559" s="31"/>
      <c r="J559" s="31"/>
      <c r="K559" s="31"/>
      <c r="L559" s="31"/>
      <c r="M559" s="31"/>
      <c r="N559" s="31"/>
      <c r="O559" s="31"/>
      <c r="P559" s="31"/>
      <c r="Q559" s="203"/>
      <c r="R559" s="203"/>
      <c r="S559" s="203"/>
      <c r="T559" s="203"/>
    </row>
    <row r="560" ht="15.75" customHeight="1">
      <c r="A560" s="202"/>
      <c r="B560" s="202"/>
      <c r="C560" s="202"/>
      <c r="D560" s="31"/>
      <c r="E560" s="31"/>
      <c r="F560" s="144"/>
      <c r="G560" s="31"/>
      <c r="H560" s="31"/>
      <c r="I560" s="31"/>
      <c r="J560" s="31"/>
      <c r="K560" s="31"/>
      <c r="L560" s="31"/>
      <c r="M560" s="31"/>
      <c r="N560" s="31"/>
      <c r="O560" s="31"/>
      <c r="P560" s="31"/>
      <c r="Q560" s="203"/>
      <c r="R560" s="203"/>
      <c r="S560" s="203"/>
      <c r="T560" s="203"/>
    </row>
    <row r="561" ht="15.75" customHeight="1">
      <c r="A561" s="202"/>
      <c r="B561" s="202"/>
      <c r="C561" s="202"/>
      <c r="D561" s="31"/>
      <c r="E561" s="31"/>
      <c r="F561" s="144"/>
      <c r="G561" s="31"/>
      <c r="H561" s="31"/>
      <c r="I561" s="31"/>
      <c r="J561" s="31"/>
      <c r="K561" s="31"/>
      <c r="L561" s="31"/>
      <c r="M561" s="31"/>
      <c r="N561" s="31"/>
      <c r="O561" s="31"/>
      <c r="P561" s="31"/>
      <c r="Q561" s="203"/>
      <c r="R561" s="203"/>
      <c r="S561" s="203"/>
      <c r="T561" s="203"/>
    </row>
    <row r="562" ht="15.75" customHeight="1">
      <c r="A562" s="202"/>
      <c r="B562" s="202"/>
      <c r="C562" s="202"/>
      <c r="D562" s="31"/>
      <c r="E562" s="31"/>
      <c r="F562" s="144"/>
      <c r="G562" s="31"/>
      <c r="H562" s="31"/>
      <c r="I562" s="31"/>
      <c r="J562" s="31"/>
      <c r="K562" s="31"/>
      <c r="L562" s="31"/>
      <c r="M562" s="31"/>
      <c r="N562" s="31"/>
      <c r="O562" s="31"/>
      <c r="P562" s="31"/>
      <c r="Q562" s="203"/>
      <c r="R562" s="203"/>
      <c r="S562" s="203"/>
      <c r="T562" s="203"/>
    </row>
    <row r="563" ht="15.75" customHeight="1">
      <c r="A563" s="202"/>
      <c r="B563" s="202"/>
      <c r="C563" s="202"/>
      <c r="D563" s="31"/>
      <c r="E563" s="31"/>
      <c r="F563" s="144"/>
      <c r="G563" s="31"/>
      <c r="H563" s="31"/>
      <c r="I563" s="31"/>
      <c r="J563" s="31"/>
      <c r="K563" s="31"/>
      <c r="L563" s="31"/>
      <c r="M563" s="31"/>
      <c r="N563" s="31"/>
      <c r="O563" s="31"/>
      <c r="P563" s="31"/>
      <c r="Q563" s="203"/>
      <c r="R563" s="203"/>
      <c r="S563" s="203"/>
      <c r="T563" s="203"/>
    </row>
    <row r="564" ht="15.75" customHeight="1">
      <c r="A564" s="202"/>
      <c r="B564" s="202"/>
      <c r="C564" s="202"/>
      <c r="D564" s="31"/>
      <c r="E564" s="31"/>
      <c r="F564" s="144"/>
      <c r="G564" s="31"/>
      <c r="H564" s="31"/>
      <c r="I564" s="31"/>
      <c r="J564" s="31"/>
      <c r="K564" s="31"/>
      <c r="L564" s="31"/>
      <c r="M564" s="31"/>
      <c r="N564" s="31"/>
      <c r="O564" s="31"/>
      <c r="P564" s="31"/>
      <c r="Q564" s="203"/>
      <c r="R564" s="203"/>
      <c r="S564" s="203"/>
      <c r="T564" s="203"/>
    </row>
    <row r="565" ht="15.75" customHeight="1">
      <c r="A565" s="202"/>
      <c r="B565" s="202"/>
      <c r="C565" s="202"/>
      <c r="D565" s="31"/>
      <c r="E565" s="31"/>
      <c r="F565" s="144"/>
      <c r="G565" s="31"/>
      <c r="H565" s="31"/>
      <c r="I565" s="31"/>
      <c r="J565" s="31"/>
      <c r="K565" s="31"/>
      <c r="L565" s="31"/>
      <c r="M565" s="31"/>
      <c r="N565" s="31"/>
      <c r="O565" s="31"/>
      <c r="P565" s="31"/>
      <c r="Q565" s="203"/>
      <c r="R565" s="203"/>
      <c r="S565" s="203"/>
      <c r="T565" s="203"/>
    </row>
    <row r="566" ht="15.75" customHeight="1">
      <c r="A566" s="202"/>
      <c r="B566" s="202"/>
      <c r="C566" s="202"/>
      <c r="D566" s="31"/>
      <c r="E566" s="31"/>
      <c r="F566" s="144"/>
      <c r="G566" s="31"/>
      <c r="H566" s="31"/>
      <c r="I566" s="31"/>
      <c r="J566" s="31"/>
      <c r="K566" s="31"/>
      <c r="L566" s="31"/>
      <c r="M566" s="31"/>
      <c r="N566" s="31"/>
      <c r="O566" s="31"/>
      <c r="P566" s="31"/>
      <c r="Q566" s="203"/>
      <c r="R566" s="203"/>
      <c r="S566" s="203"/>
      <c r="T566" s="203"/>
    </row>
    <row r="567" ht="15.75" customHeight="1">
      <c r="A567" s="202"/>
      <c r="B567" s="202"/>
      <c r="C567" s="202"/>
      <c r="D567" s="31"/>
      <c r="E567" s="31"/>
      <c r="F567" s="144"/>
      <c r="G567" s="31"/>
      <c r="H567" s="31"/>
      <c r="I567" s="31"/>
      <c r="J567" s="31"/>
      <c r="K567" s="31"/>
      <c r="L567" s="31"/>
      <c r="M567" s="31"/>
      <c r="N567" s="31"/>
      <c r="O567" s="31"/>
      <c r="P567" s="31"/>
      <c r="Q567" s="203"/>
      <c r="R567" s="203"/>
      <c r="S567" s="203"/>
      <c r="T567" s="203"/>
    </row>
    <row r="568" ht="15.75" customHeight="1">
      <c r="A568" s="202"/>
      <c r="B568" s="202"/>
      <c r="C568" s="202"/>
      <c r="D568" s="31"/>
      <c r="E568" s="31"/>
      <c r="F568" s="144"/>
      <c r="G568" s="31"/>
      <c r="H568" s="31"/>
      <c r="I568" s="31"/>
      <c r="J568" s="31"/>
      <c r="K568" s="31"/>
      <c r="L568" s="31"/>
      <c r="M568" s="31"/>
      <c r="N568" s="31"/>
      <c r="O568" s="31"/>
      <c r="P568" s="31"/>
      <c r="Q568" s="203"/>
      <c r="R568" s="203"/>
      <c r="S568" s="203"/>
      <c r="T568" s="203"/>
    </row>
    <row r="569" ht="15.75" customHeight="1">
      <c r="A569" s="202"/>
      <c r="B569" s="202"/>
      <c r="C569" s="202"/>
      <c r="D569" s="31"/>
      <c r="E569" s="31"/>
      <c r="F569" s="144"/>
      <c r="G569" s="31"/>
      <c r="H569" s="31"/>
      <c r="I569" s="31"/>
      <c r="J569" s="31"/>
      <c r="K569" s="31"/>
      <c r="L569" s="31"/>
      <c r="M569" s="31"/>
      <c r="N569" s="31"/>
      <c r="O569" s="31"/>
      <c r="P569" s="31"/>
      <c r="Q569" s="203"/>
      <c r="R569" s="203"/>
      <c r="S569" s="203"/>
      <c r="T569" s="203"/>
    </row>
    <row r="570" ht="15.75" customHeight="1">
      <c r="A570" s="202"/>
      <c r="B570" s="202"/>
      <c r="C570" s="202"/>
      <c r="D570" s="31"/>
      <c r="E570" s="31"/>
      <c r="F570" s="144"/>
      <c r="G570" s="31"/>
      <c r="H570" s="31"/>
      <c r="I570" s="31"/>
      <c r="J570" s="31"/>
      <c r="K570" s="31"/>
      <c r="L570" s="31"/>
      <c r="M570" s="31"/>
      <c r="N570" s="31"/>
      <c r="O570" s="31"/>
      <c r="P570" s="31"/>
      <c r="Q570" s="203"/>
      <c r="R570" s="203"/>
      <c r="S570" s="203"/>
      <c r="T570" s="203"/>
    </row>
    <row r="571" ht="15.75" customHeight="1">
      <c r="A571" s="202"/>
      <c r="B571" s="202"/>
      <c r="C571" s="202"/>
      <c r="D571" s="31"/>
      <c r="E571" s="31"/>
      <c r="F571" s="144"/>
      <c r="G571" s="31"/>
      <c r="H571" s="31"/>
      <c r="I571" s="31"/>
      <c r="J571" s="31"/>
      <c r="K571" s="31"/>
      <c r="L571" s="31"/>
      <c r="M571" s="31"/>
      <c r="N571" s="31"/>
      <c r="O571" s="31"/>
      <c r="P571" s="31"/>
      <c r="Q571" s="203"/>
      <c r="R571" s="203"/>
      <c r="S571" s="203"/>
      <c r="T571" s="203"/>
    </row>
    <row r="572" ht="15.75" customHeight="1">
      <c r="A572" s="202"/>
      <c r="B572" s="202"/>
      <c r="C572" s="202"/>
      <c r="D572" s="31"/>
      <c r="E572" s="31"/>
      <c r="F572" s="144"/>
      <c r="G572" s="31"/>
      <c r="H572" s="31"/>
      <c r="I572" s="31"/>
      <c r="J572" s="31"/>
      <c r="K572" s="31"/>
      <c r="L572" s="31"/>
      <c r="M572" s="31"/>
      <c r="N572" s="31"/>
      <c r="O572" s="31"/>
      <c r="P572" s="31"/>
      <c r="Q572" s="203"/>
      <c r="R572" s="203"/>
      <c r="S572" s="203"/>
      <c r="T572" s="203"/>
    </row>
    <row r="573" ht="15.75" customHeight="1">
      <c r="A573" s="202"/>
      <c r="B573" s="202"/>
      <c r="C573" s="202"/>
      <c r="D573" s="31"/>
      <c r="E573" s="31"/>
      <c r="F573" s="144"/>
      <c r="G573" s="31"/>
      <c r="H573" s="31"/>
      <c r="I573" s="31"/>
      <c r="J573" s="31"/>
      <c r="K573" s="31"/>
      <c r="L573" s="31"/>
      <c r="M573" s="31"/>
      <c r="N573" s="31"/>
      <c r="O573" s="31"/>
      <c r="P573" s="31"/>
      <c r="Q573" s="203"/>
      <c r="R573" s="203"/>
      <c r="S573" s="203"/>
      <c r="T573" s="203"/>
    </row>
    <row r="574" ht="15.75" customHeight="1">
      <c r="A574" s="202"/>
      <c r="B574" s="202"/>
      <c r="C574" s="202"/>
      <c r="D574" s="31"/>
      <c r="E574" s="31"/>
      <c r="F574" s="144"/>
      <c r="G574" s="31"/>
      <c r="H574" s="31"/>
      <c r="I574" s="31"/>
      <c r="J574" s="31"/>
      <c r="K574" s="31"/>
      <c r="L574" s="31"/>
      <c r="M574" s="31"/>
      <c r="N574" s="31"/>
      <c r="O574" s="31"/>
      <c r="P574" s="31"/>
      <c r="Q574" s="203"/>
      <c r="R574" s="203"/>
      <c r="S574" s="203"/>
      <c r="T574" s="203"/>
    </row>
    <row r="575" ht="15.75" customHeight="1">
      <c r="A575" s="202"/>
      <c r="B575" s="202"/>
      <c r="C575" s="202"/>
      <c r="D575" s="31"/>
      <c r="E575" s="31"/>
      <c r="F575" s="144"/>
      <c r="G575" s="31"/>
      <c r="H575" s="31"/>
      <c r="I575" s="31"/>
      <c r="J575" s="31"/>
      <c r="K575" s="31"/>
      <c r="L575" s="31"/>
      <c r="M575" s="31"/>
      <c r="N575" s="31"/>
      <c r="O575" s="31"/>
      <c r="P575" s="31"/>
      <c r="Q575" s="203"/>
      <c r="R575" s="203"/>
      <c r="S575" s="203"/>
      <c r="T575" s="203"/>
    </row>
    <row r="576" ht="15.75" customHeight="1">
      <c r="A576" s="202"/>
      <c r="B576" s="202"/>
      <c r="C576" s="202"/>
      <c r="D576" s="31"/>
      <c r="E576" s="31"/>
      <c r="F576" s="144"/>
      <c r="G576" s="31"/>
      <c r="H576" s="31"/>
      <c r="I576" s="31"/>
      <c r="J576" s="31"/>
      <c r="K576" s="31"/>
      <c r="L576" s="31"/>
      <c r="M576" s="31"/>
      <c r="N576" s="31"/>
      <c r="O576" s="31"/>
      <c r="P576" s="31"/>
      <c r="Q576" s="203"/>
      <c r="R576" s="203"/>
      <c r="S576" s="203"/>
      <c r="T576" s="203"/>
    </row>
    <row r="577" ht="15.75" customHeight="1">
      <c r="A577" s="202"/>
      <c r="B577" s="202"/>
      <c r="C577" s="202"/>
      <c r="D577" s="31"/>
      <c r="E577" s="31"/>
      <c r="F577" s="144"/>
      <c r="G577" s="31"/>
      <c r="H577" s="31"/>
      <c r="I577" s="31"/>
      <c r="J577" s="31"/>
      <c r="K577" s="31"/>
      <c r="L577" s="31"/>
      <c r="M577" s="31"/>
      <c r="N577" s="31"/>
      <c r="O577" s="31"/>
      <c r="P577" s="31"/>
      <c r="Q577" s="203"/>
      <c r="R577" s="203"/>
      <c r="S577" s="203"/>
      <c r="T577" s="203"/>
    </row>
    <row r="578" ht="15.75" customHeight="1">
      <c r="A578" s="202"/>
      <c r="B578" s="202"/>
      <c r="C578" s="202"/>
      <c r="D578" s="31"/>
      <c r="E578" s="31"/>
      <c r="F578" s="144"/>
      <c r="G578" s="31"/>
      <c r="H578" s="31"/>
      <c r="I578" s="31"/>
      <c r="J578" s="31"/>
      <c r="K578" s="31"/>
      <c r="L578" s="31"/>
      <c r="M578" s="31"/>
      <c r="N578" s="31"/>
      <c r="O578" s="31"/>
      <c r="P578" s="31"/>
      <c r="Q578" s="203"/>
      <c r="R578" s="203"/>
      <c r="S578" s="203"/>
      <c r="T578" s="203"/>
    </row>
    <row r="579" ht="15.75" customHeight="1">
      <c r="A579" s="202"/>
      <c r="B579" s="202"/>
      <c r="C579" s="202"/>
      <c r="D579" s="31"/>
      <c r="E579" s="31"/>
      <c r="F579" s="144"/>
      <c r="G579" s="31"/>
      <c r="H579" s="31"/>
      <c r="I579" s="31"/>
      <c r="J579" s="31"/>
      <c r="K579" s="31"/>
      <c r="L579" s="31"/>
      <c r="M579" s="31"/>
      <c r="N579" s="31"/>
      <c r="O579" s="31"/>
      <c r="P579" s="31"/>
      <c r="Q579" s="203"/>
      <c r="R579" s="203"/>
      <c r="S579" s="203"/>
      <c r="T579" s="203"/>
    </row>
    <row r="580" ht="15.75" customHeight="1">
      <c r="A580" s="202"/>
      <c r="B580" s="202"/>
      <c r="C580" s="202"/>
      <c r="D580" s="31"/>
      <c r="E580" s="31"/>
      <c r="F580" s="144"/>
      <c r="G580" s="31"/>
      <c r="H580" s="31"/>
      <c r="I580" s="31"/>
      <c r="J580" s="31"/>
      <c r="K580" s="31"/>
      <c r="L580" s="31"/>
      <c r="M580" s="31"/>
      <c r="N580" s="31"/>
      <c r="O580" s="31"/>
      <c r="P580" s="31"/>
      <c r="Q580" s="203"/>
      <c r="R580" s="203"/>
      <c r="S580" s="203"/>
      <c r="T580" s="203"/>
    </row>
    <row r="581" ht="15.75" customHeight="1">
      <c r="A581" s="202"/>
      <c r="B581" s="202"/>
      <c r="C581" s="202"/>
      <c r="D581" s="31"/>
      <c r="E581" s="31"/>
      <c r="F581" s="144"/>
      <c r="G581" s="31"/>
      <c r="H581" s="31"/>
      <c r="I581" s="31"/>
      <c r="J581" s="31"/>
      <c r="K581" s="31"/>
      <c r="L581" s="31"/>
      <c r="M581" s="31"/>
      <c r="N581" s="31"/>
      <c r="O581" s="31"/>
      <c r="P581" s="31"/>
      <c r="Q581" s="203"/>
      <c r="R581" s="203"/>
      <c r="S581" s="203"/>
      <c r="T581" s="203"/>
    </row>
    <row r="582" ht="15.75" customHeight="1">
      <c r="A582" s="202"/>
      <c r="B582" s="202"/>
      <c r="C582" s="202"/>
      <c r="D582" s="31"/>
      <c r="E582" s="31"/>
      <c r="F582" s="144"/>
      <c r="G582" s="31"/>
      <c r="H582" s="31"/>
      <c r="I582" s="31"/>
      <c r="J582" s="31"/>
      <c r="K582" s="31"/>
      <c r="L582" s="31"/>
      <c r="M582" s="31"/>
      <c r="N582" s="31"/>
      <c r="O582" s="31"/>
      <c r="P582" s="31"/>
      <c r="Q582" s="203"/>
      <c r="R582" s="203"/>
      <c r="S582" s="203"/>
      <c r="T582" s="203"/>
    </row>
    <row r="583" ht="15.75" customHeight="1">
      <c r="A583" s="202"/>
      <c r="B583" s="202"/>
      <c r="C583" s="202"/>
      <c r="D583" s="31"/>
      <c r="E583" s="31"/>
      <c r="F583" s="144"/>
      <c r="G583" s="31"/>
      <c r="H583" s="31"/>
      <c r="I583" s="31"/>
      <c r="J583" s="31"/>
      <c r="K583" s="31"/>
      <c r="L583" s="31"/>
      <c r="M583" s="31"/>
      <c r="N583" s="31"/>
      <c r="O583" s="31"/>
      <c r="P583" s="31"/>
      <c r="Q583" s="203"/>
      <c r="R583" s="203"/>
      <c r="S583" s="203"/>
      <c r="T583" s="203"/>
    </row>
    <row r="584" ht="15.75" customHeight="1">
      <c r="A584" s="202"/>
      <c r="B584" s="202"/>
      <c r="C584" s="202"/>
      <c r="D584" s="31"/>
      <c r="E584" s="31"/>
      <c r="F584" s="144"/>
      <c r="G584" s="31"/>
      <c r="H584" s="31"/>
      <c r="I584" s="31"/>
      <c r="J584" s="31"/>
      <c r="K584" s="31"/>
      <c r="L584" s="31"/>
      <c r="M584" s="31"/>
      <c r="N584" s="31"/>
      <c r="O584" s="31"/>
      <c r="P584" s="31"/>
      <c r="Q584" s="203"/>
      <c r="R584" s="203"/>
      <c r="S584" s="203"/>
      <c r="T584" s="203"/>
    </row>
    <row r="585" ht="15.75" customHeight="1">
      <c r="A585" s="202"/>
      <c r="B585" s="202"/>
      <c r="C585" s="202"/>
      <c r="D585" s="31"/>
      <c r="E585" s="31"/>
      <c r="F585" s="144"/>
      <c r="G585" s="31"/>
      <c r="H585" s="31"/>
      <c r="I585" s="31"/>
      <c r="J585" s="31"/>
      <c r="K585" s="31"/>
      <c r="L585" s="31"/>
      <c r="M585" s="31"/>
      <c r="N585" s="31"/>
      <c r="O585" s="31"/>
      <c r="P585" s="31"/>
      <c r="Q585" s="203"/>
      <c r="R585" s="203"/>
      <c r="S585" s="203"/>
      <c r="T585" s="203"/>
    </row>
    <row r="586" ht="15.75" customHeight="1">
      <c r="A586" s="202"/>
      <c r="B586" s="202"/>
      <c r="C586" s="202"/>
      <c r="D586" s="31"/>
      <c r="E586" s="31"/>
      <c r="F586" s="144"/>
      <c r="G586" s="31"/>
      <c r="H586" s="31"/>
      <c r="I586" s="31"/>
      <c r="J586" s="31"/>
      <c r="K586" s="31"/>
      <c r="L586" s="31"/>
      <c r="M586" s="31"/>
      <c r="N586" s="31"/>
      <c r="O586" s="31"/>
      <c r="P586" s="31"/>
      <c r="Q586" s="203"/>
      <c r="R586" s="203"/>
      <c r="S586" s="203"/>
      <c r="T586" s="203"/>
    </row>
    <row r="587" ht="15.75" customHeight="1">
      <c r="A587" s="202"/>
      <c r="B587" s="202"/>
      <c r="C587" s="202"/>
      <c r="D587" s="31"/>
      <c r="E587" s="31"/>
      <c r="F587" s="144"/>
      <c r="G587" s="31"/>
      <c r="H587" s="31"/>
      <c r="I587" s="31"/>
      <c r="J587" s="31"/>
      <c r="K587" s="31"/>
      <c r="L587" s="31"/>
      <c r="M587" s="31"/>
      <c r="N587" s="31"/>
      <c r="O587" s="31"/>
      <c r="P587" s="31"/>
      <c r="Q587" s="203"/>
      <c r="R587" s="203"/>
      <c r="S587" s="203"/>
      <c r="T587" s="203"/>
    </row>
    <row r="588" ht="15.75" customHeight="1">
      <c r="A588" s="202"/>
      <c r="B588" s="202"/>
      <c r="C588" s="202"/>
      <c r="D588" s="31"/>
      <c r="E588" s="31"/>
      <c r="F588" s="144"/>
      <c r="G588" s="31"/>
      <c r="H588" s="31"/>
      <c r="I588" s="31"/>
      <c r="J588" s="31"/>
      <c r="K588" s="31"/>
      <c r="L588" s="31"/>
      <c r="M588" s="31"/>
      <c r="N588" s="31"/>
      <c r="O588" s="31"/>
      <c r="P588" s="31"/>
      <c r="Q588" s="203"/>
      <c r="R588" s="203"/>
      <c r="S588" s="203"/>
      <c r="T588" s="203"/>
    </row>
    <row r="589" ht="15.75" customHeight="1">
      <c r="A589" s="202"/>
      <c r="B589" s="202"/>
      <c r="C589" s="202"/>
      <c r="D589" s="31"/>
      <c r="E589" s="31"/>
      <c r="F589" s="144"/>
      <c r="G589" s="31"/>
      <c r="H589" s="31"/>
      <c r="I589" s="31"/>
      <c r="J589" s="31"/>
      <c r="K589" s="31"/>
      <c r="L589" s="31"/>
      <c r="M589" s="31"/>
      <c r="N589" s="31"/>
      <c r="O589" s="31"/>
      <c r="P589" s="31"/>
      <c r="Q589" s="203"/>
      <c r="R589" s="203"/>
      <c r="S589" s="203"/>
      <c r="T589" s="203"/>
    </row>
    <row r="590" ht="15.75" customHeight="1">
      <c r="A590" s="202"/>
      <c r="B590" s="202"/>
      <c r="C590" s="202"/>
      <c r="D590" s="31"/>
      <c r="E590" s="31"/>
      <c r="F590" s="144"/>
      <c r="G590" s="31"/>
      <c r="H590" s="31"/>
      <c r="I590" s="31"/>
      <c r="J590" s="31"/>
      <c r="K590" s="31"/>
      <c r="L590" s="31"/>
      <c r="M590" s="31"/>
      <c r="N590" s="31"/>
      <c r="O590" s="31"/>
      <c r="P590" s="31"/>
      <c r="Q590" s="203"/>
      <c r="R590" s="203"/>
      <c r="S590" s="203"/>
      <c r="T590" s="203"/>
    </row>
    <row r="591" ht="15.75" customHeight="1">
      <c r="A591" s="202"/>
      <c r="B591" s="202"/>
      <c r="C591" s="202"/>
      <c r="D591" s="31"/>
      <c r="E591" s="31"/>
      <c r="F591" s="144"/>
      <c r="G591" s="31"/>
      <c r="H591" s="31"/>
      <c r="I591" s="31"/>
      <c r="J591" s="31"/>
      <c r="K591" s="31"/>
      <c r="L591" s="31"/>
      <c r="M591" s="31"/>
      <c r="N591" s="31"/>
      <c r="O591" s="31"/>
      <c r="P591" s="31"/>
      <c r="Q591" s="203"/>
      <c r="R591" s="203"/>
      <c r="S591" s="203"/>
      <c r="T591" s="203"/>
    </row>
    <row r="592" ht="15.75" customHeight="1">
      <c r="A592" s="202"/>
      <c r="B592" s="202"/>
      <c r="C592" s="202"/>
      <c r="D592" s="31"/>
      <c r="E592" s="31"/>
      <c r="F592" s="144"/>
      <c r="G592" s="31"/>
      <c r="H592" s="31"/>
      <c r="I592" s="31"/>
      <c r="J592" s="31"/>
      <c r="K592" s="31"/>
      <c r="L592" s="31"/>
      <c r="M592" s="31"/>
      <c r="N592" s="31"/>
      <c r="O592" s="31"/>
      <c r="P592" s="31"/>
      <c r="Q592" s="203"/>
      <c r="R592" s="203"/>
      <c r="S592" s="203"/>
      <c r="T592" s="203"/>
    </row>
    <row r="593" ht="15.75" customHeight="1">
      <c r="A593" s="202"/>
      <c r="B593" s="202"/>
      <c r="C593" s="202"/>
      <c r="D593" s="31"/>
      <c r="E593" s="31"/>
      <c r="F593" s="144"/>
      <c r="G593" s="31"/>
      <c r="H593" s="31"/>
      <c r="I593" s="31"/>
      <c r="J593" s="31"/>
      <c r="K593" s="31"/>
      <c r="L593" s="31"/>
      <c r="M593" s="31"/>
      <c r="N593" s="31"/>
      <c r="O593" s="31"/>
      <c r="P593" s="31"/>
      <c r="Q593" s="203"/>
      <c r="R593" s="203"/>
      <c r="S593" s="203"/>
      <c r="T593" s="203"/>
    </row>
    <row r="594" ht="15.75" customHeight="1">
      <c r="A594" s="202"/>
      <c r="B594" s="202"/>
      <c r="C594" s="202"/>
      <c r="D594" s="31"/>
      <c r="E594" s="31"/>
      <c r="F594" s="144"/>
      <c r="G594" s="31"/>
      <c r="H594" s="31"/>
      <c r="I594" s="31"/>
      <c r="J594" s="31"/>
      <c r="K594" s="31"/>
      <c r="L594" s="31"/>
      <c r="M594" s="31"/>
      <c r="N594" s="31"/>
      <c r="O594" s="31"/>
      <c r="P594" s="31"/>
      <c r="Q594" s="203"/>
      <c r="R594" s="203"/>
      <c r="S594" s="203"/>
      <c r="T594" s="203"/>
    </row>
    <row r="595" ht="15.75" customHeight="1">
      <c r="A595" s="202"/>
      <c r="B595" s="202"/>
      <c r="C595" s="202"/>
      <c r="D595" s="31"/>
      <c r="E595" s="31"/>
      <c r="F595" s="144"/>
      <c r="G595" s="31"/>
      <c r="H595" s="31"/>
      <c r="I595" s="31"/>
      <c r="J595" s="31"/>
      <c r="K595" s="31"/>
      <c r="L595" s="31"/>
      <c r="M595" s="31"/>
      <c r="N595" s="31"/>
      <c r="O595" s="31"/>
      <c r="P595" s="31"/>
      <c r="Q595" s="203"/>
      <c r="R595" s="203"/>
      <c r="S595" s="203"/>
      <c r="T595" s="203"/>
    </row>
    <row r="596" ht="15.75" customHeight="1">
      <c r="A596" s="202"/>
      <c r="B596" s="202"/>
      <c r="C596" s="202"/>
      <c r="D596" s="31"/>
      <c r="E596" s="31"/>
      <c r="F596" s="144"/>
      <c r="G596" s="31"/>
      <c r="H596" s="31"/>
      <c r="I596" s="31"/>
      <c r="J596" s="31"/>
      <c r="K596" s="31"/>
      <c r="L596" s="31"/>
      <c r="M596" s="31"/>
      <c r="N596" s="31"/>
      <c r="O596" s="31"/>
      <c r="P596" s="31"/>
      <c r="Q596" s="203"/>
      <c r="R596" s="203"/>
      <c r="S596" s="203"/>
      <c r="T596" s="203"/>
    </row>
    <row r="597" ht="15.75" customHeight="1">
      <c r="A597" s="202"/>
      <c r="B597" s="202"/>
      <c r="C597" s="202"/>
      <c r="D597" s="31"/>
      <c r="E597" s="31"/>
      <c r="F597" s="144"/>
      <c r="G597" s="31"/>
      <c r="H597" s="31"/>
      <c r="I597" s="31"/>
      <c r="J597" s="31"/>
      <c r="K597" s="31"/>
      <c r="L597" s="31"/>
      <c r="M597" s="31"/>
      <c r="N597" s="31"/>
      <c r="O597" s="31"/>
      <c r="P597" s="31"/>
      <c r="Q597" s="203"/>
      <c r="R597" s="203"/>
      <c r="S597" s="203"/>
      <c r="T597" s="203"/>
    </row>
    <row r="598" ht="15.75" customHeight="1">
      <c r="A598" s="202"/>
      <c r="B598" s="202"/>
      <c r="C598" s="202"/>
      <c r="D598" s="31"/>
      <c r="E598" s="31"/>
      <c r="F598" s="144"/>
      <c r="G598" s="31"/>
      <c r="H598" s="31"/>
      <c r="I598" s="31"/>
      <c r="J598" s="31"/>
      <c r="K598" s="31"/>
      <c r="L598" s="31"/>
      <c r="M598" s="31"/>
      <c r="N598" s="31"/>
      <c r="O598" s="31"/>
      <c r="P598" s="31"/>
      <c r="Q598" s="203"/>
      <c r="R598" s="203"/>
      <c r="S598" s="203"/>
      <c r="T598" s="203"/>
    </row>
    <row r="599" ht="15.75" customHeight="1">
      <c r="A599" s="202"/>
      <c r="B599" s="202"/>
      <c r="C599" s="202"/>
      <c r="D599" s="31"/>
      <c r="E599" s="31"/>
      <c r="F599" s="144"/>
      <c r="G599" s="31"/>
      <c r="H599" s="31"/>
      <c r="I599" s="31"/>
      <c r="J599" s="31"/>
      <c r="K599" s="31"/>
      <c r="L599" s="31"/>
      <c r="M599" s="31"/>
      <c r="N599" s="31"/>
      <c r="O599" s="31"/>
      <c r="P599" s="31"/>
      <c r="Q599" s="203"/>
      <c r="R599" s="203"/>
      <c r="S599" s="203"/>
      <c r="T599" s="203"/>
    </row>
    <row r="600" ht="15.75" customHeight="1">
      <c r="A600" s="202"/>
      <c r="B600" s="202"/>
      <c r="C600" s="202"/>
      <c r="D600" s="31"/>
      <c r="E600" s="31"/>
      <c r="F600" s="144"/>
      <c r="G600" s="31"/>
      <c r="H600" s="31"/>
      <c r="I600" s="31"/>
      <c r="J600" s="31"/>
      <c r="K600" s="31"/>
      <c r="L600" s="31"/>
      <c r="M600" s="31"/>
      <c r="N600" s="31"/>
      <c r="O600" s="31"/>
      <c r="P600" s="31"/>
      <c r="Q600" s="203"/>
      <c r="R600" s="203"/>
      <c r="S600" s="203"/>
      <c r="T600" s="203"/>
    </row>
    <row r="601" ht="15.75" customHeight="1">
      <c r="A601" s="202"/>
      <c r="B601" s="202"/>
      <c r="C601" s="202"/>
      <c r="D601" s="31"/>
      <c r="E601" s="31"/>
      <c r="F601" s="144"/>
      <c r="G601" s="31"/>
      <c r="H601" s="31"/>
      <c r="I601" s="31"/>
      <c r="J601" s="31"/>
      <c r="K601" s="31"/>
      <c r="L601" s="31"/>
      <c r="M601" s="31"/>
      <c r="N601" s="31"/>
      <c r="O601" s="31"/>
      <c r="P601" s="31"/>
      <c r="Q601" s="203"/>
      <c r="R601" s="203"/>
      <c r="S601" s="203"/>
      <c r="T601" s="203"/>
    </row>
    <row r="602" ht="15.75" customHeight="1">
      <c r="A602" s="202"/>
      <c r="B602" s="202"/>
      <c r="C602" s="202"/>
      <c r="D602" s="31"/>
      <c r="E602" s="31"/>
      <c r="F602" s="144"/>
      <c r="G602" s="31"/>
      <c r="H602" s="31"/>
      <c r="I602" s="31"/>
      <c r="J602" s="31"/>
      <c r="K602" s="31"/>
      <c r="L602" s="31"/>
      <c r="M602" s="31"/>
      <c r="N602" s="31"/>
      <c r="O602" s="31"/>
      <c r="P602" s="31"/>
      <c r="Q602" s="203"/>
      <c r="R602" s="203"/>
      <c r="S602" s="203"/>
      <c r="T602" s="203"/>
    </row>
    <row r="603" ht="15.75" customHeight="1">
      <c r="A603" s="202"/>
      <c r="B603" s="202"/>
      <c r="C603" s="202"/>
      <c r="D603" s="31"/>
      <c r="E603" s="31"/>
      <c r="F603" s="144"/>
      <c r="G603" s="31"/>
      <c r="H603" s="31"/>
      <c r="I603" s="31"/>
      <c r="J603" s="31"/>
      <c r="K603" s="31"/>
      <c r="L603" s="31"/>
      <c r="M603" s="31"/>
      <c r="N603" s="31"/>
      <c r="O603" s="31"/>
      <c r="P603" s="31"/>
      <c r="Q603" s="203"/>
      <c r="R603" s="203"/>
      <c r="S603" s="203"/>
      <c r="T603" s="203"/>
    </row>
    <row r="604" ht="15.75" customHeight="1">
      <c r="A604" s="202"/>
      <c r="B604" s="202"/>
      <c r="C604" s="202"/>
      <c r="D604" s="31"/>
      <c r="E604" s="31"/>
      <c r="F604" s="144"/>
      <c r="G604" s="31"/>
      <c r="H604" s="31"/>
      <c r="I604" s="31"/>
      <c r="J604" s="31"/>
      <c r="K604" s="31"/>
      <c r="L604" s="31"/>
      <c r="M604" s="31"/>
      <c r="N604" s="31"/>
      <c r="O604" s="31"/>
      <c r="P604" s="31"/>
      <c r="Q604" s="203"/>
      <c r="R604" s="203"/>
      <c r="S604" s="203"/>
      <c r="T604" s="203"/>
    </row>
    <row r="605" ht="15.75" customHeight="1">
      <c r="A605" s="202"/>
      <c r="B605" s="202"/>
      <c r="C605" s="202"/>
      <c r="D605" s="31"/>
      <c r="E605" s="31"/>
      <c r="F605" s="144"/>
      <c r="G605" s="31"/>
      <c r="H605" s="31"/>
      <c r="I605" s="31"/>
      <c r="J605" s="31"/>
      <c r="K605" s="31"/>
      <c r="L605" s="31"/>
      <c r="M605" s="31"/>
      <c r="N605" s="31"/>
      <c r="O605" s="31"/>
      <c r="P605" s="31"/>
      <c r="Q605" s="203"/>
      <c r="R605" s="203"/>
      <c r="S605" s="203"/>
      <c r="T605" s="203"/>
    </row>
    <row r="606" ht="15.75" customHeight="1">
      <c r="A606" s="202"/>
      <c r="B606" s="202"/>
      <c r="C606" s="202"/>
      <c r="D606" s="31"/>
      <c r="E606" s="31"/>
      <c r="F606" s="144"/>
      <c r="G606" s="31"/>
      <c r="H606" s="31"/>
      <c r="I606" s="31"/>
      <c r="J606" s="31"/>
      <c r="K606" s="31"/>
      <c r="L606" s="31"/>
      <c r="M606" s="31"/>
      <c r="N606" s="31"/>
      <c r="O606" s="31"/>
      <c r="P606" s="31"/>
      <c r="Q606" s="203"/>
      <c r="R606" s="203"/>
      <c r="S606" s="203"/>
      <c r="T606" s="203"/>
    </row>
    <row r="607" ht="15.75" customHeight="1">
      <c r="A607" s="202"/>
      <c r="B607" s="202"/>
      <c r="C607" s="202"/>
      <c r="D607" s="31"/>
      <c r="E607" s="31"/>
      <c r="F607" s="144"/>
      <c r="G607" s="31"/>
      <c r="H607" s="31"/>
      <c r="I607" s="31"/>
      <c r="J607" s="31"/>
      <c r="K607" s="31"/>
      <c r="L607" s="31"/>
      <c r="M607" s="31"/>
      <c r="N607" s="31"/>
      <c r="O607" s="31"/>
      <c r="P607" s="31"/>
      <c r="Q607" s="203"/>
      <c r="R607" s="203"/>
      <c r="S607" s="203"/>
      <c r="T607" s="203"/>
    </row>
    <row r="608" ht="15.75" customHeight="1">
      <c r="A608" s="202"/>
      <c r="B608" s="202"/>
      <c r="C608" s="202"/>
      <c r="D608" s="31"/>
      <c r="E608" s="31"/>
      <c r="F608" s="144"/>
      <c r="G608" s="31"/>
      <c r="H608" s="31"/>
      <c r="I608" s="31"/>
      <c r="J608" s="31"/>
      <c r="K608" s="31"/>
      <c r="L608" s="31"/>
      <c r="M608" s="31"/>
      <c r="N608" s="31"/>
      <c r="O608" s="31"/>
      <c r="P608" s="31"/>
      <c r="Q608" s="203"/>
      <c r="R608" s="203"/>
      <c r="S608" s="203"/>
      <c r="T608" s="203"/>
    </row>
    <row r="609" ht="15.75" customHeight="1">
      <c r="A609" s="202"/>
      <c r="B609" s="202"/>
      <c r="C609" s="202"/>
      <c r="D609" s="31"/>
      <c r="E609" s="31"/>
      <c r="F609" s="144"/>
      <c r="G609" s="31"/>
      <c r="H609" s="31"/>
      <c r="I609" s="31"/>
      <c r="J609" s="31"/>
      <c r="K609" s="31"/>
      <c r="L609" s="31"/>
      <c r="M609" s="31"/>
      <c r="N609" s="31"/>
      <c r="O609" s="31"/>
      <c r="P609" s="31"/>
      <c r="Q609" s="203"/>
      <c r="R609" s="203"/>
      <c r="S609" s="203"/>
      <c r="T609" s="203"/>
    </row>
    <row r="610" ht="15.75" customHeight="1">
      <c r="A610" s="202"/>
      <c r="B610" s="202"/>
      <c r="C610" s="202"/>
      <c r="D610" s="31"/>
      <c r="E610" s="31"/>
      <c r="F610" s="144"/>
      <c r="G610" s="31"/>
      <c r="H610" s="31"/>
      <c r="I610" s="31"/>
      <c r="J610" s="31"/>
      <c r="K610" s="31"/>
      <c r="L610" s="31"/>
      <c r="M610" s="31"/>
      <c r="N610" s="31"/>
      <c r="O610" s="31"/>
      <c r="P610" s="31"/>
      <c r="Q610" s="203"/>
      <c r="R610" s="203"/>
      <c r="S610" s="203"/>
      <c r="T610" s="203"/>
    </row>
    <row r="611" ht="15.75" customHeight="1">
      <c r="A611" s="202"/>
      <c r="B611" s="202"/>
      <c r="C611" s="202"/>
      <c r="D611" s="31"/>
      <c r="E611" s="31"/>
      <c r="F611" s="144"/>
      <c r="G611" s="31"/>
      <c r="H611" s="31"/>
      <c r="I611" s="31"/>
      <c r="J611" s="31"/>
      <c r="K611" s="31"/>
      <c r="L611" s="31"/>
      <c r="M611" s="31"/>
      <c r="N611" s="31"/>
      <c r="O611" s="31"/>
      <c r="P611" s="31"/>
      <c r="Q611" s="203"/>
      <c r="R611" s="203"/>
      <c r="S611" s="203"/>
      <c r="T611" s="203"/>
    </row>
    <row r="612" ht="15.75" customHeight="1">
      <c r="A612" s="202"/>
      <c r="B612" s="202"/>
      <c r="C612" s="202"/>
      <c r="D612" s="31"/>
      <c r="E612" s="31"/>
      <c r="F612" s="144"/>
      <c r="G612" s="31"/>
      <c r="H612" s="31"/>
      <c r="I612" s="31"/>
      <c r="J612" s="31"/>
      <c r="K612" s="31"/>
      <c r="L612" s="31"/>
      <c r="M612" s="31"/>
      <c r="N612" s="31"/>
      <c r="O612" s="31"/>
      <c r="P612" s="31"/>
      <c r="Q612" s="203"/>
      <c r="R612" s="203"/>
      <c r="S612" s="203"/>
      <c r="T612" s="203"/>
    </row>
    <row r="613" ht="15.75" customHeight="1">
      <c r="A613" s="202"/>
      <c r="B613" s="202"/>
      <c r="C613" s="202"/>
      <c r="D613" s="31"/>
      <c r="E613" s="31"/>
      <c r="F613" s="144"/>
      <c r="G613" s="31"/>
      <c r="H613" s="31"/>
      <c r="I613" s="31"/>
      <c r="J613" s="31"/>
      <c r="K613" s="31"/>
      <c r="L613" s="31"/>
      <c r="M613" s="31"/>
      <c r="N613" s="31"/>
      <c r="O613" s="31"/>
      <c r="P613" s="31"/>
      <c r="Q613" s="203"/>
      <c r="R613" s="203"/>
      <c r="S613" s="203"/>
      <c r="T613" s="203"/>
    </row>
    <row r="614" ht="15.75" customHeight="1">
      <c r="A614" s="202"/>
      <c r="B614" s="202"/>
      <c r="C614" s="202"/>
      <c r="D614" s="31"/>
      <c r="E614" s="31"/>
      <c r="F614" s="144"/>
      <c r="G614" s="31"/>
      <c r="H614" s="31"/>
      <c r="I614" s="31"/>
      <c r="J614" s="31"/>
      <c r="K614" s="31"/>
      <c r="L614" s="31"/>
      <c r="M614" s="31"/>
      <c r="N614" s="31"/>
      <c r="O614" s="31"/>
      <c r="P614" s="31"/>
      <c r="Q614" s="203"/>
      <c r="R614" s="203"/>
      <c r="S614" s="203"/>
      <c r="T614" s="203"/>
    </row>
    <row r="615" ht="15.75" customHeight="1">
      <c r="A615" s="202"/>
      <c r="B615" s="202"/>
      <c r="C615" s="202"/>
      <c r="D615" s="31"/>
      <c r="E615" s="31"/>
      <c r="F615" s="144"/>
      <c r="G615" s="31"/>
      <c r="H615" s="31"/>
      <c r="I615" s="31"/>
      <c r="J615" s="31"/>
      <c r="K615" s="31"/>
      <c r="L615" s="31"/>
      <c r="M615" s="31"/>
      <c r="N615" s="31"/>
      <c r="O615" s="31"/>
      <c r="P615" s="31"/>
      <c r="Q615" s="203"/>
      <c r="R615" s="203"/>
      <c r="S615" s="203"/>
      <c r="T615" s="203"/>
    </row>
    <row r="616" ht="15.75" customHeight="1">
      <c r="A616" s="202"/>
      <c r="B616" s="202"/>
      <c r="C616" s="202"/>
      <c r="D616" s="31"/>
      <c r="E616" s="31"/>
      <c r="F616" s="144"/>
      <c r="G616" s="31"/>
      <c r="H616" s="31"/>
      <c r="I616" s="31"/>
      <c r="J616" s="31"/>
      <c r="K616" s="31"/>
      <c r="L616" s="31"/>
      <c r="M616" s="31"/>
      <c r="N616" s="31"/>
      <c r="O616" s="31"/>
      <c r="P616" s="31"/>
      <c r="Q616" s="203"/>
      <c r="R616" s="203"/>
      <c r="S616" s="203"/>
      <c r="T616" s="203"/>
    </row>
    <row r="617" ht="15.75" customHeight="1">
      <c r="A617" s="202"/>
      <c r="B617" s="202"/>
      <c r="C617" s="202"/>
      <c r="D617" s="31"/>
      <c r="E617" s="31"/>
      <c r="F617" s="144"/>
      <c r="G617" s="31"/>
      <c r="H617" s="31"/>
      <c r="I617" s="31"/>
      <c r="J617" s="31"/>
      <c r="K617" s="31"/>
      <c r="L617" s="31"/>
      <c r="M617" s="31"/>
      <c r="N617" s="31"/>
      <c r="O617" s="31"/>
      <c r="P617" s="31"/>
      <c r="Q617" s="203"/>
      <c r="R617" s="203"/>
      <c r="S617" s="203"/>
      <c r="T617" s="203"/>
    </row>
    <row r="618" ht="15.75" customHeight="1">
      <c r="A618" s="202"/>
      <c r="B618" s="202"/>
      <c r="C618" s="202"/>
      <c r="D618" s="31"/>
      <c r="E618" s="31"/>
      <c r="F618" s="144"/>
      <c r="G618" s="31"/>
      <c r="H618" s="31"/>
      <c r="I618" s="31"/>
      <c r="J618" s="31"/>
      <c r="K618" s="31"/>
      <c r="L618" s="31"/>
      <c r="M618" s="31"/>
      <c r="N618" s="31"/>
      <c r="O618" s="31"/>
      <c r="P618" s="31"/>
      <c r="Q618" s="203"/>
      <c r="R618" s="203"/>
      <c r="S618" s="203"/>
      <c r="T618" s="203"/>
    </row>
    <row r="619" ht="15.75" customHeight="1">
      <c r="A619" s="202"/>
      <c r="B619" s="202"/>
      <c r="C619" s="202"/>
      <c r="D619" s="31"/>
      <c r="E619" s="31"/>
      <c r="F619" s="144"/>
      <c r="G619" s="31"/>
      <c r="H619" s="31"/>
      <c r="I619" s="31"/>
      <c r="J619" s="31"/>
      <c r="K619" s="31"/>
      <c r="L619" s="31"/>
      <c r="M619" s="31"/>
      <c r="N619" s="31"/>
      <c r="O619" s="31"/>
      <c r="P619" s="31"/>
      <c r="Q619" s="203"/>
      <c r="R619" s="203"/>
      <c r="S619" s="203"/>
      <c r="T619" s="203"/>
    </row>
    <row r="620" ht="15.75" customHeight="1">
      <c r="A620" s="202"/>
      <c r="B620" s="202"/>
      <c r="C620" s="202"/>
      <c r="D620" s="31"/>
      <c r="E620" s="31"/>
      <c r="F620" s="144"/>
      <c r="G620" s="31"/>
      <c r="H620" s="31"/>
      <c r="I620" s="31"/>
      <c r="J620" s="31"/>
      <c r="K620" s="31"/>
      <c r="L620" s="31"/>
      <c r="M620" s="31"/>
      <c r="N620" s="31"/>
      <c r="O620" s="31"/>
      <c r="P620" s="31"/>
      <c r="Q620" s="203"/>
      <c r="R620" s="203"/>
      <c r="S620" s="203"/>
      <c r="T620" s="203"/>
    </row>
    <row r="621" ht="15.75" customHeight="1">
      <c r="A621" s="202"/>
      <c r="B621" s="202"/>
      <c r="C621" s="202"/>
      <c r="D621" s="31"/>
      <c r="E621" s="31"/>
      <c r="F621" s="144"/>
      <c r="G621" s="31"/>
      <c r="H621" s="31"/>
      <c r="I621" s="31"/>
      <c r="J621" s="31"/>
      <c r="K621" s="31"/>
      <c r="L621" s="31"/>
      <c r="M621" s="31"/>
      <c r="N621" s="31"/>
      <c r="O621" s="31"/>
      <c r="P621" s="31"/>
      <c r="Q621" s="203"/>
      <c r="R621" s="203"/>
      <c r="S621" s="203"/>
      <c r="T621" s="203"/>
    </row>
    <row r="622" ht="15.75" customHeight="1">
      <c r="A622" s="202"/>
      <c r="B622" s="202"/>
      <c r="C622" s="202"/>
      <c r="D622" s="31"/>
      <c r="E622" s="31"/>
      <c r="F622" s="144"/>
      <c r="G622" s="31"/>
      <c r="H622" s="31"/>
      <c r="I622" s="31"/>
      <c r="J622" s="31"/>
      <c r="K622" s="31"/>
      <c r="L622" s="31"/>
      <c r="M622" s="31"/>
      <c r="N622" s="31"/>
      <c r="O622" s="31"/>
      <c r="P622" s="31"/>
      <c r="Q622" s="203"/>
      <c r="R622" s="203"/>
      <c r="S622" s="203"/>
      <c r="T622" s="203"/>
    </row>
    <row r="623" ht="15.75" customHeight="1">
      <c r="A623" s="202"/>
      <c r="B623" s="202"/>
      <c r="C623" s="202"/>
      <c r="D623" s="31"/>
      <c r="E623" s="31"/>
      <c r="F623" s="144"/>
      <c r="G623" s="31"/>
      <c r="H623" s="31"/>
      <c r="I623" s="31"/>
      <c r="J623" s="31"/>
      <c r="K623" s="31"/>
      <c r="L623" s="31"/>
      <c r="M623" s="31"/>
      <c r="N623" s="31"/>
      <c r="O623" s="31"/>
      <c r="P623" s="31"/>
      <c r="Q623" s="203"/>
      <c r="R623" s="203"/>
      <c r="S623" s="203"/>
      <c r="T623" s="203"/>
    </row>
    <row r="624" ht="15.75" customHeight="1">
      <c r="A624" s="202"/>
      <c r="B624" s="202"/>
      <c r="C624" s="202"/>
      <c r="D624" s="31"/>
      <c r="E624" s="31"/>
      <c r="F624" s="144"/>
      <c r="G624" s="31"/>
      <c r="H624" s="31"/>
      <c r="I624" s="31"/>
      <c r="J624" s="31"/>
      <c r="K624" s="31"/>
      <c r="L624" s="31"/>
      <c r="M624" s="31"/>
      <c r="N624" s="31"/>
      <c r="O624" s="31"/>
      <c r="P624" s="31"/>
      <c r="Q624" s="203"/>
      <c r="R624" s="203"/>
      <c r="S624" s="203"/>
      <c r="T624" s="203"/>
    </row>
    <row r="625" ht="15.75" customHeight="1">
      <c r="A625" s="202"/>
      <c r="B625" s="202"/>
      <c r="C625" s="202"/>
      <c r="D625" s="31"/>
      <c r="E625" s="31"/>
      <c r="F625" s="144"/>
      <c r="G625" s="31"/>
      <c r="H625" s="31"/>
      <c r="I625" s="31"/>
      <c r="J625" s="31"/>
      <c r="K625" s="31"/>
      <c r="L625" s="31"/>
      <c r="M625" s="31"/>
      <c r="N625" s="31"/>
      <c r="O625" s="31"/>
      <c r="P625" s="31"/>
      <c r="Q625" s="203"/>
      <c r="R625" s="203"/>
      <c r="S625" s="203"/>
      <c r="T625" s="203"/>
    </row>
    <row r="626" ht="15.75" customHeight="1">
      <c r="A626" s="202"/>
      <c r="B626" s="202"/>
      <c r="C626" s="202"/>
      <c r="D626" s="31"/>
      <c r="E626" s="31"/>
      <c r="F626" s="144"/>
      <c r="G626" s="31"/>
      <c r="H626" s="31"/>
      <c r="I626" s="31"/>
      <c r="J626" s="31"/>
      <c r="K626" s="31"/>
      <c r="L626" s="31"/>
      <c r="M626" s="31"/>
      <c r="N626" s="31"/>
      <c r="O626" s="31"/>
      <c r="P626" s="31"/>
      <c r="Q626" s="203"/>
      <c r="R626" s="203"/>
      <c r="S626" s="203"/>
      <c r="T626" s="203"/>
    </row>
    <row r="627" ht="15.75" customHeight="1">
      <c r="A627" s="202"/>
      <c r="B627" s="202"/>
      <c r="C627" s="202"/>
      <c r="D627" s="31"/>
      <c r="E627" s="31"/>
      <c r="F627" s="144"/>
      <c r="G627" s="31"/>
      <c r="H627" s="31"/>
      <c r="I627" s="31"/>
      <c r="J627" s="31"/>
      <c r="K627" s="31"/>
      <c r="L627" s="31"/>
      <c r="M627" s="31"/>
      <c r="N627" s="31"/>
      <c r="O627" s="31"/>
      <c r="P627" s="31"/>
      <c r="Q627" s="203"/>
      <c r="R627" s="203"/>
      <c r="S627" s="203"/>
      <c r="T627" s="203"/>
    </row>
    <row r="628" ht="15.75" customHeight="1">
      <c r="A628" s="202"/>
      <c r="B628" s="202"/>
      <c r="C628" s="202"/>
      <c r="D628" s="31"/>
      <c r="E628" s="31"/>
      <c r="F628" s="144"/>
      <c r="G628" s="31"/>
      <c r="H628" s="31"/>
      <c r="I628" s="31"/>
      <c r="J628" s="31"/>
      <c r="K628" s="31"/>
      <c r="L628" s="31"/>
      <c r="M628" s="31"/>
      <c r="N628" s="31"/>
      <c r="O628" s="31"/>
      <c r="P628" s="31"/>
      <c r="Q628" s="203"/>
      <c r="R628" s="203"/>
      <c r="S628" s="203"/>
      <c r="T628" s="203"/>
    </row>
    <row r="629" ht="15.75" customHeight="1">
      <c r="A629" s="202"/>
      <c r="B629" s="202"/>
      <c r="C629" s="202"/>
      <c r="D629" s="31"/>
      <c r="E629" s="31"/>
      <c r="F629" s="144"/>
      <c r="G629" s="31"/>
      <c r="H629" s="31"/>
      <c r="I629" s="31"/>
      <c r="J629" s="31"/>
      <c r="K629" s="31"/>
      <c r="L629" s="31"/>
      <c r="M629" s="31"/>
      <c r="N629" s="31"/>
      <c r="O629" s="31"/>
      <c r="P629" s="31"/>
      <c r="Q629" s="203"/>
      <c r="R629" s="203"/>
      <c r="S629" s="203"/>
      <c r="T629" s="203"/>
    </row>
    <row r="630" ht="15.75" customHeight="1">
      <c r="A630" s="202"/>
      <c r="B630" s="202"/>
      <c r="C630" s="202"/>
      <c r="D630" s="31"/>
      <c r="E630" s="31"/>
      <c r="F630" s="144"/>
      <c r="G630" s="31"/>
      <c r="H630" s="31"/>
      <c r="I630" s="31"/>
      <c r="J630" s="31"/>
      <c r="K630" s="31"/>
      <c r="L630" s="31"/>
      <c r="M630" s="31"/>
      <c r="N630" s="31"/>
      <c r="O630" s="31"/>
      <c r="P630" s="31"/>
      <c r="Q630" s="203"/>
      <c r="R630" s="203"/>
      <c r="S630" s="203"/>
      <c r="T630" s="203"/>
    </row>
    <row r="631" ht="15.75" customHeight="1">
      <c r="A631" s="202"/>
      <c r="B631" s="202"/>
      <c r="C631" s="202"/>
      <c r="D631" s="31"/>
      <c r="E631" s="31"/>
      <c r="F631" s="144"/>
      <c r="G631" s="31"/>
      <c r="H631" s="31"/>
      <c r="I631" s="31"/>
      <c r="J631" s="31"/>
      <c r="K631" s="31"/>
      <c r="L631" s="31"/>
      <c r="M631" s="31"/>
      <c r="N631" s="31"/>
      <c r="O631" s="31"/>
      <c r="P631" s="31"/>
      <c r="Q631" s="203"/>
      <c r="R631" s="203"/>
      <c r="S631" s="203"/>
      <c r="T631" s="203"/>
    </row>
    <row r="632" ht="15.75" customHeight="1">
      <c r="A632" s="202"/>
      <c r="B632" s="202"/>
      <c r="C632" s="202"/>
      <c r="D632" s="31"/>
      <c r="E632" s="31"/>
      <c r="F632" s="144"/>
      <c r="G632" s="31"/>
      <c r="H632" s="31"/>
      <c r="I632" s="31"/>
      <c r="J632" s="31"/>
      <c r="K632" s="31"/>
      <c r="L632" s="31"/>
      <c r="M632" s="31"/>
      <c r="N632" s="31"/>
      <c r="O632" s="31"/>
      <c r="P632" s="31"/>
      <c r="Q632" s="203"/>
      <c r="R632" s="203"/>
      <c r="S632" s="203"/>
      <c r="T632" s="203"/>
    </row>
    <row r="633" ht="15.75" customHeight="1">
      <c r="A633" s="202"/>
      <c r="B633" s="202"/>
      <c r="C633" s="202"/>
      <c r="D633" s="31"/>
      <c r="E633" s="31"/>
      <c r="F633" s="144"/>
      <c r="G633" s="31"/>
      <c r="H633" s="31"/>
      <c r="I633" s="31"/>
      <c r="J633" s="31"/>
      <c r="K633" s="31"/>
      <c r="L633" s="31"/>
      <c r="M633" s="31"/>
      <c r="N633" s="31"/>
      <c r="O633" s="31"/>
      <c r="P633" s="31"/>
      <c r="Q633" s="203"/>
      <c r="R633" s="203"/>
      <c r="S633" s="203"/>
      <c r="T633" s="203"/>
    </row>
    <row r="634" ht="15.75" customHeight="1">
      <c r="A634" s="202"/>
      <c r="B634" s="202"/>
      <c r="C634" s="202"/>
      <c r="D634" s="31"/>
      <c r="E634" s="31"/>
      <c r="F634" s="144"/>
      <c r="G634" s="31"/>
      <c r="H634" s="31"/>
      <c r="I634" s="31"/>
      <c r="J634" s="31"/>
      <c r="K634" s="31"/>
      <c r="L634" s="31"/>
      <c r="M634" s="31"/>
      <c r="N634" s="31"/>
      <c r="O634" s="31"/>
      <c r="P634" s="31"/>
      <c r="Q634" s="203"/>
      <c r="R634" s="203"/>
      <c r="S634" s="203"/>
      <c r="T634" s="203"/>
    </row>
    <row r="635" ht="15.75" customHeight="1">
      <c r="A635" s="202"/>
      <c r="B635" s="202"/>
      <c r="C635" s="202"/>
      <c r="D635" s="31"/>
      <c r="E635" s="31"/>
      <c r="F635" s="144"/>
      <c r="G635" s="31"/>
      <c r="H635" s="31"/>
      <c r="I635" s="31"/>
      <c r="J635" s="31"/>
      <c r="K635" s="31"/>
      <c r="L635" s="31"/>
      <c r="M635" s="31"/>
      <c r="N635" s="31"/>
      <c r="O635" s="31"/>
      <c r="P635" s="31"/>
      <c r="Q635" s="203"/>
      <c r="R635" s="203"/>
      <c r="S635" s="203"/>
      <c r="T635" s="203"/>
    </row>
    <row r="636" ht="15.75" customHeight="1">
      <c r="A636" s="202"/>
      <c r="B636" s="202"/>
      <c r="C636" s="202"/>
      <c r="D636" s="31"/>
      <c r="E636" s="31"/>
      <c r="F636" s="144"/>
      <c r="G636" s="31"/>
      <c r="H636" s="31"/>
      <c r="I636" s="31"/>
      <c r="J636" s="31"/>
      <c r="K636" s="31"/>
      <c r="L636" s="31"/>
      <c r="M636" s="31"/>
      <c r="N636" s="31"/>
      <c r="O636" s="31"/>
      <c r="P636" s="31"/>
      <c r="Q636" s="203"/>
      <c r="R636" s="203"/>
      <c r="S636" s="203"/>
      <c r="T636" s="203"/>
    </row>
    <row r="637" ht="15.75" customHeight="1">
      <c r="A637" s="202"/>
      <c r="B637" s="202"/>
      <c r="C637" s="202"/>
      <c r="D637" s="31"/>
      <c r="E637" s="31"/>
      <c r="F637" s="144"/>
      <c r="G637" s="31"/>
      <c r="H637" s="31"/>
      <c r="I637" s="31"/>
      <c r="J637" s="31"/>
      <c r="K637" s="31"/>
      <c r="L637" s="31"/>
      <c r="M637" s="31"/>
      <c r="N637" s="31"/>
      <c r="O637" s="31"/>
      <c r="P637" s="31"/>
      <c r="Q637" s="203"/>
      <c r="R637" s="203"/>
      <c r="S637" s="203"/>
      <c r="T637" s="203"/>
    </row>
    <row r="638" ht="15.75" customHeight="1">
      <c r="A638" s="202"/>
      <c r="B638" s="202"/>
      <c r="C638" s="202"/>
      <c r="D638" s="31"/>
      <c r="E638" s="31"/>
      <c r="F638" s="144"/>
      <c r="G638" s="31"/>
      <c r="H638" s="31"/>
      <c r="I638" s="31"/>
      <c r="J638" s="31"/>
      <c r="K638" s="31"/>
      <c r="L638" s="31"/>
      <c r="M638" s="31"/>
      <c r="N638" s="31"/>
      <c r="O638" s="31"/>
      <c r="P638" s="31"/>
      <c r="Q638" s="203"/>
      <c r="R638" s="203"/>
      <c r="S638" s="203"/>
      <c r="T638" s="203"/>
    </row>
    <row r="639" ht="15.75" customHeight="1">
      <c r="A639" s="202"/>
      <c r="B639" s="202"/>
      <c r="C639" s="202"/>
      <c r="D639" s="31"/>
      <c r="E639" s="31"/>
      <c r="F639" s="144"/>
      <c r="G639" s="31"/>
      <c r="H639" s="31"/>
      <c r="I639" s="31"/>
      <c r="J639" s="31"/>
      <c r="K639" s="31"/>
      <c r="L639" s="31"/>
      <c r="M639" s="31"/>
      <c r="N639" s="31"/>
      <c r="O639" s="31"/>
      <c r="P639" s="31"/>
      <c r="Q639" s="203"/>
      <c r="R639" s="203"/>
      <c r="S639" s="203"/>
      <c r="T639" s="203"/>
    </row>
    <row r="640" ht="15.75" customHeight="1">
      <c r="A640" s="202"/>
      <c r="B640" s="202"/>
      <c r="C640" s="202"/>
      <c r="D640" s="31"/>
      <c r="E640" s="31"/>
      <c r="F640" s="144"/>
      <c r="G640" s="31"/>
      <c r="H640" s="31"/>
      <c r="I640" s="31"/>
      <c r="J640" s="31"/>
      <c r="K640" s="31"/>
      <c r="L640" s="31"/>
      <c r="M640" s="31"/>
      <c r="N640" s="31"/>
      <c r="O640" s="31"/>
      <c r="P640" s="31"/>
      <c r="Q640" s="203"/>
      <c r="R640" s="203"/>
      <c r="S640" s="203"/>
      <c r="T640" s="203"/>
    </row>
    <row r="641" ht="15.75" customHeight="1">
      <c r="A641" s="202"/>
      <c r="B641" s="202"/>
      <c r="C641" s="202"/>
      <c r="D641" s="31"/>
      <c r="E641" s="31"/>
      <c r="F641" s="144"/>
      <c r="G641" s="31"/>
      <c r="H641" s="31"/>
      <c r="I641" s="31"/>
      <c r="J641" s="31"/>
      <c r="K641" s="31"/>
      <c r="L641" s="31"/>
      <c r="M641" s="31"/>
      <c r="N641" s="31"/>
      <c r="O641" s="31"/>
      <c r="P641" s="31"/>
      <c r="Q641" s="203"/>
      <c r="R641" s="203"/>
      <c r="S641" s="203"/>
      <c r="T641" s="203"/>
    </row>
    <row r="642" ht="15.75" customHeight="1">
      <c r="A642" s="202"/>
      <c r="B642" s="202"/>
      <c r="C642" s="202"/>
      <c r="D642" s="31"/>
      <c r="E642" s="31"/>
      <c r="F642" s="144"/>
      <c r="G642" s="31"/>
      <c r="H642" s="31"/>
      <c r="I642" s="31"/>
      <c r="J642" s="31"/>
      <c r="K642" s="31"/>
      <c r="L642" s="31"/>
      <c r="M642" s="31"/>
      <c r="N642" s="31"/>
      <c r="O642" s="31"/>
      <c r="P642" s="31"/>
      <c r="Q642" s="203"/>
      <c r="R642" s="203"/>
      <c r="S642" s="203"/>
      <c r="T642" s="203"/>
    </row>
    <row r="643" ht="15.75" customHeight="1">
      <c r="A643" s="202"/>
      <c r="B643" s="202"/>
      <c r="C643" s="202"/>
      <c r="D643" s="31"/>
      <c r="E643" s="31"/>
      <c r="F643" s="144"/>
      <c r="G643" s="31"/>
      <c r="H643" s="31"/>
      <c r="I643" s="31"/>
      <c r="J643" s="31"/>
      <c r="K643" s="31"/>
      <c r="L643" s="31"/>
      <c r="M643" s="31"/>
      <c r="N643" s="31"/>
      <c r="O643" s="31"/>
      <c r="P643" s="31"/>
      <c r="Q643" s="203"/>
      <c r="R643" s="203"/>
      <c r="S643" s="203"/>
      <c r="T643" s="203"/>
    </row>
    <row r="644" ht="15.75" customHeight="1">
      <c r="A644" s="202"/>
      <c r="B644" s="202"/>
      <c r="C644" s="202"/>
      <c r="D644" s="31"/>
      <c r="E644" s="31"/>
      <c r="F644" s="144"/>
      <c r="G644" s="31"/>
      <c r="H644" s="31"/>
      <c r="I644" s="31"/>
      <c r="J644" s="31"/>
      <c r="K644" s="31"/>
      <c r="L644" s="31"/>
      <c r="M644" s="31"/>
      <c r="N644" s="31"/>
      <c r="O644" s="31"/>
      <c r="P644" s="31"/>
      <c r="Q644" s="203"/>
      <c r="R644" s="203"/>
      <c r="S644" s="203"/>
      <c r="T644" s="203"/>
    </row>
    <row r="645" ht="15.75" customHeight="1">
      <c r="A645" s="202"/>
      <c r="B645" s="202"/>
      <c r="C645" s="202"/>
      <c r="D645" s="31"/>
      <c r="E645" s="31"/>
      <c r="F645" s="144"/>
      <c r="G645" s="31"/>
      <c r="H645" s="31"/>
      <c r="I645" s="31"/>
      <c r="J645" s="31"/>
      <c r="K645" s="31"/>
      <c r="L645" s="31"/>
      <c r="M645" s="31"/>
      <c r="N645" s="31"/>
      <c r="O645" s="31"/>
      <c r="P645" s="31"/>
      <c r="Q645" s="203"/>
      <c r="R645" s="203"/>
      <c r="S645" s="203"/>
      <c r="T645" s="203"/>
    </row>
    <row r="646" ht="15.75" customHeight="1">
      <c r="A646" s="202"/>
      <c r="B646" s="202"/>
      <c r="C646" s="202"/>
      <c r="D646" s="31"/>
      <c r="E646" s="31"/>
      <c r="F646" s="144"/>
      <c r="G646" s="31"/>
      <c r="H646" s="31"/>
      <c r="I646" s="31"/>
      <c r="J646" s="31"/>
      <c r="K646" s="31"/>
      <c r="L646" s="31"/>
      <c r="M646" s="31"/>
      <c r="N646" s="31"/>
      <c r="O646" s="31"/>
      <c r="P646" s="31"/>
      <c r="Q646" s="203"/>
      <c r="R646" s="203"/>
      <c r="S646" s="203"/>
      <c r="T646" s="203"/>
    </row>
    <row r="647" ht="15.75" customHeight="1">
      <c r="A647" s="202"/>
      <c r="B647" s="202"/>
      <c r="C647" s="202"/>
      <c r="D647" s="31"/>
      <c r="E647" s="31"/>
      <c r="F647" s="144"/>
      <c r="G647" s="31"/>
      <c r="H647" s="31"/>
      <c r="I647" s="31"/>
      <c r="J647" s="31"/>
      <c r="K647" s="31"/>
      <c r="L647" s="31"/>
      <c r="M647" s="31"/>
      <c r="N647" s="31"/>
      <c r="O647" s="31"/>
      <c r="P647" s="31"/>
      <c r="Q647" s="203"/>
      <c r="R647" s="203"/>
      <c r="S647" s="203"/>
      <c r="T647" s="203"/>
    </row>
    <row r="648" ht="15.75" customHeight="1">
      <c r="A648" s="202"/>
      <c r="B648" s="202"/>
      <c r="C648" s="202"/>
      <c r="D648" s="31"/>
      <c r="E648" s="31"/>
      <c r="F648" s="144"/>
      <c r="G648" s="31"/>
      <c r="H648" s="31"/>
      <c r="I648" s="31"/>
      <c r="J648" s="31"/>
      <c r="K648" s="31"/>
      <c r="L648" s="31"/>
      <c r="M648" s="31"/>
      <c r="N648" s="31"/>
      <c r="O648" s="31"/>
      <c r="P648" s="31"/>
      <c r="Q648" s="203"/>
      <c r="R648" s="203"/>
      <c r="S648" s="203"/>
      <c r="T648" s="203"/>
    </row>
    <row r="649" ht="15.75" customHeight="1">
      <c r="A649" s="202"/>
      <c r="B649" s="202"/>
      <c r="C649" s="202"/>
      <c r="D649" s="31"/>
      <c r="E649" s="31"/>
      <c r="F649" s="144"/>
      <c r="G649" s="31"/>
      <c r="H649" s="31"/>
      <c r="I649" s="31"/>
      <c r="J649" s="31"/>
      <c r="K649" s="31"/>
      <c r="L649" s="31"/>
      <c r="M649" s="31"/>
      <c r="N649" s="31"/>
      <c r="O649" s="31"/>
      <c r="P649" s="31"/>
      <c r="Q649" s="203"/>
      <c r="R649" s="203"/>
      <c r="S649" s="203"/>
      <c r="T649" s="203"/>
    </row>
    <row r="650" ht="15.75" customHeight="1">
      <c r="A650" s="202"/>
      <c r="B650" s="202"/>
      <c r="C650" s="202"/>
      <c r="D650" s="31"/>
      <c r="E650" s="31"/>
      <c r="F650" s="144"/>
      <c r="G650" s="31"/>
      <c r="H650" s="31"/>
      <c r="I650" s="31"/>
      <c r="J650" s="31"/>
      <c r="K650" s="31"/>
      <c r="L650" s="31"/>
      <c r="M650" s="31"/>
      <c r="N650" s="31"/>
      <c r="O650" s="31"/>
      <c r="P650" s="31"/>
      <c r="Q650" s="203"/>
      <c r="R650" s="203"/>
      <c r="S650" s="203"/>
      <c r="T650" s="203"/>
    </row>
    <row r="651" ht="15.75" customHeight="1">
      <c r="A651" s="202"/>
      <c r="B651" s="202"/>
      <c r="C651" s="202"/>
      <c r="D651" s="31"/>
      <c r="E651" s="31"/>
      <c r="F651" s="144"/>
      <c r="G651" s="31"/>
      <c r="H651" s="31"/>
      <c r="I651" s="31"/>
      <c r="J651" s="31"/>
      <c r="K651" s="31"/>
      <c r="L651" s="31"/>
      <c r="M651" s="31"/>
      <c r="N651" s="31"/>
      <c r="O651" s="31"/>
      <c r="P651" s="31"/>
      <c r="Q651" s="203"/>
      <c r="R651" s="203"/>
      <c r="S651" s="203"/>
      <c r="T651" s="203"/>
    </row>
    <row r="652" ht="15.75" customHeight="1">
      <c r="A652" s="202"/>
      <c r="B652" s="202"/>
      <c r="C652" s="202"/>
      <c r="D652" s="31"/>
      <c r="E652" s="31"/>
      <c r="F652" s="144"/>
      <c r="G652" s="31"/>
      <c r="H652" s="31"/>
      <c r="I652" s="31"/>
      <c r="J652" s="31"/>
      <c r="K652" s="31"/>
      <c r="L652" s="31"/>
      <c r="M652" s="31"/>
      <c r="N652" s="31"/>
      <c r="O652" s="31"/>
      <c r="P652" s="31"/>
      <c r="Q652" s="203"/>
      <c r="R652" s="203"/>
      <c r="S652" s="203"/>
      <c r="T652" s="203"/>
    </row>
    <row r="653" ht="15.75" customHeight="1">
      <c r="A653" s="202"/>
      <c r="B653" s="202"/>
      <c r="C653" s="202"/>
      <c r="D653" s="31"/>
      <c r="E653" s="31"/>
      <c r="F653" s="144"/>
      <c r="G653" s="31"/>
      <c r="H653" s="31"/>
      <c r="I653" s="31"/>
      <c r="J653" s="31"/>
      <c r="K653" s="31"/>
      <c r="L653" s="31"/>
      <c r="M653" s="31"/>
      <c r="N653" s="31"/>
      <c r="O653" s="31"/>
      <c r="P653" s="31"/>
      <c r="Q653" s="203"/>
      <c r="R653" s="203"/>
      <c r="S653" s="203"/>
      <c r="T653" s="203"/>
    </row>
    <row r="654" ht="15.75" customHeight="1">
      <c r="A654" s="202"/>
      <c r="B654" s="202"/>
      <c r="C654" s="202"/>
      <c r="D654" s="31"/>
      <c r="E654" s="31"/>
      <c r="F654" s="144"/>
      <c r="G654" s="31"/>
      <c r="H654" s="31"/>
      <c r="I654" s="31"/>
      <c r="J654" s="31"/>
      <c r="K654" s="31"/>
      <c r="L654" s="31"/>
      <c r="M654" s="31"/>
      <c r="N654" s="31"/>
      <c r="O654" s="31"/>
      <c r="P654" s="31"/>
      <c r="Q654" s="203"/>
      <c r="R654" s="203"/>
      <c r="S654" s="203"/>
      <c r="T654" s="203"/>
    </row>
    <row r="655" ht="15.75" customHeight="1">
      <c r="A655" s="202"/>
      <c r="B655" s="202"/>
      <c r="C655" s="202"/>
      <c r="D655" s="31"/>
      <c r="E655" s="31"/>
      <c r="F655" s="144"/>
      <c r="G655" s="31"/>
      <c r="H655" s="31"/>
      <c r="I655" s="31"/>
      <c r="J655" s="31"/>
      <c r="K655" s="31"/>
      <c r="L655" s="31"/>
      <c r="M655" s="31"/>
      <c r="N655" s="31"/>
      <c r="O655" s="31"/>
      <c r="P655" s="31"/>
      <c r="Q655" s="203"/>
      <c r="R655" s="203"/>
      <c r="S655" s="203"/>
      <c r="T655" s="203"/>
    </row>
    <row r="656" ht="15.75" customHeight="1">
      <c r="A656" s="202"/>
      <c r="B656" s="202"/>
      <c r="C656" s="202"/>
      <c r="D656" s="31"/>
      <c r="E656" s="31"/>
      <c r="F656" s="144"/>
      <c r="G656" s="31"/>
      <c r="H656" s="31"/>
      <c r="I656" s="31"/>
      <c r="J656" s="31"/>
      <c r="K656" s="31"/>
      <c r="L656" s="31"/>
      <c r="M656" s="31"/>
      <c r="N656" s="31"/>
      <c r="O656" s="31"/>
      <c r="P656" s="31"/>
      <c r="Q656" s="203"/>
      <c r="R656" s="203"/>
      <c r="S656" s="203"/>
      <c r="T656" s="203"/>
    </row>
    <row r="657" ht="15.75" customHeight="1">
      <c r="A657" s="202"/>
      <c r="B657" s="202"/>
      <c r="C657" s="202"/>
      <c r="D657" s="31"/>
      <c r="E657" s="31"/>
      <c r="F657" s="144"/>
      <c r="G657" s="31"/>
      <c r="H657" s="31"/>
      <c r="I657" s="31"/>
      <c r="J657" s="31"/>
      <c r="K657" s="31"/>
      <c r="L657" s="31"/>
      <c r="M657" s="31"/>
      <c r="N657" s="31"/>
      <c r="O657" s="31"/>
      <c r="P657" s="31"/>
      <c r="Q657" s="203"/>
      <c r="R657" s="203"/>
      <c r="S657" s="203"/>
      <c r="T657" s="203"/>
    </row>
    <row r="658" ht="15.75" customHeight="1">
      <c r="A658" s="202"/>
      <c r="B658" s="202"/>
      <c r="C658" s="202"/>
      <c r="D658" s="31"/>
      <c r="E658" s="31"/>
      <c r="F658" s="144"/>
      <c r="G658" s="31"/>
      <c r="H658" s="31"/>
      <c r="I658" s="31"/>
      <c r="J658" s="31"/>
      <c r="K658" s="31"/>
      <c r="L658" s="31"/>
      <c r="M658" s="31"/>
      <c r="N658" s="31"/>
      <c r="O658" s="31"/>
      <c r="P658" s="31"/>
      <c r="Q658" s="203"/>
      <c r="R658" s="203"/>
      <c r="S658" s="203"/>
      <c r="T658" s="203"/>
    </row>
    <row r="659" ht="15.75" customHeight="1">
      <c r="A659" s="202"/>
      <c r="B659" s="202"/>
      <c r="C659" s="202"/>
      <c r="D659" s="31"/>
      <c r="E659" s="31"/>
      <c r="F659" s="144"/>
      <c r="G659" s="31"/>
      <c r="H659" s="31"/>
      <c r="I659" s="31"/>
      <c r="J659" s="31"/>
      <c r="K659" s="31"/>
      <c r="L659" s="31"/>
      <c r="M659" s="31"/>
      <c r="N659" s="31"/>
      <c r="O659" s="31"/>
      <c r="P659" s="31"/>
      <c r="Q659" s="203"/>
      <c r="R659" s="203"/>
      <c r="S659" s="203"/>
      <c r="T659" s="203"/>
    </row>
    <row r="660" ht="15.75" customHeight="1">
      <c r="A660" s="202"/>
      <c r="B660" s="202"/>
      <c r="C660" s="202"/>
      <c r="D660" s="31"/>
      <c r="E660" s="31"/>
      <c r="F660" s="144"/>
      <c r="G660" s="31"/>
      <c r="H660" s="31"/>
      <c r="I660" s="31"/>
      <c r="J660" s="31"/>
      <c r="K660" s="31"/>
      <c r="L660" s="31"/>
      <c r="M660" s="31"/>
      <c r="N660" s="31"/>
      <c r="O660" s="31"/>
      <c r="P660" s="31"/>
      <c r="Q660" s="203"/>
      <c r="R660" s="203"/>
      <c r="S660" s="203"/>
      <c r="T660" s="203"/>
    </row>
    <row r="661" ht="15.75" customHeight="1">
      <c r="A661" s="202"/>
      <c r="B661" s="202"/>
      <c r="C661" s="202"/>
      <c r="D661" s="31"/>
      <c r="E661" s="31"/>
      <c r="F661" s="144"/>
      <c r="G661" s="31"/>
      <c r="H661" s="31"/>
      <c r="I661" s="31"/>
      <c r="J661" s="31"/>
      <c r="K661" s="31"/>
      <c r="L661" s="31"/>
      <c r="M661" s="31"/>
      <c r="N661" s="31"/>
      <c r="O661" s="31"/>
      <c r="P661" s="31"/>
      <c r="Q661" s="203"/>
      <c r="R661" s="203"/>
      <c r="S661" s="203"/>
      <c r="T661" s="203"/>
    </row>
    <row r="662" ht="15.75" customHeight="1">
      <c r="A662" s="202"/>
      <c r="B662" s="202"/>
      <c r="C662" s="202"/>
      <c r="D662" s="31"/>
      <c r="E662" s="31"/>
      <c r="F662" s="144"/>
      <c r="G662" s="31"/>
      <c r="H662" s="31"/>
      <c r="I662" s="31"/>
      <c r="J662" s="31"/>
      <c r="K662" s="31"/>
      <c r="L662" s="31"/>
      <c r="M662" s="31"/>
      <c r="N662" s="31"/>
      <c r="O662" s="31"/>
      <c r="P662" s="31"/>
      <c r="Q662" s="203"/>
      <c r="R662" s="203"/>
      <c r="S662" s="203"/>
      <c r="T662" s="203"/>
    </row>
    <row r="663" ht="15.75" customHeight="1">
      <c r="A663" s="202"/>
      <c r="B663" s="202"/>
      <c r="C663" s="202"/>
      <c r="D663" s="31"/>
      <c r="E663" s="31"/>
      <c r="F663" s="144"/>
      <c r="G663" s="31"/>
      <c r="H663" s="31"/>
      <c r="I663" s="31"/>
      <c r="J663" s="31"/>
      <c r="K663" s="31"/>
      <c r="L663" s="31"/>
      <c r="M663" s="31"/>
      <c r="N663" s="31"/>
      <c r="O663" s="31"/>
      <c r="P663" s="31"/>
      <c r="Q663" s="203"/>
      <c r="R663" s="203"/>
      <c r="S663" s="203"/>
      <c r="T663" s="203"/>
    </row>
    <row r="664" ht="15.75" customHeight="1">
      <c r="A664" s="202"/>
      <c r="B664" s="202"/>
      <c r="C664" s="202"/>
      <c r="D664" s="31"/>
      <c r="E664" s="31"/>
      <c r="F664" s="144"/>
      <c r="G664" s="31"/>
      <c r="H664" s="31"/>
      <c r="I664" s="31"/>
      <c r="J664" s="31"/>
      <c r="K664" s="31"/>
      <c r="L664" s="31"/>
      <c r="M664" s="31"/>
      <c r="N664" s="31"/>
      <c r="O664" s="31"/>
      <c r="P664" s="31"/>
      <c r="Q664" s="203"/>
      <c r="R664" s="203"/>
      <c r="S664" s="203"/>
      <c r="T664" s="203"/>
    </row>
    <row r="665" ht="15.75" customHeight="1">
      <c r="A665" s="202"/>
      <c r="B665" s="202"/>
      <c r="C665" s="202"/>
      <c r="D665" s="31"/>
      <c r="E665" s="31"/>
      <c r="F665" s="144"/>
      <c r="G665" s="31"/>
      <c r="H665" s="31"/>
      <c r="I665" s="31"/>
      <c r="J665" s="31"/>
      <c r="K665" s="31"/>
      <c r="L665" s="31"/>
      <c r="M665" s="31"/>
      <c r="N665" s="31"/>
      <c r="O665" s="31"/>
      <c r="P665" s="31"/>
      <c r="Q665" s="203"/>
      <c r="R665" s="203"/>
      <c r="S665" s="203"/>
      <c r="T665" s="203"/>
    </row>
    <row r="666" ht="15.75" customHeight="1">
      <c r="A666" s="202"/>
      <c r="B666" s="202"/>
      <c r="C666" s="202"/>
      <c r="D666" s="31"/>
      <c r="E666" s="31"/>
      <c r="F666" s="144"/>
      <c r="G666" s="31"/>
      <c r="H666" s="31"/>
      <c r="I666" s="31"/>
      <c r="J666" s="31"/>
      <c r="K666" s="31"/>
      <c r="L666" s="31"/>
      <c r="M666" s="31"/>
      <c r="N666" s="31"/>
      <c r="O666" s="31"/>
      <c r="P666" s="31"/>
      <c r="Q666" s="203"/>
      <c r="R666" s="203"/>
      <c r="S666" s="203"/>
      <c r="T666" s="203"/>
    </row>
    <row r="667" ht="15.75" customHeight="1">
      <c r="A667" s="202"/>
      <c r="B667" s="202"/>
      <c r="C667" s="202"/>
      <c r="D667" s="31"/>
      <c r="E667" s="31"/>
      <c r="F667" s="144"/>
      <c r="G667" s="31"/>
      <c r="H667" s="31"/>
      <c r="I667" s="31"/>
      <c r="J667" s="31"/>
      <c r="K667" s="31"/>
      <c r="L667" s="31"/>
      <c r="M667" s="31"/>
      <c r="N667" s="31"/>
      <c r="O667" s="31"/>
      <c r="P667" s="31"/>
      <c r="Q667" s="203"/>
      <c r="R667" s="203"/>
      <c r="S667" s="203"/>
      <c r="T667" s="203"/>
    </row>
    <row r="668" ht="15.75" customHeight="1">
      <c r="A668" s="202"/>
      <c r="B668" s="202"/>
      <c r="C668" s="202"/>
      <c r="D668" s="31"/>
      <c r="E668" s="31"/>
      <c r="F668" s="144"/>
      <c r="G668" s="31"/>
      <c r="H668" s="31"/>
      <c r="I668" s="31"/>
      <c r="J668" s="31"/>
      <c r="K668" s="31"/>
      <c r="L668" s="31"/>
      <c r="M668" s="31"/>
      <c r="N668" s="31"/>
      <c r="O668" s="31"/>
      <c r="P668" s="31"/>
      <c r="Q668" s="203"/>
      <c r="R668" s="203"/>
      <c r="S668" s="203"/>
      <c r="T668" s="203"/>
    </row>
    <row r="669" ht="15.75" customHeight="1">
      <c r="A669" s="202"/>
      <c r="B669" s="202"/>
      <c r="C669" s="202"/>
      <c r="D669" s="31"/>
      <c r="E669" s="31"/>
      <c r="F669" s="144"/>
      <c r="G669" s="31"/>
      <c r="H669" s="31"/>
      <c r="I669" s="31"/>
      <c r="J669" s="31"/>
      <c r="K669" s="31"/>
      <c r="L669" s="31"/>
      <c r="M669" s="31"/>
      <c r="N669" s="31"/>
      <c r="O669" s="31"/>
      <c r="P669" s="31"/>
      <c r="Q669" s="203"/>
      <c r="R669" s="203"/>
      <c r="S669" s="203"/>
      <c r="T669" s="203"/>
    </row>
    <row r="670" ht="15.75" customHeight="1">
      <c r="A670" s="202"/>
      <c r="B670" s="202"/>
      <c r="C670" s="202"/>
      <c r="D670" s="31"/>
      <c r="E670" s="31"/>
      <c r="F670" s="144"/>
      <c r="G670" s="31"/>
      <c r="H670" s="31"/>
      <c r="I670" s="31"/>
      <c r="J670" s="31"/>
      <c r="K670" s="31"/>
      <c r="L670" s="31"/>
      <c r="M670" s="31"/>
      <c r="N670" s="31"/>
      <c r="O670" s="31"/>
      <c r="P670" s="31"/>
      <c r="Q670" s="203"/>
      <c r="R670" s="203"/>
      <c r="S670" s="203"/>
      <c r="T670" s="203"/>
    </row>
    <row r="671" ht="15.75" customHeight="1">
      <c r="A671" s="202"/>
      <c r="B671" s="202"/>
      <c r="C671" s="202"/>
      <c r="D671" s="31"/>
      <c r="E671" s="31"/>
      <c r="F671" s="144"/>
      <c r="G671" s="31"/>
      <c r="H671" s="31"/>
      <c r="I671" s="31"/>
      <c r="J671" s="31"/>
      <c r="K671" s="31"/>
      <c r="L671" s="31"/>
      <c r="M671" s="31"/>
      <c r="N671" s="31"/>
      <c r="O671" s="31"/>
      <c r="P671" s="31"/>
      <c r="Q671" s="203"/>
      <c r="R671" s="203"/>
      <c r="S671" s="203"/>
      <c r="T671" s="203"/>
    </row>
    <row r="672" ht="15.75" customHeight="1">
      <c r="A672" s="202"/>
      <c r="B672" s="202"/>
      <c r="C672" s="202"/>
      <c r="D672" s="31"/>
      <c r="E672" s="31"/>
      <c r="F672" s="144"/>
      <c r="G672" s="31"/>
      <c r="H672" s="31"/>
      <c r="I672" s="31"/>
      <c r="J672" s="31"/>
      <c r="K672" s="31"/>
      <c r="L672" s="31"/>
      <c r="M672" s="31"/>
      <c r="N672" s="31"/>
      <c r="O672" s="31"/>
      <c r="P672" s="31"/>
      <c r="Q672" s="203"/>
      <c r="R672" s="203"/>
      <c r="S672" s="203"/>
      <c r="T672" s="203"/>
    </row>
    <row r="673" ht="15.75" customHeight="1">
      <c r="A673" s="202"/>
      <c r="B673" s="202"/>
      <c r="C673" s="202"/>
      <c r="D673" s="31"/>
      <c r="E673" s="31"/>
      <c r="F673" s="144"/>
      <c r="G673" s="31"/>
      <c r="H673" s="31"/>
      <c r="I673" s="31"/>
      <c r="J673" s="31"/>
      <c r="K673" s="31"/>
      <c r="L673" s="31"/>
      <c r="M673" s="31"/>
      <c r="N673" s="31"/>
      <c r="O673" s="31"/>
      <c r="P673" s="31"/>
      <c r="Q673" s="203"/>
      <c r="R673" s="203"/>
      <c r="S673" s="203"/>
      <c r="T673" s="203"/>
    </row>
    <row r="674" ht="15.75" customHeight="1">
      <c r="A674" s="202"/>
      <c r="B674" s="202"/>
      <c r="C674" s="202"/>
      <c r="D674" s="31"/>
      <c r="E674" s="31"/>
      <c r="F674" s="144"/>
      <c r="G674" s="31"/>
      <c r="H674" s="31"/>
      <c r="I674" s="31"/>
      <c r="J674" s="31"/>
      <c r="K674" s="31"/>
      <c r="L674" s="31"/>
      <c r="M674" s="31"/>
      <c r="N674" s="31"/>
      <c r="O674" s="31"/>
      <c r="P674" s="31"/>
      <c r="Q674" s="203"/>
      <c r="R674" s="203"/>
      <c r="S674" s="203"/>
      <c r="T674" s="203"/>
    </row>
    <row r="675" ht="15.75" customHeight="1">
      <c r="A675" s="202"/>
      <c r="B675" s="202"/>
      <c r="C675" s="202"/>
      <c r="D675" s="31"/>
      <c r="E675" s="31"/>
      <c r="F675" s="144"/>
      <c r="G675" s="31"/>
      <c r="H675" s="31"/>
      <c r="I675" s="31"/>
      <c r="J675" s="31"/>
      <c r="K675" s="31"/>
      <c r="L675" s="31"/>
      <c r="M675" s="31"/>
      <c r="N675" s="31"/>
      <c r="O675" s="31"/>
      <c r="P675" s="31"/>
      <c r="Q675" s="203"/>
      <c r="R675" s="203"/>
      <c r="S675" s="203"/>
      <c r="T675" s="203"/>
    </row>
    <row r="676" ht="15.75" customHeight="1">
      <c r="A676" s="202"/>
      <c r="B676" s="202"/>
      <c r="C676" s="202"/>
      <c r="D676" s="31"/>
      <c r="E676" s="31"/>
      <c r="F676" s="144"/>
      <c r="G676" s="31"/>
      <c r="H676" s="31"/>
      <c r="I676" s="31"/>
      <c r="J676" s="31"/>
      <c r="K676" s="31"/>
      <c r="L676" s="31"/>
      <c r="M676" s="31"/>
      <c r="N676" s="31"/>
      <c r="O676" s="31"/>
      <c r="P676" s="31"/>
      <c r="Q676" s="203"/>
      <c r="R676" s="203"/>
      <c r="S676" s="203"/>
      <c r="T676" s="203"/>
    </row>
    <row r="677" ht="15.75" customHeight="1">
      <c r="A677" s="202"/>
      <c r="B677" s="202"/>
      <c r="C677" s="202"/>
      <c r="D677" s="31"/>
      <c r="E677" s="31"/>
      <c r="F677" s="144"/>
      <c r="G677" s="31"/>
      <c r="H677" s="31"/>
      <c r="I677" s="31"/>
      <c r="J677" s="31"/>
      <c r="K677" s="31"/>
      <c r="L677" s="31"/>
      <c r="M677" s="31"/>
      <c r="N677" s="31"/>
      <c r="O677" s="31"/>
      <c r="P677" s="31"/>
      <c r="Q677" s="203"/>
      <c r="R677" s="203"/>
      <c r="S677" s="203"/>
      <c r="T677" s="203"/>
    </row>
    <row r="678" ht="15.75" customHeight="1">
      <c r="A678" s="202"/>
      <c r="B678" s="202"/>
      <c r="C678" s="202"/>
      <c r="D678" s="31"/>
      <c r="E678" s="31"/>
      <c r="F678" s="144"/>
      <c r="G678" s="31"/>
      <c r="H678" s="31"/>
      <c r="I678" s="31"/>
      <c r="J678" s="31"/>
      <c r="K678" s="31"/>
      <c r="L678" s="31"/>
      <c r="M678" s="31"/>
      <c r="N678" s="31"/>
      <c r="O678" s="31"/>
      <c r="P678" s="31"/>
      <c r="Q678" s="203"/>
      <c r="R678" s="203"/>
      <c r="S678" s="203"/>
      <c r="T678" s="203"/>
    </row>
    <row r="679" ht="15.75" customHeight="1">
      <c r="A679" s="202"/>
      <c r="B679" s="202"/>
      <c r="C679" s="202"/>
      <c r="D679" s="31"/>
      <c r="E679" s="31"/>
      <c r="F679" s="144"/>
      <c r="G679" s="31"/>
      <c r="H679" s="31"/>
      <c r="I679" s="31"/>
      <c r="J679" s="31"/>
      <c r="K679" s="31"/>
      <c r="L679" s="31"/>
      <c r="M679" s="31"/>
      <c r="N679" s="31"/>
      <c r="O679" s="31"/>
      <c r="P679" s="31"/>
      <c r="Q679" s="203"/>
      <c r="R679" s="203"/>
      <c r="S679" s="203"/>
      <c r="T679" s="203"/>
    </row>
    <row r="680" ht="15.75" customHeight="1">
      <c r="A680" s="202"/>
      <c r="B680" s="202"/>
      <c r="C680" s="202"/>
      <c r="D680" s="31"/>
      <c r="E680" s="31"/>
      <c r="F680" s="144"/>
      <c r="G680" s="31"/>
      <c r="H680" s="31"/>
      <c r="I680" s="31"/>
      <c r="J680" s="31"/>
      <c r="K680" s="31"/>
      <c r="L680" s="31"/>
      <c r="M680" s="31"/>
      <c r="N680" s="31"/>
      <c r="O680" s="31"/>
      <c r="P680" s="31"/>
      <c r="Q680" s="203"/>
      <c r="R680" s="203"/>
      <c r="S680" s="203"/>
      <c r="T680" s="203"/>
    </row>
    <row r="681" ht="15.75" customHeight="1">
      <c r="A681" s="202"/>
      <c r="B681" s="202"/>
      <c r="C681" s="202"/>
      <c r="D681" s="31"/>
      <c r="E681" s="31"/>
      <c r="F681" s="144"/>
      <c r="G681" s="31"/>
      <c r="H681" s="31"/>
      <c r="I681" s="31"/>
      <c r="J681" s="31"/>
      <c r="K681" s="31"/>
      <c r="L681" s="31"/>
      <c r="M681" s="31"/>
      <c r="N681" s="31"/>
      <c r="O681" s="31"/>
      <c r="P681" s="31"/>
      <c r="Q681" s="203"/>
      <c r="R681" s="203"/>
      <c r="S681" s="203"/>
      <c r="T681" s="203"/>
    </row>
    <row r="682" ht="15.75" customHeight="1">
      <c r="A682" s="202"/>
      <c r="B682" s="202"/>
      <c r="C682" s="202"/>
      <c r="D682" s="31"/>
      <c r="E682" s="31"/>
      <c r="F682" s="144"/>
      <c r="G682" s="31"/>
      <c r="H682" s="31"/>
      <c r="I682" s="31"/>
      <c r="J682" s="31"/>
      <c r="K682" s="31"/>
      <c r="L682" s="31"/>
      <c r="M682" s="31"/>
      <c r="N682" s="31"/>
      <c r="O682" s="31"/>
      <c r="P682" s="31"/>
      <c r="Q682" s="203"/>
      <c r="R682" s="203"/>
      <c r="S682" s="203"/>
      <c r="T682" s="203"/>
    </row>
    <row r="683" ht="15.75" customHeight="1">
      <c r="A683" s="202"/>
      <c r="B683" s="202"/>
      <c r="C683" s="202"/>
      <c r="D683" s="31"/>
      <c r="E683" s="31"/>
      <c r="F683" s="144"/>
      <c r="G683" s="31"/>
      <c r="H683" s="31"/>
      <c r="I683" s="31"/>
      <c r="J683" s="31"/>
      <c r="K683" s="31"/>
      <c r="L683" s="31"/>
      <c r="M683" s="31"/>
      <c r="N683" s="31"/>
      <c r="O683" s="31"/>
      <c r="P683" s="31"/>
      <c r="Q683" s="203"/>
      <c r="R683" s="203"/>
      <c r="S683" s="203"/>
      <c r="T683" s="203"/>
    </row>
    <row r="684" ht="15.75" customHeight="1">
      <c r="A684" s="202"/>
      <c r="B684" s="202"/>
      <c r="C684" s="202"/>
      <c r="D684" s="31"/>
      <c r="E684" s="31"/>
      <c r="F684" s="144"/>
      <c r="G684" s="31"/>
      <c r="H684" s="31"/>
      <c r="I684" s="31"/>
      <c r="J684" s="31"/>
      <c r="K684" s="31"/>
      <c r="L684" s="31"/>
      <c r="M684" s="31"/>
      <c r="N684" s="31"/>
      <c r="O684" s="31"/>
      <c r="P684" s="31"/>
      <c r="Q684" s="203"/>
      <c r="R684" s="203"/>
      <c r="S684" s="203"/>
      <c r="T684" s="203"/>
    </row>
    <row r="685" ht="15.75" customHeight="1">
      <c r="A685" s="202"/>
      <c r="B685" s="202"/>
      <c r="C685" s="202"/>
      <c r="D685" s="31"/>
      <c r="E685" s="31"/>
      <c r="F685" s="144"/>
      <c r="G685" s="31"/>
      <c r="H685" s="31"/>
      <c r="I685" s="31"/>
      <c r="J685" s="31"/>
      <c r="K685" s="31"/>
      <c r="L685" s="31"/>
      <c r="M685" s="31"/>
      <c r="N685" s="31"/>
      <c r="O685" s="31"/>
      <c r="P685" s="31"/>
      <c r="Q685" s="203"/>
      <c r="R685" s="203"/>
      <c r="S685" s="203"/>
      <c r="T685" s="203"/>
    </row>
    <row r="686" ht="15.75" customHeight="1">
      <c r="A686" s="202"/>
      <c r="B686" s="202"/>
      <c r="C686" s="202"/>
      <c r="D686" s="31"/>
      <c r="E686" s="31"/>
      <c r="F686" s="144"/>
      <c r="G686" s="31"/>
      <c r="H686" s="31"/>
      <c r="I686" s="31"/>
      <c r="J686" s="31"/>
      <c r="K686" s="31"/>
      <c r="L686" s="31"/>
      <c r="M686" s="31"/>
      <c r="N686" s="31"/>
      <c r="O686" s="31"/>
      <c r="P686" s="31"/>
      <c r="Q686" s="203"/>
      <c r="R686" s="203"/>
      <c r="S686" s="203"/>
      <c r="T686" s="203"/>
    </row>
    <row r="687" ht="15.75" customHeight="1">
      <c r="A687" s="202"/>
      <c r="B687" s="202"/>
      <c r="C687" s="202"/>
      <c r="D687" s="31"/>
      <c r="E687" s="31"/>
      <c r="F687" s="144"/>
      <c r="G687" s="31"/>
      <c r="H687" s="31"/>
      <c r="I687" s="31"/>
      <c r="J687" s="31"/>
      <c r="K687" s="31"/>
      <c r="L687" s="31"/>
      <c r="M687" s="31"/>
      <c r="N687" s="31"/>
      <c r="O687" s="31"/>
      <c r="P687" s="31"/>
      <c r="Q687" s="203"/>
      <c r="R687" s="203"/>
      <c r="S687" s="203"/>
      <c r="T687" s="203"/>
    </row>
    <row r="688" ht="15.75" customHeight="1">
      <c r="A688" s="202"/>
      <c r="B688" s="202"/>
      <c r="C688" s="202"/>
      <c r="D688" s="31"/>
      <c r="E688" s="31"/>
      <c r="F688" s="144"/>
      <c r="G688" s="31"/>
      <c r="H688" s="31"/>
      <c r="I688" s="31"/>
      <c r="J688" s="31"/>
      <c r="K688" s="31"/>
      <c r="L688" s="31"/>
      <c r="M688" s="31"/>
      <c r="N688" s="31"/>
      <c r="O688" s="31"/>
      <c r="P688" s="31"/>
      <c r="Q688" s="203"/>
      <c r="R688" s="203"/>
      <c r="S688" s="203"/>
      <c r="T688" s="203"/>
    </row>
    <row r="689" ht="15.75" customHeight="1">
      <c r="A689" s="202"/>
      <c r="B689" s="202"/>
      <c r="C689" s="202"/>
      <c r="D689" s="31"/>
      <c r="E689" s="31"/>
      <c r="F689" s="144"/>
      <c r="G689" s="31"/>
      <c r="H689" s="31"/>
      <c r="I689" s="31"/>
      <c r="J689" s="31"/>
      <c r="K689" s="31"/>
      <c r="L689" s="31"/>
      <c r="M689" s="31"/>
      <c r="N689" s="31"/>
      <c r="O689" s="31"/>
      <c r="P689" s="31"/>
      <c r="Q689" s="203"/>
      <c r="R689" s="203"/>
      <c r="S689" s="203"/>
      <c r="T689" s="203"/>
    </row>
    <row r="690" ht="15.75" customHeight="1">
      <c r="A690" s="202"/>
      <c r="B690" s="202"/>
      <c r="C690" s="202"/>
      <c r="D690" s="31"/>
      <c r="E690" s="31"/>
      <c r="F690" s="144"/>
      <c r="G690" s="31"/>
      <c r="H690" s="31"/>
      <c r="I690" s="31"/>
      <c r="J690" s="31"/>
      <c r="K690" s="31"/>
      <c r="L690" s="31"/>
      <c r="M690" s="31"/>
      <c r="N690" s="31"/>
      <c r="O690" s="31"/>
      <c r="P690" s="31"/>
      <c r="Q690" s="203"/>
      <c r="R690" s="203"/>
      <c r="S690" s="203"/>
      <c r="T690" s="203"/>
    </row>
    <row r="691" ht="15.75" customHeight="1">
      <c r="A691" s="202"/>
      <c r="B691" s="202"/>
      <c r="C691" s="202"/>
      <c r="D691" s="31"/>
      <c r="E691" s="31"/>
      <c r="F691" s="144"/>
      <c r="G691" s="31"/>
      <c r="H691" s="31"/>
      <c r="I691" s="31"/>
      <c r="J691" s="31"/>
      <c r="K691" s="31"/>
      <c r="L691" s="31"/>
      <c r="M691" s="31"/>
      <c r="N691" s="31"/>
      <c r="O691" s="31"/>
      <c r="P691" s="31"/>
      <c r="Q691" s="203"/>
      <c r="R691" s="203"/>
      <c r="S691" s="203"/>
      <c r="T691" s="203"/>
    </row>
    <row r="692" ht="15.75" customHeight="1">
      <c r="A692" s="202"/>
      <c r="B692" s="202"/>
      <c r="C692" s="202"/>
      <c r="D692" s="31"/>
      <c r="E692" s="31"/>
      <c r="F692" s="144"/>
      <c r="G692" s="31"/>
      <c r="H692" s="31"/>
      <c r="I692" s="31"/>
      <c r="J692" s="31"/>
      <c r="K692" s="31"/>
      <c r="L692" s="31"/>
      <c r="M692" s="31"/>
      <c r="N692" s="31"/>
      <c r="O692" s="31"/>
      <c r="P692" s="31"/>
      <c r="Q692" s="203"/>
      <c r="R692" s="203"/>
      <c r="S692" s="203"/>
      <c r="T692" s="203"/>
    </row>
    <row r="693" ht="15.75" customHeight="1">
      <c r="A693" s="202"/>
      <c r="B693" s="202"/>
      <c r="C693" s="202"/>
      <c r="D693" s="31"/>
      <c r="E693" s="31"/>
      <c r="F693" s="144"/>
      <c r="G693" s="31"/>
      <c r="H693" s="31"/>
      <c r="I693" s="31"/>
      <c r="J693" s="31"/>
      <c r="K693" s="31"/>
      <c r="L693" s="31"/>
      <c r="M693" s="31"/>
      <c r="N693" s="31"/>
      <c r="O693" s="31"/>
      <c r="P693" s="31"/>
      <c r="Q693" s="203"/>
      <c r="R693" s="203"/>
      <c r="S693" s="203"/>
      <c r="T693" s="203"/>
    </row>
    <row r="694" ht="15.75" customHeight="1">
      <c r="A694" s="202"/>
      <c r="B694" s="202"/>
      <c r="C694" s="202"/>
      <c r="D694" s="31"/>
      <c r="E694" s="31"/>
      <c r="F694" s="144"/>
      <c r="G694" s="31"/>
      <c r="H694" s="31"/>
      <c r="I694" s="31"/>
      <c r="J694" s="31"/>
      <c r="K694" s="31"/>
      <c r="L694" s="31"/>
      <c r="M694" s="31"/>
      <c r="N694" s="31"/>
      <c r="O694" s="31"/>
      <c r="P694" s="31"/>
      <c r="Q694" s="203"/>
      <c r="R694" s="203"/>
      <c r="S694" s="203"/>
      <c r="T694" s="203"/>
    </row>
    <row r="695" ht="15.75" customHeight="1">
      <c r="A695" s="202"/>
      <c r="B695" s="202"/>
      <c r="C695" s="202"/>
      <c r="D695" s="31"/>
      <c r="E695" s="31"/>
      <c r="F695" s="144"/>
      <c r="G695" s="31"/>
      <c r="H695" s="31"/>
      <c r="I695" s="31"/>
      <c r="J695" s="31"/>
      <c r="K695" s="31"/>
      <c r="L695" s="31"/>
      <c r="M695" s="31"/>
      <c r="N695" s="31"/>
      <c r="O695" s="31"/>
      <c r="P695" s="31"/>
      <c r="Q695" s="203"/>
      <c r="R695" s="203"/>
      <c r="S695" s="203"/>
      <c r="T695" s="203"/>
    </row>
    <row r="696" ht="15.75" customHeight="1">
      <c r="A696" s="202"/>
      <c r="B696" s="202"/>
      <c r="C696" s="202"/>
      <c r="D696" s="31"/>
      <c r="E696" s="31"/>
      <c r="F696" s="144"/>
      <c r="G696" s="31"/>
      <c r="H696" s="31"/>
      <c r="I696" s="31"/>
      <c r="J696" s="31"/>
      <c r="K696" s="31"/>
      <c r="L696" s="31"/>
      <c r="M696" s="31"/>
      <c r="N696" s="31"/>
      <c r="O696" s="31"/>
      <c r="P696" s="31"/>
      <c r="Q696" s="203"/>
      <c r="R696" s="203"/>
      <c r="S696" s="203"/>
      <c r="T696" s="203"/>
    </row>
    <row r="697" ht="15.75" customHeight="1">
      <c r="A697" s="202"/>
      <c r="B697" s="202"/>
      <c r="C697" s="202"/>
      <c r="D697" s="31"/>
      <c r="E697" s="31"/>
      <c r="F697" s="144"/>
      <c r="G697" s="31"/>
      <c r="H697" s="31"/>
      <c r="I697" s="31"/>
      <c r="J697" s="31"/>
      <c r="K697" s="31"/>
      <c r="L697" s="31"/>
      <c r="M697" s="31"/>
      <c r="N697" s="31"/>
      <c r="O697" s="31"/>
      <c r="P697" s="31"/>
      <c r="Q697" s="203"/>
      <c r="R697" s="203"/>
      <c r="S697" s="203"/>
      <c r="T697" s="203"/>
    </row>
    <row r="698" ht="15.75" customHeight="1">
      <c r="A698" s="202"/>
      <c r="B698" s="202"/>
      <c r="C698" s="202"/>
      <c r="D698" s="31"/>
      <c r="E698" s="31"/>
      <c r="F698" s="144"/>
      <c r="G698" s="31"/>
      <c r="H698" s="31"/>
      <c r="I698" s="31"/>
      <c r="J698" s="31"/>
      <c r="K698" s="31"/>
      <c r="L698" s="31"/>
      <c r="M698" s="31"/>
      <c r="N698" s="31"/>
      <c r="O698" s="31"/>
      <c r="P698" s="31"/>
      <c r="Q698" s="203"/>
      <c r="R698" s="203"/>
      <c r="S698" s="203"/>
      <c r="T698" s="203"/>
    </row>
    <row r="699" ht="15.75" customHeight="1">
      <c r="A699" s="202"/>
      <c r="B699" s="202"/>
      <c r="C699" s="202"/>
      <c r="D699" s="31"/>
      <c r="E699" s="31"/>
      <c r="F699" s="144"/>
      <c r="G699" s="31"/>
      <c r="H699" s="31"/>
      <c r="I699" s="31"/>
      <c r="J699" s="31"/>
      <c r="K699" s="31"/>
      <c r="L699" s="31"/>
      <c r="M699" s="31"/>
      <c r="N699" s="31"/>
      <c r="O699" s="31"/>
      <c r="P699" s="31"/>
      <c r="Q699" s="203"/>
      <c r="R699" s="203"/>
      <c r="S699" s="203"/>
      <c r="T699" s="203"/>
    </row>
    <row r="700" ht="15.75" customHeight="1">
      <c r="A700" s="202"/>
      <c r="B700" s="202"/>
      <c r="C700" s="202"/>
      <c r="D700" s="31"/>
      <c r="E700" s="31"/>
      <c r="F700" s="144"/>
      <c r="G700" s="31"/>
      <c r="H700" s="31"/>
      <c r="I700" s="31"/>
      <c r="J700" s="31"/>
      <c r="K700" s="31"/>
      <c r="L700" s="31"/>
      <c r="M700" s="31"/>
      <c r="N700" s="31"/>
      <c r="O700" s="31"/>
      <c r="P700" s="31"/>
      <c r="Q700" s="203"/>
      <c r="R700" s="203"/>
      <c r="S700" s="203"/>
      <c r="T700" s="203"/>
    </row>
    <row r="701" ht="15.75" customHeight="1">
      <c r="A701" s="202"/>
      <c r="B701" s="202"/>
      <c r="C701" s="202"/>
      <c r="D701" s="31"/>
      <c r="E701" s="31"/>
      <c r="F701" s="144"/>
      <c r="G701" s="31"/>
      <c r="H701" s="31"/>
      <c r="I701" s="31"/>
      <c r="J701" s="31"/>
      <c r="K701" s="31"/>
      <c r="L701" s="31"/>
      <c r="M701" s="31"/>
      <c r="N701" s="31"/>
      <c r="O701" s="31"/>
      <c r="P701" s="31"/>
      <c r="Q701" s="203"/>
      <c r="R701" s="203"/>
      <c r="S701" s="203"/>
      <c r="T701" s="203"/>
    </row>
    <row r="702" ht="15.75" customHeight="1">
      <c r="A702" s="202"/>
      <c r="B702" s="202"/>
      <c r="C702" s="202"/>
      <c r="D702" s="31"/>
      <c r="E702" s="31"/>
      <c r="F702" s="144"/>
      <c r="G702" s="31"/>
      <c r="H702" s="31"/>
      <c r="I702" s="31"/>
      <c r="J702" s="31"/>
      <c r="K702" s="31"/>
      <c r="L702" s="31"/>
      <c r="M702" s="31"/>
      <c r="N702" s="31"/>
      <c r="O702" s="31"/>
      <c r="P702" s="31"/>
      <c r="Q702" s="203"/>
      <c r="R702" s="203"/>
      <c r="S702" s="203"/>
      <c r="T702" s="203"/>
    </row>
    <row r="703" ht="15.75" customHeight="1">
      <c r="A703" s="202"/>
      <c r="B703" s="202"/>
      <c r="C703" s="202"/>
      <c r="D703" s="31"/>
      <c r="E703" s="31"/>
      <c r="F703" s="144"/>
      <c r="G703" s="31"/>
      <c r="H703" s="31"/>
      <c r="I703" s="31"/>
      <c r="J703" s="31"/>
      <c r="K703" s="31"/>
      <c r="L703" s="31"/>
      <c r="M703" s="31"/>
      <c r="N703" s="31"/>
      <c r="O703" s="31"/>
      <c r="P703" s="31"/>
      <c r="Q703" s="203"/>
      <c r="R703" s="203"/>
      <c r="S703" s="203"/>
      <c r="T703" s="203"/>
    </row>
    <row r="704" ht="15.75" customHeight="1">
      <c r="A704" s="202"/>
      <c r="B704" s="202"/>
      <c r="C704" s="202"/>
      <c r="D704" s="31"/>
      <c r="E704" s="31"/>
      <c r="F704" s="144"/>
      <c r="G704" s="31"/>
      <c r="H704" s="31"/>
      <c r="I704" s="31"/>
      <c r="J704" s="31"/>
      <c r="K704" s="31"/>
      <c r="L704" s="31"/>
      <c r="M704" s="31"/>
      <c r="N704" s="31"/>
      <c r="O704" s="31"/>
      <c r="P704" s="31"/>
      <c r="Q704" s="203"/>
      <c r="R704" s="203"/>
      <c r="S704" s="203"/>
      <c r="T704" s="203"/>
    </row>
    <row r="705" ht="15.75" customHeight="1">
      <c r="A705" s="202"/>
      <c r="B705" s="202"/>
      <c r="C705" s="202"/>
      <c r="D705" s="31"/>
      <c r="E705" s="31"/>
      <c r="F705" s="144"/>
      <c r="G705" s="31"/>
      <c r="H705" s="31"/>
      <c r="I705" s="31"/>
      <c r="J705" s="31"/>
      <c r="K705" s="31"/>
      <c r="L705" s="31"/>
      <c r="M705" s="31"/>
      <c r="N705" s="31"/>
      <c r="O705" s="31"/>
      <c r="P705" s="31"/>
      <c r="Q705" s="203"/>
      <c r="R705" s="203"/>
      <c r="S705" s="203"/>
      <c r="T705" s="203"/>
    </row>
    <row r="706" ht="15.75" customHeight="1">
      <c r="A706" s="202"/>
      <c r="B706" s="202"/>
      <c r="C706" s="202"/>
      <c r="D706" s="31"/>
      <c r="E706" s="31"/>
      <c r="F706" s="144"/>
      <c r="G706" s="31"/>
      <c r="H706" s="31"/>
      <c r="I706" s="31"/>
      <c r="J706" s="31"/>
      <c r="K706" s="31"/>
      <c r="L706" s="31"/>
      <c r="M706" s="31"/>
      <c r="N706" s="31"/>
      <c r="O706" s="31"/>
      <c r="P706" s="31"/>
      <c r="Q706" s="203"/>
      <c r="R706" s="203"/>
      <c r="S706" s="203"/>
      <c r="T706" s="203"/>
    </row>
    <row r="707" ht="15.75" customHeight="1">
      <c r="A707" s="202"/>
      <c r="B707" s="202"/>
      <c r="C707" s="202"/>
      <c r="D707" s="31"/>
      <c r="E707" s="31"/>
      <c r="F707" s="144"/>
      <c r="G707" s="31"/>
      <c r="H707" s="31"/>
      <c r="I707" s="31"/>
      <c r="J707" s="31"/>
      <c r="K707" s="31"/>
      <c r="L707" s="31"/>
      <c r="M707" s="31"/>
      <c r="N707" s="31"/>
      <c r="O707" s="31"/>
      <c r="P707" s="31"/>
      <c r="Q707" s="203"/>
      <c r="R707" s="203"/>
      <c r="S707" s="203"/>
      <c r="T707" s="203"/>
    </row>
    <row r="708" ht="15.75" customHeight="1">
      <c r="A708" s="202"/>
      <c r="B708" s="202"/>
      <c r="C708" s="202"/>
      <c r="D708" s="31"/>
      <c r="E708" s="31"/>
      <c r="F708" s="144"/>
      <c r="G708" s="31"/>
      <c r="H708" s="31"/>
      <c r="I708" s="31"/>
      <c r="J708" s="31"/>
      <c r="K708" s="31"/>
      <c r="L708" s="31"/>
      <c r="M708" s="31"/>
      <c r="N708" s="31"/>
      <c r="O708" s="31"/>
      <c r="P708" s="31"/>
      <c r="Q708" s="203"/>
      <c r="R708" s="203"/>
      <c r="S708" s="203"/>
      <c r="T708" s="203"/>
    </row>
    <row r="709" ht="15.75" customHeight="1">
      <c r="A709" s="202"/>
      <c r="B709" s="202"/>
      <c r="C709" s="202"/>
      <c r="D709" s="31"/>
      <c r="E709" s="31"/>
      <c r="F709" s="144"/>
      <c r="G709" s="31"/>
      <c r="H709" s="31"/>
      <c r="I709" s="31"/>
      <c r="J709" s="31"/>
      <c r="K709" s="31"/>
      <c r="L709" s="31"/>
      <c r="M709" s="31"/>
      <c r="N709" s="31"/>
      <c r="O709" s="31"/>
      <c r="P709" s="31"/>
      <c r="Q709" s="203"/>
      <c r="R709" s="203"/>
      <c r="S709" s="203"/>
      <c r="T709" s="203"/>
    </row>
    <row r="710" ht="15.75" customHeight="1">
      <c r="A710" s="202"/>
      <c r="B710" s="202"/>
      <c r="C710" s="202"/>
      <c r="D710" s="31"/>
      <c r="E710" s="31"/>
      <c r="F710" s="144"/>
      <c r="G710" s="31"/>
      <c r="H710" s="31"/>
      <c r="I710" s="31"/>
      <c r="J710" s="31"/>
      <c r="K710" s="31"/>
      <c r="L710" s="31"/>
      <c r="M710" s="31"/>
      <c r="N710" s="31"/>
      <c r="O710" s="31"/>
      <c r="P710" s="31"/>
      <c r="Q710" s="203"/>
      <c r="R710" s="203"/>
      <c r="S710" s="203"/>
      <c r="T710" s="203"/>
    </row>
    <row r="711" ht="15.75" customHeight="1">
      <c r="A711" s="202"/>
      <c r="B711" s="202"/>
      <c r="C711" s="202"/>
      <c r="D711" s="31"/>
      <c r="E711" s="31"/>
      <c r="F711" s="144"/>
      <c r="G711" s="31"/>
      <c r="H711" s="31"/>
      <c r="I711" s="31"/>
      <c r="J711" s="31"/>
      <c r="K711" s="31"/>
      <c r="L711" s="31"/>
      <c r="M711" s="31"/>
      <c r="N711" s="31"/>
      <c r="O711" s="31"/>
      <c r="P711" s="31"/>
      <c r="Q711" s="203"/>
      <c r="R711" s="203"/>
      <c r="S711" s="203"/>
      <c r="T711" s="203"/>
    </row>
    <row r="712" ht="15.75" customHeight="1">
      <c r="A712" s="202"/>
      <c r="B712" s="202"/>
      <c r="C712" s="202"/>
      <c r="D712" s="31"/>
      <c r="E712" s="31"/>
      <c r="F712" s="144"/>
      <c r="G712" s="31"/>
      <c r="H712" s="31"/>
      <c r="I712" s="31"/>
      <c r="J712" s="31"/>
      <c r="K712" s="31"/>
      <c r="L712" s="31"/>
      <c r="M712" s="31"/>
      <c r="N712" s="31"/>
      <c r="O712" s="31"/>
      <c r="P712" s="31"/>
      <c r="Q712" s="203"/>
      <c r="R712" s="203"/>
      <c r="S712" s="203"/>
      <c r="T712" s="203"/>
    </row>
    <row r="713" ht="15.75" customHeight="1">
      <c r="A713" s="202"/>
      <c r="B713" s="202"/>
      <c r="C713" s="202"/>
      <c r="D713" s="31"/>
      <c r="E713" s="31"/>
      <c r="F713" s="144"/>
      <c r="G713" s="31"/>
      <c r="H713" s="31"/>
      <c r="I713" s="31"/>
      <c r="J713" s="31"/>
      <c r="K713" s="31"/>
      <c r="L713" s="31"/>
      <c r="M713" s="31"/>
      <c r="N713" s="31"/>
      <c r="O713" s="31"/>
      <c r="P713" s="31"/>
      <c r="Q713" s="203"/>
      <c r="R713" s="203"/>
      <c r="S713" s="203"/>
      <c r="T713" s="203"/>
    </row>
    <row r="714" ht="15.75" customHeight="1">
      <c r="A714" s="202"/>
      <c r="B714" s="202"/>
      <c r="C714" s="202"/>
      <c r="D714" s="31"/>
      <c r="E714" s="31"/>
      <c r="F714" s="144"/>
      <c r="G714" s="31"/>
      <c r="H714" s="31"/>
      <c r="I714" s="31"/>
      <c r="J714" s="31"/>
      <c r="K714" s="31"/>
      <c r="L714" s="31"/>
      <c r="M714" s="31"/>
      <c r="N714" s="31"/>
      <c r="O714" s="31"/>
      <c r="P714" s="31"/>
      <c r="Q714" s="203"/>
      <c r="R714" s="203"/>
      <c r="S714" s="203"/>
      <c r="T714" s="203"/>
    </row>
    <row r="715" ht="15.75" customHeight="1">
      <c r="A715" s="202"/>
      <c r="B715" s="202"/>
      <c r="C715" s="202"/>
      <c r="D715" s="31"/>
      <c r="E715" s="31"/>
      <c r="F715" s="144"/>
      <c r="G715" s="31"/>
      <c r="H715" s="31"/>
      <c r="I715" s="31"/>
      <c r="J715" s="31"/>
      <c r="K715" s="31"/>
      <c r="L715" s="31"/>
      <c r="M715" s="31"/>
      <c r="N715" s="31"/>
      <c r="O715" s="31"/>
      <c r="P715" s="31"/>
      <c r="Q715" s="203"/>
      <c r="R715" s="203"/>
      <c r="S715" s="203"/>
      <c r="T715" s="203"/>
    </row>
    <row r="716" ht="15.75" customHeight="1">
      <c r="A716" s="202"/>
      <c r="B716" s="202"/>
      <c r="C716" s="202"/>
      <c r="D716" s="31"/>
      <c r="E716" s="31"/>
      <c r="F716" s="144"/>
      <c r="G716" s="31"/>
      <c r="H716" s="31"/>
      <c r="I716" s="31"/>
      <c r="J716" s="31"/>
      <c r="K716" s="31"/>
      <c r="L716" s="31"/>
      <c r="M716" s="31"/>
      <c r="N716" s="31"/>
      <c r="O716" s="31"/>
      <c r="P716" s="31"/>
      <c r="Q716" s="203"/>
      <c r="R716" s="203"/>
      <c r="S716" s="203"/>
      <c r="T716" s="203"/>
    </row>
    <row r="717" ht="15.75" customHeight="1">
      <c r="A717" s="202"/>
      <c r="B717" s="202"/>
      <c r="C717" s="202"/>
      <c r="D717" s="31"/>
      <c r="E717" s="31"/>
      <c r="F717" s="144"/>
      <c r="G717" s="31"/>
      <c r="H717" s="31"/>
      <c r="I717" s="31"/>
      <c r="J717" s="31"/>
      <c r="K717" s="31"/>
      <c r="L717" s="31"/>
      <c r="M717" s="31"/>
      <c r="N717" s="31"/>
      <c r="O717" s="31"/>
      <c r="P717" s="31"/>
      <c r="Q717" s="203"/>
      <c r="R717" s="203"/>
      <c r="S717" s="203"/>
      <c r="T717" s="203"/>
    </row>
    <row r="718" ht="15.75" customHeight="1">
      <c r="A718" s="202"/>
      <c r="B718" s="202"/>
      <c r="C718" s="202"/>
      <c r="D718" s="31"/>
      <c r="E718" s="31"/>
      <c r="F718" s="144"/>
      <c r="G718" s="31"/>
      <c r="H718" s="31"/>
      <c r="I718" s="31"/>
      <c r="J718" s="31"/>
      <c r="K718" s="31"/>
      <c r="L718" s="31"/>
      <c r="M718" s="31"/>
      <c r="N718" s="31"/>
      <c r="O718" s="31"/>
      <c r="P718" s="31"/>
      <c r="Q718" s="203"/>
      <c r="R718" s="203"/>
      <c r="S718" s="203"/>
      <c r="T718" s="203"/>
    </row>
    <row r="719" ht="15.75" customHeight="1">
      <c r="A719" s="202"/>
      <c r="B719" s="202"/>
      <c r="C719" s="202"/>
      <c r="D719" s="31"/>
      <c r="E719" s="31"/>
      <c r="F719" s="144"/>
      <c r="G719" s="31"/>
      <c r="H719" s="31"/>
      <c r="I719" s="31"/>
      <c r="J719" s="31"/>
      <c r="K719" s="31"/>
      <c r="L719" s="31"/>
      <c r="M719" s="31"/>
      <c r="N719" s="31"/>
      <c r="O719" s="31"/>
      <c r="P719" s="31"/>
      <c r="Q719" s="203"/>
      <c r="R719" s="203"/>
      <c r="S719" s="203"/>
      <c r="T719" s="203"/>
    </row>
    <row r="720" ht="15.75" customHeight="1">
      <c r="A720" s="202"/>
      <c r="B720" s="202"/>
      <c r="C720" s="202"/>
      <c r="D720" s="31"/>
      <c r="E720" s="31"/>
      <c r="F720" s="144"/>
      <c r="G720" s="31"/>
      <c r="H720" s="31"/>
      <c r="I720" s="31"/>
      <c r="J720" s="31"/>
      <c r="K720" s="31"/>
      <c r="L720" s="31"/>
      <c r="M720" s="31"/>
      <c r="N720" s="31"/>
      <c r="O720" s="31"/>
      <c r="P720" s="31"/>
      <c r="Q720" s="203"/>
      <c r="R720" s="203"/>
      <c r="S720" s="203"/>
      <c r="T720" s="203"/>
    </row>
    <row r="721" ht="15.75" customHeight="1">
      <c r="A721" s="202"/>
      <c r="B721" s="202"/>
      <c r="C721" s="202"/>
      <c r="D721" s="31"/>
      <c r="E721" s="31"/>
      <c r="F721" s="144"/>
      <c r="G721" s="31"/>
      <c r="H721" s="31"/>
      <c r="I721" s="31"/>
      <c r="J721" s="31"/>
      <c r="K721" s="31"/>
      <c r="L721" s="31"/>
      <c r="M721" s="31"/>
      <c r="N721" s="31"/>
      <c r="O721" s="31"/>
      <c r="P721" s="31"/>
      <c r="Q721" s="203"/>
      <c r="R721" s="203"/>
      <c r="S721" s="203"/>
      <c r="T721" s="203"/>
    </row>
    <row r="722" ht="15.75" customHeight="1">
      <c r="A722" s="202"/>
      <c r="B722" s="202"/>
      <c r="C722" s="202"/>
      <c r="D722" s="31"/>
      <c r="E722" s="31"/>
      <c r="F722" s="144"/>
      <c r="G722" s="31"/>
      <c r="H722" s="31"/>
      <c r="I722" s="31"/>
      <c r="J722" s="31"/>
      <c r="K722" s="31"/>
      <c r="L722" s="31"/>
      <c r="M722" s="31"/>
      <c r="N722" s="31"/>
      <c r="O722" s="31"/>
      <c r="P722" s="31"/>
      <c r="Q722" s="203"/>
      <c r="R722" s="203"/>
      <c r="S722" s="203"/>
      <c r="T722" s="203"/>
    </row>
    <row r="723" ht="15.75" customHeight="1">
      <c r="A723" s="202"/>
      <c r="B723" s="202"/>
      <c r="C723" s="202"/>
      <c r="D723" s="31"/>
      <c r="E723" s="31"/>
      <c r="F723" s="144"/>
      <c r="G723" s="31"/>
      <c r="H723" s="31"/>
      <c r="I723" s="31"/>
      <c r="J723" s="31"/>
      <c r="K723" s="31"/>
      <c r="L723" s="31"/>
      <c r="M723" s="31"/>
      <c r="N723" s="31"/>
      <c r="O723" s="31"/>
      <c r="P723" s="31"/>
      <c r="Q723" s="203"/>
      <c r="R723" s="203"/>
      <c r="S723" s="203"/>
      <c r="T723" s="203"/>
    </row>
    <row r="724" ht="15.75" customHeight="1">
      <c r="A724" s="202"/>
      <c r="B724" s="202"/>
      <c r="C724" s="202"/>
      <c r="D724" s="31"/>
      <c r="E724" s="31"/>
      <c r="F724" s="144"/>
      <c r="G724" s="31"/>
      <c r="H724" s="31"/>
      <c r="I724" s="31"/>
      <c r="J724" s="31"/>
      <c r="K724" s="31"/>
      <c r="L724" s="31"/>
      <c r="M724" s="31"/>
      <c r="N724" s="31"/>
      <c r="O724" s="31"/>
      <c r="P724" s="31"/>
      <c r="Q724" s="203"/>
      <c r="R724" s="203"/>
      <c r="S724" s="203"/>
      <c r="T724" s="203"/>
    </row>
    <row r="725" ht="15.75" customHeight="1">
      <c r="A725" s="202"/>
      <c r="B725" s="202"/>
      <c r="C725" s="202"/>
      <c r="D725" s="31"/>
      <c r="E725" s="31"/>
      <c r="F725" s="144"/>
      <c r="G725" s="31"/>
      <c r="H725" s="31"/>
      <c r="I725" s="31"/>
      <c r="J725" s="31"/>
      <c r="K725" s="31"/>
      <c r="L725" s="31"/>
      <c r="M725" s="31"/>
      <c r="N725" s="31"/>
      <c r="O725" s="31"/>
      <c r="P725" s="31"/>
      <c r="Q725" s="203"/>
      <c r="R725" s="203"/>
      <c r="S725" s="203"/>
      <c r="T725" s="203"/>
    </row>
    <row r="726" ht="15.75" customHeight="1">
      <c r="A726" s="202"/>
      <c r="B726" s="202"/>
      <c r="C726" s="202"/>
      <c r="D726" s="31"/>
      <c r="E726" s="31"/>
      <c r="F726" s="144"/>
      <c r="G726" s="31"/>
      <c r="H726" s="31"/>
      <c r="I726" s="31"/>
      <c r="J726" s="31"/>
      <c r="K726" s="31"/>
      <c r="L726" s="31"/>
      <c r="M726" s="31"/>
      <c r="N726" s="31"/>
      <c r="O726" s="31"/>
      <c r="P726" s="31"/>
      <c r="Q726" s="203"/>
      <c r="R726" s="203"/>
      <c r="S726" s="203"/>
      <c r="T726" s="203"/>
    </row>
    <row r="727" ht="15.75" customHeight="1">
      <c r="A727" s="202"/>
      <c r="B727" s="202"/>
      <c r="C727" s="202"/>
      <c r="D727" s="31"/>
      <c r="E727" s="31"/>
      <c r="F727" s="144"/>
      <c r="G727" s="31"/>
      <c r="H727" s="31"/>
      <c r="I727" s="31"/>
      <c r="J727" s="31"/>
      <c r="K727" s="31"/>
      <c r="L727" s="31"/>
      <c r="M727" s="31"/>
      <c r="N727" s="31"/>
      <c r="O727" s="31"/>
      <c r="P727" s="31"/>
      <c r="Q727" s="203"/>
      <c r="R727" s="203"/>
      <c r="S727" s="203"/>
      <c r="T727" s="203"/>
    </row>
    <row r="728" ht="15.75" customHeight="1">
      <c r="A728" s="202"/>
      <c r="B728" s="202"/>
      <c r="C728" s="202"/>
      <c r="D728" s="31"/>
      <c r="E728" s="31"/>
      <c r="F728" s="144"/>
      <c r="G728" s="31"/>
      <c r="H728" s="31"/>
      <c r="I728" s="31"/>
      <c r="J728" s="31"/>
      <c r="K728" s="31"/>
      <c r="L728" s="31"/>
      <c r="M728" s="31"/>
      <c r="N728" s="31"/>
      <c r="O728" s="31"/>
      <c r="P728" s="31"/>
      <c r="Q728" s="203"/>
      <c r="R728" s="203"/>
      <c r="S728" s="203"/>
      <c r="T728" s="203"/>
    </row>
    <row r="729" ht="15.75" customHeight="1">
      <c r="A729" s="202"/>
      <c r="B729" s="202"/>
      <c r="C729" s="202"/>
      <c r="D729" s="31"/>
      <c r="E729" s="31"/>
      <c r="F729" s="144"/>
      <c r="G729" s="31"/>
      <c r="H729" s="31"/>
      <c r="I729" s="31"/>
      <c r="J729" s="31"/>
      <c r="K729" s="31"/>
      <c r="L729" s="31"/>
      <c r="M729" s="31"/>
      <c r="N729" s="31"/>
      <c r="O729" s="31"/>
      <c r="P729" s="31"/>
      <c r="Q729" s="203"/>
      <c r="R729" s="203"/>
      <c r="S729" s="203"/>
      <c r="T729" s="203"/>
    </row>
    <row r="730" ht="15.75" customHeight="1">
      <c r="A730" s="202"/>
      <c r="B730" s="202"/>
      <c r="C730" s="202"/>
      <c r="D730" s="31"/>
      <c r="E730" s="31"/>
      <c r="F730" s="144"/>
      <c r="G730" s="31"/>
      <c r="H730" s="31"/>
      <c r="I730" s="31"/>
      <c r="J730" s="31"/>
      <c r="K730" s="31"/>
      <c r="L730" s="31"/>
      <c r="M730" s="31"/>
      <c r="N730" s="31"/>
      <c r="O730" s="31"/>
      <c r="P730" s="31"/>
      <c r="Q730" s="203"/>
      <c r="R730" s="203"/>
      <c r="S730" s="203"/>
      <c r="T730" s="203"/>
    </row>
    <row r="731" ht="15.75" customHeight="1">
      <c r="A731" s="202"/>
      <c r="B731" s="202"/>
      <c r="C731" s="202"/>
      <c r="D731" s="31"/>
      <c r="E731" s="31"/>
      <c r="F731" s="144"/>
      <c r="G731" s="31"/>
      <c r="H731" s="31"/>
      <c r="I731" s="31"/>
      <c r="J731" s="31"/>
      <c r="K731" s="31"/>
      <c r="L731" s="31"/>
      <c r="M731" s="31"/>
      <c r="N731" s="31"/>
      <c r="O731" s="31"/>
      <c r="P731" s="31"/>
      <c r="Q731" s="203"/>
      <c r="R731" s="203"/>
      <c r="S731" s="203"/>
      <c r="T731" s="203"/>
    </row>
    <row r="732" ht="15.75" customHeight="1">
      <c r="A732" s="202"/>
      <c r="B732" s="202"/>
      <c r="C732" s="202"/>
      <c r="D732" s="31"/>
      <c r="E732" s="31"/>
      <c r="F732" s="144"/>
      <c r="G732" s="31"/>
      <c r="H732" s="31"/>
      <c r="I732" s="31"/>
      <c r="J732" s="31"/>
      <c r="K732" s="31"/>
      <c r="L732" s="31"/>
      <c r="M732" s="31"/>
      <c r="N732" s="31"/>
      <c r="O732" s="31"/>
      <c r="P732" s="31"/>
      <c r="Q732" s="203"/>
      <c r="R732" s="203"/>
      <c r="S732" s="203"/>
      <c r="T732" s="203"/>
    </row>
    <row r="733" ht="15.75" customHeight="1">
      <c r="A733" s="202"/>
      <c r="B733" s="202"/>
      <c r="C733" s="202"/>
      <c r="D733" s="31"/>
      <c r="E733" s="31"/>
      <c r="F733" s="144"/>
      <c r="G733" s="31"/>
      <c r="H733" s="31"/>
      <c r="I733" s="31"/>
      <c r="J733" s="31"/>
      <c r="K733" s="31"/>
      <c r="L733" s="31"/>
      <c r="M733" s="31"/>
      <c r="N733" s="31"/>
      <c r="O733" s="31"/>
      <c r="P733" s="31"/>
      <c r="Q733" s="203"/>
      <c r="R733" s="203"/>
      <c r="S733" s="203"/>
      <c r="T733" s="203"/>
    </row>
    <row r="734" ht="15.75" customHeight="1">
      <c r="A734" s="202"/>
      <c r="B734" s="202"/>
      <c r="C734" s="202"/>
      <c r="D734" s="31"/>
      <c r="E734" s="31"/>
      <c r="F734" s="144"/>
      <c r="G734" s="31"/>
      <c r="H734" s="31"/>
      <c r="I734" s="31"/>
      <c r="J734" s="31"/>
      <c r="K734" s="31"/>
      <c r="L734" s="31"/>
      <c r="M734" s="31"/>
      <c r="N734" s="31"/>
      <c r="O734" s="31"/>
      <c r="P734" s="31"/>
      <c r="Q734" s="203"/>
      <c r="R734" s="203"/>
      <c r="S734" s="203"/>
      <c r="T734" s="203"/>
    </row>
    <row r="735" ht="15.75" customHeight="1">
      <c r="A735" s="202"/>
      <c r="B735" s="202"/>
      <c r="C735" s="202"/>
      <c r="D735" s="31"/>
      <c r="E735" s="31"/>
      <c r="F735" s="144"/>
      <c r="G735" s="31"/>
      <c r="H735" s="31"/>
      <c r="I735" s="31"/>
      <c r="J735" s="31"/>
      <c r="K735" s="31"/>
      <c r="L735" s="31"/>
      <c r="M735" s="31"/>
      <c r="N735" s="31"/>
      <c r="O735" s="31"/>
      <c r="P735" s="31"/>
      <c r="Q735" s="203"/>
      <c r="R735" s="203"/>
      <c r="S735" s="203"/>
      <c r="T735" s="203"/>
    </row>
    <row r="736" ht="15.75" customHeight="1">
      <c r="A736" s="202"/>
      <c r="B736" s="202"/>
      <c r="C736" s="202"/>
      <c r="D736" s="31"/>
      <c r="E736" s="31"/>
      <c r="F736" s="144"/>
      <c r="G736" s="31"/>
      <c r="H736" s="31"/>
      <c r="I736" s="31"/>
      <c r="J736" s="31"/>
      <c r="K736" s="31"/>
      <c r="L736" s="31"/>
      <c r="M736" s="31"/>
      <c r="N736" s="31"/>
      <c r="O736" s="31"/>
      <c r="P736" s="31"/>
      <c r="Q736" s="203"/>
      <c r="R736" s="203"/>
      <c r="S736" s="203"/>
      <c r="T736" s="203"/>
    </row>
    <row r="737" ht="15.75" customHeight="1">
      <c r="A737" s="202"/>
      <c r="B737" s="202"/>
      <c r="C737" s="202"/>
      <c r="D737" s="31"/>
      <c r="E737" s="31"/>
      <c r="F737" s="144"/>
      <c r="G737" s="31"/>
      <c r="H737" s="31"/>
      <c r="I737" s="31"/>
      <c r="J737" s="31"/>
      <c r="K737" s="31"/>
      <c r="L737" s="31"/>
      <c r="M737" s="31"/>
      <c r="N737" s="31"/>
      <c r="O737" s="31"/>
      <c r="P737" s="31"/>
      <c r="Q737" s="203"/>
      <c r="R737" s="203"/>
      <c r="S737" s="203"/>
      <c r="T737" s="203"/>
    </row>
    <row r="738" ht="15.75" customHeight="1">
      <c r="A738" s="202"/>
      <c r="B738" s="202"/>
      <c r="C738" s="202"/>
      <c r="D738" s="31"/>
      <c r="E738" s="31"/>
      <c r="F738" s="144"/>
      <c r="G738" s="31"/>
      <c r="H738" s="31"/>
      <c r="I738" s="31"/>
      <c r="J738" s="31"/>
      <c r="K738" s="31"/>
      <c r="L738" s="31"/>
      <c r="M738" s="31"/>
      <c r="N738" s="31"/>
      <c r="O738" s="31"/>
      <c r="P738" s="31"/>
      <c r="Q738" s="203"/>
      <c r="R738" s="203"/>
      <c r="S738" s="203"/>
      <c r="T738" s="203"/>
    </row>
    <row r="739" ht="15.75" customHeight="1">
      <c r="A739" s="202"/>
      <c r="B739" s="202"/>
      <c r="C739" s="202"/>
      <c r="D739" s="31"/>
      <c r="E739" s="31"/>
      <c r="F739" s="144"/>
      <c r="G739" s="31"/>
      <c r="H739" s="31"/>
      <c r="I739" s="31"/>
      <c r="J739" s="31"/>
      <c r="K739" s="31"/>
      <c r="L739" s="31"/>
      <c r="M739" s="31"/>
      <c r="N739" s="31"/>
      <c r="O739" s="31"/>
      <c r="P739" s="31"/>
      <c r="Q739" s="203"/>
      <c r="R739" s="203"/>
      <c r="S739" s="203"/>
      <c r="T739" s="203"/>
    </row>
    <row r="740" ht="15.75" customHeight="1">
      <c r="A740" s="202"/>
      <c r="B740" s="202"/>
      <c r="C740" s="202"/>
      <c r="D740" s="31"/>
      <c r="E740" s="31"/>
      <c r="F740" s="144"/>
      <c r="G740" s="31"/>
      <c r="H740" s="31"/>
      <c r="I740" s="31"/>
      <c r="J740" s="31"/>
      <c r="K740" s="31"/>
      <c r="L740" s="31"/>
      <c r="M740" s="31"/>
      <c r="N740" s="31"/>
      <c r="O740" s="31"/>
      <c r="P740" s="31"/>
      <c r="Q740" s="203"/>
      <c r="R740" s="203"/>
      <c r="S740" s="203"/>
      <c r="T740" s="203"/>
    </row>
    <row r="741" ht="15.75" customHeight="1">
      <c r="A741" s="202"/>
      <c r="B741" s="202"/>
      <c r="C741" s="202"/>
      <c r="D741" s="31"/>
      <c r="E741" s="31"/>
      <c r="F741" s="144"/>
      <c r="G741" s="31"/>
      <c r="H741" s="31"/>
      <c r="I741" s="31"/>
      <c r="J741" s="31"/>
      <c r="K741" s="31"/>
      <c r="L741" s="31"/>
      <c r="M741" s="31"/>
      <c r="N741" s="31"/>
      <c r="O741" s="31"/>
      <c r="P741" s="31"/>
      <c r="Q741" s="203"/>
      <c r="R741" s="203"/>
      <c r="S741" s="203"/>
      <c r="T741" s="203"/>
    </row>
    <row r="742" ht="15.75" customHeight="1">
      <c r="A742" s="202"/>
      <c r="B742" s="202"/>
      <c r="C742" s="202"/>
      <c r="D742" s="31"/>
      <c r="E742" s="31"/>
      <c r="F742" s="144"/>
      <c r="G742" s="31"/>
      <c r="H742" s="31"/>
      <c r="I742" s="31"/>
      <c r="J742" s="31"/>
      <c r="K742" s="31"/>
      <c r="L742" s="31"/>
      <c r="M742" s="31"/>
      <c r="N742" s="31"/>
      <c r="O742" s="31"/>
      <c r="P742" s="31"/>
      <c r="Q742" s="203"/>
      <c r="R742" s="203"/>
      <c r="S742" s="203"/>
      <c r="T742" s="203"/>
    </row>
    <row r="743" ht="15.75" customHeight="1">
      <c r="A743" s="202"/>
      <c r="B743" s="202"/>
      <c r="C743" s="202"/>
      <c r="D743" s="31"/>
      <c r="E743" s="31"/>
      <c r="F743" s="144"/>
      <c r="G743" s="31"/>
      <c r="H743" s="31"/>
      <c r="I743" s="31"/>
      <c r="J743" s="31"/>
      <c r="K743" s="31"/>
      <c r="L743" s="31"/>
      <c r="M743" s="31"/>
      <c r="N743" s="31"/>
      <c r="O743" s="31"/>
      <c r="P743" s="31"/>
      <c r="Q743" s="203"/>
      <c r="R743" s="203"/>
      <c r="S743" s="203"/>
      <c r="T743" s="203"/>
    </row>
    <row r="744" ht="15.75" customHeight="1">
      <c r="A744" s="202"/>
      <c r="B744" s="202"/>
      <c r="C744" s="202"/>
      <c r="D744" s="31"/>
      <c r="E744" s="31"/>
      <c r="F744" s="144"/>
      <c r="G744" s="31"/>
      <c r="H744" s="31"/>
      <c r="I744" s="31"/>
      <c r="J744" s="31"/>
      <c r="K744" s="31"/>
      <c r="L744" s="31"/>
      <c r="M744" s="31"/>
      <c r="N744" s="31"/>
      <c r="O744" s="31"/>
      <c r="P744" s="31"/>
      <c r="Q744" s="203"/>
      <c r="R744" s="203"/>
      <c r="S744" s="203"/>
      <c r="T744" s="203"/>
    </row>
    <row r="745" ht="15.75" customHeight="1">
      <c r="A745" s="202"/>
      <c r="B745" s="202"/>
      <c r="C745" s="202"/>
      <c r="D745" s="31"/>
      <c r="E745" s="31"/>
      <c r="F745" s="144"/>
      <c r="G745" s="31"/>
      <c r="H745" s="31"/>
      <c r="I745" s="31"/>
      <c r="J745" s="31"/>
      <c r="K745" s="31"/>
      <c r="L745" s="31"/>
      <c r="M745" s="31"/>
      <c r="N745" s="31"/>
      <c r="O745" s="31"/>
      <c r="P745" s="31"/>
      <c r="Q745" s="203"/>
      <c r="R745" s="203"/>
      <c r="S745" s="203"/>
      <c r="T745" s="203"/>
    </row>
    <row r="746" ht="15.75" customHeight="1">
      <c r="A746" s="202"/>
      <c r="B746" s="202"/>
      <c r="C746" s="202"/>
      <c r="D746" s="31"/>
      <c r="E746" s="31"/>
      <c r="F746" s="144"/>
      <c r="G746" s="31"/>
      <c r="H746" s="31"/>
      <c r="I746" s="31"/>
      <c r="J746" s="31"/>
      <c r="K746" s="31"/>
      <c r="L746" s="31"/>
      <c r="M746" s="31"/>
      <c r="N746" s="31"/>
      <c r="O746" s="31"/>
      <c r="P746" s="31"/>
      <c r="Q746" s="203"/>
      <c r="R746" s="203"/>
      <c r="S746" s="203"/>
      <c r="T746" s="203"/>
    </row>
    <row r="747" ht="15.75" customHeight="1">
      <c r="A747" s="202"/>
      <c r="B747" s="202"/>
      <c r="C747" s="202"/>
      <c r="D747" s="31"/>
      <c r="E747" s="31"/>
      <c r="F747" s="144"/>
      <c r="G747" s="31"/>
      <c r="H747" s="31"/>
      <c r="I747" s="31"/>
      <c r="J747" s="31"/>
      <c r="K747" s="31"/>
      <c r="L747" s="31"/>
      <c r="M747" s="31"/>
      <c r="N747" s="31"/>
      <c r="O747" s="31"/>
      <c r="P747" s="31"/>
      <c r="Q747" s="203"/>
      <c r="R747" s="203"/>
      <c r="S747" s="203"/>
      <c r="T747" s="203"/>
    </row>
    <row r="748" ht="15.75" customHeight="1">
      <c r="A748" s="202"/>
      <c r="B748" s="202"/>
      <c r="C748" s="202"/>
      <c r="D748" s="31"/>
      <c r="E748" s="31"/>
      <c r="F748" s="144"/>
      <c r="G748" s="31"/>
      <c r="H748" s="31"/>
      <c r="I748" s="31"/>
      <c r="J748" s="31"/>
      <c r="K748" s="31"/>
      <c r="L748" s="31"/>
      <c r="M748" s="31"/>
      <c r="N748" s="31"/>
      <c r="O748" s="31"/>
      <c r="P748" s="31"/>
      <c r="Q748" s="203"/>
      <c r="R748" s="203"/>
      <c r="S748" s="203"/>
      <c r="T748" s="203"/>
    </row>
    <row r="749" ht="15.75" customHeight="1">
      <c r="A749" s="202"/>
      <c r="B749" s="202"/>
      <c r="C749" s="202"/>
      <c r="D749" s="31"/>
      <c r="E749" s="31"/>
      <c r="F749" s="144"/>
      <c r="G749" s="31"/>
      <c r="H749" s="31"/>
      <c r="I749" s="31"/>
      <c r="J749" s="31"/>
      <c r="K749" s="31"/>
      <c r="L749" s="31"/>
      <c r="M749" s="31"/>
      <c r="N749" s="31"/>
      <c r="O749" s="31"/>
      <c r="P749" s="31"/>
      <c r="Q749" s="203"/>
      <c r="R749" s="203"/>
      <c r="S749" s="203"/>
      <c r="T749" s="203"/>
    </row>
    <row r="750" ht="15.75" customHeight="1">
      <c r="A750" s="202"/>
      <c r="B750" s="202"/>
      <c r="C750" s="202"/>
      <c r="D750" s="31"/>
      <c r="E750" s="31"/>
      <c r="F750" s="144"/>
      <c r="G750" s="31"/>
      <c r="H750" s="31"/>
      <c r="I750" s="31"/>
      <c r="J750" s="31"/>
      <c r="K750" s="31"/>
      <c r="L750" s="31"/>
      <c r="M750" s="31"/>
      <c r="N750" s="31"/>
      <c r="O750" s="31"/>
      <c r="P750" s="31"/>
      <c r="Q750" s="203"/>
      <c r="R750" s="203"/>
      <c r="S750" s="203"/>
      <c r="T750" s="203"/>
    </row>
    <row r="751" ht="15.75" customHeight="1">
      <c r="A751" s="202"/>
      <c r="B751" s="202"/>
      <c r="C751" s="202"/>
      <c r="D751" s="31"/>
      <c r="E751" s="31"/>
      <c r="F751" s="144"/>
      <c r="G751" s="31"/>
      <c r="H751" s="31"/>
      <c r="I751" s="31"/>
      <c r="J751" s="31"/>
      <c r="K751" s="31"/>
      <c r="L751" s="31"/>
      <c r="M751" s="31"/>
      <c r="N751" s="31"/>
      <c r="O751" s="31"/>
      <c r="P751" s="31"/>
      <c r="Q751" s="203"/>
      <c r="R751" s="203"/>
      <c r="S751" s="203"/>
      <c r="T751" s="203"/>
    </row>
    <row r="752" ht="15.75" customHeight="1">
      <c r="A752" s="202"/>
      <c r="B752" s="202"/>
      <c r="C752" s="202"/>
      <c r="D752" s="31"/>
      <c r="E752" s="31"/>
      <c r="F752" s="144"/>
      <c r="G752" s="31"/>
      <c r="H752" s="31"/>
      <c r="I752" s="31"/>
      <c r="J752" s="31"/>
      <c r="K752" s="31"/>
      <c r="L752" s="31"/>
      <c r="M752" s="31"/>
      <c r="N752" s="31"/>
      <c r="O752" s="31"/>
      <c r="P752" s="31"/>
      <c r="Q752" s="203"/>
      <c r="R752" s="203"/>
      <c r="S752" s="203"/>
      <c r="T752" s="203"/>
    </row>
    <row r="753" ht="15.75" customHeight="1">
      <c r="A753" s="202"/>
      <c r="B753" s="202"/>
      <c r="C753" s="202"/>
      <c r="D753" s="31"/>
      <c r="E753" s="31"/>
      <c r="F753" s="144"/>
      <c r="G753" s="31"/>
      <c r="H753" s="31"/>
      <c r="I753" s="31"/>
      <c r="J753" s="31"/>
      <c r="K753" s="31"/>
      <c r="L753" s="31"/>
      <c r="M753" s="31"/>
      <c r="N753" s="31"/>
      <c r="O753" s="31"/>
      <c r="P753" s="31"/>
      <c r="Q753" s="203"/>
      <c r="R753" s="203"/>
      <c r="S753" s="203"/>
      <c r="T753" s="203"/>
    </row>
    <row r="754" ht="15.75" customHeight="1">
      <c r="A754" s="202"/>
      <c r="B754" s="202"/>
      <c r="C754" s="202"/>
      <c r="D754" s="31"/>
      <c r="E754" s="31"/>
      <c r="F754" s="144"/>
      <c r="G754" s="31"/>
      <c r="H754" s="31"/>
      <c r="I754" s="31"/>
      <c r="J754" s="31"/>
      <c r="K754" s="31"/>
      <c r="L754" s="31"/>
      <c r="M754" s="31"/>
      <c r="N754" s="31"/>
      <c r="O754" s="31"/>
      <c r="P754" s="31"/>
      <c r="Q754" s="203"/>
      <c r="R754" s="203"/>
      <c r="S754" s="203"/>
      <c r="T754" s="203"/>
    </row>
    <row r="755" ht="15.75" customHeight="1">
      <c r="A755" s="202"/>
      <c r="B755" s="202"/>
      <c r="C755" s="202"/>
      <c r="D755" s="31"/>
      <c r="E755" s="31"/>
      <c r="F755" s="144"/>
      <c r="G755" s="31"/>
      <c r="H755" s="31"/>
      <c r="I755" s="31"/>
      <c r="J755" s="31"/>
      <c r="K755" s="31"/>
      <c r="L755" s="31"/>
      <c r="M755" s="31"/>
      <c r="N755" s="31"/>
      <c r="O755" s="31"/>
      <c r="P755" s="31"/>
      <c r="Q755" s="203"/>
      <c r="R755" s="203"/>
      <c r="S755" s="203"/>
      <c r="T755" s="203"/>
    </row>
    <row r="756" ht="15.75" customHeight="1">
      <c r="A756" s="202"/>
      <c r="B756" s="202"/>
      <c r="C756" s="202"/>
      <c r="D756" s="31"/>
      <c r="E756" s="31"/>
      <c r="F756" s="144"/>
      <c r="G756" s="31"/>
      <c r="H756" s="31"/>
      <c r="I756" s="31"/>
      <c r="J756" s="31"/>
      <c r="K756" s="31"/>
      <c r="L756" s="31"/>
      <c r="M756" s="31"/>
      <c r="N756" s="31"/>
      <c r="O756" s="31"/>
      <c r="P756" s="31"/>
      <c r="Q756" s="203"/>
      <c r="R756" s="203"/>
      <c r="S756" s="203"/>
      <c r="T756" s="203"/>
    </row>
    <row r="757" ht="15.75" customHeight="1">
      <c r="A757" s="202"/>
      <c r="B757" s="202"/>
      <c r="C757" s="202"/>
      <c r="D757" s="31"/>
      <c r="E757" s="31"/>
      <c r="F757" s="144"/>
      <c r="G757" s="31"/>
      <c r="H757" s="31"/>
      <c r="I757" s="31"/>
      <c r="J757" s="31"/>
      <c r="K757" s="31"/>
      <c r="L757" s="31"/>
      <c r="M757" s="31"/>
      <c r="N757" s="31"/>
      <c r="O757" s="31"/>
      <c r="P757" s="31"/>
      <c r="Q757" s="203"/>
      <c r="R757" s="203"/>
      <c r="S757" s="203"/>
      <c r="T757" s="203"/>
    </row>
    <row r="758" ht="15.75" customHeight="1">
      <c r="A758" s="202"/>
      <c r="B758" s="202"/>
      <c r="C758" s="202"/>
      <c r="D758" s="31"/>
      <c r="E758" s="31"/>
      <c r="F758" s="144"/>
      <c r="G758" s="31"/>
      <c r="H758" s="31"/>
      <c r="I758" s="31"/>
      <c r="J758" s="31"/>
      <c r="K758" s="31"/>
      <c r="L758" s="31"/>
      <c r="M758" s="31"/>
      <c r="N758" s="31"/>
      <c r="O758" s="31"/>
      <c r="P758" s="31"/>
      <c r="Q758" s="203"/>
      <c r="R758" s="203"/>
      <c r="S758" s="203"/>
      <c r="T758" s="203"/>
    </row>
    <row r="759" ht="15.75" customHeight="1">
      <c r="A759" s="202"/>
      <c r="B759" s="202"/>
      <c r="C759" s="202"/>
      <c r="D759" s="31"/>
      <c r="E759" s="31"/>
      <c r="F759" s="144"/>
      <c r="G759" s="31"/>
      <c r="H759" s="31"/>
      <c r="I759" s="31"/>
      <c r="J759" s="31"/>
      <c r="K759" s="31"/>
      <c r="L759" s="31"/>
      <c r="M759" s="31"/>
      <c r="N759" s="31"/>
      <c r="O759" s="31"/>
      <c r="P759" s="31"/>
      <c r="Q759" s="203"/>
      <c r="R759" s="203"/>
      <c r="S759" s="203"/>
      <c r="T759" s="203"/>
    </row>
    <row r="760" ht="15.75" customHeight="1">
      <c r="A760" s="202"/>
      <c r="B760" s="202"/>
      <c r="C760" s="202"/>
      <c r="D760" s="31"/>
      <c r="E760" s="31"/>
      <c r="F760" s="144"/>
      <c r="G760" s="31"/>
      <c r="H760" s="31"/>
      <c r="I760" s="31"/>
      <c r="J760" s="31"/>
      <c r="K760" s="31"/>
      <c r="L760" s="31"/>
      <c r="M760" s="31"/>
      <c r="N760" s="31"/>
      <c r="O760" s="31"/>
      <c r="P760" s="31"/>
      <c r="Q760" s="203"/>
      <c r="R760" s="203"/>
      <c r="S760" s="203"/>
      <c r="T760" s="203"/>
    </row>
    <row r="761" ht="15.75" customHeight="1">
      <c r="A761" s="202"/>
      <c r="B761" s="202"/>
      <c r="C761" s="202"/>
      <c r="D761" s="31"/>
      <c r="E761" s="31"/>
      <c r="F761" s="144"/>
      <c r="G761" s="31"/>
      <c r="H761" s="31"/>
      <c r="I761" s="31"/>
      <c r="J761" s="31"/>
      <c r="K761" s="31"/>
      <c r="L761" s="31"/>
      <c r="M761" s="31"/>
      <c r="N761" s="31"/>
      <c r="O761" s="31"/>
      <c r="P761" s="31"/>
      <c r="Q761" s="203"/>
      <c r="R761" s="203"/>
      <c r="S761" s="203"/>
      <c r="T761" s="203"/>
    </row>
    <row r="762" ht="15.75" customHeight="1">
      <c r="A762" s="202"/>
      <c r="B762" s="202"/>
      <c r="C762" s="202"/>
      <c r="D762" s="31"/>
      <c r="E762" s="31"/>
      <c r="F762" s="144"/>
      <c r="G762" s="31"/>
      <c r="H762" s="31"/>
      <c r="I762" s="31"/>
      <c r="J762" s="31"/>
      <c r="K762" s="31"/>
      <c r="L762" s="31"/>
      <c r="M762" s="31"/>
      <c r="N762" s="31"/>
      <c r="O762" s="31"/>
      <c r="P762" s="31"/>
      <c r="Q762" s="203"/>
      <c r="R762" s="203"/>
      <c r="S762" s="203"/>
      <c r="T762" s="203"/>
    </row>
    <row r="763" ht="15.75" customHeight="1">
      <c r="A763" s="202"/>
      <c r="B763" s="202"/>
      <c r="C763" s="202"/>
      <c r="D763" s="31"/>
      <c r="E763" s="31"/>
      <c r="F763" s="144"/>
      <c r="G763" s="31"/>
      <c r="H763" s="31"/>
      <c r="I763" s="31"/>
      <c r="J763" s="31"/>
      <c r="K763" s="31"/>
      <c r="L763" s="31"/>
      <c r="M763" s="31"/>
      <c r="N763" s="31"/>
      <c r="O763" s="31"/>
      <c r="P763" s="31"/>
      <c r="Q763" s="203"/>
      <c r="R763" s="203"/>
      <c r="S763" s="203"/>
      <c r="T763" s="203"/>
    </row>
    <row r="764" ht="15.75" customHeight="1">
      <c r="A764" s="202"/>
      <c r="B764" s="202"/>
      <c r="C764" s="202"/>
      <c r="D764" s="31"/>
      <c r="E764" s="31"/>
      <c r="F764" s="144"/>
      <c r="G764" s="31"/>
      <c r="H764" s="31"/>
      <c r="I764" s="31"/>
      <c r="J764" s="31"/>
      <c r="K764" s="31"/>
      <c r="L764" s="31"/>
      <c r="M764" s="31"/>
      <c r="N764" s="31"/>
      <c r="O764" s="31"/>
      <c r="P764" s="31"/>
      <c r="Q764" s="203"/>
      <c r="R764" s="203"/>
      <c r="S764" s="203"/>
      <c r="T764" s="203"/>
    </row>
    <row r="765" ht="15.75" customHeight="1">
      <c r="A765" s="202"/>
      <c r="B765" s="202"/>
      <c r="C765" s="202"/>
      <c r="D765" s="31"/>
      <c r="E765" s="31"/>
      <c r="F765" s="144"/>
      <c r="G765" s="31"/>
      <c r="H765" s="31"/>
      <c r="I765" s="31"/>
      <c r="J765" s="31"/>
      <c r="K765" s="31"/>
      <c r="L765" s="31"/>
      <c r="M765" s="31"/>
      <c r="N765" s="31"/>
      <c r="O765" s="31"/>
      <c r="P765" s="31"/>
      <c r="Q765" s="203"/>
      <c r="R765" s="203"/>
      <c r="S765" s="203"/>
      <c r="T765" s="203"/>
    </row>
    <row r="766" ht="15.75" customHeight="1">
      <c r="A766" s="202"/>
      <c r="B766" s="202"/>
      <c r="C766" s="202"/>
      <c r="D766" s="31"/>
      <c r="E766" s="31"/>
      <c r="F766" s="144"/>
      <c r="G766" s="31"/>
      <c r="H766" s="31"/>
      <c r="I766" s="31"/>
      <c r="J766" s="31"/>
      <c r="K766" s="31"/>
      <c r="L766" s="31"/>
      <c r="M766" s="31"/>
      <c r="N766" s="31"/>
      <c r="O766" s="31"/>
      <c r="P766" s="31"/>
      <c r="Q766" s="203"/>
      <c r="R766" s="203"/>
      <c r="S766" s="203"/>
      <c r="T766" s="203"/>
    </row>
    <row r="767" ht="15.75" customHeight="1">
      <c r="A767" s="202"/>
      <c r="B767" s="202"/>
      <c r="C767" s="202"/>
      <c r="D767" s="31"/>
      <c r="E767" s="31"/>
      <c r="F767" s="144"/>
      <c r="G767" s="31"/>
      <c r="H767" s="31"/>
      <c r="I767" s="31"/>
      <c r="J767" s="31"/>
      <c r="K767" s="31"/>
      <c r="L767" s="31"/>
      <c r="M767" s="31"/>
      <c r="N767" s="31"/>
      <c r="O767" s="31"/>
      <c r="P767" s="31"/>
      <c r="Q767" s="203"/>
      <c r="R767" s="203"/>
      <c r="S767" s="203"/>
      <c r="T767" s="203"/>
    </row>
    <row r="768" ht="15.75" customHeight="1">
      <c r="A768" s="202"/>
      <c r="B768" s="202"/>
      <c r="C768" s="202"/>
      <c r="D768" s="31"/>
      <c r="E768" s="31"/>
      <c r="F768" s="144"/>
      <c r="G768" s="31"/>
      <c r="H768" s="31"/>
      <c r="I768" s="31"/>
      <c r="J768" s="31"/>
      <c r="K768" s="31"/>
      <c r="L768" s="31"/>
      <c r="M768" s="31"/>
      <c r="N768" s="31"/>
      <c r="O768" s="31"/>
      <c r="P768" s="31"/>
      <c r="Q768" s="203"/>
      <c r="R768" s="203"/>
      <c r="S768" s="203"/>
      <c r="T768" s="203"/>
    </row>
    <row r="769" ht="15.75" customHeight="1">
      <c r="A769" s="202"/>
      <c r="B769" s="202"/>
      <c r="C769" s="202"/>
      <c r="D769" s="31"/>
      <c r="E769" s="31"/>
      <c r="F769" s="144"/>
      <c r="G769" s="31"/>
      <c r="H769" s="31"/>
      <c r="I769" s="31"/>
      <c r="J769" s="31"/>
      <c r="K769" s="31"/>
      <c r="L769" s="31"/>
      <c r="M769" s="31"/>
      <c r="N769" s="31"/>
      <c r="O769" s="31"/>
      <c r="P769" s="31"/>
      <c r="Q769" s="203"/>
      <c r="R769" s="203"/>
      <c r="S769" s="203"/>
      <c r="T769" s="203"/>
    </row>
    <row r="770" ht="15.75" customHeight="1">
      <c r="A770" s="202"/>
      <c r="B770" s="202"/>
      <c r="C770" s="202"/>
      <c r="D770" s="31"/>
      <c r="E770" s="31"/>
      <c r="F770" s="144"/>
      <c r="G770" s="31"/>
      <c r="H770" s="31"/>
      <c r="I770" s="31"/>
      <c r="J770" s="31"/>
      <c r="K770" s="31"/>
      <c r="L770" s="31"/>
      <c r="M770" s="31"/>
      <c r="N770" s="31"/>
      <c r="O770" s="31"/>
      <c r="P770" s="31"/>
      <c r="Q770" s="203"/>
      <c r="R770" s="203"/>
      <c r="S770" s="203"/>
      <c r="T770" s="203"/>
    </row>
    <row r="771" ht="15.75" customHeight="1">
      <c r="A771" s="202"/>
      <c r="B771" s="202"/>
      <c r="C771" s="202"/>
      <c r="D771" s="31"/>
      <c r="E771" s="31"/>
      <c r="F771" s="144"/>
      <c r="G771" s="31"/>
      <c r="H771" s="31"/>
      <c r="I771" s="31"/>
      <c r="J771" s="31"/>
      <c r="K771" s="31"/>
      <c r="L771" s="31"/>
      <c r="M771" s="31"/>
      <c r="N771" s="31"/>
      <c r="O771" s="31"/>
      <c r="P771" s="31"/>
      <c r="Q771" s="203"/>
      <c r="R771" s="203"/>
      <c r="S771" s="203"/>
      <c r="T771" s="203"/>
    </row>
    <row r="772" ht="15.75" customHeight="1">
      <c r="A772" s="202"/>
      <c r="B772" s="202"/>
      <c r="C772" s="202"/>
      <c r="D772" s="31"/>
      <c r="E772" s="31"/>
      <c r="F772" s="144"/>
      <c r="G772" s="31"/>
      <c r="H772" s="31"/>
      <c r="I772" s="31"/>
      <c r="J772" s="31"/>
      <c r="K772" s="31"/>
      <c r="L772" s="31"/>
      <c r="M772" s="31"/>
      <c r="N772" s="31"/>
      <c r="O772" s="31"/>
      <c r="P772" s="31"/>
      <c r="Q772" s="203"/>
      <c r="R772" s="203"/>
      <c r="S772" s="203"/>
      <c r="T772" s="203"/>
    </row>
    <row r="773" ht="15.75" customHeight="1">
      <c r="A773" s="202"/>
      <c r="B773" s="202"/>
      <c r="C773" s="202"/>
      <c r="D773" s="31"/>
      <c r="E773" s="31"/>
      <c r="F773" s="144"/>
      <c r="G773" s="31"/>
      <c r="H773" s="31"/>
      <c r="I773" s="31"/>
      <c r="J773" s="31"/>
      <c r="K773" s="31"/>
      <c r="L773" s="31"/>
      <c r="M773" s="31"/>
      <c r="N773" s="31"/>
      <c r="O773" s="31"/>
      <c r="P773" s="31"/>
      <c r="Q773" s="203"/>
      <c r="R773" s="203"/>
      <c r="S773" s="203"/>
      <c r="T773" s="203"/>
    </row>
    <row r="774" ht="15.75" customHeight="1">
      <c r="A774" s="202"/>
      <c r="B774" s="202"/>
      <c r="C774" s="202"/>
      <c r="D774" s="31"/>
      <c r="E774" s="31"/>
      <c r="F774" s="144"/>
      <c r="G774" s="31"/>
      <c r="H774" s="31"/>
      <c r="I774" s="31"/>
      <c r="J774" s="31"/>
      <c r="K774" s="31"/>
      <c r="L774" s="31"/>
      <c r="M774" s="31"/>
      <c r="N774" s="31"/>
      <c r="O774" s="31"/>
      <c r="P774" s="31"/>
      <c r="Q774" s="203"/>
      <c r="R774" s="203"/>
      <c r="S774" s="203"/>
      <c r="T774" s="203"/>
    </row>
    <row r="775" ht="15.75" customHeight="1">
      <c r="A775" s="202"/>
      <c r="B775" s="202"/>
      <c r="C775" s="202"/>
      <c r="D775" s="31"/>
      <c r="E775" s="31"/>
      <c r="F775" s="144"/>
      <c r="G775" s="31"/>
      <c r="H775" s="31"/>
      <c r="I775" s="31"/>
      <c r="J775" s="31"/>
      <c r="K775" s="31"/>
      <c r="L775" s="31"/>
      <c r="M775" s="31"/>
      <c r="N775" s="31"/>
      <c r="O775" s="31"/>
      <c r="P775" s="31"/>
      <c r="Q775" s="203"/>
      <c r="R775" s="203"/>
      <c r="S775" s="203"/>
      <c r="T775" s="203"/>
    </row>
    <row r="776" ht="15.75" customHeight="1">
      <c r="A776" s="202"/>
      <c r="B776" s="202"/>
      <c r="C776" s="202"/>
      <c r="D776" s="31"/>
      <c r="E776" s="31"/>
      <c r="F776" s="144"/>
      <c r="G776" s="31"/>
      <c r="H776" s="31"/>
      <c r="I776" s="31"/>
      <c r="J776" s="31"/>
      <c r="K776" s="31"/>
      <c r="L776" s="31"/>
      <c r="M776" s="31"/>
      <c r="N776" s="31"/>
      <c r="O776" s="31"/>
      <c r="P776" s="31"/>
      <c r="Q776" s="203"/>
      <c r="R776" s="203"/>
      <c r="S776" s="203"/>
      <c r="T776" s="203"/>
    </row>
    <row r="777" ht="15.75" customHeight="1">
      <c r="A777" s="202"/>
      <c r="B777" s="202"/>
      <c r="C777" s="202"/>
      <c r="D777" s="31"/>
      <c r="E777" s="31"/>
      <c r="F777" s="144"/>
      <c r="G777" s="31"/>
      <c r="H777" s="31"/>
      <c r="I777" s="31"/>
      <c r="J777" s="31"/>
      <c r="K777" s="31"/>
      <c r="L777" s="31"/>
      <c r="M777" s="31"/>
      <c r="N777" s="31"/>
      <c r="O777" s="31"/>
      <c r="P777" s="31"/>
      <c r="Q777" s="203"/>
      <c r="R777" s="203"/>
      <c r="S777" s="203"/>
      <c r="T777" s="203"/>
    </row>
    <row r="778" ht="15.75" customHeight="1">
      <c r="A778" s="202"/>
      <c r="B778" s="202"/>
      <c r="C778" s="202"/>
      <c r="D778" s="31"/>
      <c r="E778" s="31"/>
      <c r="F778" s="144"/>
      <c r="G778" s="31"/>
      <c r="H778" s="31"/>
      <c r="I778" s="31"/>
      <c r="J778" s="31"/>
      <c r="K778" s="31"/>
      <c r="L778" s="31"/>
      <c r="M778" s="31"/>
      <c r="N778" s="31"/>
      <c r="O778" s="31"/>
      <c r="P778" s="31"/>
      <c r="Q778" s="203"/>
      <c r="R778" s="203"/>
      <c r="S778" s="203"/>
      <c r="T778" s="203"/>
    </row>
    <row r="779" ht="15.75" customHeight="1">
      <c r="A779" s="202"/>
      <c r="B779" s="202"/>
      <c r="C779" s="202"/>
      <c r="D779" s="31"/>
      <c r="E779" s="31"/>
      <c r="F779" s="144"/>
      <c r="G779" s="31"/>
      <c r="H779" s="31"/>
      <c r="I779" s="31"/>
      <c r="J779" s="31"/>
      <c r="K779" s="31"/>
      <c r="L779" s="31"/>
      <c r="M779" s="31"/>
      <c r="N779" s="31"/>
      <c r="O779" s="31"/>
      <c r="P779" s="31"/>
      <c r="Q779" s="203"/>
      <c r="R779" s="203"/>
      <c r="S779" s="203"/>
      <c r="T779" s="203"/>
    </row>
    <row r="780" ht="15.75" customHeight="1">
      <c r="A780" s="202"/>
      <c r="B780" s="202"/>
      <c r="C780" s="202"/>
      <c r="D780" s="31"/>
      <c r="E780" s="31"/>
      <c r="F780" s="144"/>
      <c r="G780" s="31"/>
      <c r="H780" s="31"/>
      <c r="I780" s="31"/>
      <c r="J780" s="31"/>
      <c r="K780" s="31"/>
      <c r="L780" s="31"/>
      <c r="M780" s="31"/>
      <c r="N780" s="31"/>
      <c r="O780" s="31"/>
      <c r="P780" s="31"/>
      <c r="Q780" s="203"/>
      <c r="R780" s="203"/>
      <c r="S780" s="203"/>
      <c r="T780" s="203"/>
    </row>
    <row r="781" ht="15.75" customHeight="1">
      <c r="A781" s="202"/>
      <c r="B781" s="202"/>
      <c r="C781" s="202"/>
      <c r="D781" s="31"/>
      <c r="E781" s="31"/>
      <c r="F781" s="144"/>
      <c r="G781" s="31"/>
      <c r="H781" s="31"/>
      <c r="I781" s="31"/>
      <c r="J781" s="31"/>
      <c r="K781" s="31"/>
      <c r="L781" s="31"/>
      <c r="M781" s="31"/>
      <c r="N781" s="31"/>
      <c r="O781" s="31"/>
      <c r="P781" s="31"/>
      <c r="Q781" s="203"/>
      <c r="R781" s="203"/>
      <c r="S781" s="203"/>
      <c r="T781" s="203"/>
    </row>
    <row r="782" ht="15.75" customHeight="1">
      <c r="A782" s="202"/>
      <c r="B782" s="202"/>
      <c r="C782" s="202"/>
      <c r="D782" s="31"/>
      <c r="E782" s="31"/>
      <c r="F782" s="144"/>
      <c r="G782" s="31"/>
      <c r="H782" s="31"/>
      <c r="I782" s="31"/>
      <c r="J782" s="31"/>
      <c r="K782" s="31"/>
      <c r="L782" s="31"/>
      <c r="M782" s="31"/>
      <c r="N782" s="31"/>
      <c r="O782" s="31"/>
      <c r="P782" s="31"/>
      <c r="Q782" s="203"/>
      <c r="R782" s="203"/>
      <c r="S782" s="203"/>
      <c r="T782" s="203"/>
    </row>
    <row r="783" ht="15.75" customHeight="1">
      <c r="A783" s="202"/>
      <c r="B783" s="202"/>
      <c r="C783" s="202"/>
      <c r="D783" s="31"/>
      <c r="E783" s="31"/>
      <c r="F783" s="144"/>
      <c r="G783" s="31"/>
      <c r="H783" s="31"/>
      <c r="I783" s="31"/>
      <c r="J783" s="31"/>
      <c r="K783" s="31"/>
      <c r="L783" s="31"/>
      <c r="M783" s="31"/>
      <c r="N783" s="31"/>
      <c r="O783" s="31"/>
      <c r="P783" s="31"/>
      <c r="Q783" s="203"/>
      <c r="R783" s="203"/>
      <c r="S783" s="203"/>
      <c r="T783" s="203"/>
    </row>
    <row r="784" ht="15.75" customHeight="1">
      <c r="A784" s="202"/>
      <c r="B784" s="202"/>
      <c r="C784" s="202"/>
      <c r="D784" s="31"/>
      <c r="E784" s="31"/>
      <c r="F784" s="144"/>
      <c r="G784" s="31"/>
      <c r="H784" s="31"/>
      <c r="I784" s="31"/>
      <c r="J784" s="31"/>
      <c r="K784" s="31"/>
      <c r="L784" s="31"/>
      <c r="M784" s="31"/>
      <c r="N784" s="31"/>
      <c r="O784" s="31"/>
      <c r="P784" s="31"/>
      <c r="Q784" s="203"/>
      <c r="R784" s="203"/>
      <c r="S784" s="203"/>
      <c r="T784" s="203"/>
    </row>
    <row r="785" ht="15.75" customHeight="1">
      <c r="A785" s="202"/>
      <c r="B785" s="202"/>
      <c r="C785" s="202"/>
      <c r="D785" s="31"/>
      <c r="E785" s="31"/>
      <c r="F785" s="144"/>
      <c r="G785" s="31"/>
      <c r="H785" s="31"/>
      <c r="I785" s="31"/>
      <c r="J785" s="31"/>
      <c r="K785" s="31"/>
      <c r="L785" s="31"/>
      <c r="M785" s="31"/>
      <c r="N785" s="31"/>
      <c r="O785" s="31"/>
      <c r="P785" s="31"/>
      <c r="Q785" s="203"/>
      <c r="R785" s="203"/>
      <c r="S785" s="203"/>
      <c r="T785" s="203"/>
    </row>
    <row r="786" ht="15.75" customHeight="1">
      <c r="A786" s="202"/>
      <c r="B786" s="202"/>
      <c r="C786" s="202"/>
      <c r="D786" s="31"/>
      <c r="E786" s="31"/>
      <c r="F786" s="144"/>
      <c r="G786" s="31"/>
      <c r="H786" s="31"/>
      <c r="I786" s="31"/>
      <c r="J786" s="31"/>
      <c r="K786" s="31"/>
      <c r="L786" s="31"/>
      <c r="M786" s="31"/>
      <c r="N786" s="31"/>
      <c r="O786" s="31"/>
      <c r="P786" s="31"/>
      <c r="Q786" s="203"/>
      <c r="R786" s="203"/>
      <c r="S786" s="203"/>
      <c r="T786" s="203"/>
    </row>
    <row r="787" ht="15.75" customHeight="1">
      <c r="A787" s="202"/>
      <c r="B787" s="202"/>
      <c r="C787" s="202"/>
      <c r="D787" s="31"/>
      <c r="E787" s="31"/>
      <c r="F787" s="144"/>
      <c r="G787" s="31"/>
      <c r="H787" s="31"/>
      <c r="I787" s="31"/>
      <c r="J787" s="31"/>
      <c r="K787" s="31"/>
      <c r="L787" s="31"/>
      <c r="M787" s="31"/>
      <c r="N787" s="31"/>
      <c r="O787" s="31"/>
      <c r="P787" s="31"/>
      <c r="Q787" s="203"/>
      <c r="R787" s="203"/>
      <c r="S787" s="203"/>
      <c r="T787" s="203"/>
    </row>
    <row r="788" ht="15.75" customHeight="1">
      <c r="A788" s="202"/>
      <c r="B788" s="202"/>
      <c r="C788" s="202"/>
      <c r="D788" s="31"/>
      <c r="E788" s="31"/>
      <c r="F788" s="144"/>
      <c r="G788" s="31"/>
      <c r="H788" s="31"/>
      <c r="I788" s="31"/>
      <c r="J788" s="31"/>
      <c r="K788" s="31"/>
      <c r="L788" s="31"/>
      <c r="M788" s="31"/>
      <c r="N788" s="31"/>
      <c r="O788" s="31"/>
      <c r="P788" s="31"/>
      <c r="Q788" s="203"/>
      <c r="R788" s="203"/>
      <c r="S788" s="203"/>
      <c r="T788" s="203"/>
    </row>
    <row r="789" ht="15.75" customHeight="1">
      <c r="A789" s="202"/>
      <c r="B789" s="202"/>
      <c r="C789" s="202"/>
      <c r="D789" s="31"/>
      <c r="E789" s="31"/>
      <c r="F789" s="144"/>
      <c r="G789" s="31"/>
      <c r="H789" s="31"/>
      <c r="I789" s="31"/>
      <c r="J789" s="31"/>
      <c r="K789" s="31"/>
      <c r="L789" s="31"/>
      <c r="M789" s="31"/>
      <c r="N789" s="31"/>
      <c r="O789" s="31"/>
      <c r="P789" s="31"/>
      <c r="Q789" s="203"/>
      <c r="R789" s="203"/>
      <c r="S789" s="203"/>
      <c r="T789" s="203"/>
    </row>
    <row r="790" ht="15.75" customHeight="1">
      <c r="A790" s="202"/>
      <c r="B790" s="202"/>
      <c r="C790" s="202"/>
      <c r="D790" s="31"/>
      <c r="E790" s="31"/>
      <c r="F790" s="144"/>
      <c r="G790" s="31"/>
      <c r="H790" s="31"/>
      <c r="I790" s="31"/>
      <c r="J790" s="31"/>
      <c r="K790" s="31"/>
      <c r="L790" s="31"/>
      <c r="M790" s="31"/>
      <c r="N790" s="31"/>
      <c r="O790" s="31"/>
      <c r="P790" s="31"/>
      <c r="Q790" s="203"/>
      <c r="R790" s="203"/>
      <c r="S790" s="203"/>
      <c r="T790" s="203"/>
    </row>
    <row r="791" ht="15.75" customHeight="1">
      <c r="A791" s="202"/>
      <c r="B791" s="202"/>
      <c r="C791" s="202"/>
      <c r="D791" s="31"/>
      <c r="E791" s="31"/>
      <c r="F791" s="144"/>
      <c r="G791" s="31"/>
      <c r="H791" s="31"/>
      <c r="I791" s="31"/>
      <c r="J791" s="31"/>
      <c r="K791" s="31"/>
      <c r="L791" s="31"/>
      <c r="M791" s="31"/>
      <c r="N791" s="31"/>
      <c r="O791" s="31"/>
      <c r="P791" s="31"/>
      <c r="Q791" s="203"/>
      <c r="R791" s="203"/>
      <c r="S791" s="203"/>
      <c r="T791" s="203"/>
    </row>
    <row r="792" ht="15.75" customHeight="1">
      <c r="A792" s="202"/>
      <c r="B792" s="202"/>
      <c r="C792" s="202"/>
      <c r="D792" s="31"/>
      <c r="E792" s="31"/>
      <c r="F792" s="144"/>
      <c r="G792" s="31"/>
      <c r="H792" s="31"/>
      <c r="I792" s="31"/>
      <c r="J792" s="31"/>
      <c r="K792" s="31"/>
      <c r="L792" s="31"/>
      <c r="M792" s="31"/>
      <c r="N792" s="31"/>
      <c r="O792" s="31"/>
      <c r="P792" s="31"/>
      <c r="Q792" s="203"/>
      <c r="R792" s="203"/>
      <c r="S792" s="203"/>
      <c r="T792" s="203"/>
    </row>
    <row r="793" ht="15.75" customHeight="1">
      <c r="A793" s="202"/>
      <c r="B793" s="202"/>
      <c r="C793" s="202"/>
      <c r="D793" s="31"/>
      <c r="E793" s="31"/>
      <c r="F793" s="144"/>
      <c r="G793" s="31"/>
      <c r="H793" s="31"/>
      <c r="I793" s="31"/>
      <c r="J793" s="31"/>
      <c r="K793" s="31"/>
      <c r="L793" s="31"/>
      <c r="M793" s="31"/>
      <c r="N793" s="31"/>
      <c r="O793" s="31"/>
      <c r="P793" s="31"/>
      <c r="Q793" s="203"/>
      <c r="R793" s="203"/>
      <c r="S793" s="203"/>
      <c r="T793" s="203"/>
    </row>
    <row r="794" ht="15.75" customHeight="1">
      <c r="A794" s="202"/>
      <c r="B794" s="202"/>
      <c r="C794" s="202"/>
      <c r="D794" s="31"/>
      <c r="E794" s="31"/>
      <c r="F794" s="144"/>
      <c r="G794" s="31"/>
      <c r="H794" s="31"/>
      <c r="I794" s="31"/>
      <c r="J794" s="31"/>
      <c r="K794" s="31"/>
      <c r="L794" s="31"/>
      <c r="M794" s="31"/>
      <c r="N794" s="31"/>
      <c r="O794" s="31"/>
      <c r="P794" s="31"/>
      <c r="Q794" s="203"/>
      <c r="R794" s="203"/>
      <c r="S794" s="203"/>
      <c r="T794" s="203"/>
    </row>
    <row r="795" ht="15.75" customHeight="1">
      <c r="A795" s="202"/>
      <c r="B795" s="202"/>
      <c r="C795" s="202"/>
      <c r="D795" s="31"/>
      <c r="E795" s="31"/>
      <c r="F795" s="144"/>
      <c r="G795" s="31"/>
      <c r="H795" s="31"/>
      <c r="I795" s="31"/>
      <c r="J795" s="31"/>
      <c r="K795" s="31"/>
      <c r="L795" s="31"/>
      <c r="M795" s="31"/>
      <c r="N795" s="31"/>
      <c r="O795" s="31"/>
      <c r="P795" s="31"/>
      <c r="Q795" s="203"/>
      <c r="R795" s="203"/>
      <c r="S795" s="203"/>
      <c r="T795" s="203"/>
    </row>
    <row r="796" ht="15.75" customHeight="1">
      <c r="A796" s="202"/>
      <c r="B796" s="202"/>
      <c r="C796" s="202"/>
      <c r="D796" s="31"/>
      <c r="E796" s="31"/>
      <c r="F796" s="144"/>
      <c r="G796" s="31"/>
      <c r="H796" s="31"/>
      <c r="I796" s="31"/>
      <c r="J796" s="31"/>
      <c r="K796" s="31"/>
      <c r="L796" s="31"/>
      <c r="M796" s="31"/>
      <c r="N796" s="31"/>
      <c r="O796" s="31"/>
      <c r="P796" s="31"/>
      <c r="Q796" s="203"/>
      <c r="R796" s="203"/>
      <c r="S796" s="203"/>
      <c r="T796" s="203"/>
    </row>
    <row r="797" ht="15.75" customHeight="1">
      <c r="A797" s="202"/>
      <c r="B797" s="202"/>
      <c r="C797" s="202"/>
      <c r="D797" s="31"/>
      <c r="E797" s="31"/>
      <c r="F797" s="144"/>
      <c r="G797" s="31"/>
      <c r="H797" s="31"/>
      <c r="I797" s="31"/>
      <c r="J797" s="31"/>
      <c r="K797" s="31"/>
      <c r="L797" s="31"/>
      <c r="M797" s="31"/>
      <c r="N797" s="31"/>
      <c r="O797" s="31"/>
      <c r="P797" s="31"/>
      <c r="Q797" s="203"/>
      <c r="R797" s="203"/>
      <c r="S797" s="203"/>
      <c r="T797" s="203"/>
    </row>
    <row r="798" ht="15.75" customHeight="1">
      <c r="A798" s="202"/>
      <c r="B798" s="202"/>
      <c r="C798" s="202"/>
      <c r="D798" s="31"/>
      <c r="E798" s="31"/>
      <c r="F798" s="144"/>
      <c r="G798" s="31"/>
      <c r="H798" s="31"/>
      <c r="I798" s="31"/>
      <c r="J798" s="31"/>
      <c r="K798" s="31"/>
      <c r="L798" s="31"/>
      <c r="M798" s="31"/>
      <c r="N798" s="31"/>
      <c r="O798" s="31"/>
      <c r="P798" s="31"/>
      <c r="Q798" s="203"/>
      <c r="R798" s="203"/>
      <c r="S798" s="203"/>
      <c r="T798" s="203"/>
    </row>
    <row r="799" ht="15.75" customHeight="1">
      <c r="A799" s="202"/>
      <c r="B799" s="202"/>
      <c r="C799" s="202"/>
      <c r="D799" s="31"/>
      <c r="E799" s="31"/>
      <c r="F799" s="144"/>
      <c r="G799" s="31"/>
      <c r="H799" s="31"/>
      <c r="I799" s="31"/>
      <c r="J799" s="31"/>
      <c r="K799" s="31"/>
      <c r="L799" s="31"/>
      <c r="M799" s="31"/>
      <c r="N799" s="31"/>
      <c r="O799" s="31"/>
      <c r="P799" s="31"/>
      <c r="Q799" s="203"/>
      <c r="R799" s="203"/>
      <c r="S799" s="203"/>
      <c r="T799" s="203"/>
    </row>
    <row r="800" ht="15.75" customHeight="1">
      <c r="A800" s="202"/>
      <c r="B800" s="202"/>
      <c r="C800" s="202"/>
      <c r="D800" s="31"/>
      <c r="E800" s="31"/>
      <c r="F800" s="144"/>
      <c r="G800" s="31"/>
      <c r="H800" s="31"/>
      <c r="I800" s="31"/>
      <c r="J800" s="31"/>
      <c r="K800" s="31"/>
      <c r="L800" s="31"/>
      <c r="M800" s="31"/>
      <c r="N800" s="31"/>
      <c r="O800" s="31"/>
      <c r="P800" s="31"/>
      <c r="Q800" s="203"/>
      <c r="R800" s="203"/>
      <c r="S800" s="203"/>
      <c r="T800" s="203"/>
    </row>
    <row r="801" ht="15.75" customHeight="1">
      <c r="A801" s="202"/>
      <c r="B801" s="202"/>
      <c r="C801" s="202"/>
      <c r="D801" s="31"/>
      <c r="E801" s="31"/>
      <c r="F801" s="144"/>
      <c r="G801" s="31"/>
      <c r="H801" s="31"/>
      <c r="I801" s="31"/>
      <c r="J801" s="31"/>
      <c r="K801" s="31"/>
      <c r="L801" s="31"/>
      <c r="M801" s="31"/>
      <c r="N801" s="31"/>
      <c r="O801" s="31"/>
      <c r="P801" s="31"/>
      <c r="Q801" s="203"/>
      <c r="R801" s="203"/>
      <c r="S801" s="203"/>
      <c r="T801" s="203"/>
    </row>
    <row r="802" ht="15.75" customHeight="1">
      <c r="A802" s="202"/>
      <c r="B802" s="202"/>
      <c r="C802" s="202"/>
      <c r="D802" s="31"/>
      <c r="E802" s="31"/>
      <c r="F802" s="144"/>
      <c r="G802" s="31"/>
      <c r="H802" s="31"/>
      <c r="I802" s="31"/>
      <c r="J802" s="31"/>
      <c r="K802" s="31"/>
      <c r="L802" s="31"/>
      <c r="M802" s="31"/>
      <c r="N802" s="31"/>
      <c r="O802" s="31"/>
      <c r="P802" s="31"/>
      <c r="Q802" s="203"/>
      <c r="R802" s="203"/>
      <c r="S802" s="203"/>
      <c r="T802" s="203"/>
    </row>
    <row r="803" ht="15.75" customHeight="1">
      <c r="A803" s="202"/>
      <c r="B803" s="202"/>
      <c r="C803" s="202"/>
      <c r="D803" s="31"/>
      <c r="E803" s="31"/>
      <c r="F803" s="144"/>
      <c r="G803" s="31"/>
      <c r="H803" s="31"/>
      <c r="I803" s="31"/>
      <c r="J803" s="31"/>
      <c r="K803" s="31"/>
      <c r="L803" s="31"/>
      <c r="M803" s="31"/>
      <c r="N803" s="31"/>
      <c r="O803" s="31"/>
      <c r="P803" s="31"/>
      <c r="Q803" s="203"/>
      <c r="R803" s="203"/>
      <c r="S803" s="203"/>
      <c r="T803" s="203"/>
    </row>
    <row r="804" ht="15.75" customHeight="1">
      <c r="A804" s="202"/>
      <c r="B804" s="202"/>
      <c r="C804" s="202"/>
      <c r="D804" s="31"/>
      <c r="E804" s="31"/>
      <c r="F804" s="144"/>
      <c r="G804" s="31"/>
      <c r="H804" s="31"/>
      <c r="I804" s="31"/>
      <c r="J804" s="31"/>
      <c r="K804" s="31"/>
      <c r="L804" s="31"/>
      <c r="M804" s="31"/>
      <c r="N804" s="31"/>
      <c r="O804" s="31"/>
      <c r="P804" s="31"/>
      <c r="Q804" s="203"/>
      <c r="R804" s="203"/>
      <c r="S804" s="203"/>
      <c r="T804" s="203"/>
    </row>
    <row r="805" ht="15.75" customHeight="1">
      <c r="A805" s="202"/>
      <c r="B805" s="202"/>
      <c r="C805" s="202"/>
      <c r="D805" s="31"/>
      <c r="E805" s="31"/>
      <c r="F805" s="144"/>
      <c r="G805" s="31"/>
      <c r="H805" s="31"/>
      <c r="I805" s="31"/>
      <c r="J805" s="31"/>
      <c r="K805" s="31"/>
      <c r="L805" s="31"/>
      <c r="M805" s="31"/>
      <c r="N805" s="31"/>
      <c r="O805" s="31"/>
      <c r="P805" s="31"/>
      <c r="Q805" s="203"/>
      <c r="R805" s="203"/>
      <c r="S805" s="203"/>
      <c r="T805" s="203"/>
    </row>
    <row r="806" ht="15.75" customHeight="1">
      <c r="A806" s="202"/>
      <c r="B806" s="202"/>
      <c r="C806" s="202"/>
      <c r="D806" s="31"/>
      <c r="E806" s="31"/>
      <c r="F806" s="144"/>
      <c r="G806" s="31"/>
      <c r="H806" s="31"/>
      <c r="I806" s="31"/>
      <c r="J806" s="31"/>
      <c r="K806" s="31"/>
      <c r="L806" s="31"/>
      <c r="M806" s="31"/>
      <c r="N806" s="31"/>
      <c r="O806" s="31"/>
      <c r="P806" s="31"/>
      <c r="Q806" s="203"/>
      <c r="R806" s="203"/>
      <c r="S806" s="203"/>
      <c r="T806" s="203"/>
    </row>
    <row r="807" ht="15.75" customHeight="1">
      <c r="A807" s="202"/>
      <c r="B807" s="202"/>
      <c r="C807" s="202"/>
      <c r="D807" s="31"/>
      <c r="E807" s="31"/>
      <c r="F807" s="144"/>
      <c r="G807" s="31"/>
      <c r="H807" s="31"/>
      <c r="I807" s="31"/>
      <c r="J807" s="31"/>
      <c r="K807" s="31"/>
      <c r="L807" s="31"/>
      <c r="M807" s="31"/>
      <c r="N807" s="31"/>
      <c r="O807" s="31"/>
      <c r="P807" s="31"/>
      <c r="Q807" s="203"/>
      <c r="R807" s="203"/>
      <c r="S807" s="203"/>
      <c r="T807" s="203"/>
    </row>
    <row r="808" ht="15.75" customHeight="1">
      <c r="A808" s="202"/>
      <c r="B808" s="202"/>
      <c r="C808" s="202"/>
      <c r="D808" s="31"/>
      <c r="E808" s="31"/>
      <c r="F808" s="144"/>
      <c r="G808" s="31"/>
      <c r="H808" s="31"/>
      <c r="I808" s="31"/>
      <c r="J808" s="31"/>
      <c r="K808" s="31"/>
      <c r="L808" s="31"/>
      <c r="M808" s="31"/>
      <c r="N808" s="31"/>
      <c r="O808" s="31"/>
      <c r="P808" s="31"/>
      <c r="Q808" s="203"/>
      <c r="R808" s="203"/>
      <c r="S808" s="203"/>
      <c r="T808" s="203"/>
    </row>
    <row r="809" ht="15.75" customHeight="1">
      <c r="A809" s="202"/>
      <c r="B809" s="202"/>
      <c r="C809" s="202"/>
      <c r="D809" s="31"/>
      <c r="E809" s="31"/>
      <c r="F809" s="144"/>
      <c r="G809" s="31"/>
      <c r="H809" s="31"/>
      <c r="I809" s="31"/>
      <c r="J809" s="31"/>
      <c r="K809" s="31"/>
      <c r="L809" s="31"/>
      <c r="M809" s="31"/>
      <c r="N809" s="31"/>
      <c r="O809" s="31"/>
      <c r="P809" s="31"/>
      <c r="Q809" s="203"/>
      <c r="R809" s="203"/>
      <c r="S809" s="203"/>
      <c r="T809" s="203"/>
    </row>
    <row r="810" ht="15.75" customHeight="1">
      <c r="A810" s="202"/>
      <c r="B810" s="202"/>
      <c r="C810" s="202"/>
      <c r="D810" s="31"/>
      <c r="E810" s="31"/>
      <c r="F810" s="144"/>
      <c r="G810" s="31"/>
      <c r="H810" s="31"/>
      <c r="I810" s="31"/>
      <c r="J810" s="31"/>
      <c r="K810" s="31"/>
      <c r="L810" s="31"/>
      <c r="M810" s="31"/>
      <c r="N810" s="31"/>
      <c r="O810" s="31"/>
      <c r="P810" s="31"/>
      <c r="Q810" s="203"/>
      <c r="R810" s="203"/>
      <c r="S810" s="203"/>
      <c r="T810" s="203"/>
    </row>
    <row r="811" ht="15.75" customHeight="1">
      <c r="A811" s="202"/>
      <c r="B811" s="202"/>
      <c r="C811" s="202"/>
      <c r="D811" s="31"/>
      <c r="E811" s="31"/>
      <c r="F811" s="144"/>
      <c r="G811" s="31"/>
      <c r="H811" s="31"/>
      <c r="I811" s="31"/>
      <c r="J811" s="31"/>
      <c r="K811" s="31"/>
      <c r="L811" s="31"/>
      <c r="M811" s="31"/>
      <c r="N811" s="31"/>
      <c r="O811" s="31"/>
      <c r="P811" s="31"/>
      <c r="Q811" s="203"/>
      <c r="R811" s="203"/>
      <c r="S811" s="203"/>
      <c r="T811" s="203"/>
    </row>
    <row r="812" ht="15.75" customHeight="1">
      <c r="A812" s="202"/>
      <c r="B812" s="202"/>
      <c r="C812" s="202"/>
      <c r="D812" s="31"/>
      <c r="E812" s="31"/>
      <c r="F812" s="144"/>
      <c r="G812" s="31"/>
      <c r="H812" s="31"/>
      <c r="I812" s="31"/>
      <c r="J812" s="31"/>
      <c r="K812" s="31"/>
      <c r="L812" s="31"/>
      <c r="M812" s="31"/>
      <c r="N812" s="31"/>
      <c r="O812" s="31"/>
      <c r="P812" s="31"/>
      <c r="Q812" s="203"/>
      <c r="R812" s="203"/>
      <c r="S812" s="203"/>
      <c r="T812" s="203"/>
    </row>
    <row r="813" ht="15.75" customHeight="1">
      <c r="A813" s="202"/>
      <c r="B813" s="202"/>
      <c r="C813" s="202"/>
      <c r="D813" s="31"/>
      <c r="E813" s="31"/>
      <c r="F813" s="144"/>
      <c r="G813" s="31"/>
      <c r="H813" s="31"/>
      <c r="I813" s="31"/>
      <c r="J813" s="31"/>
      <c r="K813" s="31"/>
      <c r="L813" s="31"/>
      <c r="M813" s="31"/>
      <c r="N813" s="31"/>
      <c r="O813" s="31"/>
      <c r="P813" s="31"/>
      <c r="Q813" s="203"/>
      <c r="R813" s="203"/>
      <c r="S813" s="203"/>
      <c r="T813" s="203"/>
    </row>
    <row r="814" ht="15.75" customHeight="1">
      <c r="A814" s="202"/>
      <c r="B814" s="202"/>
      <c r="C814" s="202"/>
      <c r="D814" s="31"/>
      <c r="E814" s="31"/>
      <c r="F814" s="144"/>
      <c r="G814" s="31"/>
      <c r="H814" s="31"/>
      <c r="I814" s="31"/>
      <c r="J814" s="31"/>
      <c r="K814" s="31"/>
      <c r="L814" s="31"/>
      <c r="M814" s="31"/>
      <c r="N814" s="31"/>
      <c r="O814" s="31"/>
      <c r="P814" s="31"/>
      <c r="Q814" s="203"/>
      <c r="R814" s="203"/>
      <c r="S814" s="203"/>
      <c r="T814" s="203"/>
    </row>
    <row r="815" ht="15.75" customHeight="1">
      <c r="A815" s="202"/>
      <c r="B815" s="202"/>
      <c r="C815" s="202"/>
      <c r="D815" s="31"/>
      <c r="E815" s="31"/>
      <c r="F815" s="144"/>
      <c r="G815" s="31"/>
      <c r="H815" s="31"/>
      <c r="I815" s="31"/>
      <c r="J815" s="31"/>
      <c r="K815" s="31"/>
      <c r="L815" s="31"/>
      <c r="M815" s="31"/>
      <c r="N815" s="31"/>
      <c r="O815" s="31"/>
      <c r="P815" s="31"/>
      <c r="Q815" s="203"/>
      <c r="R815" s="203"/>
      <c r="S815" s="203"/>
      <c r="T815" s="203"/>
    </row>
    <row r="816" ht="15.75" customHeight="1">
      <c r="A816" s="202"/>
      <c r="B816" s="202"/>
      <c r="C816" s="202"/>
      <c r="D816" s="31"/>
      <c r="E816" s="31"/>
      <c r="F816" s="144"/>
      <c r="G816" s="31"/>
      <c r="H816" s="31"/>
      <c r="I816" s="31"/>
      <c r="J816" s="31"/>
      <c r="K816" s="31"/>
      <c r="L816" s="31"/>
      <c r="M816" s="31"/>
      <c r="N816" s="31"/>
      <c r="O816" s="31"/>
      <c r="P816" s="31"/>
      <c r="Q816" s="203"/>
      <c r="R816" s="203"/>
      <c r="S816" s="203"/>
      <c r="T816" s="203"/>
    </row>
    <row r="817" ht="15.75" customHeight="1">
      <c r="A817" s="202"/>
      <c r="B817" s="202"/>
      <c r="C817" s="202"/>
      <c r="D817" s="31"/>
      <c r="E817" s="31"/>
      <c r="F817" s="144"/>
      <c r="G817" s="31"/>
      <c r="H817" s="31"/>
      <c r="I817" s="31"/>
      <c r="J817" s="31"/>
      <c r="K817" s="31"/>
      <c r="L817" s="31"/>
      <c r="M817" s="31"/>
      <c r="N817" s="31"/>
      <c r="O817" s="31"/>
      <c r="P817" s="31"/>
      <c r="Q817" s="203"/>
      <c r="R817" s="203"/>
      <c r="S817" s="203"/>
      <c r="T817" s="203"/>
    </row>
    <row r="818" ht="15.75" customHeight="1">
      <c r="A818" s="202"/>
      <c r="B818" s="202"/>
      <c r="C818" s="202"/>
      <c r="D818" s="31"/>
      <c r="E818" s="31"/>
      <c r="F818" s="144"/>
      <c r="G818" s="31"/>
      <c r="H818" s="31"/>
      <c r="I818" s="31"/>
      <c r="J818" s="31"/>
      <c r="K818" s="31"/>
      <c r="L818" s="31"/>
      <c r="M818" s="31"/>
      <c r="N818" s="31"/>
      <c r="O818" s="31"/>
      <c r="P818" s="31"/>
      <c r="Q818" s="203"/>
      <c r="R818" s="203"/>
      <c r="S818" s="203"/>
      <c r="T818" s="203"/>
    </row>
    <row r="819" ht="15.75" customHeight="1">
      <c r="A819" s="202"/>
      <c r="B819" s="202"/>
      <c r="C819" s="202"/>
      <c r="D819" s="31"/>
      <c r="E819" s="31"/>
      <c r="F819" s="144"/>
      <c r="G819" s="31"/>
      <c r="H819" s="31"/>
      <c r="I819" s="31"/>
      <c r="J819" s="31"/>
      <c r="K819" s="31"/>
      <c r="L819" s="31"/>
      <c r="M819" s="31"/>
      <c r="N819" s="31"/>
      <c r="O819" s="31"/>
      <c r="P819" s="31"/>
      <c r="Q819" s="203"/>
      <c r="R819" s="203"/>
      <c r="S819" s="203"/>
      <c r="T819" s="203"/>
    </row>
    <row r="820" ht="15.75" customHeight="1">
      <c r="A820" s="202"/>
      <c r="B820" s="202"/>
      <c r="C820" s="202"/>
      <c r="D820" s="31"/>
      <c r="E820" s="31"/>
      <c r="F820" s="144"/>
      <c r="G820" s="31"/>
      <c r="H820" s="31"/>
      <c r="I820" s="31"/>
      <c r="J820" s="31"/>
      <c r="K820" s="31"/>
      <c r="L820" s="31"/>
      <c r="M820" s="31"/>
      <c r="N820" s="31"/>
      <c r="O820" s="31"/>
      <c r="P820" s="31"/>
      <c r="Q820" s="203"/>
      <c r="R820" s="203"/>
      <c r="S820" s="203"/>
      <c r="T820" s="203"/>
    </row>
    <row r="821" ht="15.75" customHeight="1">
      <c r="A821" s="202"/>
      <c r="B821" s="202"/>
      <c r="C821" s="202"/>
      <c r="D821" s="31"/>
      <c r="E821" s="31"/>
      <c r="F821" s="144"/>
      <c r="G821" s="31"/>
      <c r="H821" s="31"/>
      <c r="I821" s="31"/>
      <c r="J821" s="31"/>
      <c r="K821" s="31"/>
      <c r="L821" s="31"/>
      <c r="M821" s="31"/>
      <c r="N821" s="31"/>
      <c r="O821" s="31"/>
      <c r="P821" s="31"/>
      <c r="Q821" s="203"/>
      <c r="R821" s="203"/>
      <c r="S821" s="203"/>
      <c r="T821" s="203"/>
    </row>
    <row r="822" ht="15.75" customHeight="1">
      <c r="A822" s="202"/>
      <c r="B822" s="202"/>
      <c r="C822" s="202"/>
      <c r="D822" s="31"/>
      <c r="E822" s="31"/>
      <c r="F822" s="144"/>
      <c r="G822" s="31"/>
      <c r="H822" s="31"/>
      <c r="I822" s="31"/>
      <c r="J822" s="31"/>
      <c r="K822" s="31"/>
      <c r="L822" s="31"/>
      <c r="M822" s="31"/>
      <c r="N822" s="31"/>
      <c r="O822" s="31"/>
      <c r="P822" s="31"/>
      <c r="Q822" s="203"/>
      <c r="R822" s="203"/>
      <c r="S822" s="203"/>
      <c r="T822" s="203"/>
    </row>
    <row r="823" ht="15.75" customHeight="1">
      <c r="A823" s="202"/>
      <c r="B823" s="202"/>
      <c r="C823" s="202"/>
      <c r="D823" s="31"/>
      <c r="E823" s="31"/>
      <c r="F823" s="144"/>
      <c r="G823" s="31"/>
      <c r="H823" s="31"/>
      <c r="I823" s="31"/>
      <c r="J823" s="31"/>
      <c r="K823" s="31"/>
      <c r="L823" s="31"/>
      <c r="M823" s="31"/>
      <c r="N823" s="31"/>
      <c r="O823" s="31"/>
      <c r="P823" s="31"/>
      <c r="Q823" s="203"/>
      <c r="R823" s="203"/>
      <c r="S823" s="203"/>
      <c r="T823" s="203"/>
    </row>
    <row r="824" ht="15.75" customHeight="1">
      <c r="A824" s="202"/>
      <c r="B824" s="202"/>
      <c r="C824" s="202"/>
      <c r="D824" s="31"/>
      <c r="E824" s="31"/>
      <c r="F824" s="144"/>
      <c r="G824" s="31"/>
      <c r="H824" s="31"/>
      <c r="I824" s="31"/>
      <c r="J824" s="31"/>
      <c r="K824" s="31"/>
      <c r="L824" s="31"/>
      <c r="M824" s="31"/>
      <c r="N824" s="31"/>
      <c r="O824" s="31"/>
      <c r="P824" s="31"/>
      <c r="Q824" s="203"/>
      <c r="R824" s="203"/>
      <c r="S824" s="203"/>
      <c r="T824" s="203"/>
    </row>
    <row r="825" ht="15.75" customHeight="1">
      <c r="A825" s="202"/>
      <c r="B825" s="202"/>
      <c r="C825" s="202"/>
      <c r="D825" s="31"/>
      <c r="E825" s="31"/>
      <c r="F825" s="144"/>
      <c r="G825" s="31"/>
      <c r="H825" s="31"/>
      <c r="I825" s="31"/>
      <c r="J825" s="31"/>
      <c r="K825" s="31"/>
      <c r="L825" s="31"/>
      <c r="M825" s="31"/>
      <c r="N825" s="31"/>
      <c r="O825" s="31"/>
      <c r="P825" s="31"/>
      <c r="Q825" s="203"/>
      <c r="R825" s="203"/>
      <c r="S825" s="203"/>
      <c r="T825" s="203"/>
    </row>
    <row r="826" ht="15.75" customHeight="1">
      <c r="A826" s="202"/>
      <c r="B826" s="202"/>
      <c r="C826" s="202"/>
      <c r="D826" s="31"/>
      <c r="E826" s="31"/>
      <c r="F826" s="144"/>
      <c r="G826" s="31"/>
      <c r="H826" s="31"/>
      <c r="I826" s="31"/>
      <c r="J826" s="31"/>
      <c r="K826" s="31"/>
      <c r="L826" s="31"/>
      <c r="M826" s="31"/>
      <c r="N826" s="31"/>
      <c r="O826" s="31"/>
      <c r="P826" s="31"/>
      <c r="Q826" s="203"/>
      <c r="R826" s="203"/>
      <c r="S826" s="203"/>
      <c r="T826" s="203"/>
    </row>
    <row r="827" ht="15.75" customHeight="1">
      <c r="A827" s="202"/>
      <c r="B827" s="202"/>
      <c r="C827" s="202"/>
      <c r="D827" s="31"/>
      <c r="E827" s="31"/>
      <c r="F827" s="144"/>
      <c r="G827" s="31"/>
      <c r="H827" s="31"/>
      <c r="I827" s="31"/>
      <c r="J827" s="31"/>
      <c r="K827" s="31"/>
      <c r="L827" s="31"/>
      <c r="M827" s="31"/>
      <c r="N827" s="31"/>
      <c r="O827" s="31"/>
      <c r="P827" s="31"/>
      <c r="Q827" s="203"/>
      <c r="R827" s="203"/>
      <c r="S827" s="203"/>
      <c r="T827" s="203"/>
    </row>
    <row r="828" ht="15.75" customHeight="1">
      <c r="A828" s="202"/>
      <c r="B828" s="202"/>
      <c r="C828" s="202"/>
      <c r="D828" s="31"/>
      <c r="E828" s="31"/>
      <c r="F828" s="144"/>
      <c r="G828" s="31"/>
      <c r="H828" s="31"/>
      <c r="I828" s="31"/>
      <c r="J828" s="31"/>
      <c r="K828" s="31"/>
      <c r="L828" s="31"/>
      <c r="M828" s="31"/>
      <c r="N828" s="31"/>
      <c r="O828" s="31"/>
      <c r="P828" s="31"/>
      <c r="Q828" s="203"/>
      <c r="R828" s="203"/>
      <c r="S828" s="203"/>
      <c r="T828" s="203"/>
    </row>
    <row r="829" ht="15.75" customHeight="1">
      <c r="A829" s="202"/>
      <c r="B829" s="202"/>
      <c r="C829" s="202"/>
      <c r="D829" s="31"/>
      <c r="E829" s="31"/>
      <c r="F829" s="144"/>
      <c r="G829" s="31"/>
      <c r="H829" s="31"/>
      <c r="I829" s="31"/>
      <c r="J829" s="31"/>
      <c r="K829" s="31"/>
      <c r="L829" s="31"/>
      <c r="M829" s="31"/>
      <c r="N829" s="31"/>
      <c r="O829" s="31"/>
      <c r="P829" s="31"/>
      <c r="Q829" s="203"/>
      <c r="R829" s="203"/>
      <c r="S829" s="203"/>
      <c r="T829" s="203"/>
    </row>
    <row r="830" ht="15.75" customHeight="1">
      <c r="A830" s="202"/>
      <c r="B830" s="202"/>
      <c r="C830" s="202"/>
      <c r="D830" s="31"/>
      <c r="E830" s="31"/>
      <c r="F830" s="144"/>
      <c r="G830" s="31"/>
      <c r="H830" s="31"/>
      <c r="I830" s="31"/>
      <c r="J830" s="31"/>
      <c r="K830" s="31"/>
      <c r="L830" s="31"/>
      <c r="M830" s="31"/>
      <c r="N830" s="31"/>
      <c r="O830" s="31"/>
      <c r="P830" s="31"/>
      <c r="Q830" s="203"/>
      <c r="R830" s="203"/>
      <c r="S830" s="203"/>
      <c r="T830" s="203"/>
    </row>
    <row r="831" ht="15.75" customHeight="1">
      <c r="A831" s="202"/>
      <c r="B831" s="202"/>
      <c r="C831" s="202"/>
      <c r="D831" s="31"/>
      <c r="E831" s="31"/>
      <c r="F831" s="144"/>
      <c r="G831" s="31"/>
      <c r="H831" s="31"/>
      <c r="I831" s="31"/>
      <c r="J831" s="31"/>
      <c r="K831" s="31"/>
      <c r="L831" s="31"/>
      <c r="M831" s="31"/>
      <c r="N831" s="31"/>
      <c r="O831" s="31"/>
      <c r="P831" s="31"/>
      <c r="Q831" s="203"/>
      <c r="R831" s="203"/>
      <c r="S831" s="203"/>
      <c r="T831" s="203"/>
    </row>
    <row r="832" ht="15.75" customHeight="1">
      <c r="A832" s="202"/>
      <c r="B832" s="202"/>
      <c r="C832" s="202"/>
      <c r="D832" s="31"/>
      <c r="E832" s="31"/>
      <c r="F832" s="144"/>
      <c r="G832" s="31"/>
      <c r="H832" s="31"/>
      <c r="I832" s="31"/>
      <c r="J832" s="31"/>
      <c r="K832" s="31"/>
      <c r="L832" s="31"/>
      <c r="M832" s="31"/>
      <c r="N832" s="31"/>
      <c r="O832" s="31"/>
      <c r="P832" s="31"/>
      <c r="Q832" s="203"/>
      <c r="R832" s="203"/>
      <c r="S832" s="203"/>
      <c r="T832" s="203"/>
    </row>
    <row r="833" ht="15.75" customHeight="1">
      <c r="A833" s="202"/>
      <c r="B833" s="202"/>
      <c r="C833" s="202"/>
      <c r="D833" s="31"/>
      <c r="E833" s="31"/>
      <c r="F833" s="144"/>
      <c r="G833" s="31"/>
      <c r="H833" s="31"/>
      <c r="I833" s="31"/>
      <c r="J833" s="31"/>
      <c r="K833" s="31"/>
      <c r="L833" s="31"/>
      <c r="M833" s="31"/>
      <c r="N833" s="31"/>
      <c r="O833" s="31"/>
      <c r="P833" s="31"/>
      <c r="Q833" s="203"/>
      <c r="R833" s="203"/>
      <c r="S833" s="203"/>
      <c r="T833" s="203"/>
    </row>
    <row r="834" ht="15.75" customHeight="1">
      <c r="A834" s="202"/>
      <c r="B834" s="202"/>
      <c r="C834" s="202"/>
      <c r="D834" s="31"/>
      <c r="E834" s="31"/>
      <c r="F834" s="144"/>
      <c r="G834" s="31"/>
      <c r="H834" s="31"/>
      <c r="I834" s="31"/>
      <c r="J834" s="31"/>
      <c r="K834" s="31"/>
      <c r="L834" s="31"/>
      <c r="M834" s="31"/>
      <c r="N834" s="31"/>
      <c r="O834" s="31"/>
      <c r="P834" s="31"/>
      <c r="Q834" s="203"/>
      <c r="R834" s="203"/>
      <c r="S834" s="203"/>
      <c r="T834" s="203"/>
    </row>
    <row r="835" ht="15.75" customHeight="1">
      <c r="A835" s="202"/>
      <c r="B835" s="202"/>
      <c r="C835" s="202"/>
      <c r="D835" s="31"/>
      <c r="E835" s="31"/>
      <c r="F835" s="144"/>
      <c r="G835" s="31"/>
      <c r="H835" s="31"/>
      <c r="I835" s="31"/>
      <c r="J835" s="31"/>
      <c r="K835" s="31"/>
      <c r="L835" s="31"/>
      <c r="M835" s="31"/>
      <c r="N835" s="31"/>
      <c r="O835" s="31"/>
      <c r="P835" s="31"/>
      <c r="Q835" s="203"/>
      <c r="R835" s="203"/>
      <c r="S835" s="203"/>
      <c r="T835" s="203"/>
    </row>
    <row r="836" ht="15.75" customHeight="1">
      <c r="A836" s="202"/>
      <c r="B836" s="202"/>
      <c r="C836" s="202"/>
      <c r="D836" s="31"/>
      <c r="E836" s="31"/>
      <c r="F836" s="144"/>
      <c r="G836" s="31"/>
      <c r="H836" s="31"/>
      <c r="I836" s="31"/>
      <c r="J836" s="31"/>
      <c r="K836" s="31"/>
      <c r="L836" s="31"/>
      <c r="M836" s="31"/>
      <c r="N836" s="31"/>
      <c r="O836" s="31"/>
      <c r="P836" s="31"/>
      <c r="Q836" s="203"/>
      <c r="R836" s="203"/>
      <c r="S836" s="203"/>
      <c r="T836" s="203"/>
    </row>
    <row r="837" ht="15.75" customHeight="1">
      <c r="A837" s="202"/>
      <c r="B837" s="202"/>
      <c r="C837" s="202"/>
      <c r="D837" s="31"/>
      <c r="E837" s="31"/>
      <c r="F837" s="144"/>
      <c r="G837" s="31"/>
      <c r="H837" s="31"/>
      <c r="I837" s="31"/>
      <c r="J837" s="31"/>
      <c r="K837" s="31"/>
      <c r="L837" s="31"/>
      <c r="M837" s="31"/>
      <c r="N837" s="31"/>
      <c r="O837" s="31"/>
      <c r="P837" s="31"/>
      <c r="Q837" s="203"/>
      <c r="R837" s="203"/>
      <c r="S837" s="203"/>
      <c r="T837" s="203"/>
    </row>
    <row r="838" ht="15.75" customHeight="1">
      <c r="A838" s="202"/>
      <c r="B838" s="202"/>
      <c r="C838" s="202"/>
      <c r="D838" s="31"/>
      <c r="E838" s="31"/>
      <c r="F838" s="144"/>
      <c r="G838" s="31"/>
      <c r="H838" s="31"/>
      <c r="I838" s="31"/>
      <c r="J838" s="31"/>
      <c r="K838" s="31"/>
      <c r="L838" s="31"/>
      <c r="M838" s="31"/>
      <c r="N838" s="31"/>
      <c r="O838" s="31"/>
      <c r="P838" s="31"/>
      <c r="Q838" s="203"/>
      <c r="R838" s="203"/>
      <c r="S838" s="203"/>
      <c r="T838" s="203"/>
    </row>
    <row r="839" ht="15.75" customHeight="1">
      <c r="A839" s="202"/>
      <c r="B839" s="202"/>
      <c r="C839" s="202"/>
      <c r="D839" s="31"/>
      <c r="E839" s="31"/>
      <c r="F839" s="144"/>
      <c r="G839" s="31"/>
      <c r="H839" s="31"/>
      <c r="I839" s="31"/>
      <c r="J839" s="31"/>
      <c r="K839" s="31"/>
      <c r="L839" s="31"/>
      <c r="M839" s="31"/>
      <c r="N839" s="31"/>
      <c r="O839" s="31"/>
      <c r="P839" s="31"/>
      <c r="Q839" s="203"/>
      <c r="R839" s="203"/>
      <c r="S839" s="203"/>
      <c r="T839" s="203"/>
    </row>
    <row r="840" ht="15.75" customHeight="1">
      <c r="A840" s="202"/>
      <c r="B840" s="202"/>
      <c r="C840" s="202"/>
      <c r="D840" s="31"/>
      <c r="E840" s="31"/>
      <c r="F840" s="144"/>
      <c r="G840" s="31"/>
      <c r="H840" s="31"/>
      <c r="I840" s="31"/>
      <c r="J840" s="31"/>
      <c r="K840" s="31"/>
      <c r="L840" s="31"/>
      <c r="M840" s="31"/>
      <c r="N840" s="31"/>
      <c r="O840" s="31"/>
      <c r="P840" s="31"/>
      <c r="Q840" s="203"/>
      <c r="R840" s="203"/>
      <c r="S840" s="203"/>
      <c r="T840" s="203"/>
    </row>
    <row r="841" ht="15.75" customHeight="1">
      <c r="A841" s="202"/>
      <c r="B841" s="202"/>
      <c r="C841" s="202"/>
      <c r="D841" s="31"/>
      <c r="E841" s="31"/>
      <c r="F841" s="144"/>
      <c r="G841" s="31"/>
      <c r="H841" s="31"/>
      <c r="I841" s="31"/>
      <c r="J841" s="31"/>
      <c r="K841" s="31"/>
      <c r="L841" s="31"/>
      <c r="M841" s="31"/>
      <c r="N841" s="31"/>
      <c r="O841" s="31"/>
      <c r="P841" s="31"/>
      <c r="Q841" s="203"/>
      <c r="R841" s="203"/>
      <c r="S841" s="203"/>
      <c r="T841" s="203"/>
    </row>
    <row r="842" ht="15.75" customHeight="1">
      <c r="A842" s="202"/>
      <c r="B842" s="202"/>
      <c r="C842" s="202"/>
      <c r="D842" s="31"/>
      <c r="E842" s="31"/>
      <c r="F842" s="144"/>
      <c r="G842" s="31"/>
      <c r="H842" s="31"/>
      <c r="I842" s="31"/>
      <c r="J842" s="31"/>
      <c r="K842" s="31"/>
      <c r="L842" s="31"/>
      <c r="M842" s="31"/>
      <c r="N842" s="31"/>
      <c r="O842" s="31"/>
      <c r="P842" s="31"/>
      <c r="Q842" s="203"/>
      <c r="R842" s="203"/>
      <c r="S842" s="203"/>
      <c r="T842" s="203"/>
    </row>
    <row r="843" ht="15.75" customHeight="1">
      <c r="A843" s="202"/>
      <c r="B843" s="202"/>
      <c r="C843" s="202"/>
      <c r="D843" s="31"/>
      <c r="E843" s="31"/>
      <c r="F843" s="144"/>
      <c r="G843" s="31"/>
      <c r="H843" s="31"/>
      <c r="I843" s="31"/>
      <c r="J843" s="31"/>
      <c r="K843" s="31"/>
      <c r="L843" s="31"/>
      <c r="M843" s="31"/>
      <c r="N843" s="31"/>
      <c r="O843" s="31"/>
      <c r="P843" s="31"/>
      <c r="Q843" s="203"/>
      <c r="R843" s="203"/>
      <c r="S843" s="203"/>
      <c r="T843" s="203"/>
    </row>
    <row r="844" ht="15.75" customHeight="1">
      <c r="A844" s="202"/>
      <c r="B844" s="202"/>
      <c r="C844" s="202"/>
      <c r="D844" s="31"/>
      <c r="E844" s="31"/>
      <c r="F844" s="144"/>
      <c r="G844" s="31"/>
      <c r="H844" s="31"/>
      <c r="I844" s="31"/>
      <c r="J844" s="31"/>
      <c r="K844" s="31"/>
      <c r="L844" s="31"/>
      <c r="M844" s="31"/>
      <c r="N844" s="31"/>
      <c r="O844" s="31"/>
      <c r="P844" s="31"/>
      <c r="Q844" s="203"/>
      <c r="R844" s="203"/>
      <c r="S844" s="203"/>
      <c r="T844" s="203"/>
    </row>
    <row r="845" ht="15.75" customHeight="1">
      <c r="A845" s="202"/>
      <c r="B845" s="202"/>
      <c r="C845" s="202"/>
      <c r="D845" s="31"/>
      <c r="E845" s="31"/>
      <c r="F845" s="144"/>
      <c r="G845" s="31"/>
      <c r="H845" s="31"/>
      <c r="I845" s="31"/>
      <c r="J845" s="31"/>
      <c r="K845" s="31"/>
      <c r="L845" s="31"/>
      <c r="M845" s="31"/>
      <c r="N845" s="31"/>
      <c r="O845" s="31"/>
      <c r="P845" s="31"/>
      <c r="Q845" s="203"/>
      <c r="R845" s="203"/>
      <c r="S845" s="203"/>
      <c r="T845" s="203"/>
    </row>
    <row r="846" ht="15.75" customHeight="1">
      <c r="A846" s="202"/>
      <c r="B846" s="202"/>
      <c r="C846" s="202"/>
      <c r="D846" s="31"/>
      <c r="E846" s="31"/>
      <c r="F846" s="144"/>
      <c r="G846" s="31"/>
      <c r="H846" s="31"/>
      <c r="I846" s="31"/>
      <c r="J846" s="31"/>
      <c r="K846" s="31"/>
      <c r="L846" s="31"/>
      <c r="M846" s="31"/>
      <c r="N846" s="31"/>
      <c r="O846" s="31"/>
      <c r="P846" s="31"/>
      <c r="Q846" s="203"/>
      <c r="R846" s="203"/>
      <c r="S846" s="203"/>
      <c r="T846" s="203"/>
    </row>
    <row r="847" ht="15.75" customHeight="1">
      <c r="A847" s="202"/>
      <c r="B847" s="202"/>
      <c r="C847" s="202"/>
      <c r="D847" s="31"/>
      <c r="E847" s="31"/>
      <c r="F847" s="144"/>
      <c r="G847" s="31"/>
      <c r="H847" s="31"/>
      <c r="I847" s="31"/>
      <c r="J847" s="31"/>
      <c r="K847" s="31"/>
      <c r="L847" s="31"/>
      <c r="M847" s="31"/>
      <c r="N847" s="31"/>
      <c r="O847" s="31"/>
      <c r="P847" s="31"/>
      <c r="Q847" s="203"/>
      <c r="R847" s="203"/>
      <c r="S847" s="203"/>
      <c r="T847" s="203"/>
    </row>
    <row r="848" ht="15.75" customHeight="1">
      <c r="A848" s="202"/>
      <c r="B848" s="202"/>
      <c r="C848" s="202"/>
      <c r="D848" s="31"/>
      <c r="E848" s="31"/>
      <c r="F848" s="144"/>
      <c r="G848" s="31"/>
      <c r="H848" s="31"/>
      <c r="I848" s="31"/>
      <c r="J848" s="31"/>
      <c r="K848" s="31"/>
      <c r="L848" s="31"/>
      <c r="M848" s="31"/>
      <c r="N848" s="31"/>
      <c r="O848" s="31"/>
      <c r="P848" s="31"/>
      <c r="Q848" s="203"/>
      <c r="R848" s="203"/>
      <c r="S848" s="203"/>
      <c r="T848" s="203"/>
    </row>
    <row r="849" ht="15.75" customHeight="1">
      <c r="A849" s="202"/>
      <c r="B849" s="202"/>
      <c r="C849" s="202"/>
      <c r="D849" s="31"/>
      <c r="E849" s="31"/>
      <c r="F849" s="144"/>
      <c r="G849" s="31"/>
      <c r="H849" s="31"/>
      <c r="I849" s="31"/>
      <c r="J849" s="31"/>
      <c r="K849" s="31"/>
      <c r="L849" s="31"/>
      <c r="M849" s="31"/>
      <c r="N849" s="31"/>
      <c r="O849" s="31"/>
      <c r="P849" s="31"/>
      <c r="Q849" s="203"/>
      <c r="R849" s="203"/>
      <c r="S849" s="203"/>
      <c r="T849" s="203"/>
    </row>
    <row r="850" ht="15.75" customHeight="1">
      <c r="A850" s="202"/>
      <c r="B850" s="202"/>
      <c r="C850" s="202"/>
      <c r="D850" s="31"/>
      <c r="E850" s="31"/>
      <c r="F850" s="144"/>
      <c r="G850" s="31"/>
      <c r="H850" s="31"/>
      <c r="I850" s="31"/>
      <c r="J850" s="31"/>
      <c r="K850" s="31"/>
      <c r="L850" s="31"/>
      <c r="M850" s="31"/>
      <c r="N850" s="31"/>
      <c r="O850" s="31"/>
      <c r="P850" s="31"/>
      <c r="Q850" s="203"/>
      <c r="R850" s="203"/>
      <c r="S850" s="203"/>
      <c r="T850" s="203"/>
    </row>
    <row r="851" ht="15.75" customHeight="1">
      <c r="A851" s="202"/>
      <c r="B851" s="202"/>
      <c r="C851" s="202"/>
      <c r="D851" s="31"/>
      <c r="E851" s="31"/>
      <c r="F851" s="144"/>
      <c r="G851" s="31"/>
      <c r="H851" s="31"/>
      <c r="I851" s="31"/>
      <c r="J851" s="31"/>
      <c r="K851" s="31"/>
      <c r="L851" s="31"/>
      <c r="M851" s="31"/>
      <c r="N851" s="31"/>
      <c r="O851" s="31"/>
      <c r="P851" s="31"/>
      <c r="Q851" s="203"/>
      <c r="R851" s="203"/>
      <c r="S851" s="203"/>
      <c r="T851" s="203"/>
    </row>
    <row r="852" ht="15.75" customHeight="1">
      <c r="A852" s="202"/>
      <c r="B852" s="202"/>
      <c r="C852" s="202"/>
      <c r="D852" s="31"/>
      <c r="E852" s="31"/>
      <c r="F852" s="144"/>
      <c r="G852" s="31"/>
      <c r="H852" s="31"/>
      <c r="I852" s="31"/>
      <c r="J852" s="31"/>
      <c r="K852" s="31"/>
      <c r="L852" s="31"/>
      <c r="M852" s="31"/>
      <c r="N852" s="31"/>
      <c r="O852" s="31"/>
      <c r="P852" s="31"/>
      <c r="Q852" s="203"/>
      <c r="R852" s="203"/>
      <c r="S852" s="203"/>
      <c r="T852" s="203"/>
    </row>
    <row r="853" ht="15.75" customHeight="1">
      <c r="A853" s="202"/>
      <c r="B853" s="202"/>
      <c r="C853" s="202"/>
      <c r="D853" s="31"/>
      <c r="E853" s="31"/>
      <c r="F853" s="144"/>
      <c r="G853" s="31"/>
      <c r="H853" s="31"/>
      <c r="I853" s="31"/>
      <c r="J853" s="31"/>
      <c r="K853" s="31"/>
      <c r="L853" s="31"/>
      <c r="M853" s="31"/>
      <c r="N853" s="31"/>
      <c r="O853" s="31"/>
      <c r="P853" s="31"/>
      <c r="Q853" s="203"/>
      <c r="R853" s="203"/>
      <c r="S853" s="203"/>
      <c r="T853" s="203"/>
    </row>
    <row r="854" ht="15.75" customHeight="1">
      <c r="A854" s="202"/>
      <c r="B854" s="202"/>
      <c r="C854" s="202"/>
      <c r="D854" s="31"/>
      <c r="E854" s="31"/>
      <c r="F854" s="144"/>
      <c r="G854" s="31"/>
      <c r="H854" s="31"/>
      <c r="I854" s="31"/>
      <c r="J854" s="31"/>
      <c r="K854" s="31"/>
      <c r="L854" s="31"/>
      <c r="M854" s="31"/>
      <c r="N854" s="31"/>
      <c r="O854" s="31"/>
      <c r="P854" s="31"/>
      <c r="Q854" s="203"/>
      <c r="R854" s="203"/>
      <c r="S854" s="203"/>
      <c r="T854" s="203"/>
    </row>
    <row r="855" ht="15.75" customHeight="1">
      <c r="A855" s="202"/>
      <c r="B855" s="202"/>
      <c r="C855" s="202"/>
      <c r="D855" s="31"/>
      <c r="E855" s="31"/>
      <c r="F855" s="144"/>
      <c r="G855" s="31"/>
      <c r="H855" s="31"/>
      <c r="I855" s="31"/>
      <c r="J855" s="31"/>
      <c r="K855" s="31"/>
      <c r="L855" s="31"/>
      <c r="M855" s="31"/>
      <c r="N855" s="31"/>
      <c r="O855" s="31"/>
      <c r="P855" s="31"/>
      <c r="Q855" s="203"/>
      <c r="R855" s="203"/>
      <c r="S855" s="203"/>
      <c r="T855" s="203"/>
    </row>
    <row r="856" ht="15.75" customHeight="1">
      <c r="A856" s="202"/>
      <c r="B856" s="202"/>
      <c r="C856" s="202"/>
      <c r="D856" s="31"/>
      <c r="E856" s="31"/>
      <c r="F856" s="144"/>
      <c r="G856" s="31"/>
      <c r="H856" s="31"/>
      <c r="I856" s="31"/>
      <c r="J856" s="31"/>
      <c r="K856" s="31"/>
      <c r="L856" s="31"/>
      <c r="M856" s="31"/>
      <c r="N856" s="31"/>
      <c r="O856" s="31"/>
      <c r="P856" s="31"/>
      <c r="Q856" s="203"/>
      <c r="R856" s="203"/>
      <c r="S856" s="203"/>
      <c r="T856" s="203"/>
    </row>
    <row r="857" ht="15.75" customHeight="1">
      <c r="A857" s="202"/>
      <c r="B857" s="202"/>
      <c r="C857" s="202"/>
      <c r="D857" s="31"/>
      <c r="E857" s="31"/>
      <c r="F857" s="144"/>
      <c r="G857" s="31"/>
      <c r="H857" s="31"/>
      <c r="I857" s="31"/>
      <c r="J857" s="31"/>
      <c r="K857" s="31"/>
      <c r="L857" s="31"/>
      <c r="M857" s="31"/>
      <c r="N857" s="31"/>
      <c r="O857" s="31"/>
      <c r="P857" s="31"/>
      <c r="Q857" s="203"/>
      <c r="R857" s="203"/>
      <c r="S857" s="203"/>
      <c r="T857" s="203"/>
    </row>
    <row r="858" ht="15.75" customHeight="1">
      <c r="A858" s="202"/>
      <c r="B858" s="202"/>
      <c r="C858" s="202"/>
      <c r="D858" s="31"/>
      <c r="E858" s="31"/>
      <c r="F858" s="144"/>
      <c r="G858" s="31"/>
      <c r="H858" s="31"/>
      <c r="I858" s="31"/>
      <c r="J858" s="31"/>
      <c r="K858" s="31"/>
      <c r="L858" s="31"/>
      <c r="M858" s="31"/>
      <c r="N858" s="31"/>
      <c r="O858" s="31"/>
      <c r="P858" s="31"/>
      <c r="Q858" s="203"/>
      <c r="R858" s="203"/>
      <c r="S858" s="203"/>
      <c r="T858" s="203"/>
    </row>
    <row r="859" ht="15.75" customHeight="1">
      <c r="A859" s="202"/>
      <c r="B859" s="202"/>
      <c r="C859" s="202"/>
      <c r="D859" s="31"/>
      <c r="E859" s="31"/>
      <c r="F859" s="144"/>
      <c r="G859" s="31"/>
      <c r="H859" s="31"/>
      <c r="I859" s="31"/>
      <c r="J859" s="31"/>
      <c r="K859" s="31"/>
      <c r="L859" s="31"/>
      <c r="M859" s="31"/>
      <c r="N859" s="31"/>
      <c r="O859" s="31"/>
      <c r="P859" s="31"/>
      <c r="Q859" s="203"/>
      <c r="R859" s="203"/>
      <c r="S859" s="203"/>
      <c r="T859" s="203"/>
    </row>
    <row r="860" ht="15.75" customHeight="1">
      <c r="A860" s="202"/>
      <c r="B860" s="202"/>
      <c r="C860" s="202"/>
      <c r="D860" s="31"/>
      <c r="E860" s="31"/>
      <c r="F860" s="144"/>
      <c r="G860" s="31"/>
      <c r="H860" s="31"/>
      <c r="I860" s="31"/>
      <c r="J860" s="31"/>
      <c r="K860" s="31"/>
      <c r="L860" s="31"/>
      <c r="M860" s="31"/>
      <c r="N860" s="31"/>
      <c r="O860" s="31"/>
      <c r="P860" s="31"/>
      <c r="Q860" s="203"/>
      <c r="R860" s="203"/>
      <c r="S860" s="203"/>
      <c r="T860" s="203"/>
    </row>
    <row r="861" ht="15.75" customHeight="1">
      <c r="A861" s="202"/>
      <c r="B861" s="202"/>
      <c r="C861" s="202"/>
      <c r="D861" s="31"/>
      <c r="E861" s="31"/>
      <c r="F861" s="144"/>
      <c r="G861" s="31"/>
      <c r="H861" s="31"/>
      <c r="I861" s="31"/>
      <c r="J861" s="31"/>
      <c r="K861" s="31"/>
      <c r="L861" s="31"/>
      <c r="M861" s="31"/>
      <c r="N861" s="31"/>
      <c r="O861" s="31"/>
      <c r="P861" s="31"/>
      <c r="Q861" s="203"/>
      <c r="R861" s="203"/>
      <c r="S861" s="203"/>
      <c r="T861" s="203"/>
    </row>
    <row r="862" ht="15.75" customHeight="1">
      <c r="A862" s="202"/>
      <c r="B862" s="202"/>
      <c r="C862" s="202"/>
      <c r="D862" s="31"/>
      <c r="E862" s="31"/>
      <c r="F862" s="144"/>
      <c r="G862" s="31"/>
      <c r="H862" s="31"/>
      <c r="I862" s="31"/>
      <c r="J862" s="31"/>
      <c r="K862" s="31"/>
      <c r="L862" s="31"/>
      <c r="M862" s="31"/>
      <c r="N862" s="31"/>
      <c r="O862" s="31"/>
      <c r="P862" s="31"/>
      <c r="Q862" s="203"/>
      <c r="R862" s="203"/>
      <c r="S862" s="203"/>
      <c r="T862" s="203"/>
    </row>
    <row r="863" ht="15.75" customHeight="1">
      <c r="A863" s="202"/>
      <c r="B863" s="202"/>
      <c r="C863" s="202"/>
      <c r="D863" s="31"/>
      <c r="E863" s="31"/>
      <c r="F863" s="144"/>
      <c r="G863" s="31"/>
      <c r="H863" s="31"/>
      <c r="I863" s="31"/>
      <c r="J863" s="31"/>
      <c r="K863" s="31"/>
      <c r="L863" s="31"/>
      <c r="M863" s="31"/>
      <c r="N863" s="31"/>
      <c r="O863" s="31"/>
      <c r="P863" s="31"/>
      <c r="Q863" s="203"/>
      <c r="R863" s="203"/>
      <c r="S863" s="203"/>
      <c r="T863" s="203"/>
    </row>
    <row r="864" ht="15.75" customHeight="1">
      <c r="A864" s="202"/>
      <c r="B864" s="202"/>
      <c r="C864" s="202"/>
      <c r="D864" s="31"/>
      <c r="E864" s="31"/>
      <c r="F864" s="144"/>
      <c r="G864" s="31"/>
      <c r="H864" s="31"/>
      <c r="I864" s="31"/>
      <c r="J864" s="31"/>
      <c r="K864" s="31"/>
      <c r="L864" s="31"/>
      <c r="M864" s="31"/>
      <c r="N864" s="31"/>
      <c r="O864" s="31"/>
      <c r="P864" s="31"/>
      <c r="Q864" s="203"/>
      <c r="R864" s="203"/>
      <c r="S864" s="203"/>
      <c r="T864" s="203"/>
    </row>
    <row r="865" ht="15.75" customHeight="1">
      <c r="A865" s="202"/>
      <c r="B865" s="202"/>
      <c r="C865" s="202"/>
      <c r="D865" s="31"/>
      <c r="E865" s="31"/>
      <c r="F865" s="144"/>
      <c r="G865" s="31"/>
      <c r="H865" s="31"/>
      <c r="I865" s="31"/>
      <c r="J865" s="31"/>
      <c r="K865" s="31"/>
      <c r="L865" s="31"/>
      <c r="M865" s="31"/>
      <c r="N865" s="31"/>
      <c r="O865" s="31"/>
      <c r="P865" s="31"/>
      <c r="Q865" s="203"/>
      <c r="R865" s="203"/>
      <c r="S865" s="203"/>
      <c r="T865" s="203"/>
    </row>
    <row r="866" ht="15.75" customHeight="1">
      <c r="A866" s="202"/>
      <c r="B866" s="202"/>
      <c r="C866" s="202"/>
      <c r="D866" s="31"/>
      <c r="E866" s="31"/>
      <c r="F866" s="144"/>
      <c r="G866" s="31"/>
      <c r="H866" s="31"/>
      <c r="I866" s="31"/>
      <c r="J866" s="31"/>
      <c r="K866" s="31"/>
      <c r="L866" s="31"/>
      <c r="M866" s="31"/>
      <c r="N866" s="31"/>
      <c r="O866" s="31"/>
      <c r="P866" s="31"/>
      <c r="Q866" s="203"/>
      <c r="R866" s="203"/>
      <c r="S866" s="203"/>
      <c r="T866" s="203"/>
    </row>
    <row r="867" ht="15.75" customHeight="1">
      <c r="A867" s="202"/>
      <c r="B867" s="202"/>
      <c r="C867" s="202"/>
      <c r="D867" s="31"/>
      <c r="E867" s="31"/>
      <c r="F867" s="144"/>
      <c r="G867" s="31"/>
      <c r="H867" s="31"/>
      <c r="I867" s="31"/>
      <c r="J867" s="31"/>
      <c r="K867" s="31"/>
      <c r="L867" s="31"/>
      <c r="M867" s="31"/>
      <c r="N867" s="31"/>
      <c r="O867" s="31"/>
      <c r="P867" s="31"/>
      <c r="Q867" s="203"/>
      <c r="R867" s="203"/>
      <c r="S867" s="203"/>
      <c r="T867" s="203"/>
    </row>
    <row r="868" ht="15.75" customHeight="1">
      <c r="A868" s="202"/>
      <c r="B868" s="202"/>
      <c r="C868" s="202"/>
      <c r="D868" s="31"/>
      <c r="E868" s="31"/>
      <c r="F868" s="144"/>
      <c r="G868" s="31"/>
      <c r="H868" s="31"/>
      <c r="I868" s="31"/>
      <c r="J868" s="31"/>
      <c r="K868" s="31"/>
      <c r="L868" s="31"/>
      <c r="M868" s="31"/>
      <c r="N868" s="31"/>
      <c r="O868" s="31"/>
      <c r="P868" s="31"/>
      <c r="Q868" s="203"/>
      <c r="R868" s="203"/>
      <c r="S868" s="203"/>
      <c r="T868" s="203"/>
    </row>
    <row r="869" ht="15.75" customHeight="1">
      <c r="A869" s="202"/>
      <c r="B869" s="202"/>
      <c r="C869" s="202"/>
      <c r="D869" s="31"/>
      <c r="E869" s="31"/>
      <c r="F869" s="144"/>
      <c r="G869" s="31"/>
      <c r="H869" s="31"/>
      <c r="I869" s="31"/>
      <c r="J869" s="31"/>
      <c r="K869" s="31"/>
      <c r="L869" s="31"/>
      <c r="M869" s="31"/>
      <c r="N869" s="31"/>
      <c r="O869" s="31"/>
      <c r="P869" s="31"/>
      <c r="Q869" s="203"/>
      <c r="R869" s="203"/>
      <c r="S869" s="203"/>
      <c r="T869" s="203"/>
    </row>
    <row r="870" ht="15.75" customHeight="1">
      <c r="A870" s="202"/>
      <c r="B870" s="202"/>
      <c r="C870" s="202"/>
      <c r="D870" s="31"/>
      <c r="E870" s="31"/>
      <c r="F870" s="144"/>
      <c r="G870" s="31"/>
      <c r="H870" s="31"/>
      <c r="I870" s="31"/>
      <c r="J870" s="31"/>
      <c r="K870" s="31"/>
      <c r="L870" s="31"/>
      <c r="M870" s="31"/>
      <c r="N870" s="31"/>
      <c r="O870" s="31"/>
      <c r="P870" s="31"/>
      <c r="Q870" s="203"/>
      <c r="R870" s="203"/>
      <c r="S870" s="203"/>
      <c r="T870" s="203"/>
    </row>
    <row r="871" ht="15.75" customHeight="1">
      <c r="A871" s="202"/>
      <c r="B871" s="202"/>
      <c r="C871" s="202"/>
      <c r="D871" s="31"/>
      <c r="E871" s="31"/>
      <c r="F871" s="144"/>
      <c r="G871" s="31"/>
      <c r="H871" s="31"/>
      <c r="I871" s="31"/>
      <c r="J871" s="31"/>
      <c r="K871" s="31"/>
      <c r="L871" s="31"/>
      <c r="M871" s="31"/>
      <c r="N871" s="31"/>
      <c r="O871" s="31"/>
      <c r="P871" s="31"/>
      <c r="Q871" s="203"/>
      <c r="R871" s="203"/>
      <c r="S871" s="203"/>
      <c r="T871" s="203"/>
    </row>
    <row r="872" ht="15.75" customHeight="1">
      <c r="A872" s="202"/>
      <c r="B872" s="202"/>
      <c r="C872" s="202"/>
      <c r="D872" s="31"/>
      <c r="E872" s="31"/>
      <c r="F872" s="144"/>
      <c r="G872" s="31"/>
      <c r="H872" s="31"/>
      <c r="I872" s="31"/>
      <c r="J872" s="31"/>
      <c r="K872" s="31"/>
      <c r="L872" s="31"/>
      <c r="M872" s="31"/>
      <c r="N872" s="31"/>
      <c r="O872" s="31"/>
      <c r="P872" s="31"/>
      <c r="Q872" s="203"/>
      <c r="R872" s="203"/>
      <c r="S872" s="203"/>
      <c r="T872" s="203"/>
    </row>
    <row r="873" ht="15.75" customHeight="1">
      <c r="A873" s="202"/>
      <c r="B873" s="202"/>
      <c r="C873" s="202"/>
      <c r="D873" s="31"/>
      <c r="E873" s="31"/>
      <c r="F873" s="144"/>
      <c r="G873" s="31"/>
      <c r="H873" s="31"/>
      <c r="I873" s="31"/>
      <c r="J873" s="31"/>
      <c r="K873" s="31"/>
      <c r="L873" s="31"/>
      <c r="M873" s="31"/>
      <c r="N873" s="31"/>
      <c r="O873" s="31"/>
      <c r="P873" s="31"/>
      <c r="Q873" s="203"/>
      <c r="R873" s="203"/>
      <c r="S873" s="203"/>
      <c r="T873" s="203"/>
    </row>
    <row r="874" ht="15.75" customHeight="1">
      <c r="A874" s="202"/>
      <c r="B874" s="202"/>
      <c r="C874" s="202"/>
      <c r="D874" s="31"/>
      <c r="E874" s="31"/>
      <c r="F874" s="144"/>
      <c r="G874" s="31"/>
      <c r="H874" s="31"/>
      <c r="I874" s="31"/>
      <c r="J874" s="31"/>
      <c r="K874" s="31"/>
      <c r="L874" s="31"/>
      <c r="M874" s="31"/>
      <c r="N874" s="31"/>
      <c r="O874" s="31"/>
      <c r="P874" s="31"/>
      <c r="Q874" s="203"/>
      <c r="R874" s="203"/>
      <c r="S874" s="203"/>
      <c r="T874" s="203"/>
    </row>
    <row r="875" ht="15.75" customHeight="1">
      <c r="A875" s="202"/>
      <c r="B875" s="202"/>
      <c r="C875" s="202"/>
      <c r="D875" s="31"/>
      <c r="E875" s="31"/>
      <c r="F875" s="144"/>
      <c r="G875" s="31"/>
      <c r="H875" s="31"/>
      <c r="I875" s="31"/>
      <c r="J875" s="31"/>
      <c r="K875" s="31"/>
      <c r="L875" s="31"/>
      <c r="M875" s="31"/>
      <c r="N875" s="31"/>
      <c r="O875" s="31"/>
      <c r="P875" s="31"/>
      <c r="Q875" s="203"/>
      <c r="R875" s="203"/>
      <c r="S875" s="203"/>
      <c r="T875" s="203"/>
    </row>
    <row r="876" ht="15.75" customHeight="1">
      <c r="A876" s="202"/>
      <c r="B876" s="202"/>
      <c r="C876" s="202"/>
      <c r="D876" s="31"/>
      <c r="E876" s="31"/>
      <c r="F876" s="144"/>
      <c r="G876" s="31"/>
      <c r="H876" s="31"/>
      <c r="I876" s="31"/>
      <c r="J876" s="31"/>
      <c r="K876" s="31"/>
      <c r="L876" s="31"/>
      <c r="M876" s="31"/>
      <c r="N876" s="31"/>
      <c r="O876" s="31"/>
      <c r="P876" s="31"/>
      <c r="Q876" s="203"/>
      <c r="R876" s="203"/>
      <c r="S876" s="203"/>
      <c r="T876" s="203"/>
    </row>
    <row r="877" ht="15.75" customHeight="1">
      <c r="A877" s="202"/>
      <c r="B877" s="202"/>
      <c r="C877" s="202"/>
      <c r="D877" s="31"/>
      <c r="E877" s="31"/>
      <c r="F877" s="144"/>
      <c r="G877" s="31"/>
      <c r="H877" s="31"/>
      <c r="I877" s="31"/>
      <c r="J877" s="31"/>
      <c r="K877" s="31"/>
      <c r="L877" s="31"/>
      <c r="M877" s="31"/>
      <c r="N877" s="31"/>
      <c r="O877" s="31"/>
      <c r="P877" s="31"/>
      <c r="Q877" s="203"/>
      <c r="R877" s="203"/>
      <c r="S877" s="203"/>
      <c r="T877" s="203"/>
    </row>
    <row r="878" ht="15.75" customHeight="1">
      <c r="A878" s="202"/>
      <c r="B878" s="202"/>
      <c r="C878" s="202"/>
      <c r="D878" s="31"/>
      <c r="E878" s="31"/>
      <c r="F878" s="144"/>
      <c r="G878" s="31"/>
      <c r="H878" s="31"/>
      <c r="I878" s="31"/>
      <c r="J878" s="31"/>
      <c r="K878" s="31"/>
      <c r="L878" s="31"/>
      <c r="M878" s="31"/>
      <c r="N878" s="31"/>
      <c r="O878" s="31"/>
      <c r="P878" s="31"/>
      <c r="Q878" s="203"/>
      <c r="R878" s="203"/>
      <c r="S878" s="203"/>
      <c r="T878" s="203"/>
    </row>
    <row r="879" ht="15.75" customHeight="1">
      <c r="A879" s="202"/>
      <c r="B879" s="202"/>
      <c r="C879" s="202"/>
      <c r="D879" s="31"/>
      <c r="E879" s="31"/>
      <c r="F879" s="144"/>
      <c r="G879" s="31"/>
      <c r="H879" s="31"/>
      <c r="I879" s="31"/>
      <c r="J879" s="31"/>
      <c r="K879" s="31"/>
      <c r="L879" s="31"/>
      <c r="M879" s="31"/>
      <c r="N879" s="31"/>
      <c r="O879" s="31"/>
      <c r="P879" s="31"/>
      <c r="Q879" s="203"/>
      <c r="R879" s="203"/>
      <c r="S879" s="203"/>
      <c r="T879" s="203"/>
    </row>
    <row r="880" ht="15.75" customHeight="1">
      <c r="A880" s="202"/>
      <c r="B880" s="202"/>
      <c r="C880" s="202"/>
      <c r="D880" s="31"/>
      <c r="E880" s="31"/>
      <c r="F880" s="144"/>
      <c r="G880" s="31"/>
      <c r="H880" s="31"/>
      <c r="I880" s="31"/>
      <c r="J880" s="31"/>
      <c r="K880" s="31"/>
      <c r="L880" s="31"/>
      <c r="M880" s="31"/>
      <c r="N880" s="31"/>
      <c r="O880" s="31"/>
      <c r="P880" s="31"/>
      <c r="Q880" s="203"/>
      <c r="R880" s="203"/>
      <c r="S880" s="203"/>
      <c r="T880" s="203"/>
    </row>
    <row r="881" ht="15.75" customHeight="1">
      <c r="A881" s="202"/>
      <c r="B881" s="202"/>
      <c r="C881" s="202"/>
      <c r="D881" s="31"/>
      <c r="E881" s="31"/>
      <c r="F881" s="144"/>
      <c r="G881" s="31"/>
      <c r="H881" s="31"/>
      <c r="I881" s="31"/>
      <c r="J881" s="31"/>
      <c r="K881" s="31"/>
      <c r="L881" s="31"/>
      <c r="M881" s="31"/>
      <c r="N881" s="31"/>
      <c r="O881" s="31"/>
      <c r="P881" s="31"/>
      <c r="Q881" s="203"/>
      <c r="R881" s="203"/>
      <c r="S881" s="203"/>
      <c r="T881" s="203"/>
    </row>
    <row r="882" ht="15.75" customHeight="1">
      <c r="A882" s="202"/>
      <c r="B882" s="202"/>
      <c r="C882" s="202"/>
      <c r="D882" s="31"/>
      <c r="E882" s="31"/>
      <c r="F882" s="144"/>
      <c r="G882" s="31"/>
      <c r="H882" s="31"/>
      <c r="I882" s="31"/>
      <c r="J882" s="31"/>
      <c r="K882" s="31"/>
      <c r="L882" s="31"/>
      <c r="M882" s="31"/>
      <c r="N882" s="31"/>
      <c r="O882" s="31"/>
      <c r="P882" s="31"/>
      <c r="Q882" s="203"/>
      <c r="R882" s="203"/>
      <c r="S882" s="203"/>
      <c r="T882" s="203"/>
    </row>
    <row r="883" ht="15.75" customHeight="1">
      <c r="A883" s="202"/>
      <c r="B883" s="202"/>
      <c r="C883" s="202"/>
      <c r="D883" s="31"/>
      <c r="E883" s="31"/>
      <c r="F883" s="144"/>
      <c r="G883" s="31"/>
      <c r="H883" s="31"/>
      <c r="I883" s="31"/>
      <c r="J883" s="31"/>
      <c r="K883" s="31"/>
      <c r="L883" s="31"/>
      <c r="M883" s="31"/>
      <c r="N883" s="31"/>
      <c r="O883" s="31"/>
      <c r="P883" s="31"/>
      <c r="Q883" s="203"/>
      <c r="R883" s="203"/>
      <c r="S883" s="203"/>
      <c r="T883" s="203"/>
    </row>
    <row r="884" ht="15.75" customHeight="1">
      <c r="A884" s="202"/>
      <c r="B884" s="202"/>
      <c r="C884" s="202"/>
      <c r="D884" s="31"/>
      <c r="E884" s="31"/>
      <c r="F884" s="144"/>
      <c r="G884" s="31"/>
      <c r="H884" s="31"/>
      <c r="I884" s="31"/>
      <c r="J884" s="31"/>
      <c r="K884" s="31"/>
      <c r="L884" s="31"/>
      <c r="M884" s="31"/>
      <c r="N884" s="31"/>
      <c r="O884" s="31"/>
      <c r="P884" s="31"/>
      <c r="Q884" s="203"/>
      <c r="R884" s="203"/>
      <c r="S884" s="203"/>
      <c r="T884" s="203"/>
    </row>
    <row r="885" ht="15.75" customHeight="1">
      <c r="A885" s="202"/>
      <c r="B885" s="202"/>
      <c r="C885" s="202"/>
      <c r="D885" s="31"/>
      <c r="E885" s="31"/>
      <c r="F885" s="144"/>
      <c r="G885" s="31"/>
      <c r="H885" s="31"/>
      <c r="I885" s="31"/>
      <c r="J885" s="31"/>
      <c r="K885" s="31"/>
      <c r="L885" s="31"/>
      <c r="M885" s="31"/>
      <c r="N885" s="31"/>
      <c r="O885" s="31"/>
      <c r="P885" s="31"/>
      <c r="Q885" s="203"/>
      <c r="R885" s="203"/>
      <c r="S885" s="203"/>
      <c r="T885" s="203"/>
    </row>
    <row r="886" ht="15.75" customHeight="1">
      <c r="A886" s="202"/>
      <c r="B886" s="202"/>
      <c r="C886" s="202"/>
      <c r="D886" s="31"/>
      <c r="E886" s="31"/>
      <c r="F886" s="144"/>
      <c r="G886" s="31"/>
      <c r="H886" s="31"/>
      <c r="I886" s="31"/>
      <c r="J886" s="31"/>
      <c r="K886" s="31"/>
      <c r="L886" s="31"/>
      <c r="M886" s="31"/>
      <c r="N886" s="31"/>
      <c r="O886" s="31"/>
      <c r="P886" s="31"/>
      <c r="Q886" s="203"/>
      <c r="R886" s="203"/>
      <c r="S886" s="203"/>
      <c r="T886" s="203"/>
    </row>
    <row r="887" ht="15.75" customHeight="1">
      <c r="A887" s="202"/>
      <c r="B887" s="202"/>
      <c r="C887" s="202"/>
      <c r="D887" s="31"/>
      <c r="E887" s="31"/>
      <c r="F887" s="144"/>
      <c r="G887" s="31"/>
      <c r="H887" s="31"/>
      <c r="I887" s="31"/>
      <c r="J887" s="31"/>
      <c r="K887" s="31"/>
      <c r="L887" s="31"/>
      <c r="M887" s="31"/>
      <c r="N887" s="31"/>
      <c r="O887" s="31"/>
      <c r="P887" s="31"/>
      <c r="Q887" s="203"/>
      <c r="R887" s="203"/>
      <c r="S887" s="203"/>
      <c r="T887" s="203"/>
    </row>
    <row r="888" ht="15.75" customHeight="1">
      <c r="A888" s="202"/>
      <c r="B888" s="202"/>
      <c r="C888" s="202"/>
      <c r="D888" s="31"/>
      <c r="E888" s="31"/>
      <c r="F888" s="144"/>
      <c r="G888" s="31"/>
      <c r="H888" s="31"/>
      <c r="I888" s="31"/>
      <c r="J888" s="31"/>
      <c r="K888" s="31"/>
      <c r="L888" s="31"/>
      <c r="M888" s="31"/>
      <c r="N888" s="31"/>
      <c r="O888" s="31"/>
      <c r="P888" s="31"/>
      <c r="Q888" s="203"/>
      <c r="R888" s="203"/>
      <c r="S888" s="203"/>
      <c r="T888" s="203"/>
    </row>
    <row r="889" ht="15.75" customHeight="1">
      <c r="A889" s="202"/>
      <c r="B889" s="202"/>
      <c r="C889" s="202"/>
      <c r="D889" s="31"/>
      <c r="E889" s="31"/>
      <c r="F889" s="144"/>
      <c r="G889" s="31"/>
      <c r="H889" s="31"/>
      <c r="I889" s="31"/>
      <c r="J889" s="31"/>
      <c r="K889" s="31"/>
      <c r="L889" s="31"/>
      <c r="M889" s="31"/>
      <c r="N889" s="31"/>
      <c r="O889" s="31"/>
      <c r="P889" s="31"/>
      <c r="Q889" s="203"/>
      <c r="R889" s="203"/>
      <c r="S889" s="203"/>
      <c r="T889" s="203"/>
    </row>
    <row r="890" ht="15.75" customHeight="1">
      <c r="A890" s="202"/>
      <c r="B890" s="202"/>
      <c r="C890" s="202"/>
      <c r="D890" s="31"/>
      <c r="E890" s="31"/>
      <c r="F890" s="144"/>
      <c r="G890" s="31"/>
      <c r="H890" s="31"/>
      <c r="I890" s="31"/>
      <c r="J890" s="31"/>
      <c r="K890" s="31"/>
      <c r="L890" s="31"/>
      <c r="M890" s="31"/>
      <c r="N890" s="31"/>
      <c r="O890" s="31"/>
      <c r="P890" s="31"/>
      <c r="Q890" s="203"/>
      <c r="R890" s="203"/>
      <c r="S890" s="203"/>
      <c r="T890" s="203"/>
    </row>
    <row r="891" ht="15.75" customHeight="1">
      <c r="A891" s="202"/>
      <c r="B891" s="202"/>
      <c r="C891" s="202"/>
      <c r="D891" s="31"/>
      <c r="E891" s="31"/>
      <c r="F891" s="144"/>
      <c r="G891" s="31"/>
      <c r="H891" s="31"/>
      <c r="I891" s="31"/>
      <c r="J891" s="31"/>
      <c r="K891" s="31"/>
      <c r="L891" s="31"/>
      <c r="M891" s="31"/>
      <c r="N891" s="31"/>
      <c r="O891" s="31"/>
      <c r="P891" s="31"/>
      <c r="Q891" s="203"/>
      <c r="R891" s="203"/>
      <c r="S891" s="203"/>
      <c r="T891" s="203"/>
    </row>
    <row r="892" ht="15.75" customHeight="1">
      <c r="A892" s="202"/>
      <c r="B892" s="202"/>
      <c r="C892" s="202"/>
      <c r="D892" s="31"/>
      <c r="E892" s="31"/>
      <c r="F892" s="144"/>
      <c r="G892" s="31"/>
      <c r="H892" s="31"/>
      <c r="I892" s="31"/>
      <c r="J892" s="31"/>
      <c r="K892" s="31"/>
      <c r="L892" s="31"/>
      <c r="M892" s="31"/>
      <c r="N892" s="31"/>
      <c r="O892" s="31"/>
      <c r="P892" s="31"/>
      <c r="Q892" s="203"/>
      <c r="R892" s="203"/>
      <c r="S892" s="203"/>
      <c r="T892" s="203"/>
    </row>
    <row r="893" ht="15.75" customHeight="1">
      <c r="A893" s="202"/>
      <c r="B893" s="202"/>
      <c r="C893" s="202"/>
      <c r="D893" s="31"/>
      <c r="E893" s="31"/>
      <c r="F893" s="144"/>
      <c r="G893" s="31"/>
      <c r="H893" s="31"/>
      <c r="I893" s="31"/>
      <c r="J893" s="31"/>
      <c r="K893" s="31"/>
      <c r="L893" s="31"/>
      <c r="M893" s="31"/>
      <c r="N893" s="31"/>
      <c r="O893" s="31"/>
      <c r="P893" s="31"/>
      <c r="Q893" s="203"/>
      <c r="R893" s="203"/>
      <c r="S893" s="203"/>
      <c r="T893" s="203"/>
    </row>
    <row r="894" ht="15.75" customHeight="1">
      <c r="A894" s="202"/>
      <c r="B894" s="202"/>
      <c r="C894" s="202"/>
      <c r="D894" s="31"/>
      <c r="E894" s="31"/>
      <c r="F894" s="144"/>
      <c r="G894" s="31"/>
      <c r="H894" s="31"/>
      <c r="I894" s="31"/>
      <c r="J894" s="31"/>
      <c r="K894" s="31"/>
      <c r="L894" s="31"/>
      <c r="M894" s="31"/>
      <c r="N894" s="31"/>
      <c r="O894" s="31"/>
      <c r="P894" s="31"/>
      <c r="Q894" s="203"/>
      <c r="R894" s="203"/>
      <c r="S894" s="203"/>
      <c r="T894" s="203"/>
    </row>
    <row r="895" ht="15.75" customHeight="1">
      <c r="A895" s="202"/>
      <c r="B895" s="202"/>
      <c r="C895" s="202"/>
      <c r="D895" s="31"/>
      <c r="E895" s="31"/>
      <c r="F895" s="144"/>
      <c r="G895" s="31"/>
      <c r="H895" s="31"/>
      <c r="I895" s="31"/>
      <c r="J895" s="31"/>
      <c r="K895" s="31"/>
      <c r="L895" s="31"/>
      <c r="M895" s="31"/>
      <c r="N895" s="31"/>
      <c r="O895" s="31"/>
      <c r="P895" s="31"/>
      <c r="Q895" s="203"/>
      <c r="R895" s="203"/>
      <c r="S895" s="203"/>
      <c r="T895" s="203"/>
    </row>
    <row r="896" ht="15.75" customHeight="1">
      <c r="A896" s="202"/>
      <c r="B896" s="202"/>
      <c r="C896" s="202"/>
      <c r="D896" s="31"/>
      <c r="E896" s="31"/>
      <c r="F896" s="144"/>
      <c r="G896" s="31"/>
      <c r="H896" s="31"/>
      <c r="I896" s="31"/>
      <c r="J896" s="31"/>
      <c r="K896" s="31"/>
      <c r="L896" s="31"/>
      <c r="M896" s="31"/>
      <c r="N896" s="31"/>
      <c r="O896" s="31"/>
      <c r="P896" s="31"/>
      <c r="Q896" s="203"/>
      <c r="R896" s="203"/>
      <c r="S896" s="203"/>
      <c r="T896" s="203"/>
    </row>
    <row r="897" ht="15.75" customHeight="1">
      <c r="A897" s="202"/>
      <c r="B897" s="202"/>
      <c r="C897" s="202"/>
      <c r="D897" s="31"/>
      <c r="E897" s="31"/>
      <c r="F897" s="144"/>
      <c r="G897" s="31"/>
      <c r="H897" s="31"/>
      <c r="I897" s="31"/>
      <c r="J897" s="31"/>
      <c r="K897" s="31"/>
      <c r="L897" s="31"/>
      <c r="M897" s="31"/>
      <c r="N897" s="31"/>
      <c r="O897" s="31"/>
      <c r="P897" s="31"/>
      <c r="Q897" s="203"/>
      <c r="R897" s="203"/>
      <c r="S897" s="203"/>
      <c r="T897" s="203"/>
    </row>
    <row r="898" ht="15.75" customHeight="1">
      <c r="A898" s="202"/>
      <c r="B898" s="202"/>
      <c r="C898" s="202"/>
      <c r="D898" s="31"/>
      <c r="E898" s="31"/>
      <c r="F898" s="144"/>
      <c r="G898" s="31"/>
      <c r="H898" s="31"/>
      <c r="I898" s="31"/>
      <c r="J898" s="31"/>
      <c r="K898" s="31"/>
      <c r="L898" s="31"/>
      <c r="M898" s="31"/>
      <c r="N898" s="31"/>
      <c r="O898" s="31"/>
      <c r="P898" s="31"/>
      <c r="Q898" s="203"/>
      <c r="R898" s="203"/>
      <c r="S898" s="203"/>
      <c r="T898" s="203"/>
    </row>
    <row r="899" ht="15.75" customHeight="1">
      <c r="A899" s="202"/>
      <c r="B899" s="202"/>
      <c r="C899" s="202"/>
      <c r="D899" s="31"/>
      <c r="E899" s="31"/>
      <c r="F899" s="144"/>
      <c r="G899" s="31"/>
      <c r="H899" s="31"/>
      <c r="I899" s="31"/>
      <c r="J899" s="31"/>
      <c r="K899" s="31"/>
      <c r="L899" s="31"/>
      <c r="M899" s="31"/>
      <c r="N899" s="31"/>
      <c r="O899" s="31"/>
      <c r="P899" s="31"/>
      <c r="Q899" s="203"/>
      <c r="R899" s="203"/>
      <c r="S899" s="203"/>
      <c r="T899" s="203"/>
    </row>
    <row r="900" ht="15.75" customHeight="1">
      <c r="A900" s="202"/>
      <c r="B900" s="202"/>
      <c r="C900" s="202"/>
      <c r="D900" s="31"/>
      <c r="E900" s="31"/>
      <c r="F900" s="144"/>
      <c r="G900" s="31"/>
      <c r="H900" s="31"/>
      <c r="I900" s="31"/>
      <c r="J900" s="31"/>
      <c r="K900" s="31"/>
      <c r="L900" s="31"/>
      <c r="M900" s="31"/>
      <c r="N900" s="31"/>
      <c r="O900" s="31"/>
      <c r="P900" s="31"/>
      <c r="Q900" s="203"/>
      <c r="R900" s="203"/>
      <c r="S900" s="203"/>
      <c r="T900" s="203"/>
    </row>
    <row r="901" ht="15.75" customHeight="1">
      <c r="A901" s="202"/>
      <c r="B901" s="202"/>
      <c r="C901" s="202"/>
      <c r="D901" s="31"/>
      <c r="E901" s="31"/>
      <c r="F901" s="144"/>
      <c r="G901" s="31"/>
      <c r="H901" s="31"/>
      <c r="I901" s="31"/>
      <c r="J901" s="31"/>
      <c r="K901" s="31"/>
      <c r="L901" s="31"/>
      <c r="M901" s="31"/>
      <c r="N901" s="31"/>
      <c r="O901" s="31"/>
      <c r="P901" s="31"/>
      <c r="Q901" s="203"/>
      <c r="R901" s="203"/>
      <c r="S901" s="203"/>
      <c r="T901" s="203"/>
    </row>
    <row r="902" ht="15.75" customHeight="1">
      <c r="A902" s="202"/>
      <c r="B902" s="202"/>
      <c r="C902" s="202"/>
      <c r="D902" s="31"/>
      <c r="E902" s="31"/>
      <c r="F902" s="144"/>
      <c r="G902" s="31"/>
      <c r="H902" s="31"/>
      <c r="I902" s="31"/>
      <c r="J902" s="31"/>
      <c r="K902" s="31"/>
      <c r="L902" s="31"/>
      <c r="M902" s="31"/>
      <c r="N902" s="31"/>
      <c r="O902" s="31"/>
      <c r="P902" s="31"/>
      <c r="Q902" s="203"/>
      <c r="R902" s="203"/>
      <c r="S902" s="203"/>
      <c r="T902" s="203"/>
    </row>
    <row r="903" ht="15.75" customHeight="1">
      <c r="A903" s="202"/>
      <c r="B903" s="202"/>
      <c r="C903" s="202"/>
      <c r="D903" s="31"/>
      <c r="E903" s="31"/>
      <c r="F903" s="144"/>
      <c r="G903" s="31"/>
      <c r="H903" s="31"/>
      <c r="I903" s="31"/>
      <c r="J903" s="31"/>
      <c r="K903" s="31"/>
      <c r="L903" s="31"/>
      <c r="M903" s="31"/>
      <c r="N903" s="31"/>
      <c r="O903" s="31"/>
      <c r="P903" s="31"/>
      <c r="Q903" s="203"/>
      <c r="R903" s="203"/>
      <c r="S903" s="203"/>
      <c r="T903" s="203"/>
    </row>
    <row r="904" ht="15.75" customHeight="1">
      <c r="A904" s="202"/>
      <c r="B904" s="202"/>
      <c r="C904" s="202"/>
      <c r="D904" s="31"/>
      <c r="E904" s="31"/>
      <c r="F904" s="144"/>
      <c r="G904" s="31"/>
      <c r="H904" s="31"/>
      <c r="I904" s="31"/>
      <c r="J904" s="31"/>
      <c r="K904" s="31"/>
      <c r="L904" s="31"/>
      <c r="M904" s="31"/>
      <c r="N904" s="31"/>
      <c r="O904" s="31"/>
      <c r="P904" s="31"/>
      <c r="Q904" s="203"/>
      <c r="R904" s="203"/>
      <c r="S904" s="203"/>
      <c r="T904" s="203"/>
    </row>
    <row r="905" ht="15.75" customHeight="1">
      <c r="A905" s="202"/>
      <c r="B905" s="202"/>
      <c r="C905" s="202"/>
      <c r="D905" s="31"/>
      <c r="E905" s="31"/>
      <c r="F905" s="144"/>
      <c r="G905" s="31"/>
      <c r="H905" s="31"/>
      <c r="I905" s="31"/>
      <c r="J905" s="31"/>
      <c r="K905" s="31"/>
      <c r="L905" s="31"/>
      <c r="M905" s="31"/>
      <c r="N905" s="31"/>
      <c r="O905" s="31"/>
      <c r="P905" s="31"/>
      <c r="Q905" s="203"/>
      <c r="R905" s="203"/>
      <c r="S905" s="203"/>
      <c r="T905" s="203"/>
    </row>
    <row r="906" ht="15.75" customHeight="1">
      <c r="A906" s="202"/>
      <c r="B906" s="202"/>
      <c r="C906" s="202"/>
      <c r="D906" s="31"/>
      <c r="E906" s="31"/>
      <c r="F906" s="144"/>
      <c r="G906" s="31"/>
      <c r="H906" s="31"/>
      <c r="I906" s="31"/>
      <c r="J906" s="31"/>
      <c r="K906" s="31"/>
      <c r="L906" s="31"/>
      <c r="M906" s="31"/>
      <c r="N906" s="31"/>
      <c r="O906" s="31"/>
      <c r="P906" s="31"/>
      <c r="Q906" s="203"/>
      <c r="R906" s="203"/>
      <c r="S906" s="203"/>
      <c r="T906" s="203"/>
    </row>
    <row r="907" ht="15.75" customHeight="1">
      <c r="A907" s="202"/>
      <c r="B907" s="202"/>
      <c r="C907" s="202"/>
      <c r="D907" s="31"/>
      <c r="E907" s="31"/>
      <c r="F907" s="144"/>
      <c r="G907" s="31"/>
      <c r="H907" s="31"/>
      <c r="I907" s="31"/>
      <c r="J907" s="31"/>
      <c r="K907" s="31"/>
      <c r="L907" s="31"/>
      <c r="M907" s="31"/>
      <c r="N907" s="31"/>
      <c r="O907" s="31"/>
      <c r="P907" s="31"/>
      <c r="Q907" s="203"/>
      <c r="R907" s="203"/>
      <c r="S907" s="203"/>
      <c r="T907" s="203"/>
    </row>
    <row r="908" ht="15.75" customHeight="1">
      <c r="A908" s="202"/>
      <c r="B908" s="202"/>
      <c r="C908" s="202"/>
      <c r="D908" s="31"/>
      <c r="E908" s="31"/>
      <c r="F908" s="144"/>
      <c r="G908" s="31"/>
      <c r="H908" s="31"/>
      <c r="I908" s="31"/>
      <c r="J908" s="31"/>
      <c r="K908" s="31"/>
      <c r="L908" s="31"/>
      <c r="M908" s="31"/>
      <c r="N908" s="31"/>
      <c r="O908" s="31"/>
      <c r="P908" s="31"/>
      <c r="Q908" s="203"/>
      <c r="R908" s="203"/>
      <c r="S908" s="203"/>
      <c r="T908" s="203"/>
    </row>
    <row r="909" ht="15.75" customHeight="1">
      <c r="A909" s="202"/>
      <c r="B909" s="202"/>
      <c r="C909" s="202"/>
      <c r="D909" s="31"/>
      <c r="E909" s="31"/>
      <c r="F909" s="144"/>
      <c r="G909" s="31"/>
      <c r="H909" s="31"/>
      <c r="I909" s="31"/>
      <c r="J909" s="31"/>
      <c r="K909" s="31"/>
      <c r="L909" s="31"/>
      <c r="M909" s="31"/>
      <c r="N909" s="31"/>
      <c r="O909" s="31"/>
      <c r="P909" s="31"/>
      <c r="Q909" s="203"/>
      <c r="R909" s="203"/>
      <c r="S909" s="203"/>
      <c r="T909" s="203"/>
    </row>
    <row r="910" ht="15.75" customHeight="1">
      <c r="A910" s="202"/>
      <c r="B910" s="202"/>
      <c r="C910" s="202"/>
      <c r="D910" s="31"/>
      <c r="E910" s="31"/>
      <c r="F910" s="144"/>
      <c r="G910" s="31"/>
      <c r="H910" s="31"/>
      <c r="I910" s="31"/>
      <c r="J910" s="31"/>
      <c r="K910" s="31"/>
      <c r="L910" s="31"/>
      <c r="M910" s="31"/>
      <c r="N910" s="31"/>
      <c r="O910" s="31"/>
      <c r="P910" s="31"/>
      <c r="Q910" s="203"/>
      <c r="R910" s="203"/>
      <c r="S910" s="203"/>
      <c r="T910" s="203"/>
    </row>
    <row r="911" ht="15.75" customHeight="1">
      <c r="A911" s="202"/>
      <c r="B911" s="202"/>
      <c r="C911" s="202"/>
      <c r="D911" s="31"/>
      <c r="E911" s="31"/>
      <c r="F911" s="144"/>
      <c r="G911" s="31"/>
      <c r="H911" s="31"/>
      <c r="I911" s="31"/>
      <c r="J911" s="31"/>
      <c r="K911" s="31"/>
      <c r="L911" s="31"/>
      <c r="M911" s="31"/>
      <c r="N911" s="31"/>
      <c r="O911" s="31"/>
      <c r="P911" s="31"/>
      <c r="Q911" s="203"/>
      <c r="R911" s="203"/>
      <c r="S911" s="203"/>
      <c r="T911" s="203"/>
    </row>
    <row r="912" ht="15.75" customHeight="1">
      <c r="A912" s="202"/>
      <c r="B912" s="202"/>
      <c r="C912" s="202"/>
      <c r="D912" s="31"/>
      <c r="E912" s="31"/>
      <c r="F912" s="144"/>
      <c r="G912" s="31"/>
      <c r="H912" s="31"/>
      <c r="I912" s="31"/>
      <c r="J912" s="31"/>
      <c r="K912" s="31"/>
      <c r="L912" s="31"/>
      <c r="M912" s="31"/>
      <c r="N912" s="31"/>
      <c r="O912" s="31"/>
      <c r="P912" s="31"/>
      <c r="Q912" s="203"/>
      <c r="R912" s="203"/>
      <c r="S912" s="203"/>
      <c r="T912" s="203"/>
    </row>
    <row r="913" ht="15.75" customHeight="1">
      <c r="A913" s="202"/>
      <c r="B913" s="202"/>
      <c r="C913" s="202"/>
      <c r="D913" s="31"/>
      <c r="E913" s="31"/>
      <c r="F913" s="144"/>
      <c r="G913" s="31"/>
      <c r="H913" s="31"/>
      <c r="I913" s="31"/>
      <c r="J913" s="31"/>
      <c r="K913" s="31"/>
      <c r="L913" s="31"/>
      <c r="M913" s="31"/>
      <c r="N913" s="31"/>
      <c r="O913" s="31"/>
      <c r="P913" s="31"/>
      <c r="Q913" s="203"/>
      <c r="R913" s="203"/>
      <c r="S913" s="203"/>
      <c r="T913" s="203"/>
    </row>
    <row r="914" ht="15.75" customHeight="1">
      <c r="A914" s="202"/>
      <c r="B914" s="202"/>
      <c r="C914" s="202"/>
      <c r="D914" s="31"/>
      <c r="E914" s="31"/>
      <c r="F914" s="144"/>
      <c r="G914" s="31"/>
      <c r="H914" s="31"/>
      <c r="I914" s="31"/>
      <c r="J914" s="31"/>
      <c r="K914" s="31"/>
      <c r="L914" s="31"/>
      <c r="M914" s="31"/>
      <c r="N914" s="31"/>
      <c r="O914" s="31"/>
      <c r="P914" s="31"/>
      <c r="Q914" s="203"/>
      <c r="R914" s="203"/>
      <c r="S914" s="203"/>
      <c r="T914" s="203"/>
    </row>
    <row r="915" ht="15.75" customHeight="1">
      <c r="A915" s="202"/>
      <c r="B915" s="202"/>
      <c r="C915" s="202"/>
      <c r="D915" s="31"/>
      <c r="E915" s="31"/>
      <c r="F915" s="144"/>
      <c r="G915" s="31"/>
      <c r="H915" s="31"/>
      <c r="I915" s="31"/>
      <c r="J915" s="31"/>
      <c r="K915" s="31"/>
      <c r="L915" s="31"/>
      <c r="M915" s="31"/>
      <c r="N915" s="31"/>
      <c r="O915" s="31"/>
      <c r="P915" s="31"/>
      <c r="Q915" s="203"/>
      <c r="R915" s="203"/>
      <c r="S915" s="203"/>
      <c r="T915" s="203"/>
    </row>
    <row r="916" ht="15.75" customHeight="1">
      <c r="A916" s="202"/>
      <c r="B916" s="202"/>
      <c r="C916" s="202"/>
      <c r="D916" s="31"/>
      <c r="E916" s="31"/>
      <c r="F916" s="144"/>
      <c r="G916" s="31"/>
      <c r="H916" s="31"/>
      <c r="I916" s="31"/>
      <c r="J916" s="31"/>
      <c r="K916" s="31"/>
      <c r="L916" s="31"/>
      <c r="M916" s="31"/>
      <c r="N916" s="31"/>
      <c r="O916" s="31"/>
      <c r="P916" s="31"/>
      <c r="Q916" s="203"/>
      <c r="R916" s="203"/>
      <c r="S916" s="203"/>
      <c r="T916" s="203"/>
    </row>
    <row r="917" ht="15.75" customHeight="1">
      <c r="A917" s="202"/>
      <c r="B917" s="202"/>
      <c r="C917" s="202"/>
      <c r="D917" s="31"/>
      <c r="E917" s="31"/>
      <c r="F917" s="144"/>
      <c r="G917" s="31"/>
      <c r="H917" s="31"/>
      <c r="I917" s="31"/>
      <c r="J917" s="31"/>
      <c r="K917" s="31"/>
      <c r="L917" s="31"/>
      <c r="M917" s="31"/>
      <c r="N917" s="31"/>
      <c r="O917" s="31"/>
      <c r="P917" s="31"/>
      <c r="Q917" s="203"/>
      <c r="R917" s="203"/>
      <c r="S917" s="203"/>
      <c r="T917" s="203"/>
    </row>
    <row r="918" ht="15.75" customHeight="1">
      <c r="A918" s="202"/>
      <c r="B918" s="202"/>
      <c r="C918" s="202"/>
      <c r="D918" s="31"/>
      <c r="E918" s="31"/>
      <c r="F918" s="144"/>
      <c r="G918" s="31"/>
      <c r="H918" s="31"/>
      <c r="I918" s="31"/>
      <c r="J918" s="31"/>
      <c r="K918" s="31"/>
      <c r="L918" s="31"/>
      <c r="M918" s="31"/>
      <c r="N918" s="31"/>
      <c r="O918" s="31"/>
      <c r="P918" s="31"/>
      <c r="Q918" s="203"/>
      <c r="R918" s="203"/>
      <c r="S918" s="203"/>
      <c r="T918" s="203"/>
    </row>
    <row r="919" ht="15.75" customHeight="1">
      <c r="A919" s="202"/>
      <c r="B919" s="202"/>
      <c r="C919" s="202"/>
      <c r="D919" s="31"/>
      <c r="E919" s="31"/>
      <c r="F919" s="144"/>
      <c r="G919" s="31"/>
      <c r="H919" s="31"/>
      <c r="I919" s="31"/>
      <c r="J919" s="31"/>
      <c r="K919" s="31"/>
      <c r="L919" s="31"/>
      <c r="M919" s="31"/>
      <c r="N919" s="31"/>
      <c r="O919" s="31"/>
      <c r="P919" s="31"/>
      <c r="Q919" s="203"/>
      <c r="R919" s="203"/>
      <c r="S919" s="203"/>
      <c r="T919" s="203"/>
    </row>
    <row r="920" ht="15.75" customHeight="1">
      <c r="A920" s="202"/>
      <c r="B920" s="202"/>
      <c r="C920" s="202"/>
      <c r="D920" s="31"/>
      <c r="E920" s="31"/>
      <c r="F920" s="144"/>
      <c r="G920" s="31"/>
      <c r="H920" s="31"/>
      <c r="I920" s="31"/>
      <c r="J920" s="31"/>
      <c r="K920" s="31"/>
      <c r="L920" s="31"/>
      <c r="M920" s="31"/>
      <c r="N920" s="31"/>
      <c r="O920" s="31"/>
      <c r="P920" s="31"/>
      <c r="Q920" s="203"/>
      <c r="R920" s="203"/>
      <c r="S920" s="203"/>
      <c r="T920" s="203"/>
    </row>
    <row r="921" ht="15.75" customHeight="1">
      <c r="A921" s="202"/>
      <c r="B921" s="202"/>
      <c r="C921" s="202"/>
      <c r="D921" s="31"/>
      <c r="E921" s="31"/>
      <c r="F921" s="144"/>
      <c r="G921" s="31"/>
      <c r="H921" s="31"/>
      <c r="I921" s="31"/>
      <c r="J921" s="31"/>
      <c r="K921" s="31"/>
      <c r="L921" s="31"/>
      <c r="M921" s="31"/>
      <c r="N921" s="31"/>
      <c r="O921" s="31"/>
      <c r="P921" s="31"/>
      <c r="Q921" s="203"/>
      <c r="R921" s="203"/>
      <c r="S921" s="203"/>
      <c r="T921" s="203"/>
    </row>
    <row r="922" ht="15.75" customHeight="1">
      <c r="A922" s="202"/>
      <c r="B922" s="202"/>
      <c r="C922" s="202"/>
      <c r="D922" s="31"/>
      <c r="E922" s="31"/>
      <c r="F922" s="144"/>
      <c r="G922" s="31"/>
      <c r="H922" s="31"/>
      <c r="I922" s="31"/>
      <c r="J922" s="31"/>
      <c r="K922" s="31"/>
      <c r="L922" s="31"/>
      <c r="M922" s="31"/>
      <c r="N922" s="31"/>
      <c r="O922" s="31"/>
      <c r="P922" s="31"/>
      <c r="Q922" s="203"/>
      <c r="R922" s="203"/>
      <c r="S922" s="203"/>
      <c r="T922" s="203"/>
    </row>
    <row r="923" ht="15.75" customHeight="1">
      <c r="A923" s="202"/>
      <c r="B923" s="202"/>
      <c r="C923" s="202"/>
      <c r="D923" s="31"/>
      <c r="E923" s="31"/>
      <c r="F923" s="144"/>
      <c r="G923" s="31"/>
      <c r="H923" s="31"/>
      <c r="I923" s="31"/>
      <c r="J923" s="31"/>
      <c r="K923" s="31"/>
      <c r="L923" s="31"/>
      <c r="M923" s="31"/>
      <c r="N923" s="31"/>
      <c r="O923" s="31"/>
      <c r="P923" s="31"/>
      <c r="Q923" s="203"/>
      <c r="R923" s="203"/>
      <c r="S923" s="203"/>
      <c r="T923" s="203"/>
    </row>
    <row r="924" ht="15.75" customHeight="1">
      <c r="A924" s="202"/>
      <c r="B924" s="202"/>
      <c r="C924" s="202"/>
      <c r="D924" s="31"/>
      <c r="E924" s="31"/>
      <c r="F924" s="144"/>
      <c r="G924" s="31"/>
      <c r="H924" s="31"/>
      <c r="I924" s="31"/>
      <c r="J924" s="31"/>
      <c r="K924" s="31"/>
      <c r="L924" s="31"/>
      <c r="M924" s="31"/>
      <c r="N924" s="31"/>
      <c r="O924" s="31"/>
      <c r="P924" s="31"/>
      <c r="Q924" s="203"/>
      <c r="R924" s="203"/>
      <c r="S924" s="203"/>
      <c r="T924" s="203"/>
    </row>
    <row r="925" ht="15.75" customHeight="1">
      <c r="A925" s="202"/>
      <c r="B925" s="202"/>
      <c r="C925" s="202"/>
      <c r="D925" s="31"/>
      <c r="E925" s="31"/>
      <c r="F925" s="144"/>
      <c r="G925" s="31"/>
      <c r="H925" s="31"/>
      <c r="I925" s="31"/>
      <c r="J925" s="31"/>
      <c r="K925" s="31"/>
      <c r="L925" s="31"/>
      <c r="M925" s="31"/>
      <c r="N925" s="31"/>
      <c r="O925" s="31"/>
      <c r="P925" s="31"/>
      <c r="Q925" s="203"/>
      <c r="R925" s="203"/>
      <c r="S925" s="203"/>
      <c r="T925" s="203"/>
    </row>
    <row r="926" ht="15.75" customHeight="1">
      <c r="A926" s="202"/>
      <c r="B926" s="202"/>
      <c r="C926" s="202"/>
      <c r="D926" s="31"/>
      <c r="E926" s="31"/>
      <c r="F926" s="144"/>
      <c r="G926" s="31"/>
      <c r="H926" s="31"/>
      <c r="I926" s="31"/>
      <c r="J926" s="31"/>
      <c r="K926" s="31"/>
      <c r="L926" s="31"/>
      <c r="M926" s="31"/>
      <c r="N926" s="31"/>
      <c r="O926" s="31"/>
      <c r="P926" s="31"/>
      <c r="Q926" s="203"/>
      <c r="R926" s="203"/>
      <c r="S926" s="203"/>
      <c r="T926" s="203"/>
    </row>
    <row r="927" ht="15.75" customHeight="1">
      <c r="A927" s="202"/>
      <c r="B927" s="202"/>
      <c r="C927" s="202"/>
      <c r="D927" s="31"/>
      <c r="E927" s="31"/>
      <c r="F927" s="144"/>
      <c r="G927" s="31"/>
      <c r="H927" s="31"/>
      <c r="I927" s="31"/>
      <c r="J927" s="31"/>
      <c r="K927" s="31"/>
      <c r="L927" s="31"/>
      <c r="M927" s="31"/>
      <c r="N927" s="31"/>
      <c r="O927" s="31"/>
      <c r="P927" s="31"/>
      <c r="Q927" s="203"/>
      <c r="R927" s="203"/>
      <c r="S927" s="203"/>
      <c r="T927" s="203"/>
    </row>
    <row r="928" ht="15.75" customHeight="1">
      <c r="A928" s="202"/>
      <c r="B928" s="202"/>
      <c r="C928" s="202"/>
      <c r="D928" s="31"/>
      <c r="E928" s="31"/>
      <c r="F928" s="144"/>
      <c r="G928" s="31"/>
      <c r="H928" s="31"/>
      <c r="I928" s="31"/>
      <c r="J928" s="31"/>
      <c r="K928" s="31"/>
      <c r="L928" s="31"/>
      <c r="M928" s="31"/>
      <c r="N928" s="31"/>
      <c r="O928" s="31"/>
      <c r="P928" s="31"/>
      <c r="Q928" s="203"/>
      <c r="R928" s="203"/>
      <c r="S928" s="203"/>
      <c r="T928" s="203"/>
    </row>
    <row r="929" ht="15.75" customHeight="1">
      <c r="A929" s="202"/>
      <c r="B929" s="202"/>
      <c r="C929" s="202"/>
      <c r="D929" s="31"/>
      <c r="E929" s="31"/>
      <c r="F929" s="144"/>
      <c r="G929" s="31"/>
      <c r="H929" s="31"/>
      <c r="I929" s="31"/>
      <c r="J929" s="31"/>
      <c r="K929" s="31"/>
      <c r="L929" s="31"/>
      <c r="M929" s="31"/>
      <c r="N929" s="31"/>
      <c r="O929" s="31"/>
      <c r="P929" s="31"/>
      <c r="Q929" s="203"/>
      <c r="R929" s="203"/>
      <c r="S929" s="203"/>
      <c r="T929" s="203"/>
    </row>
    <row r="930" ht="15.75" customHeight="1">
      <c r="A930" s="202"/>
      <c r="B930" s="202"/>
      <c r="C930" s="202"/>
      <c r="D930" s="31"/>
      <c r="E930" s="31"/>
      <c r="F930" s="144"/>
      <c r="G930" s="31"/>
      <c r="H930" s="31"/>
      <c r="I930" s="31"/>
      <c r="J930" s="31"/>
      <c r="K930" s="31"/>
      <c r="L930" s="31"/>
      <c r="M930" s="31"/>
      <c r="N930" s="31"/>
      <c r="O930" s="31"/>
      <c r="P930" s="31"/>
      <c r="Q930" s="203"/>
      <c r="R930" s="203"/>
      <c r="S930" s="203"/>
      <c r="T930" s="203"/>
    </row>
    <row r="931" ht="15.75" customHeight="1">
      <c r="A931" s="202"/>
      <c r="B931" s="202"/>
      <c r="C931" s="202"/>
      <c r="D931" s="31"/>
      <c r="E931" s="31"/>
      <c r="F931" s="144"/>
      <c r="G931" s="31"/>
      <c r="H931" s="31"/>
      <c r="I931" s="31"/>
      <c r="J931" s="31"/>
      <c r="K931" s="31"/>
      <c r="L931" s="31"/>
      <c r="M931" s="31"/>
      <c r="N931" s="31"/>
      <c r="O931" s="31"/>
      <c r="P931" s="31"/>
      <c r="Q931" s="203"/>
      <c r="R931" s="203"/>
      <c r="S931" s="203"/>
      <c r="T931" s="203"/>
    </row>
    <row r="932" ht="15.75" customHeight="1">
      <c r="A932" s="202"/>
      <c r="B932" s="202"/>
      <c r="C932" s="202"/>
      <c r="D932" s="31"/>
      <c r="E932" s="31"/>
      <c r="F932" s="144"/>
      <c r="G932" s="31"/>
      <c r="H932" s="31"/>
      <c r="I932" s="31"/>
      <c r="J932" s="31"/>
      <c r="K932" s="31"/>
      <c r="L932" s="31"/>
      <c r="M932" s="31"/>
      <c r="N932" s="31"/>
      <c r="O932" s="31"/>
      <c r="P932" s="31"/>
      <c r="Q932" s="203"/>
      <c r="R932" s="203"/>
      <c r="S932" s="203"/>
      <c r="T932" s="203"/>
    </row>
    <row r="933" ht="15.75" customHeight="1">
      <c r="A933" s="202"/>
      <c r="B933" s="202"/>
      <c r="C933" s="202"/>
      <c r="D933" s="31"/>
      <c r="E933" s="31"/>
      <c r="F933" s="144"/>
      <c r="G933" s="31"/>
      <c r="H933" s="31"/>
      <c r="I933" s="31"/>
      <c r="J933" s="31"/>
      <c r="K933" s="31"/>
      <c r="L933" s="31"/>
      <c r="M933" s="31"/>
      <c r="N933" s="31"/>
      <c r="O933" s="31"/>
      <c r="P933" s="31"/>
      <c r="Q933" s="203"/>
      <c r="R933" s="203"/>
      <c r="S933" s="203"/>
      <c r="T933" s="203"/>
    </row>
    <row r="934" ht="15.75" customHeight="1">
      <c r="A934" s="202"/>
      <c r="B934" s="202"/>
      <c r="C934" s="202"/>
      <c r="D934" s="31"/>
      <c r="E934" s="31"/>
      <c r="F934" s="144"/>
      <c r="G934" s="31"/>
      <c r="H934" s="31"/>
      <c r="I934" s="31"/>
      <c r="J934" s="31"/>
      <c r="K934" s="31"/>
      <c r="L934" s="31"/>
      <c r="M934" s="31"/>
      <c r="N934" s="31"/>
      <c r="O934" s="31"/>
      <c r="P934" s="31"/>
      <c r="Q934" s="203"/>
      <c r="R934" s="203"/>
      <c r="S934" s="203"/>
      <c r="T934" s="203"/>
    </row>
    <row r="935" ht="15.75" customHeight="1">
      <c r="A935" s="202"/>
      <c r="B935" s="202"/>
      <c r="C935" s="202"/>
      <c r="D935" s="31"/>
      <c r="E935" s="31"/>
      <c r="F935" s="144"/>
      <c r="G935" s="31"/>
      <c r="H935" s="31"/>
      <c r="I935" s="31"/>
      <c r="J935" s="31"/>
      <c r="K935" s="31"/>
      <c r="L935" s="31"/>
      <c r="M935" s="31"/>
      <c r="N935" s="31"/>
      <c r="O935" s="31"/>
      <c r="P935" s="31"/>
      <c r="Q935" s="203"/>
      <c r="R935" s="203"/>
      <c r="S935" s="203"/>
      <c r="T935" s="203"/>
    </row>
    <row r="936" ht="15.75" customHeight="1">
      <c r="A936" s="202"/>
      <c r="B936" s="202"/>
      <c r="C936" s="202"/>
      <c r="D936" s="31"/>
      <c r="E936" s="31"/>
      <c r="F936" s="144"/>
      <c r="G936" s="31"/>
      <c r="H936" s="31"/>
      <c r="I936" s="31"/>
      <c r="J936" s="31"/>
      <c r="K936" s="31"/>
      <c r="L936" s="31"/>
      <c r="M936" s="31"/>
      <c r="N936" s="31"/>
      <c r="O936" s="31"/>
      <c r="P936" s="31"/>
      <c r="Q936" s="203"/>
      <c r="R936" s="203"/>
      <c r="S936" s="203"/>
      <c r="T936" s="203"/>
    </row>
    <row r="937" ht="15.75" customHeight="1">
      <c r="A937" s="202"/>
      <c r="B937" s="202"/>
      <c r="C937" s="202"/>
      <c r="D937" s="31"/>
      <c r="E937" s="31"/>
      <c r="F937" s="144"/>
      <c r="G937" s="31"/>
      <c r="H937" s="31"/>
      <c r="I937" s="31"/>
      <c r="J937" s="31"/>
      <c r="K937" s="31"/>
      <c r="L937" s="31"/>
      <c r="M937" s="31"/>
      <c r="N937" s="31"/>
      <c r="O937" s="31"/>
      <c r="P937" s="31"/>
      <c r="Q937" s="203"/>
      <c r="R937" s="203"/>
      <c r="S937" s="203"/>
      <c r="T937" s="203"/>
    </row>
    <row r="938" ht="15.75" customHeight="1">
      <c r="A938" s="202"/>
      <c r="B938" s="202"/>
      <c r="C938" s="202"/>
      <c r="D938" s="31"/>
      <c r="E938" s="31"/>
      <c r="F938" s="144"/>
      <c r="G938" s="31"/>
      <c r="H938" s="31"/>
      <c r="I938" s="31"/>
      <c r="J938" s="31"/>
      <c r="K938" s="31"/>
      <c r="L938" s="31"/>
      <c r="M938" s="31"/>
      <c r="N938" s="31"/>
      <c r="O938" s="31"/>
      <c r="P938" s="31"/>
      <c r="Q938" s="203"/>
      <c r="R938" s="203"/>
      <c r="S938" s="203"/>
      <c r="T938" s="203"/>
    </row>
    <row r="939" ht="15.75" customHeight="1">
      <c r="A939" s="202"/>
      <c r="B939" s="202"/>
      <c r="C939" s="202"/>
      <c r="D939" s="31"/>
      <c r="E939" s="31"/>
      <c r="F939" s="144"/>
      <c r="G939" s="31"/>
      <c r="H939" s="31"/>
      <c r="I939" s="31"/>
      <c r="J939" s="31"/>
      <c r="K939" s="31"/>
      <c r="L939" s="31"/>
      <c r="M939" s="31"/>
      <c r="N939" s="31"/>
      <c r="O939" s="31"/>
      <c r="P939" s="31"/>
      <c r="Q939" s="203"/>
      <c r="R939" s="203"/>
      <c r="S939" s="203"/>
      <c r="T939" s="203"/>
    </row>
    <row r="940" ht="15.75" customHeight="1">
      <c r="A940" s="202"/>
      <c r="B940" s="202"/>
      <c r="C940" s="202"/>
      <c r="D940" s="31"/>
      <c r="E940" s="31"/>
      <c r="F940" s="144"/>
      <c r="G940" s="31"/>
      <c r="H940" s="31"/>
      <c r="I940" s="31"/>
      <c r="J940" s="31"/>
      <c r="K940" s="31"/>
      <c r="L940" s="31"/>
      <c r="M940" s="31"/>
      <c r="N940" s="31"/>
      <c r="O940" s="31"/>
      <c r="P940" s="31"/>
      <c r="Q940" s="203"/>
      <c r="R940" s="203"/>
      <c r="S940" s="203"/>
      <c r="T940" s="203"/>
    </row>
    <row r="941" ht="15.75" customHeight="1">
      <c r="A941" s="202"/>
      <c r="B941" s="202"/>
      <c r="C941" s="202"/>
      <c r="D941" s="31"/>
      <c r="E941" s="31"/>
      <c r="F941" s="144"/>
      <c r="G941" s="31"/>
      <c r="H941" s="31"/>
      <c r="I941" s="31"/>
      <c r="J941" s="31"/>
      <c r="K941" s="31"/>
      <c r="L941" s="31"/>
      <c r="M941" s="31"/>
      <c r="N941" s="31"/>
      <c r="O941" s="31"/>
      <c r="P941" s="31"/>
      <c r="Q941" s="203"/>
      <c r="R941" s="203"/>
      <c r="S941" s="203"/>
      <c r="T941" s="203"/>
    </row>
    <row r="942" ht="15.75" customHeight="1">
      <c r="A942" s="202"/>
      <c r="B942" s="202"/>
      <c r="C942" s="202"/>
      <c r="D942" s="31"/>
      <c r="E942" s="31"/>
      <c r="F942" s="144"/>
      <c r="G942" s="31"/>
      <c r="H942" s="31"/>
      <c r="I942" s="31"/>
      <c r="J942" s="31"/>
      <c r="K942" s="31"/>
      <c r="L942" s="31"/>
      <c r="M942" s="31"/>
      <c r="N942" s="31"/>
      <c r="O942" s="31"/>
      <c r="P942" s="31"/>
      <c r="Q942" s="203"/>
      <c r="R942" s="203"/>
      <c r="S942" s="203"/>
      <c r="T942" s="203"/>
    </row>
    <row r="943" ht="15.75" customHeight="1">
      <c r="A943" s="202"/>
      <c r="B943" s="202"/>
      <c r="C943" s="202"/>
      <c r="D943" s="31"/>
      <c r="E943" s="31"/>
      <c r="F943" s="144"/>
      <c r="G943" s="31"/>
      <c r="H943" s="31"/>
      <c r="I943" s="31"/>
      <c r="J943" s="31"/>
      <c r="K943" s="31"/>
      <c r="L943" s="31"/>
      <c r="M943" s="31"/>
      <c r="N943" s="31"/>
      <c r="O943" s="31"/>
      <c r="P943" s="31"/>
      <c r="Q943" s="203"/>
      <c r="R943" s="203"/>
      <c r="S943" s="203"/>
      <c r="T943" s="203"/>
    </row>
    <row r="944" ht="15.75" customHeight="1">
      <c r="A944" s="202"/>
      <c r="B944" s="202"/>
      <c r="C944" s="202"/>
      <c r="D944" s="31"/>
      <c r="E944" s="31"/>
      <c r="F944" s="144"/>
      <c r="G944" s="31"/>
      <c r="H944" s="31"/>
      <c r="I944" s="31"/>
      <c r="J944" s="31"/>
      <c r="K944" s="31"/>
      <c r="L944" s="31"/>
      <c r="M944" s="31"/>
      <c r="N944" s="31"/>
      <c r="O944" s="31"/>
      <c r="P944" s="31"/>
      <c r="Q944" s="203"/>
      <c r="R944" s="203"/>
      <c r="S944" s="203"/>
      <c r="T944" s="203"/>
    </row>
    <row r="945" ht="15.75" customHeight="1">
      <c r="A945" s="202"/>
      <c r="B945" s="202"/>
      <c r="C945" s="202"/>
      <c r="D945" s="31"/>
      <c r="E945" s="31"/>
      <c r="F945" s="144"/>
      <c r="G945" s="31"/>
      <c r="H945" s="31"/>
      <c r="I945" s="31"/>
      <c r="J945" s="31"/>
      <c r="K945" s="31"/>
      <c r="L945" s="31"/>
      <c r="M945" s="31"/>
      <c r="N945" s="31"/>
      <c r="O945" s="31"/>
      <c r="P945" s="31"/>
      <c r="Q945" s="203"/>
      <c r="R945" s="203"/>
      <c r="S945" s="203"/>
      <c r="T945" s="203"/>
    </row>
    <row r="946" ht="15.75" customHeight="1">
      <c r="A946" s="202"/>
      <c r="B946" s="202"/>
      <c r="C946" s="202"/>
      <c r="D946" s="31"/>
      <c r="E946" s="31"/>
      <c r="F946" s="144"/>
      <c r="G946" s="31"/>
      <c r="H946" s="31"/>
      <c r="I946" s="31"/>
      <c r="J946" s="31"/>
      <c r="K946" s="31"/>
      <c r="L946" s="31"/>
      <c r="M946" s="31"/>
      <c r="N946" s="31"/>
      <c r="O946" s="31"/>
      <c r="P946" s="31"/>
      <c r="Q946" s="203"/>
      <c r="R946" s="203"/>
      <c r="S946" s="203"/>
      <c r="T946" s="203"/>
    </row>
    <row r="947" ht="15.75" customHeight="1">
      <c r="A947" s="202"/>
      <c r="B947" s="202"/>
      <c r="C947" s="202"/>
      <c r="D947" s="31"/>
      <c r="E947" s="31"/>
      <c r="F947" s="144"/>
      <c r="G947" s="31"/>
      <c r="H947" s="31"/>
      <c r="I947" s="31"/>
      <c r="J947" s="31"/>
      <c r="K947" s="31"/>
      <c r="L947" s="31"/>
      <c r="M947" s="31"/>
      <c r="N947" s="31"/>
      <c r="O947" s="31"/>
      <c r="P947" s="31"/>
      <c r="Q947" s="203"/>
      <c r="R947" s="203"/>
      <c r="S947" s="203"/>
      <c r="T947" s="203"/>
    </row>
    <row r="948" ht="15.75" customHeight="1">
      <c r="A948" s="202"/>
      <c r="B948" s="202"/>
      <c r="C948" s="202"/>
      <c r="D948" s="31"/>
      <c r="E948" s="31"/>
      <c r="F948" s="144"/>
      <c r="G948" s="31"/>
      <c r="H948" s="31"/>
      <c r="I948" s="31"/>
      <c r="J948" s="31"/>
      <c r="K948" s="31"/>
      <c r="L948" s="31"/>
      <c r="M948" s="31"/>
      <c r="N948" s="31"/>
      <c r="O948" s="31"/>
      <c r="P948" s="31"/>
      <c r="Q948" s="203"/>
      <c r="R948" s="203"/>
      <c r="S948" s="203"/>
      <c r="T948" s="203"/>
    </row>
    <row r="949" ht="15.75" customHeight="1">
      <c r="A949" s="202"/>
      <c r="B949" s="202"/>
      <c r="C949" s="202"/>
      <c r="D949" s="31"/>
      <c r="E949" s="31"/>
      <c r="F949" s="144"/>
      <c r="G949" s="31"/>
      <c r="H949" s="31"/>
      <c r="I949" s="31"/>
      <c r="J949" s="31"/>
      <c r="K949" s="31"/>
      <c r="L949" s="31"/>
      <c r="M949" s="31"/>
      <c r="N949" s="31"/>
      <c r="O949" s="31"/>
      <c r="P949" s="31"/>
      <c r="Q949" s="203"/>
      <c r="R949" s="203"/>
      <c r="S949" s="203"/>
      <c r="T949" s="203"/>
    </row>
    <row r="950" ht="15.75" customHeight="1">
      <c r="A950" s="202"/>
      <c r="B950" s="202"/>
      <c r="C950" s="202"/>
      <c r="D950" s="31"/>
      <c r="E950" s="31"/>
      <c r="F950" s="144"/>
      <c r="G950" s="31"/>
      <c r="H950" s="31"/>
      <c r="I950" s="31"/>
      <c r="J950" s="31"/>
      <c r="K950" s="31"/>
      <c r="L950" s="31"/>
      <c r="M950" s="31"/>
      <c r="N950" s="31"/>
      <c r="O950" s="31"/>
      <c r="P950" s="31"/>
      <c r="Q950" s="203"/>
      <c r="R950" s="203"/>
      <c r="S950" s="203"/>
      <c r="T950" s="203"/>
    </row>
    <row r="951" ht="15.75" customHeight="1">
      <c r="A951" s="202"/>
      <c r="B951" s="202"/>
      <c r="C951" s="202"/>
      <c r="D951" s="31"/>
      <c r="E951" s="31"/>
      <c r="F951" s="144"/>
      <c r="G951" s="31"/>
      <c r="H951" s="31"/>
      <c r="I951" s="31"/>
      <c r="J951" s="31"/>
      <c r="K951" s="31"/>
      <c r="L951" s="31"/>
      <c r="M951" s="31"/>
      <c r="N951" s="31"/>
      <c r="O951" s="31"/>
      <c r="P951" s="31"/>
      <c r="Q951" s="203"/>
      <c r="R951" s="203"/>
      <c r="S951" s="203"/>
      <c r="T951" s="203"/>
    </row>
    <row r="952" ht="15.75" customHeight="1">
      <c r="A952" s="202"/>
      <c r="B952" s="202"/>
      <c r="C952" s="202"/>
      <c r="D952" s="31"/>
      <c r="E952" s="31"/>
      <c r="F952" s="144"/>
      <c r="G952" s="31"/>
      <c r="H952" s="31"/>
      <c r="I952" s="31"/>
      <c r="J952" s="31"/>
      <c r="K952" s="31"/>
      <c r="L952" s="31"/>
      <c r="M952" s="31"/>
      <c r="N952" s="31"/>
      <c r="O952" s="31"/>
      <c r="P952" s="31"/>
      <c r="Q952" s="203"/>
      <c r="R952" s="203"/>
      <c r="S952" s="203"/>
      <c r="T952" s="203"/>
    </row>
    <row r="953" ht="15.75" customHeight="1">
      <c r="A953" s="202"/>
      <c r="B953" s="202"/>
      <c r="C953" s="202"/>
      <c r="D953" s="31"/>
      <c r="E953" s="31"/>
      <c r="F953" s="144"/>
      <c r="G953" s="31"/>
      <c r="H953" s="31"/>
      <c r="I953" s="31"/>
      <c r="J953" s="31"/>
      <c r="K953" s="31"/>
      <c r="L953" s="31"/>
      <c r="M953" s="31"/>
      <c r="N953" s="31"/>
      <c r="O953" s="31"/>
      <c r="P953" s="31"/>
      <c r="Q953" s="203"/>
      <c r="R953" s="203"/>
      <c r="S953" s="203"/>
      <c r="T953" s="203"/>
    </row>
    <row r="954" ht="15.75" customHeight="1">
      <c r="A954" s="202"/>
      <c r="B954" s="202"/>
      <c r="C954" s="202"/>
      <c r="D954" s="31"/>
      <c r="E954" s="31"/>
      <c r="F954" s="144"/>
      <c r="G954" s="31"/>
      <c r="H954" s="31"/>
      <c r="I954" s="31"/>
      <c r="J954" s="31"/>
      <c r="K954" s="31"/>
      <c r="L954" s="31"/>
      <c r="M954" s="31"/>
      <c r="N954" s="31"/>
      <c r="O954" s="31"/>
      <c r="P954" s="31"/>
      <c r="Q954" s="203"/>
      <c r="R954" s="203"/>
      <c r="S954" s="203"/>
      <c r="T954" s="203"/>
    </row>
    <row r="955" ht="15.75" customHeight="1">
      <c r="A955" s="202"/>
      <c r="B955" s="202"/>
      <c r="C955" s="202"/>
      <c r="D955" s="31"/>
      <c r="E955" s="31"/>
      <c r="F955" s="144"/>
      <c r="G955" s="31"/>
      <c r="H955" s="31"/>
      <c r="I955" s="31"/>
      <c r="J955" s="31"/>
      <c r="K955" s="31"/>
      <c r="L955" s="31"/>
      <c r="M955" s="31"/>
      <c r="N955" s="31"/>
      <c r="O955" s="31"/>
      <c r="P955" s="31"/>
      <c r="Q955" s="203"/>
      <c r="R955" s="203"/>
      <c r="S955" s="203"/>
      <c r="T955" s="203"/>
    </row>
    <row r="956" ht="15.75" customHeight="1">
      <c r="A956" s="202"/>
      <c r="B956" s="202"/>
      <c r="C956" s="202"/>
      <c r="D956" s="31"/>
      <c r="E956" s="31"/>
      <c r="F956" s="144"/>
      <c r="G956" s="31"/>
      <c r="H956" s="31"/>
      <c r="I956" s="31"/>
      <c r="J956" s="31"/>
      <c r="K956" s="31"/>
      <c r="L956" s="31"/>
      <c r="M956" s="31"/>
      <c r="N956" s="31"/>
      <c r="O956" s="31"/>
      <c r="P956" s="31"/>
      <c r="Q956" s="203"/>
      <c r="R956" s="203"/>
      <c r="S956" s="203"/>
      <c r="T956" s="203"/>
    </row>
    <row r="957" ht="15.75" customHeight="1">
      <c r="A957" s="202"/>
      <c r="B957" s="202"/>
      <c r="C957" s="202"/>
      <c r="D957" s="31"/>
      <c r="E957" s="31"/>
      <c r="F957" s="144"/>
      <c r="G957" s="31"/>
      <c r="H957" s="31"/>
      <c r="I957" s="31"/>
      <c r="J957" s="31"/>
      <c r="K957" s="31"/>
      <c r="L957" s="31"/>
      <c r="M957" s="31"/>
      <c r="N957" s="31"/>
      <c r="O957" s="31"/>
      <c r="P957" s="31"/>
      <c r="Q957" s="203"/>
      <c r="R957" s="203"/>
      <c r="S957" s="203"/>
      <c r="T957" s="203"/>
    </row>
    <row r="958" ht="15.75" customHeight="1">
      <c r="A958" s="202"/>
      <c r="B958" s="202"/>
      <c r="C958" s="202"/>
      <c r="D958" s="31"/>
      <c r="E958" s="31"/>
      <c r="F958" s="144"/>
      <c r="G958" s="31"/>
      <c r="H958" s="31"/>
      <c r="I958" s="31"/>
      <c r="J958" s="31"/>
      <c r="K958" s="31"/>
      <c r="L958" s="31"/>
      <c r="M958" s="31"/>
      <c r="N958" s="31"/>
      <c r="O958" s="31"/>
      <c r="P958" s="31"/>
      <c r="Q958" s="203"/>
      <c r="R958" s="203"/>
      <c r="S958" s="203"/>
      <c r="T958" s="203"/>
    </row>
    <row r="959" ht="15.75" customHeight="1">
      <c r="A959" s="202"/>
      <c r="B959" s="202"/>
      <c r="C959" s="202"/>
      <c r="D959" s="31"/>
      <c r="E959" s="31"/>
      <c r="F959" s="144"/>
      <c r="G959" s="31"/>
      <c r="H959" s="31"/>
      <c r="I959" s="31"/>
      <c r="J959" s="31"/>
      <c r="K959" s="31"/>
      <c r="L959" s="31"/>
      <c r="M959" s="31"/>
      <c r="N959" s="31"/>
      <c r="O959" s="31"/>
      <c r="P959" s="31"/>
      <c r="Q959" s="203"/>
      <c r="R959" s="203"/>
      <c r="S959" s="203"/>
      <c r="T959" s="203"/>
    </row>
    <row r="960" ht="15.75" customHeight="1">
      <c r="A960" s="202"/>
      <c r="B960" s="202"/>
      <c r="C960" s="202"/>
      <c r="D960" s="31"/>
      <c r="E960" s="31"/>
      <c r="F960" s="144"/>
      <c r="G960" s="31"/>
      <c r="H960" s="31"/>
      <c r="I960" s="31"/>
      <c r="J960" s="31"/>
      <c r="K960" s="31"/>
      <c r="L960" s="31"/>
      <c r="M960" s="31"/>
      <c r="N960" s="31"/>
      <c r="O960" s="31"/>
      <c r="P960" s="31"/>
      <c r="Q960" s="203"/>
      <c r="R960" s="203"/>
      <c r="S960" s="203"/>
      <c r="T960" s="203"/>
    </row>
    <row r="961" ht="15.75" customHeight="1">
      <c r="A961" s="202"/>
      <c r="B961" s="202"/>
      <c r="C961" s="202"/>
      <c r="D961" s="31"/>
      <c r="E961" s="31"/>
      <c r="F961" s="144"/>
      <c r="G961" s="31"/>
      <c r="H961" s="31"/>
      <c r="I961" s="31"/>
      <c r="J961" s="31"/>
      <c r="K961" s="31"/>
      <c r="L961" s="31"/>
      <c r="M961" s="31"/>
      <c r="N961" s="31"/>
      <c r="O961" s="31"/>
      <c r="P961" s="31"/>
      <c r="Q961" s="203"/>
      <c r="R961" s="203"/>
      <c r="S961" s="203"/>
      <c r="T961" s="203"/>
    </row>
    <row r="962" ht="15.75" customHeight="1">
      <c r="A962" s="202"/>
      <c r="B962" s="202"/>
      <c r="C962" s="202"/>
      <c r="D962" s="31"/>
      <c r="E962" s="31"/>
      <c r="F962" s="144"/>
      <c r="G962" s="31"/>
      <c r="H962" s="31"/>
      <c r="I962" s="31"/>
      <c r="J962" s="31"/>
      <c r="K962" s="31"/>
      <c r="L962" s="31"/>
      <c r="M962" s="31"/>
      <c r="N962" s="31"/>
      <c r="O962" s="31"/>
      <c r="P962" s="31"/>
      <c r="Q962" s="203"/>
      <c r="R962" s="203"/>
      <c r="S962" s="203"/>
      <c r="T962" s="203"/>
    </row>
    <row r="963" ht="15.75" customHeight="1">
      <c r="A963" s="202"/>
      <c r="B963" s="202"/>
      <c r="C963" s="202"/>
      <c r="D963" s="31"/>
      <c r="E963" s="31"/>
      <c r="F963" s="144"/>
      <c r="G963" s="31"/>
      <c r="H963" s="31"/>
      <c r="I963" s="31"/>
      <c r="J963" s="31"/>
      <c r="K963" s="31"/>
      <c r="L963" s="31"/>
      <c r="M963" s="31"/>
      <c r="N963" s="31"/>
      <c r="O963" s="31"/>
      <c r="P963" s="31"/>
      <c r="Q963" s="203"/>
      <c r="R963" s="203"/>
      <c r="S963" s="203"/>
      <c r="T963" s="203"/>
    </row>
    <row r="964" ht="15.75" customHeight="1">
      <c r="A964" s="202"/>
      <c r="B964" s="202"/>
      <c r="C964" s="202"/>
      <c r="D964" s="31"/>
      <c r="E964" s="31"/>
      <c r="F964" s="144"/>
      <c r="G964" s="31"/>
      <c r="H964" s="31"/>
      <c r="I964" s="31"/>
      <c r="J964" s="31"/>
      <c r="K964" s="31"/>
      <c r="L964" s="31"/>
      <c r="M964" s="31"/>
      <c r="N964" s="31"/>
      <c r="O964" s="31"/>
      <c r="P964" s="31"/>
      <c r="Q964" s="203"/>
      <c r="R964" s="203"/>
      <c r="S964" s="203"/>
      <c r="T964" s="203"/>
    </row>
    <row r="965" ht="15.75" customHeight="1">
      <c r="A965" s="202"/>
      <c r="B965" s="202"/>
      <c r="C965" s="202"/>
      <c r="D965" s="31"/>
      <c r="E965" s="31"/>
      <c r="F965" s="144"/>
      <c r="G965" s="31"/>
      <c r="H965" s="31"/>
      <c r="I965" s="31"/>
      <c r="J965" s="31"/>
      <c r="K965" s="31"/>
      <c r="L965" s="31"/>
      <c r="M965" s="31"/>
      <c r="N965" s="31"/>
      <c r="O965" s="31"/>
      <c r="P965" s="31"/>
      <c r="Q965" s="203"/>
      <c r="R965" s="203"/>
      <c r="S965" s="203"/>
      <c r="T965" s="203"/>
    </row>
    <row r="966" ht="15.75" customHeight="1">
      <c r="A966" s="202"/>
      <c r="B966" s="202"/>
      <c r="C966" s="202"/>
      <c r="D966" s="31"/>
      <c r="E966" s="31"/>
      <c r="F966" s="144"/>
      <c r="G966" s="31"/>
      <c r="H966" s="31"/>
      <c r="I966" s="31"/>
      <c r="J966" s="31"/>
      <c r="K966" s="31"/>
      <c r="L966" s="31"/>
      <c r="M966" s="31"/>
      <c r="N966" s="31"/>
      <c r="O966" s="31"/>
      <c r="P966" s="31"/>
      <c r="Q966" s="203"/>
      <c r="R966" s="203"/>
      <c r="S966" s="203"/>
      <c r="T966" s="203"/>
    </row>
    <row r="967" ht="15.75" customHeight="1">
      <c r="A967" s="202"/>
      <c r="B967" s="202"/>
      <c r="C967" s="202"/>
      <c r="D967" s="31"/>
      <c r="E967" s="31"/>
      <c r="F967" s="144"/>
      <c r="G967" s="31"/>
      <c r="H967" s="31"/>
      <c r="I967" s="31"/>
      <c r="J967" s="31"/>
      <c r="K967" s="31"/>
      <c r="L967" s="31"/>
      <c r="M967" s="31"/>
      <c r="N967" s="31"/>
      <c r="O967" s="31"/>
      <c r="P967" s="31"/>
      <c r="Q967" s="203"/>
      <c r="R967" s="203"/>
      <c r="S967" s="203"/>
      <c r="T967" s="203"/>
    </row>
    <row r="968" ht="15.75" customHeight="1">
      <c r="A968" s="202"/>
      <c r="B968" s="202"/>
      <c r="C968" s="202"/>
      <c r="D968" s="31"/>
      <c r="E968" s="31"/>
      <c r="F968" s="144"/>
      <c r="G968" s="31"/>
      <c r="H968" s="31"/>
      <c r="I968" s="31"/>
      <c r="J968" s="31"/>
      <c r="K968" s="31"/>
      <c r="L968" s="31"/>
      <c r="M968" s="31"/>
      <c r="N968" s="31"/>
      <c r="O968" s="31"/>
      <c r="P968" s="31"/>
      <c r="Q968" s="203"/>
      <c r="R968" s="203"/>
      <c r="S968" s="203"/>
      <c r="T968" s="203"/>
    </row>
    <row r="969" ht="15.75" customHeight="1">
      <c r="A969" s="202"/>
      <c r="B969" s="202"/>
      <c r="C969" s="202"/>
      <c r="D969" s="31"/>
      <c r="E969" s="31"/>
      <c r="F969" s="144"/>
      <c r="G969" s="31"/>
      <c r="H969" s="31"/>
      <c r="I969" s="31"/>
      <c r="J969" s="31"/>
      <c r="K969" s="31"/>
      <c r="L969" s="31"/>
      <c r="M969" s="31"/>
      <c r="N969" s="31"/>
      <c r="O969" s="31"/>
      <c r="P969" s="31"/>
      <c r="Q969" s="203"/>
      <c r="R969" s="203"/>
      <c r="S969" s="203"/>
      <c r="T969" s="203"/>
    </row>
    <row r="970" ht="15.75" customHeight="1">
      <c r="A970" s="202"/>
      <c r="B970" s="202"/>
      <c r="C970" s="202"/>
      <c r="D970" s="31"/>
      <c r="E970" s="31"/>
      <c r="F970" s="144"/>
      <c r="G970" s="31"/>
      <c r="H970" s="31"/>
      <c r="I970" s="31"/>
      <c r="J970" s="31"/>
      <c r="K970" s="31"/>
      <c r="L970" s="31"/>
      <c r="M970" s="31"/>
      <c r="N970" s="31"/>
      <c r="O970" s="31"/>
      <c r="P970" s="31"/>
      <c r="Q970" s="203"/>
      <c r="R970" s="203"/>
      <c r="S970" s="203"/>
      <c r="T970" s="203"/>
    </row>
    <row r="971" ht="15.75" customHeight="1">
      <c r="A971" s="202"/>
      <c r="B971" s="202"/>
      <c r="C971" s="202"/>
      <c r="D971" s="31"/>
      <c r="E971" s="31"/>
      <c r="F971" s="144"/>
      <c r="G971" s="31"/>
      <c r="H971" s="31"/>
      <c r="I971" s="31"/>
      <c r="J971" s="31"/>
      <c r="K971" s="31"/>
      <c r="L971" s="31"/>
      <c r="M971" s="31"/>
      <c r="N971" s="31"/>
      <c r="O971" s="31"/>
      <c r="P971" s="31"/>
      <c r="Q971" s="203"/>
      <c r="R971" s="203"/>
      <c r="S971" s="203"/>
      <c r="T971" s="203"/>
    </row>
    <row r="972" ht="15.75" customHeight="1">
      <c r="A972" s="202"/>
      <c r="B972" s="202"/>
      <c r="C972" s="202"/>
      <c r="D972" s="31"/>
      <c r="E972" s="31"/>
      <c r="F972" s="144"/>
      <c r="G972" s="31"/>
      <c r="H972" s="31"/>
      <c r="I972" s="31"/>
      <c r="J972" s="31"/>
      <c r="K972" s="31"/>
      <c r="L972" s="31"/>
      <c r="M972" s="31"/>
      <c r="N972" s="31"/>
      <c r="O972" s="31"/>
      <c r="P972" s="31"/>
      <c r="Q972" s="203"/>
      <c r="R972" s="203"/>
      <c r="S972" s="203"/>
      <c r="T972" s="203"/>
    </row>
    <row r="973" ht="15.75" customHeight="1">
      <c r="A973" s="202"/>
      <c r="B973" s="202"/>
      <c r="C973" s="202"/>
      <c r="D973" s="31"/>
      <c r="E973" s="31"/>
      <c r="F973" s="144"/>
      <c r="G973" s="31"/>
      <c r="H973" s="31"/>
      <c r="I973" s="31"/>
      <c r="J973" s="31"/>
      <c r="K973" s="31"/>
      <c r="L973" s="31"/>
      <c r="M973" s="31"/>
      <c r="N973" s="31"/>
      <c r="O973" s="31"/>
      <c r="P973" s="31"/>
      <c r="Q973" s="203"/>
      <c r="R973" s="203"/>
      <c r="S973" s="203"/>
      <c r="T973" s="203"/>
    </row>
    <row r="974" ht="15.75" customHeight="1">
      <c r="A974" s="202"/>
      <c r="B974" s="202"/>
      <c r="C974" s="202"/>
      <c r="D974" s="31"/>
      <c r="E974" s="31"/>
      <c r="F974" s="144"/>
      <c r="G974" s="31"/>
      <c r="H974" s="31"/>
      <c r="I974" s="31"/>
      <c r="J974" s="31"/>
      <c r="K974" s="31"/>
      <c r="L974" s="31"/>
      <c r="M974" s="31"/>
      <c r="N974" s="31"/>
      <c r="O974" s="31"/>
      <c r="P974" s="31"/>
      <c r="Q974" s="203"/>
      <c r="R974" s="203"/>
      <c r="S974" s="203"/>
      <c r="T974" s="203"/>
    </row>
    <row r="975" ht="15.75" customHeight="1">
      <c r="A975" s="202"/>
      <c r="B975" s="202"/>
      <c r="C975" s="202"/>
      <c r="D975" s="31"/>
      <c r="E975" s="31"/>
      <c r="F975" s="144"/>
      <c r="G975" s="31"/>
      <c r="H975" s="31"/>
      <c r="I975" s="31"/>
      <c r="J975" s="31"/>
      <c r="K975" s="31"/>
      <c r="L975" s="31"/>
      <c r="M975" s="31"/>
      <c r="N975" s="31"/>
      <c r="O975" s="31"/>
      <c r="P975" s="31"/>
      <c r="Q975" s="203"/>
      <c r="R975" s="203"/>
      <c r="S975" s="203"/>
      <c r="T975" s="203"/>
    </row>
    <row r="976" ht="15.75" customHeight="1">
      <c r="A976" s="202"/>
      <c r="B976" s="202"/>
      <c r="C976" s="202"/>
      <c r="D976" s="31"/>
      <c r="E976" s="31"/>
      <c r="F976" s="144"/>
      <c r="G976" s="31"/>
      <c r="H976" s="31"/>
      <c r="I976" s="31"/>
      <c r="J976" s="31"/>
      <c r="K976" s="31"/>
      <c r="L976" s="31"/>
      <c r="M976" s="31"/>
      <c r="N976" s="31"/>
      <c r="O976" s="31"/>
      <c r="P976" s="31"/>
      <c r="Q976" s="203"/>
      <c r="R976" s="203"/>
      <c r="S976" s="203"/>
      <c r="T976" s="203"/>
    </row>
    <row r="977" ht="15.75" customHeight="1">
      <c r="A977" s="202"/>
      <c r="B977" s="202"/>
      <c r="C977" s="202"/>
      <c r="D977" s="31"/>
      <c r="E977" s="31"/>
      <c r="F977" s="144"/>
      <c r="G977" s="31"/>
      <c r="H977" s="31"/>
      <c r="I977" s="31"/>
      <c r="J977" s="31"/>
      <c r="K977" s="31"/>
      <c r="L977" s="31"/>
      <c r="M977" s="31"/>
      <c r="N977" s="31"/>
      <c r="O977" s="31"/>
      <c r="P977" s="31"/>
      <c r="Q977" s="203"/>
      <c r="R977" s="203"/>
      <c r="S977" s="203"/>
      <c r="T977" s="203"/>
    </row>
    <row r="978" ht="15.75" customHeight="1">
      <c r="A978" s="202"/>
      <c r="B978" s="202"/>
      <c r="C978" s="202"/>
      <c r="D978" s="31"/>
      <c r="E978" s="31"/>
      <c r="F978" s="144"/>
      <c r="G978" s="31"/>
      <c r="H978" s="31"/>
      <c r="I978" s="31"/>
      <c r="J978" s="31"/>
      <c r="K978" s="31"/>
      <c r="L978" s="31"/>
      <c r="M978" s="31"/>
      <c r="N978" s="31"/>
      <c r="O978" s="31"/>
      <c r="P978" s="31"/>
      <c r="Q978" s="203"/>
      <c r="R978" s="203"/>
      <c r="S978" s="203"/>
      <c r="T978" s="203"/>
    </row>
    <row r="979" ht="15.75" customHeight="1">
      <c r="A979" s="202"/>
      <c r="B979" s="202"/>
      <c r="C979" s="202"/>
      <c r="D979" s="31"/>
      <c r="E979" s="31"/>
      <c r="F979" s="144"/>
      <c r="G979" s="31"/>
      <c r="H979" s="31"/>
      <c r="I979" s="31"/>
      <c r="J979" s="31"/>
      <c r="K979" s="31"/>
      <c r="L979" s="31"/>
      <c r="M979" s="31"/>
      <c r="N979" s="31"/>
      <c r="O979" s="31"/>
      <c r="P979" s="31"/>
      <c r="Q979" s="203"/>
      <c r="R979" s="203"/>
      <c r="S979" s="203"/>
      <c r="T979" s="203"/>
    </row>
    <row r="980" ht="15.75" customHeight="1">
      <c r="A980" s="202"/>
      <c r="B980" s="202"/>
      <c r="C980" s="202"/>
      <c r="D980" s="31"/>
      <c r="E980" s="31"/>
      <c r="F980" s="144"/>
      <c r="G980" s="31"/>
      <c r="H980" s="31"/>
      <c r="I980" s="31"/>
      <c r="J980" s="31"/>
      <c r="K980" s="31"/>
      <c r="L980" s="31"/>
      <c r="M980" s="31"/>
      <c r="N980" s="31"/>
      <c r="O980" s="31"/>
      <c r="P980" s="31"/>
      <c r="Q980" s="203"/>
      <c r="R980" s="203"/>
      <c r="S980" s="203"/>
      <c r="T980" s="203"/>
    </row>
    <row r="981" ht="15.75" customHeight="1">
      <c r="A981" s="202"/>
      <c r="B981" s="202"/>
      <c r="C981" s="202"/>
      <c r="D981" s="31"/>
      <c r="E981" s="31"/>
      <c r="F981" s="144"/>
      <c r="G981" s="31"/>
      <c r="H981" s="31"/>
      <c r="I981" s="31"/>
      <c r="J981" s="31"/>
      <c r="K981" s="31"/>
      <c r="L981" s="31"/>
      <c r="M981" s="31"/>
      <c r="N981" s="31"/>
      <c r="O981" s="31"/>
      <c r="P981" s="31"/>
      <c r="Q981" s="203"/>
      <c r="R981" s="203"/>
      <c r="S981" s="203"/>
      <c r="T981" s="203"/>
    </row>
    <row r="982" ht="15.75" customHeight="1">
      <c r="A982" s="202"/>
      <c r="B982" s="202"/>
      <c r="C982" s="202"/>
      <c r="D982" s="31"/>
      <c r="E982" s="31"/>
      <c r="F982" s="144"/>
      <c r="G982" s="31"/>
      <c r="H982" s="31"/>
      <c r="I982" s="31"/>
      <c r="J982" s="31"/>
      <c r="K982" s="31"/>
      <c r="L982" s="31"/>
      <c r="M982" s="31"/>
      <c r="N982" s="31"/>
      <c r="O982" s="31"/>
      <c r="P982" s="31"/>
      <c r="Q982" s="203"/>
      <c r="R982" s="203"/>
      <c r="S982" s="203"/>
      <c r="T982" s="203"/>
    </row>
    <row r="983" ht="15.75" customHeight="1">
      <c r="A983" s="202"/>
      <c r="B983" s="202"/>
      <c r="C983" s="202"/>
      <c r="D983" s="31"/>
      <c r="E983" s="31"/>
      <c r="F983" s="144"/>
      <c r="G983" s="31"/>
      <c r="H983" s="31"/>
      <c r="I983" s="31"/>
      <c r="J983" s="31"/>
      <c r="K983" s="31"/>
      <c r="L983" s="31"/>
      <c r="M983" s="31"/>
      <c r="N983" s="31"/>
      <c r="O983" s="31"/>
      <c r="P983" s="31"/>
      <c r="Q983" s="203"/>
      <c r="R983" s="203"/>
      <c r="S983" s="203"/>
      <c r="T983" s="203"/>
    </row>
    <row r="984" ht="15.75" customHeight="1">
      <c r="A984" s="202"/>
      <c r="B984" s="202"/>
      <c r="C984" s="202"/>
      <c r="D984" s="31"/>
      <c r="E984" s="31"/>
      <c r="F984" s="144"/>
      <c r="G984" s="31"/>
      <c r="H984" s="31"/>
      <c r="I984" s="31"/>
      <c r="J984" s="31"/>
      <c r="K984" s="31"/>
      <c r="L984" s="31"/>
      <c r="M984" s="31"/>
      <c r="N984" s="31"/>
      <c r="O984" s="31"/>
      <c r="P984" s="31"/>
      <c r="Q984" s="203"/>
      <c r="R984" s="203"/>
      <c r="S984" s="203"/>
      <c r="T984" s="203"/>
    </row>
    <row r="985" ht="15.75" customHeight="1">
      <c r="A985" s="202"/>
      <c r="B985" s="202"/>
      <c r="C985" s="202"/>
      <c r="D985" s="31"/>
      <c r="E985" s="31"/>
      <c r="F985" s="144"/>
      <c r="G985" s="31"/>
      <c r="H985" s="31"/>
      <c r="I985" s="31"/>
      <c r="J985" s="31"/>
      <c r="K985" s="31"/>
      <c r="L985" s="31"/>
      <c r="M985" s="31"/>
      <c r="N985" s="31"/>
      <c r="O985" s="31"/>
      <c r="P985" s="31"/>
      <c r="Q985" s="203"/>
      <c r="R985" s="203"/>
      <c r="S985" s="203"/>
      <c r="T985" s="203"/>
    </row>
    <row r="986" ht="15.75" customHeight="1">
      <c r="A986" s="202"/>
      <c r="B986" s="202"/>
      <c r="C986" s="202"/>
      <c r="D986" s="31"/>
      <c r="E986" s="31"/>
      <c r="F986" s="144"/>
      <c r="G986" s="31"/>
      <c r="H986" s="31"/>
      <c r="I986" s="31"/>
      <c r="J986" s="31"/>
      <c r="K986" s="31"/>
      <c r="L986" s="31"/>
      <c r="M986" s="31"/>
      <c r="N986" s="31"/>
      <c r="O986" s="31"/>
      <c r="P986" s="31"/>
      <c r="Q986" s="203"/>
      <c r="R986" s="203"/>
      <c r="S986" s="203"/>
      <c r="T986" s="203"/>
    </row>
    <row r="987" ht="15.75" customHeight="1">
      <c r="A987" s="202"/>
      <c r="B987" s="202"/>
      <c r="C987" s="202"/>
      <c r="D987" s="31"/>
      <c r="E987" s="31"/>
      <c r="F987" s="144"/>
      <c r="G987" s="31"/>
      <c r="H987" s="31"/>
      <c r="I987" s="31"/>
      <c r="J987" s="31"/>
      <c r="K987" s="31"/>
      <c r="L987" s="31"/>
      <c r="M987" s="31"/>
      <c r="N987" s="31"/>
      <c r="O987" s="31"/>
      <c r="P987" s="31"/>
      <c r="Q987" s="203"/>
      <c r="R987" s="203"/>
      <c r="S987" s="203"/>
      <c r="T987" s="203"/>
    </row>
    <row r="988" ht="15.75" customHeight="1">
      <c r="A988" s="202"/>
      <c r="B988" s="202"/>
      <c r="C988" s="202"/>
      <c r="D988" s="31"/>
      <c r="E988" s="31"/>
      <c r="F988" s="144"/>
      <c r="G988" s="31"/>
      <c r="H988" s="31"/>
      <c r="I988" s="31"/>
      <c r="J988" s="31"/>
      <c r="K988" s="31"/>
      <c r="L988" s="31"/>
      <c r="M988" s="31"/>
      <c r="N988" s="31"/>
      <c r="O988" s="31"/>
      <c r="P988" s="31"/>
      <c r="Q988" s="203"/>
      <c r="R988" s="203"/>
      <c r="S988" s="203"/>
      <c r="T988" s="203"/>
    </row>
    <row r="989" ht="15.75" customHeight="1">
      <c r="A989" s="202"/>
      <c r="B989" s="202"/>
      <c r="C989" s="202"/>
      <c r="D989" s="31"/>
      <c r="E989" s="31"/>
      <c r="F989" s="144"/>
      <c r="G989" s="31"/>
      <c r="H989" s="31"/>
      <c r="I989" s="31"/>
      <c r="J989" s="31"/>
      <c r="K989" s="31"/>
      <c r="L989" s="31"/>
      <c r="M989" s="31"/>
      <c r="N989" s="31"/>
      <c r="O989" s="31"/>
      <c r="P989" s="31"/>
      <c r="Q989" s="203"/>
      <c r="R989" s="203"/>
      <c r="S989" s="203"/>
      <c r="T989" s="203"/>
    </row>
    <row r="990" ht="15.75" customHeight="1">
      <c r="A990" s="202"/>
      <c r="B990" s="202"/>
      <c r="C990" s="202"/>
      <c r="D990" s="31"/>
      <c r="E990" s="31"/>
      <c r="F990" s="144"/>
      <c r="G990" s="31"/>
      <c r="H990" s="31"/>
      <c r="I990" s="31"/>
      <c r="J990" s="31"/>
      <c r="K990" s="31"/>
      <c r="L990" s="31"/>
      <c r="M990" s="31"/>
      <c r="N990" s="31"/>
      <c r="O990" s="31"/>
      <c r="P990" s="31"/>
      <c r="Q990" s="203"/>
      <c r="R990" s="203"/>
      <c r="S990" s="203"/>
      <c r="T990" s="203"/>
    </row>
    <row r="991" ht="15.75" customHeight="1">
      <c r="A991" s="202"/>
      <c r="B991" s="202"/>
      <c r="C991" s="202"/>
      <c r="D991" s="31"/>
      <c r="E991" s="31"/>
      <c r="F991" s="144"/>
      <c r="G991" s="31"/>
      <c r="H991" s="31"/>
      <c r="I991" s="31"/>
      <c r="J991" s="31"/>
      <c r="K991" s="31"/>
      <c r="L991" s="31"/>
      <c r="M991" s="31"/>
      <c r="N991" s="31"/>
      <c r="O991" s="31"/>
      <c r="P991" s="31"/>
      <c r="Q991" s="203"/>
      <c r="R991" s="203"/>
      <c r="S991" s="203"/>
      <c r="T991" s="203"/>
    </row>
    <row r="992" ht="15.75" customHeight="1">
      <c r="A992" s="202"/>
      <c r="B992" s="202"/>
      <c r="C992" s="202"/>
      <c r="D992" s="31"/>
      <c r="E992" s="31"/>
      <c r="F992" s="144"/>
      <c r="G992" s="31"/>
      <c r="H992" s="31"/>
      <c r="I992" s="31"/>
      <c r="J992" s="31"/>
      <c r="K992" s="31"/>
      <c r="L992" s="31"/>
      <c r="M992" s="31"/>
      <c r="N992" s="31"/>
      <c r="O992" s="31"/>
      <c r="P992" s="31"/>
      <c r="Q992" s="203"/>
      <c r="R992" s="203"/>
      <c r="S992" s="203"/>
      <c r="T992" s="203"/>
    </row>
    <row r="993" ht="15.75" customHeight="1">
      <c r="A993" s="202"/>
      <c r="B993" s="202"/>
      <c r="C993" s="202"/>
      <c r="D993" s="31"/>
      <c r="E993" s="31"/>
      <c r="F993" s="144"/>
      <c r="G993" s="31"/>
      <c r="H993" s="31"/>
      <c r="I993" s="31"/>
      <c r="J993" s="31"/>
      <c r="K993" s="31"/>
      <c r="L993" s="31"/>
      <c r="M993" s="31"/>
      <c r="N993" s="31"/>
      <c r="O993" s="31"/>
      <c r="P993" s="31"/>
      <c r="Q993" s="203"/>
      <c r="R993" s="203"/>
      <c r="S993" s="203"/>
      <c r="T993" s="203"/>
    </row>
    <row r="994" ht="15.75" customHeight="1">
      <c r="A994" s="202"/>
      <c r="B994" s="202"/>
      <c r="C994" s="202"/>
      <c r="D994" s="31"/>
      <c r="E994" s="31"/>
      <c r="F994" s="144"/>
      <c r="G994" s="31"/>
      <c r="H994" s="31"/>
      <c r="I994" s="31"/>
      <c r="J994" s="31"/>
      <c r="K994" s="31"/>
      <c r="L994" s="31"/>
      <c r="M994" s="31"/>
      <c r="N994" s="31"/>
      <c r="O994" s="31"/>
      <c r="P994" s="31"/>
      <c r="Q994" s="203"/>
      <c r="R994" s="203"/>
      <c r="S994" s="203"/>
      <c r="T994" s="203"/>
    </row>
    <row r="995" ht="15.75" customHeight="1">
      <c r="A995" s="202"/>
      <c r="B995" s="202"/>
      <c r="C995" s="202"/>
      <c r="D995" s="31"/>
      <c r="E995" s="31"/>
      <c r="F995" s="144"/>
      <c r="G995" s="31"/>
      <c r="H995" s="31"/>
      <c r="I995" s="31"/>
      <c r="J995" s="31"/>
      <c r="K995" s="31"/>
      <c r="L995" s="31"/>
      <c r="M995" s="31"/>
      <c r="N995" s="31"/>
      <c r="O995" s="31"/>
      <c r="P995" s="31"/>
      <c r="Q995" s="203"/>
      <c r="R995" s="203"/>
      <c r="S995" s="203"/>
      <c r="T995" s="203"/>
    </row>
    <row r="996" ht="15.75" customHeight="1">
      <c r="A996" s="202"/>
      <c r="B996" s="202"/>
      <c r="C996" s="202"/>
      <c r="D996" s="31"/>
      <c r="E996" s="31"/>
      <c r="F996" s="144"/>
      <c r="G996" s="31"/>
      <c r="H996" s="31"/>
      <c r="I996" s="31"/>
      <c r="J996" s="31"/>
      <c r="K996" s="31"/>
      <c r="L996" s="31"/>
      <c r="M996" s="31"/>
      <c r="N996" s="31"/>
      <c r="O996" s="31"/>
      <c r="P996" s="31"/>
      <c r="Q996" s="203"/>
      <c r="R996" s="203"/>
      <c r="S996" s="203"/>
      <c r="T996" s="203"/>
    </row>
    <row r="997" ht="15.75" customHeight="1">
      <c r="A997" s="202"/>
      <c r="B997" s="202"/>
      <c r="C997" s="202"/>
      <c r="D997" s="31"/>
      <c r="E997" s="31"/>
      <c r="F997" s="144"/>
      <c r="G997" s="31"/>
      <c r="H997" s="31"/>
      <c r="I997" s="31"/>
      <c r="J997" s="31"/>
      <c r="K997" s="31"/>
      <c r="L997" s="31"/>
      <c r="M997" s="31"/>
      <c r="N997" s="31"/>
      <c r="O997" s="31"/>
      <c r="P997" s="31"/>
      <c r="Q997" s="203"/>
      <c r="R997" s="203"/>
      <c r="S997" s="203"/>
      <c r="T997" s="203"/>
    </row>
    <row r="998" ht="15.75" customHeight="1">
      <c r="A998" s="202"/>
      <c r="B998" s="202"/>
      <c r="C998" s="202"/>
      <c r="D998" s="31"/>
      <c r="E998" s="31"/>
      <c r="F998" s="144"/>
      <c r="G998" s="31"/>
      <c r="H998" s="31"/>
      <c r="I998" s="31"/>
      <c r="J998" s="31"/>
      <c r="K998" s="31"/>
      <c r="L998" s="31"/>
      <c r="M998" s="31"/>
      <c r="N998" s="31"/>
      <c r="O998" s="31"/>
      <c r="P998" s="31"/>
      <c r="Q998" s="203"/>
      <c r="R998" s="203"/>
      <c r="S998" s="203"/>
      <c r="T998" s="203"/>
    </row>
    <row r="999" ht="15.75" customHeight="1">
      <c r="A999" s="202"/>
      <c r="B999" s="202"/>
      <c r="C999" s="202"/>
      <c r="D999" s="31"/>
      <c r="E999" s="31"/>
      <c r="F999" s="144"/>
      <c r="G999" s="31"/>
      <c r="H999" s="31"/>
      <c r="I999" s="31"/>
      <c r="J999" s="31"/>
      <c r="K999" s="31"/>
      <c r="L999" s="31"/>
      <c r="M999" s="31"/>
      <c r="N999" s="31"/>
      <c r="O999" s="31"/>
      <c r="P999" s="31"/>
      <c r="Q999" s="203"/>
      <c r="R999" s="203"/>
      <c r="S999" s="203"/>
      <c r="T999" s="203"/>
    </row>
    <row r="1000" ht="15.75" customHeight="1">
      <c r="A1000" s="202"/>
      <c r="B1000" s="202"/>
      <c r="C1000" s="202"/>
      <c r="D1000" s="31"/>
      <c r="E1000" s="31"/>
      <c r="F1000" s="144"/>
      <c r="G1000" s="31"/>
      <c r="H1000" s="31"/>
      <c r="I1000" s="31"/>
      <c r="J1000" s="31"/>
      <c r="K1000" s="31"/>
      <c r="L1000" s="31"/>
      <c r="M1000" s="31"/>
      <c r="N1000" s="31"/>
      <c r="O1000" s="31"/>
      <c r="P1000" s="31"/>
      <c r="Q1000" s="203"/>
      <c r="R1000" s="203"/>
      <c r="S1000" s="203"/>
      <c r="T1000" s="203"/>
    </row>
    <row r="1001" ht="15.75" customHeight="1">
      <c r="A1001" s="202"/>
      <c r="B1001" s="202"/>
      <c r="C1001" s="202"/>
      <c r="D1001" s="31"/>
      <c r="E1001" s="31"/>
      <c r="F1001" s="144"/>
      <c r="G1001" s="31"/>
      <c r="H1001" s="31"/>
      <c r="I1001" s="31"/>
      <c r="J1001" s="31"/>
      <c r="K1001" s="31"/>
      <c r="L1001" s="31"/>
      <c r="M1001" s="31"/>
      <c r="N1001" s="31"/>
      <c r="O1001" s="31"/>
      <c r="P1001" s="31"/>
      <c r="Q1001" s="203"/>
      <c r="R1001" s="203"/>
      <c r="S1001" s="203"/>
      <c r="T1001" s="203"/>
    </row>
  </sheetData>
  <mergeCells count="3">
    <mergeCell ref="A3:J3"/>
    <mergeCell ref="Q3:T3"/>
    <mergeCell ref="J180:J184"/>
  </mergeCells>
  <hyperlinks>
    <hyperlink display="国家" location="'国家-nation'!A1" ref="G6"/>
  </hyperlink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1.43"/>
    <col customWidth="1" min="3" max="3" width="19.0"/>
    <col customWidth="1" min="4" max="4" width="30.86"/>
    <col customWidth="1" min="5" max="26" width="9.0"/>
  </cols>
  <sheetData>
    <row r="1" ht="13.5" customHeight="1">
      <c r="A1" s="204" t="s">
        <v>192</v>
      </c>
      <c r="B1" s="204" t="s">
        <v>3400</v>
      </c>
      <c r="C1" s="204" t="s">
        <v>3401</v>
      </c>
      <c r="D1" s="68"/>
      <c r="E1" s="68"/>
      <c r="F1" s="68"/>
      <c r="G1" s="68"/>
      <c r="H1" s="68"/>
      <c r="I1" s="68"/>
      <c r="J1" s="68"/>
      <c r="K1" s="68"/>
      <c r="L1" s="68"/>
      <c r="M1" s="68"/>
      <c r="N1" s="68"/>
      <c r="O1" s="68"/>
      <c r="P1" s="68"/>
      <c r="Q1" s="68"/>
      <c r="R1" s="68"/>
      <c r="S1" s="68"/>
      <c r="T1" s="68"/>
      <c r="U1" s="68"/>
      <c r="V1" s="68"/>
      <c r="W1" s="68"/>
      <c r="X1" s="68"/>
      <c r="Y1" s="68"/>
      <c r="Z1" s="68"/>
    </row>
    <row r="2" ht="13.5" customHeight="1">
      <c r="A2" s="14" t="s">
        <v>3402</v>
      </c>
      <c r="B2" s="205" t="s">
        <v>3403</v>
      </c>
      <c r="C2" s="19" t="s">
        <v>3404</v>
      </c>
      <c r="D2" s="68" t="str">
        <f>IFERROR(__xludf.DUMMYFUNCTION("GOOGLETRANSLATE(C2,""zh_CN"", ""en"")"),"50Hz wide range parameters")</f>
        <v>50Hz wide range parameters</v>
      </c>
      <c r="E2" s="68"/>
      <c r="F2" s="68"/>
      <c r="G2" s="68"/>
      <c r="H2" s="68"/>
      <c r="I2" s="68"/>
      <c r="J2" s="68"/>
      <c r="K2" s="68"/>
      <c r="L2" s="68"/>
      <c r="M2" s="68"/>
      <c r="N2" s="68"/>
      <c r="O2" s="68"/>
      <c r="P2" s="68"/>
      <c r="Q2" s="68"/>
      <c r="R2" s="68"/>
      <c r="S2" s="68"/>
      <c r="T2" s="68"/>
      <c r="U2" s="68"/>
      <c r="V2" s="68"/>
      <c r="W2" s="68"/>
      <c r="X2" s="68"/>
      <c r="Y2" s="68"/>
      <c r="Z2" s="68"/>
    </row>
    <row r="3" ht="13.5" customHeight="1">
      <c r="A3" s="19" t="s">
        <v>3405</v>
      </c>
      <c r="B3" s="205" t="s">
        <v>3406</v>
      </c>
      <c r="C3" s="19" t="s">
        <v>3407</v>
      </c>
      <c r="D3" s="68" t="str">
        <f>IFERROR(__xludf.DUMMYFUNCTION("GOOGLETRANSLATE(C3,""zh_CN"", ""en"")"),"60Hz wide range parameters")</f>
        <v>60Hz wide range parameters</v>
      </c>
      <c r="E3" s="68"/>
      <c r="F3" s="68"/>
      <c r="G3" s="68"/>
      <c r="H3" s="68"/>
      <c r="I3" s="68"/>
      <c r="J3" s="68"/>
      <c r="K3" s="68"/>
      <c r="L3" s="68"/>
      <c r="M3" s="68"/>
      <c r="N3" s="68"/>
      <c r="O3" s="68"/>
      <c r="P3" s="68"/>
      <c r="Q3" s="68"/>
      <c r="R3" s="68"/>
      <c r="S3" s="68"/>
      <c r="T3" s="68"/>
      <c r="U3" s="68"/>
      <c r="V3" s="68"/>
      <c r="W3" s="68"/>
      <c r="X3" s="68"/>
      <c r="Y3" s="68"/>
      <c r="Z3" s="68"/>
    </row>
    <row r="4" ht="13.5" customHeight="1">
      <c r="A4" s="19" t="s">
        <v>3408</v>
      </c>
      <c r="B4" s="205" t="s">
        <v>3409</v>
      </c>
      <c r="C4" s="19" t="s">
        <v>3410</v>
      </c>
      <c r="D4" s="68" t="str">
        <f>IFERROR(__xludf.DUMMYFUNCTION("GOOGLETRANSLATE(C4,""zh_CN"", ""en"")"),"China")</f>
        <v>China</v>
      </c>
      <c r="E4" s="68"/>
      <c r="F4" s="68"/>
      <c r="G4" s="68"/>
      <c r="H4" s="68"/>
      <c r="I4" s="68"/>
      <c r="J4" s="68"/>
      <c r="K4" s="68"/>
      <c r="L4" s="68"/>
      <c r="M4" s="68"/>
      <c r="N4" s="68"/>
      <c r="O4" s="68"/>
      <c r="P4" s="68"/>
      <c r="Q4" s="68"/>
      <c r="R4" s="68"/>
      <c r="S4" s="68"/>
      <c r="T4" s="68"/>
      <c r="U4" s="68"/>
      <c r="V4" s="68"/>
      <c r="W4" s="68"/>
      <c r="X4" s="68"/>
      <c r="Y4" s="68"/>
      <c r="Z4" s="68"/>
    </row>
    <row r="5" ht="13.5" customHeight="1">
      <c r="A5" s="19" t="s">
        <v>3411</v>
      </c>
      <c r="B5" s="205" t="s">
        <v>3412</v>
      </c>
      <c r="C5" s="19" t="s">
        <v>3413</v>
      </c>
      <c r="D5" s="68" t="str">
        <f>IFERROR(__xludf.DUMMYFUNCTION("GOOGLETRANSLATE(C5,""zh_CN"", ""en"")"),"Japan 50Hz power grid")</f>
        <v>Japan 50Hz power grid</v>
      </c>
      <c r="E5" s="68"/>
      <c r="F5" s="68"/>
      <c r="G5" s="68"/>
      <c r="H5" s="68"/>
      <c r="I5" s="68"/>
      <c r="J5" s="68"/>
      <c r="K5" s="68"/>
      <c r="L5" s="68"/>
      <c r="M5" s="68"/>
      <c r="N5" s="68"/>
      <c r="O5" s="68"/>
      <c r="P5" s="68"/>
      <c r="Q5" s="68"/>
      <c r="R5" s="68"/>
      <c r="S5" s="68"/>
      <c r="T5" s="68"/>
      <c r="U5" s="68"/>
      <c r="V5" s="68"/>
      <c r="W5" s="68"/>
      <c r="X5" s="68"/>
      <c r="Y5" s="68"/>
      <c r="Z5" s="68"/>
    </row>
    <row r="6" ht="13.5" customHeight="1">
      <c r="A6" s="19" t="s">
        <v>3414</v>
      </c>
      <c r="B6" s="205" t="s">
        <v>3415</v>
      </c>
      <c r="C6" s="19" t="s">
        <v>3416</v>
      </c>
      <c r="D6" s="68" t="str">
        <f>IFERROR(__xludf.DUMMYFUNCTION("GOOGLETRANSLATE(C6,""zh_CN"", ""en"")"),"Japan 60Hz power grid")</f>
        <v>Japan 60Hz power grid</v>
      </c>
      <c r="E6" s="68"/>
      <c r="F6" s="68"/>
      <c r="G6" s="68"/>
      <c r="H6" s="68"/>
      <c r="I6" s="68"/>
      <c r="J6" s="68"/>
      <c r="K6" s="68"/>
      <c r="L6" s="68"/>
      <c r="M6" s="68"/>
      <c r="N6" s="68"/>
      <c r="O6" s="68"/>
      <c r="P6" s="68"/>
      <c r="Q6" s="68"/>
      <c r="R6" s="68"/>
      <c r="S6" s="68"/>
      <c r="T6" s="68"/>
      <c r="U6" s="68"/>
      <c r="V6" s="68"/>
      <c r="W6" s="68"/>
      <c r="X6" s="68"/>
      <c r="Y6" s="68"/>
      <c r="Z6" s="68"/>
    </row>
    <row r="7" ht="13.5" customHeight="1">
      <c r="A7" s="14" t="s">
        <v>3417</v>
      </c>
      <c r="B7" s="205" t="s">
        <v>3418</v>
      </c>
      <c r="C7" s="19" t="s">
        <v>3419</v>
      </c>
      <c r="D7" s="68" t="str">
        <f>IFERROR(__xludf.DUMMYFUNCTION("GOOGLETRANSLATE(C7,""zh_CN"", ""en"")"),"American 240V single phase")</f>
        <v>American 240V single phase</v>
      </c>
      <c r="E7" s="68"/>
      <c r="F7" s="68"/>
      <c r="G7" s="68"/>
      <c r="H7" s="68"/>
      <c r="I7" s="68"/>
      <c r="J7" s="68"/>
      <c r="K7" s="68"/>
      <c r="L7" s="68"/>
      <c r="M7" s="68"/>
      <c r="N7" s="68"/>
      <c r="O7" s="68"/>
      <c r="P7" s="68"/>
      <c r="Q7" s="68"/>
      <c r="R7" s="68"/>
      <c r="S7" s="68"/>
      <c r="T7" s="68"/>
      <c r="U7" s="68"/>
      <c r="V7" s="68"/>
      <c r="W7" s="68"/>
      <c r="X7" s="68"/>
      <c r="Y7" s="68"/>
      <c r="Z7" s="68"/>
    </row>
    <row r="8" ht="13.5" customHeight="1">
      <c r="A8" s="14" t="s">
        <v>3420</v>
      </c>
      <c r="B8" s="205" t="s">
        <v>103</v>
      </c>
      <c r="C8" s="19" t="s">
        <v>3421</v>
      </c>
      <c r="D8" s="68" t="str">
        <f>IFERROR(__xludf.DUMMYFUNCTION("GOOGLETRANSLATE(C8,""zh_CN"", ""en"")"),"American 240V split phase")</f>
        <v>American 240V split phase</v>
      </c>
      <c r="E8" s="68"/>
      <c r="F8" s="68"/>
      <c r="G8" s="68"/>
      <c r="H8" s="68"/>
      <c r="I8" s="68"/>
      <c r="J8" s="68"/>
      <c r="K8" s="68"/>
      <c r="L8" s="68"/>
      <c r="M8" s="68"/>
      <c r="N8" s="68"/>
      <c r="O8" s="68"/>
      <c r="P8" s="68"/>
      <c r="Q8" s="68"/>
      <c r="R8" s="68"/>
      <c r="S8" s="68"/>
      <c r="T8" s="68"/>
      <c r="U8" s="68"/>
      <c r="V8" s="68"/>
      <c r="W8" s="68"/>
      <c r="X8" s="68"/>
      <c r="Y8" s="68"/>
      <c r="Z8" s="68"/>
    </row>
    <row r="9" ht="13.5" customHeight="1">
      <c r="A9" s="14" t="s">
        <v>3422</v>
      </c>
      <c r="B9" s="205" t="s">
        <v>3423</v>
      </c>
      <c r="C9" s="19" t="s">
        <v>3424</v>
      </c>
      <c r="D9" s="68" t="str">
        <f>IFERROR(__xludf.DUMMYFUNCTION("GOOGLETRANSLATE(C9,""zh_CN"", ""en"")"),"American 208V single phase")</f>
        <v>American 208V single phase</v>
      </c>
      <c r="E9" s="68"/>
      <c r="F9" s="68"/>
      <c r="G9" s="68"/>
      <c r="H9" s="68"/>
      <c r="I9" s="68"/>
      <c r="J9" s="68"/>
      <c r="K9" s="68"/>
      <c r="L9" s="68"/>
      <c r="M9" s="68"/>
      <c r="N9" s="68"/>
      <c r="O9" s="68"/>
      <c r="P9" s="68"/>
      <c r="Q9" s="68"/>
      <c r="R9" s="68"/>
      <c r="S9" s="68"/>
      <c r="T9" s="68"/>
      <c r="U9" s="68"/>
      <c r="V9" s="68"/>
      <c r="W9" s="68"/>
      <c r="X9" s="68"/>
      <c r="Y9" s="68"/>
      <c r="Z9" s="68"/>
    </row>
    <row r="10" ht="13.5" customHeight="1">
      <c r="A10" s="14" t="s">
        <v>3425</v>
      </c>
      <c r="B10" s="205" t="s">
        <v>3426</v>
      </c>
      <c r="C10" s="19" t="s">
        <v>3427</v>
      </c>
      <c r="D10" s="68" t="str">
        <f>IFERROR(__xludf.DUMMYFUNCTION("GOOGLETRANSLATE(C10,""zh_CN"", ""en"")"),"American 208V split phase")</f>
        <v>American 208V split phase</v>
      </c>
      <c r="E10" s="68"/>
      <c r="F10" s="68"/>
      <c r="G10" s="68"/>
      <c r="H10" s="68"/>
      <c r="I10" s="68"/>
      <c r="J10" s="68"/>
      <c r="K10" s="68"/>
      <c r="L10" s="68"/>
      <c r="M10" s="68"/>
      <c r="N10" s="68"/>
      <c r="O10" s="68"/>
      <c r="P10" s="68"/>
      <c r="Q10" s="68"/>
      <c r="R10" s="68"/>
      <c r="S10" s="68"/>
      <c r="T10" s="68"/>
      <c r="U10" s="68"/>
      <c r="V10" s="68"/>
      <c r="W10" s="68"/>
      <c r="X10" s="68"/>
      <c r="Y10" s="68"/>
      <c r="Z10" s="68"/>
    </row>
    <row r="11" ht="13.5" customHeight="1">
      <c r="A11" s="19" t="s">
        <v>3428</v>
      </c>
      <c r="B11" s="205" t="s">
        <v>3429</v>
      </c>
      <c r="C11" s="19" t="s">
        <v>3430</v>
      </c>
      <c r="D11" s="68" t="str">
        <f>IFERROR(__xludf.DUMMYFUNCTION("GOOGLETRANSLATE(C11,""zh_CN"", ""en"")"),"Australia")</f>
        <v>Australia</v>
      </c>
      <c r="E11" s="68"/>
      <c r="F11" s="68"/>
      <c r="G11" s="68"/>
      <c r="H11" s="68"/>
      <c r="I11" s="68"/>
      <c r="J11" s="68"/>
      <c r="K11" s="68"/>
      <c r="L11" s="68"/>
      <c r="M11" s="68"/>
      <c r="N11" s="68"/>
      <c r="O11" s="68"/>
      <c r="P11" s="68"/>
      <c r="Q11" s="68"/>
      <c r="R11" s="68"/>
      <c r="S11" s="68"/>
      <c r="T11" s="68"/>
      <c r="U11" s="68"/>
      <c r="V11" s="68"/>
      <c r="W11" s="68"/>
      <c r="X11" s="68"/>
      <c r="Y11" s="68"/>
      <c r="Z11" s="68"/>
    </row>
    <row r="12" ht="13.5" customHeight="1">
      <c r="A12" s="14" t="s">
        <v>3431</v>
      </c>
      <c r="B12" s="205" t="s">
        <v>3432</v>
      </c>
      <c r="C12" s="19" t="s">
        <v>3433</v>
      </c>
      <c r="D12" s="68" t="str">
        <f>IFERROR(__xludf.DUMMYFUNCTION("GOOGLETRANSLATE(C12,""zh_CN"", ""en"")"),"British G83 standard")</f>
        <v>British G83 standard</v>
      </c>
      <c r="E12" s="68"/>
      <c r="F12" s="68"/>
      <c r="G12" s="68"/>
      <c r="H12" s="68"/>
      <c r="I12" s="68"/>
      <c r="J12" s="68"/>
      <c r="K12" s="68"/>
      <c r="L12" s="68"/>
      <c r="M12" s="68"/>
      <c r="N12" s="68"/>
      <c r="O12" s="68"/>
      <c r="P12" s="68"/>
      <c r="Q12" s="68"/>
      <c r="R12" s="68"/>
      <c r="S12" s="68"/>
      <c r="T12" s="68"/>
      <c r="U12" s="68"/>
      <c r="V12" s="68"/>
      <c r="W12" s="68"/>
      <c r="X12" s="68"/>
      <c r="Y12" s="68"/>
      <c r="Z12" s="68"/>
    </row>
    <row r="13" ht="13.5" customHeight="1">
      <c r="A13" s="14" t="s">
        <v>3434</v>
      </c>
      <c r="B13" s="205" t="s">
        <v>3435</v>
      </c>
      <c r="C13" s="19" t="s">
        <v>3436</v>
      </c>
      <c r="D13" s="68" t="str">
        <f>IFERROR(__xludf.DUMMYFUNCTION("GOOGLETRANSLATE(C13,""zh_CN"", ""en"")"),"British G59 standard")</f>
        <v>British G59 standard</v>
      </c>
      <c r="E13" s="68"/>
      <c r="F13" s="68"/>
      <c r="G13" s="68"/>
      <c r="H13" s="68"/>
      <c r="I13" s="68"/>
      <c r="J13" s="68"/>
      <c r="K13" s="68"/>
      <c r="L13" s="68"/>
      <c r="M13" s="68"/>
      <c r="N13" s="68"/>
      <c r="O13" s="68"/>
      <c r="P13" s="68"/>
      <c r="Q13" s="68"/>
      <c r="R13" s="68"/>
      <c r="S13" s="68"/>
      <c r="T13" s="68"/>
      <c r="U13" s="68"/>
      <c r="V13" s="68"/>
      <c r="W13" s="68"/>
      <c r="X13" s="68"/>
      <c r="Y13" s="68"/>
      <c r="Z13" s="68"/>
    </row>
    <row r="14" ht="13.5" customHeight="1">
      <c r="A14" s="14" t="s">
        <v>3437</v>
      </c>
      <c r="B14" s="205" t="s">
        <v>3438</v>
      </c>
      <c r="C14" s="19" t="s">
        <v>3439</v>
      </c>
      <c r="D14" s="68" t="str">
        <f>IFERROR(__xludf.DUMMYFUNCTION("GOOGLETRANSLATE(C14,""zh_CN"", ""en"")"),"German low voltage power grid")</f>
        <v>German low voltage power grid</v>
      </c>
      <c r="E14" s="68"/>
      <c r="F14" s="68"/>
      <c r="G14" s="68"/>
      <c r="H14" s="68"/>
      <c r="I14" s="68"/>
      <c r="J14" s="68"/>
      <c r="K14" s="68"/>
      <c r="L14" s="68"/>
      <c r="M14" s="68"/>
      <c r="N14" s="68"/>
      <c r="O14" s="68"/>
      <c r="P14" s="68"/>
      <c r="Q14" s="68"/>
      <c r="R14" s="68"/>
      <c r="S14" s="68"/>
      <c r="T14" s="68"/>
      <c r="U14" s="68"/>
      <c r="V14" s="68"/>
      <c r="W14" s="68"/>
      <c r="X14" s="68"/>
      <c r="Y14" s="68"/>
      <c r="Z14" s="68"/>
    </row>
    <row r="15" ht="13.5" customHeight="1">
      <c r="A15" s="14" t="s">
        <v>3440</v>
      </c>
      <c r="B15" s="205" t="s">
        <v>3441</v>
      </c>
      <c r="C15" s="19" t="s">
        <v>3442</v>
      </c>
      <c r="D15" s="68" t="str">
        <f>IFERROR(__xludf.DUMMYFUNCTION("GOOGLETRANSLATE(C15,""zh_CN"", ""en"")"),"German medium voltage power grid")</f>
        <v>German medium voltage power grid</v>
      </c>
      <c r="E15" s="68"/>
      <c r="F15" s="68"/>
      <c r="G15" s="68"/>
      <c r="H15" s="68"/>
      <c r="I15" s="68"/>
      <c r="J15" s="68"/>
      <c r="K15" s="68"/>
      <c r="L15" s="68"/>
      <c r="M15" s="68"/>
      <c r="N15" s="68"/>
      <c r="O15" s="68"/>
      <c r="P15" s="68"/>
      <c r="Q15" s="68"/>
      <c r="R15" s="68"/>
      <c r="S15" s="68"/>
      <c r="T15" s="68"/>
      <c r="U15" s="68"/>
      <c r="V15" s="68"/>
      <c r="W15" s="68"/>
      <c r="X15" s="68"/>
      <c r="Y15" s="68"/>
      <c r="Z15" s="68"/>
    </row>
    <row r="16" ht="13.5" customHeight="1">
      <c r="A16" s="14" t="s">
        <v>3443</v>
      </c>
      <c r="B16" s="205" t="s">
        <v>3444</v>
      </c>
      <c r="C16" s="19" t="s">
        <v>3445</v>
      </c>
      <c r="D16" s="68" t="str">
        <f>IFERROR(__xludf.DUMMYFUNCTION("GOOGLETRANSLATE(C16,""zh_CN"", ""en"")"),"France")</f>
        <v>France</v>
      </c>
      <c r="E16" s="68"/>
      <c r="F16" s="68"/>
      <c r="G16" s="68"/>
      <c r="H16" s="68"/>
      <c r="I16" s="68"/>
      <c r="J16" s="68"/>
      <c r="K16" s="68"/>
      <c r="L16" s="68"/>
      <c r="M16" s="68"/>
      <c r="N16" s="68"/>
      <c r="O16" s="68"/>
      <c r="P16" s="68"/>
      <c r="Q16" s="68"/>
      <c r="R16" s="68"/>
      <c r="S16" s="68"/>
      <c r="T16" s="68"/>
      <c r="U16" s="68"/>
      <c r="V16" s="68"/>
      <c r="W16" s="68"/>
      <c r="X16" s="68"/>
      <c r="Y16" s="68"/>
      <c r="Z16" s="68"/>
    </row>
    <row r="17" ht="13.5" customHeight="1">
      <c r="A17" s="14" t="s">
        <v>3446</v>
      </c>
      <c r="B17" s="205" t="s">
        <v>127</v>
      </c>
      <c r="C17" s="19" t="s">
        <v>3447</v>
      </c>
      <c r="D17" s="68" t="str">
        <f>IFERROR(__xludf.DUMMYFUNCTION("GOOGLETRANSLATE(C17,""zh_CN"", ""en"")"),"French 50Hz Island")</f>
        <v>French 50Hz Island</v>
      </c>
      <c r="E17" s="68"/>
      <c r="F17" s="68"/>
      <c r="G17" s="68"/>
      <c r="H17" s="68"/>
      <c r="I17" s="68"/>
      <c r="J17" s="68"/>
      <c r="K17" s="68"/>
      <c r="L17" s="68"/>
      <c r="M17" s="68"/>
      <c r="N17" s="68"/>
      <c r="O17" s="68"/>
      <c r="P17" s="68"/>
      <c r="Q17" s="68"/>
      <c r="R17" s="68"/>
      <c r="S17" s="68"/>
      <c r="T17" s="68"/>
      <c r="U17" s="68"/>
      <c r="V17" s="68"/>
      <c r="W17" s="68"/>
      <c r="X17" s="68"/>
      <c r="Y17" s="68"/>
      <c r="Z17" s="68"/>
    </row>
    <row r="18" ht="13.5" customHeight="1">
      <c r="A18" s="14" t="s">
        <v>3448</v>
      </c>
      <c r="B18" s="205" t="s">
        <v>3449</v>
      </c>
      <c r="C18" s="19" t="s">
        <v>3450</v>
      </c>
      <c r="D18" s="68" t="str">
        <f>IFERROR(__xludf.DUMMYFUNCTION("GOOGLETRANSLATE(C18,""zh_CN"", ""en"")"),"French 60Hz Island")</f>
        <v>French 60Hz Island</v>
      </c>
      <c r="E18" s="68"/>
      <c r="F18" s="68"/>
      <c r="G18" s="68"/>
      <c r="H18" s="68"/>
      <c r="I18" s="68"/>
      <c r="J18" s="68"/>
      <c r="K18" s="68"/>
      <c r="L18" s="68"/>
      <c r="M18" s="68"/>
      <c r="N18" s="68"/>
      <c r="O18" s="68"/>
      <c r="P18" s="68"/>
      <c r="Q18" s="68"/>
      <c r="R18" s="68"/>
      <c r="S18" s="68"/>
      <c r="T18" s="68"/>
      <c r="U18" s="68"/>
      <c r="V18" s="68"/>
      <c r="W18" s="68"/>
      <c r="X18" s="68"/>
      <c r="Y18" s="68"/>
      <c r="Z18" s="68"/>
    </row>
    <row r="19" ht="13.5" customHeight="1">
      <c r="A19" s="14" t="s">
        <v>3451</v>
      </c>
      <c r="B19" s="205" t="s">
        <v>3452</v>
      </c>
      <c r="C19" s="19" t="s">
        <v>3453</v>
      </c>
      <c r="D19" s="68" t="str">
        <f>IFERROR(__xludf.DUMMYFUNCTION("GOOGLETRANSLATE(C19,""zh_CN"", ""en"")"),"Poland")</f>
        <v>Poland</v>
      </c>
      <c r="E19" s="68"/>
      <c r="F19" s="68"/>
      <c r="G19" s="68"/>
      <c r="H19" s="68"/>
      <c r="I19" s="68"/>
      <c r="J19" s="68"/>
      <c r="K19" s="68"/>
      <c r="L19" s="68"/>
      <c r="M19" s="68"/>
      <c r="N19" s="68"/>
      <c r="O19" s="68"/>
      <c r="P19" s="68"/>
      <c r="Q19" s="68"/>
      <c r="R19" s="68"/>
      <c r="S19" s="68"/>
      <c r="T19" s="68"/>
      <c r="U19" s="68"/>
      <c r="V19" s="68"/>
      <c r="W19" s="68"/>
      <c r="X19" s="68"/>
      <c r="Y19" s="68"/>
      <c r="Z19" s="68"/>
    </row>
    <row r="20" ht="13.5" customHeight="1">
      <c r="A20" s="19" t="s">
        <v>3454</v>
      </c>
      <c r="B20" s="205" t="s">
        <v>3455</v>
      </c>
      <c r="C20" s="19" t="s">
        <v>3456</v>
      </c>
      <c r="D20" s="68" t="str">
        <f>IFERROR(__xludf.DUMMYFUNCTION("GOOGLETRANSLATE(C20,""zh_CN"", ""en"")"),"Italy")</f>
        <v>Italy</v>
      </c>
      <c r="E20" s="68"/>
      <c r="F20" s="68"/>
      <c r="G20" s="68"/>
      <c r="H20" s="68"/>
      <c r="I20" s="68"/>
      <c r="J20" s="68"/>
      <c r="K20" s="68"/>
      <c r="L20" s="68"/>
      <c r="M20" s="68"/>
      <c r="N20" s="68"/>
      <c r="O20" s="68"/>
      <c r="P20" s="68"/>
      <c r="Q20" s="68"/>
      <c r="R20" s="68"/>
      <c r="S20" s="68"/>
      <c r="T20" s="68"/>
      <c r="U20" s="68"/>
      <c r="V20" s="68"/>
      <c r="W20" s="68"/>
      <c r="X20" s="68"/>
      <c r="Y20" s="68"/>
      <c r="Z20" s="68"/>
    </row>
    <row r="21" ht="13.5" customHeight="1">
      <c r="A21" s="14" t="s">
        <v>3457</v>
      </c>
      <c r="B21" s="205" t="s">
        <v>3458</v>
      </c>
      <c r="C21" s="19" t="s">
        <v>3459</v>
      </c>
      <c r="D21" s="68" t="str">
        <f>IFERROR(__xludf.DUMMYFUNCTION("GOOGLETRANSLATE(C21,""zh_CN"", ""en"")"),"Thailand ME region")</f>
        <v>Thailand ME region</v>
      </c>
      <c r="E21" s="68"/>
      <c r="F21" s="68"/>
      <c r="G21" s="68"/>
      <c r="H21" s="68"/>
      <c r="I21" s="68"/>
      <c r="J21" s="68"/>
      <c r="K21" s="68"/>
      <c r="L21" s="68"/>
      <c r="M21" s="68"/>
      <c r="N21" s="68"/>
      <c r="O21" s="68"/>
      <c r="P21" s="68"/>
      <c r="Q21" s="68"/>
      <c r="R21" s="68"/>
      <c r="S21" s="68"/>
      <c r="T21" s="68"/>
      <c r="U21" s="68"/>
      <c r="V21" s="68"/>
      <c r="W21" s="68"/>
      <c r="X21" s="68"/>
      <c r="Y21" s="68"/>
      <c r="Z21" s="68"/>
    </row>
    <row r="22" ht="13.5" customHeight="1">
      <c r="A22" s="14" t="s">
        <v>3460</v>
      </c>
      <c r="B22" s="205" t="s">
        <v>136</v>
      </c>
      <c r="C22" s="19" t="s">
        <v>3461</v>
      </c>
      <c r="D22" s="68" t="str">
        <f>IFERROR(__xludf.DUMMYFUNCTION("GOOGLETRANSLATE(C22,""zh_CN"", ""en"")"),"Thailand PE region")</f>
        <v>Thailand PE region</v>
      </c>
      <c r="E22" s="68"/>
      <c r="F22" s="68"/>
      <c r="G22" s="68"/>
      <c r="H22" s="68"/>
      <c r="I22" s="68"/>
      <c r="J22" s="68"/>
      <c r="K22" s="68"/>
      <c r="L22" s="68"/>
      <c r="M22" s="68"/>
      <c r="N22" s="68"/>
      <c r="O22" s="68"/>
      <c r="P22" s="68"/>
      <c r="Q22" s="68"/>
      <c r="R22" s="68"/>
      <c r="S22" s="68"/>
      <c r="T22" s="68"/>
      <c r="U22" s="68"/>
      <c r="V22" s="68"/>
      <c r="W22" s="68"/>
      <c r="X22" s="68"/>
      <c r="Y22" s="68"/>
      <c r="Z22" s="68"/>
    </row>
    <row r="23" ht="13.5" customHeight="1">
      <c r="A23" s="14" t="s">
        <v>3462</v>
      </c>
      <c r="B23" s="205" t="s">
        <v>3463</v>
      </c>
      <c r="C23" s="19" t="s">
        <v>3464</v>
      </c>
      <c r="D23" s="68" t="str">
        <f>IFERROR(__xludf.DUMMYFUNCTION("GOOGLETRANSLATE(C23,""zh_CN"", ""en"")"),"India")</f>
        <v>India</v>
      </c>
      <c r="E23" s="68"/>
      <c r="F23" s="68"/>
      <c r="G23" s="68"/>
      <c r="H23" s="68"/>
      <c r="I23" s="68"/>
      <c r="J23" s="68"/>
      <c r="K23" s="68"/>
      <c r="L23" s="68"/>
      <c r="M23" s="68"/>
      <c r="N23" s="68"/>
      <c r="O23" s="68"/>
      <c r="P23" s="68"/>
      <c r="Q23" s="68"/>
      <c r="R23" s="68"/>
      <c r="S23" s="68"/>
      <c r="T23" s="68"/>
      <c r="U23" s="68"/>
      <c r="V23" s="68"/>
      <c r="W23" s="68"/>
      <c r="X23" s="68"/>
      <c r="Y23" s="68"/>
      <c r="Z23" s="68"/>
    </row>
    <row r="24" ht="13.5" customHeight="1">
      <c r="A24" s="14" t="s">
        <v>3465</v>
      </c>
      <c r="B24" s="205" t="s">
        <v>3466</v>
      </c>
      <c r="C24" s="19" t="s">
        <v>3467</v>
      </c>
      <c r="D24" s="68" t="str">
        <f>IFERROR(__xludf.DUMMYFUNCTION("GOOGLETRANSLATE(C24,""zh_CN"", ""en"")"),"South Korea")</f>
        <v>South Korea</v>
      </c>
      <c r="E24" s="68"/>
      <c r="F24" s="68"/>
      <c r="G24" s="68"/>
      <c r="H24" s="68"/>
      <c r="I24" s="68"/>
      <c r="J24" s="68"/>
      <c r="K24" s="68"/>
      <c r="L24" s="68"/>
      <c r="M24" s="68"/>
      <c r="N24" s="68"/>
      <c r="O24" s="68"/>
      <c r="P24" s="68"/>
      <c r="Q24" s="68"/>
      <c r="R24" s="68"/>
      <c r="S24" s="68"/>
      <c r="T24" s="68"/>
      <c r="U24" s="68"/>
      <c r="V24" s="68"/>
      <c r="W24" s="68"/>
      <c r="X24" s="68"/>
      <c r="Y24" s="68"/>
      <c r="Z24" s="68"/>
    </row>
    <row r="25" ht="13.5" customHeight="1">
      <c r="A25" s="14" t="s">
        <v>3468</v>
      </c>
      <c r="B25" s="205" t="s">
        <v>3469</v>
      </c>
      <c r="C25" s="19" t="s">
        <v>3470</v>
      </c>
      <c r="D25" s="68" t="str">
        <f>IFERROR(__xludf.DUMMYFUNCTION("GOOGLETRANSLATE(C25,""zh_CN"", ""en"")"),"the Philippines")</f>
        <v>the Philippines</v>
      </c>
      <c r="E25" s="68"/>
      <c r="F25" s="68"/>
      <c r="G25" s="68"/>
      <c r="H25" s="68"/>
      <c r="I25" s="68"/>
      <c r="J25" s="68"/>
      <c r="K25" s="68"/>
      <c r="L25" s="68"/>
      <c r="M25" s="68"/>
      <c r="N25" s="68"/>
      <c r="O25" s="68"/>
      <c r="P25" s="68"/>
      <c r="Q25" s="68"/>
      <c r="R25" s="68"/>
      <c r="S25" s="68"/>
      <c r="T25" s="68"/>
      <c r="U25" s="68"/>
      <c r="V25" s="68"/>
      <c r="W25" s="68"/>
      <c r="X25" s="68"/>
      <c r="Y25" s="68"/>
      <c r="Z25" s="68"/>
    </row>
    <row r="26" ht="13.5" customHeight="1">
      <c r="A26" s="14" t="s">
        <v>3471</v>
      </c>
      <c r="B26" s="205" t="s">
        <v>3472</v>
      </c>
      <c r="C26" s="19" t="s">
        <v>3473</v>
      </c>
      <c r="D26" s="68" t="str">
        <f>IFERROR(__xludf.DUMMYFUNCTION("GOOGLETRANSLATE(C26,""zh_CN"", ""en"")"),"North Korea")</f>
        <v>North Korea</v>
      </c>
      <c r="E26" s="68"/>
      <c r="F26" s="68"/>
      <c r="G26" s="68"/>
      <c r="H26" s="68"/>
      <c r="I26" s="68"/>
      <c r="J26" s="68"/>
      <c r="K26" s="68"/>
      <c r="L26" s="68"/>
      <c r="M26" s="68"/>
      <c r="N26" s="68"/>
      <c r="O26" s="68"/>
      <c r="P26" s="68"/>
      <c r="Q26" s="68"/>
      <c r="R26" s="68"/>
      <c r="S26" s="68"/>
      <c r="T26" s="68"/>
      <c r="U26" s="68"/>
      <c r="V26" s="68"/>
      <c r="W26" s="68"/>
      <c r="X26" s="68"/>
      <c r="Y26" s="68"/>
      <c r="Z26" s="68"/>
    </row>
    <row r="27" ht="13.5" customHeight="1">
      <c r="A27" s="14" t="s">
        <v>3474</v>
      </c>
      <c r="B27" s="205" t="s">
        <v>146</v>
      </c>
      <c r="C27" s="19" t="s">
        <v>3475</v>
      </c>
      <c r="D27" s="68" t="str">
        <f>IFERROR(__xludf.DUMMYFUNCTION("GOOGLETRANSLATE(C27,""zh_CN"", ""en"")"),"Malaysia")</f>
        <v>Malaysia</v>
      </c>
      <c r="E27" s="68"/>
      <c r="F27" s="68"/>
      <c r="G27" s="68"/>
      <c r="H27" s="68"/>
      <c r="I27" s="68"/>
      <c r="J27" s="68"/>
      <c r="K27" s="68"/>
      <c r="L27" s="68"/>
      <c r="M27" s="68"/>
      <c r="N27" s="68"/>
      <c r="O27" s="68"/>
      <c r="P27" s="68"/>
      <c r="Q27" s="68"/>
      <c r="R27" s="68"/>
      <c r="S27" s="68"/>
      <c r="T27" s="68"/>
      <c r="U27" s="68"/>
      <c r="V27" s="68"/>
      <c r="W27" s="68"/>
      <c r="X27" s="68"/>
      <c r="Y27" s="68"/>
      <c r="Z27" s="68"/>
    </row>
    <row r="28" ht="13.5" customHeight="1">
      <c r="A28" s="14" t="s">
        <v>3476</v>
      </c>
      <c r="B28" s="205" t="s">
        <v>3477</v>
      </c>
      <c r="C28" s="19" t="s">
        <v>3478</v>
      </c>
      <c r="D28" s="68" t="str">
        <f>IFERROR(__xludf.DUMMYFUNCTION("GOOGLETRANSLATE(C28,""zh_CN"", ""en"")"),"Cyprus")</f>
        <v>Cyprus</v>
      </c>
      <c r="E28" s="68"/>
      <c r="F28" s="68"/>
      <c r="G28" s="68"/>
      <c r="H28" s="68"/>
      <c r="I28" s="68"/>
      <c r="J28" s="68"/>
      <c r="K28" s="68"/>
      <c r="L28" s="68"/>
      <c r="M28" s="68"/>
      <c r="N28" s="68"/>
      <c r="O28" s="68"/>
      <c r="P28" s="68"/>
      <c r="Q28" s="68"/>
      <c r="R28" s="68"/>
      <c r="S28" s="68"/>
      <c r="T28" s="68"/>
      <c r="U28" s="68"/>
      <c r="V28" s="68"/>
      <c r="W28" s="68"/>
      <c r="X28" s="68"/>
      <c r="Y28" s="68"/>
      <c r="Z28" s="68"/>
    </row>
    <row r="29" ht="13.5" customHeight="1">
      <c r="A29" s="14" t="s">
        <v>3479</v>
      </c>
      <c r="B29" s="205" t="s">
        <v>3480</v>
      </c>
      <c r="C29" s="19" t="s">
        <v>3481</v>
      </c>
      <c r="D29" s="68" t="str">
        <f>IFERROR(__xludf.DUMMYFUNCTION("GOOGLETRANSLATE(C29,""zh_CN"", ""en"")"),"Netherlands")</f>
        <v>Netherlands</v>
      </c>
      <c r="E29" s="68"/>
      <c r="F29" s="68"/>
      <c r="G29" s="68"/>
      <c r="H29" s="68"/>
      <c r="I29" s="68"/>
      <c r="J29" s="68"/>
      <c r="K29" s="68"/>
      <c r="L29" s="68"/>
      <c r="M29" s="68"/>
      <c r="N29" s="68"/>
      <c r="O29" s="68"/>
      <c r="P29" s="68"/>
      <c r="Q29" s="68"/>
      <c r="R29" s="68"/>
      <c r="S29" s="68"/>
      <c r="T29" s="68"/>
      <c r="U29" s="68"/>
      <c r="V29" s="68"/>
      <c r="W29" s="68"/>
      <c r="X29" s="68"/>
      <c r="Y29" s="68"/>
      <c r="Z29" s="68"/>
    </row>
    <row r="30" ht="13.5" customHeight="1">
      <c r="A30" s="14" t="s">
        <v>3482</v>
      </c>
      <c r="B30" s="205" t="s">
        <v>3483</v>
      </c>
      <c r="C30" s="19" t="s">
        <v>3484</v>
      </c>
      <c r="D30" s="68" t="str">
        <f>IFERROR(__xludf.DUMMYFUNCTION("GOOGLETRANSLATE(C30,""zh_CN"", ""en"")"),"Netherlands restricts 16A grid connection")</f>
        <v>Netherlands restricts 16A grid connection</v>
      </c>
      <c r="E30" s="68"/>
      <c r="F30" s="68"/>
      <c r="G30" s="68"/>
      <c r="H30" s="68"/>
      <c r="I30" s="68"/>
      <c r="J30" s="68"/>
      <c r="K30" s="68"/>
      <c r="L30" s="68"/>
      <c r="M30" s="68"/>
      <c r="N30" s="68"/>
      <c r="O30" s="68"/>
      <c r="P30" s="68"/>
      <c r="Q30" s="68"/>
      <c r="R30" s="68"/>
      <c r="S30" s="68"/>
      <c r="T30" s="68"/>
      <c r="U30" s="68"/>
      <c r="V30" s="68"/>
      <c r="W30" s="68"/>
      <c r="X30" s="68"/>
      <c r="Y30" s="68"/>
      <c r="Z30" s="68"/>
    </row>
    <row r="31" ht="13.5" customHeight="1">
      <c r="A31" s="14" t="s">
        <v>3485</v>
      </c>
      <c r="B31" s="205" t="s">
        <v>3486</v>
      </c>
      <c r="C31" s="19" t="s">
        <v>3487</v>
      </c>
      <c r="D31" s="68" t="str">
        <f>IFERROR(__xludf.DUMMYFUNCTION("GOOGLETRANSLATE(C31,""zh_CN"", ""en"")"),"Spain")</f>
        <v>Spain</v>
      </c>
      <c r="E31" s="68"/>
      <c r="F31" s="68"/>
      <c r="G31" s="68"/>
      <c r="H31" s="68"/>
      <c r="I31" s="68"/>
      <c r="J31" s="68"/>
      <c r="K31" s="68"/>
      <c r="L31" s="68"/>
      <c r="M31" s="68"/>
      <c r="N31" s="68"/>
      <c r="O31" s="68"/>
      <c r="P31" s="68"/>
      <c r="Q31" s="68"/>
      <c r="R31" s="68"/>
      <c r="S31" s="68"/>
      <c r="T31" s="68"/>
      <c r="U31" s="68"/>
      <c r="V31" s="68"/>
      <c r="W31" s="68"/>
      <c r="X31" s="68"/>
      <c r="Y31" s="68"/>
      <c r="Z31" s="68"/>
    </row>
    <row r="32" ht="13.5" customHeight="1">
      <c r="A32" s="14" t="s">
        <v>3488</v>
      </c>
      <c r="B32" s="205" t="s">
        <v>154</v>
      </c>
      <c r="C32" s="19" t="s">
        <v>3489</v>
      </c>
      <c r="D32" s="68" t="str">
        <f>IFERROR(__xludf.DUMMYFUNCTION("GOOGLETRANSLATE(C32,""zh_CN"", ""en"")"),"Greece")</f>
        <v>Greece</v>
      </c>
      <c r="E32" s="68"/>
      <c r="F32" s="68"/>
      <c r="G32" s="68"/>
      <c r="H32" s="68"/>
      <c r="I32" s="68"/>
      <c r="J32" s="68"/>
      <c r="K32" s="68"/>
      <c r="L32" s="68"/>
      <c r="M32" s="68"/>
      <c r="N32" s="68"/>
      <c r="O32" s="68"/>
      <c r="P32" s="68"/>
      <c r="Q32" s="68"/>
      <c r="R32" s="68"/>
      <c r="S32" s="68"/>
      <c r="T32" s="68"/>
      <c r="U32" s="68"/>
      <c r="V32" s="68"/>
      <c r="W32" s="68"/>
      <c r="X32" s="68"/>
      <c r="Y32" s="68"/>
      <c r="Z32" s="68"/>
    </row>
    <row r="33" ht="13.5" customHeight="1">
      <c r="A33" s="14" t="s">
        <v>3490</v>
      </c>
      <c r="B33" s="205" t="s">
        <v>3491</v>
      </c>
      <c r="C33" s="19" t="s">
        <v>3492</v>
      </c>
      <c r="D33" s="68" t="str">
        <f>IFERROR(__xludf.DUMMYFUNCTION("GOOGLETRANSLATE(C33,""zh_CN"", ""en"")"),"greek islands")</f>
        <v>greek islands</v>
      </c>
      <c r="E33" s="68"/>
      <c r="F33" s="68"/>
      <c r="G33" s="68"/>
      <c r="H33" s="68"/>
      <c r="I33" s="68"/>
      <c r="J33" s="68"/>
      <c r="K33" s="68"/>
      <c r="L33" s="68"/>
      <c r="M33" s="68"/>
      <c r="N33" s="68"/>
      <c r="O33" s="68"/>
      <c r="P33" s="68"/>
      <c r="Q33" s="68"/>
      <c r="R33" s="68"/>
      <c r="S33" s="68"/>
      <c r="T33" s="68"/>
      <c r="U33" s="68"/>
      <c r="V33" s="68"/>
      <c r="W33" s="68"/>
      <c r="X33" s="68"/>
      <c r="Y33" s="68"/>
      <c r="Z33" s="68"/>
    </row>
    <row r="34" ht="13.5" customHeight="1">
      <c r="A34" s="14" t="s">
        <v>3493</v>
      </c>
      <c r="B34" s="205" t="s">
        <v>3494</v>
      </c>
      <c r="C34" s="19" t="s">
        <v>3495</v>
      </c>
      <c r="D34" s="68" t="str">
        <f>IFERROR(__xludf.DUMMYFUNCTION("GOOGLETRANSLATE(C34,""zh_CN"", ""en"")"),"Portugal")</f>
        <v>Portugal</v>
      </c>
      <c r="E34" s="68"/>
      <c r="F34" s="68"/>
      <c r="G34" s="68"/>
      <c r="H34" s="68"/>
      <c r="I34" s="68"/>
      <c r="J34" s="68"/>
      <c r="K34" s="68"/>
      <c r="L34" s="68"/>
      <c r="M34" s="68"/>
      <c r="N34" s="68"/>
      <c r="O34" s="68"/>
      <c r="P34" s="68"/>
      <c r="Q34" s="68"/>
      <c r="R34" s="68"/>
      <c r="S34" s="68"/>
      <c r="T34" s="68"/>
      <c r="U34" s="68"/>
      <c r="V34" s="68"/>
      <c r="W34" s="68"/>
      <c r="X34" s="68"/>
      <c r="Y34" s="68"/>
      <c r="Z34" s="68"/>
    </row>
    <row r="35" ht="13.5" customHeight="1">
      <c r="A35" s="14" t="s">
        <v>3496</v>
      </c>
      <c r="B35" s="205" t="s">
        <v>3497</v>
      </c>
      <c r="C35" s="19" t="s">
        <v>3498</v>
      </c>
      <c r="D35" s="68" t="str">
        <f>IFERROR(__xludf.DUMMYFUNCTION("GOOGLETRANSLATE(C35,""zh_CN"", ""en"")"),"Belgium")</f>
        <v>Belgium</v>
      </c>
      <c r="E35" s="68"/>
      <c r="F35" s="68"/>
      <c r="G35" s="68"/>
      <c r="H35" s="68"/>
      <c r="I35" s="68"/>
      <c r="J35" s="68"/>
      <c r="K35" s="68"/>
      <c r="L35" s="68"/>
      <c r="M35" s="68"/>
      <c r="N35" s="68"/>
      <c r="O35" s="68"/>
      <c r="P35" s="68"/>
      <c r="Q35" s="68"/>
      <c r="R35" s="68"/>
      <c r="S35" s="68"/>
      <c r="T35" s="68"/>
      <c r="U35" s="68"/>
      <c r="V35" s="68"/>
      <c r="W35" s="68"/>
      <c r="X35" s="68"/>
      <c r="Y35" s="68"/>
      <c r="Z35" s="68"/>
    </row>
    <row r="36" ht="13.5" customHeight="1">
      <c r="A36" s="14" t="s">
        <v>3499</v>
      </c>
      <c r="B36" s="205" t="s">
        <v>3500</v>
      </c>
      <c r="C36" s="19" t="s">
        <v>3501</v>
      </c>
      <c r="D36" s="68" t="str">
        <f>IFERROR(__xludf.DUMMYFUNCTION("GOOGLETRANSLATE(C36,""zh_CN"", ""en"")"),"Denmark")</f>
        <v>Denmark</v>
      </c>
      <c r="E36" s="68"/>
      <c r="F36" s="68"/>
      <c r="G36" s="68"/>
      <c r="H36" s="68"/>
      <c r="I36" s="68"/>
      <c r="J36" s="68"/>
      <c r="K36" s="68"/>
      <c r="L36" s="68"/>
      <c r="M36" s="68"/>
      <c r="N36" s="68"/>
      <c r="O36" s="68"/>
      <c r="P36" s="68"/>
      <c r="Q36" s="68"/>
      <c r="R36" s="68"/>
      <c r="S36" s="68"/>
      <c r="T36" s="68"/>
      <c r="U36" s="68"/>
      <c r="V36" s="68"/>
      <c r="W36" s="68"/>
      <c r="X36" s="68"/>
      <c r="Y36" s="68"/>
      <c r="Z36" s="68"/>
    </row>
    <row r="37" ht="13.5" customHeight="1">
      <c r="A37" s="14" t="s">
        <v>3502</v>
      </c>
      <c r="B37" s="205" t="s">
        <v>162</v>
      </c>
      <c r="C37" s="19" t="s">
        <v>3503</v>
      </c>
      <c r="D37" s="68" t="str">
        <f>IFERROR(__xludf.DUMMYFUNCTION("GOOGLETRANSLATE(C37,""zh_CN"", ""en"")"),"Denmark restricts 16A grid connection")</f>
        <v>Denmark restricts 16A grid connection</v>
      </c>
      <c r="E37" s="68"/>
      <c r="F37" s="68"/>
      <c r="G37" s="68"/>
      <c r="H37" s="68"/>
      <c r="I37" s="68"/>
      <c r="J37" s="68"/>
      <c r="K37" s="68"/>
      <c r="L37" s="68"/>
      <c r="M37" s="68"/>
      <c r="N37" s="68"/>
      <c r="O37" s="68"/>
      <c r="P37" s="68"/>
      <c r="Q37" s="68"/>
      <c r="R37" s="68"/>
      <c r="S37" s="68"/>
      <c r="T37" s="68"/>
      <c r="U37" s="68"/>
      <c r="V37" s="68"/>
      <c r="W37" s="68"/>
      <c r="X37" s="68"/>
      <c r="Y37" s="68"/>
      <c r="Z37" s="68"/>
    </row>
    <row r="38" ht="13.5" customHeight="1">
      <c r="A38" s="14" t="s">
        <v>3504</v>
      </c>
      <c r="B38" s="205" t="s">
        <v>3505</v>
      </c>
      <c r="C38" s="19" t="s">
        <v>3506</v>
      </c>
      <c r="D38" s="68" t="str">
        <f>IFERROR(__xludf.DUMMYFUNCTION("GOOGLETRANSLATE(C38,""zh_CN"", ""en"")"),"Czech Republic")</f>
        <v>Czech Republic</v>
      </c>
      <c r="E38" s="68"/>
      <c r="F38" s="68"/>
      <c r="G38" s="68"/>
      <c r="H38" s="68"/>
      <c r="I38" s="68"/>
      <c r="J38" s="68"/>
      <c r="K38" s="68"/>
      <c r="L38" s="68"/>
      <c r="M38" s="68"/>
      <c r="N38" s="68"/>
      <c r="O38" s="68"/>
      <c r="P38" s="68"/>
      <c r="Q38" s="68"/>
      <c r="R38" s="68"/>
      <c r="S38" s="68"/>
      <c r="T38" s="68"/>
      <c r="U38" s="68"/>
      <c r="V38" s="68"/>
      <c r="W38" s="68"/>
      <c r="X38" s="68"/>
      <c r="Y38" s="68"/>
      <c r="Z38" s="68"/>
    </row>
    <row r="39" ht="13.5" customHeight="1">
      <c r="A39" s="14" t="s">
        <v>3507</v>
      </c>
      <c r="B39" s="205" t="s">
        <v>3508</v>
      </c>
      <c r="C39" s="19" t="s">
        <v>3509</v>
      </c>
      <c r="D39" s="68" t="str">
        <f>IFERROR(__xludf.DUMMYFUNCTION("GOOGLETRANSLATE(C39,""zh_CN"", ""en"")"),"Slovakia")</f>
        <v>Slovakia</v>
      </c>
      <c r="E39" s="68"/>
      <c r="F39" s="68"/>
      <c r="G39" s="68"/>
      <c r="H39" s="68"/>
      <c r="I39" s="68"/>
      <c r="J39" s="68"/>
      <c r="K39" s="68"/>
      <c r="L39" s="68"/>
      <c r="M39" s="68"/>
      <c r="N39" s="68"/>
      <c r="O39" s="68"/>
      <c r="P39" s="68"/>
      <c r="Q39" s="68"/>
      <c r="R39" s="68"/>
      <c r="S39" s="68"/>
      <c r="T39" s="68"/>
      <c r="U39" s="68"/>
      <c r="V39" s="68"/>
      <c r="W39" s="68"/>
      <c r="X39" s="68"/>
      <c r="Y39" s="68"/>
      <c r="Z39" s="68"/>
    </row>
    <row r="40" ht="13.5" customHeight="1">
      <c r="A40" s="14" t="s">
        <v>3510</v>
      </c>
      <c r="B40" s="205" t="s">
        <v>3511</v>
      </c>
      <c r="C40" s="19" t="s">
        <v>3512</v>
      </c>
      <c r="D40" s="68" t="str">
        <f>IFERROR(__xludf.DUMMYFUNCTION("GOOGLETRANSLATE(C40,""zh_CN"", ""en"")"),"Sweden")</f>
        <v>Sweden</v>
      </c>
      <c r="E40" s="68"/>
      <c r="F40" s="68"/>
      <c r="G40" s="68"/>
      <c r="H40" s="68"/>
      <c r="I40" s="68"/>
      <c r="J40" s="68"/>
      <c r="K40" s="68"/>
      <c r="L40" s="68"/>
      <c r="M40" s="68"/>
      <c r="N40" s="68"/>
      <c r="O40" s="68"/>
      <c r="P40" s="68"/>
      <c r="Q40" s="68"/>
      <c r="R40" s="68"/>
      <c r="S40" s="68"/>
      <c r="T40" s="68"/>
      <c r="U40" s="68"/>
      <c r="V40" s="68"/>
      <c r="W40" s="68"/>
      <c r="X40" s="68"/>
      <c r="Y40" s="68"/>
      <c r="Z40" s="68"/>
    </row>
    <row r="41" ht="13.5" customHeight="1">
      <c r="A41" s="14" t="s">
        <v>3513</v>
      </c>
      <c r="B41" s="205" t="s">
        <v>3514</v>
      </c>
      <c r="C41" s="19" t="s">
        <v>3515</v>
      </c>
      <c r="D41" s="68" t="str">
        <f>IFERROR(__xludf.DUMMYFUNCTION("GOOGLETRANSLATE(C41,""zh_CN"", ""en"")"),"Austria")</f>
        <v>Austria</v>
      </c>
      <c r="E41" s="68"/>
      <c r="F41" s="68"/>
      <c r="G41" s="68"/>
      <c r="H41" s="68"/>
      <c r="I41" s="68"/>
      <c r="J41" s="68"/>
      <c r="K41" s="68"/>
      <c r="L41" s="68"/>
      <c r="M41" s="68"/>
      <c r="N41" s="68"/>
      <c r="O41" s="68"/>
      <c r="P41" s="68"/>
      <c r="Q41" s="68"/>
      <c r="R41" s="68"/>
      <c r="S41" s="68"/>
      <c r="T41" s="68"/>
      <c r="U41" s="68"/>
      <c r="V41" s="68"/>
      <c r="W41" s="68"/>
      <c r="X41" s="68"/>
      <c r="Y41" s="68"/>
      <c r="Z41" s="68"/>
    </row>
    <row r="42" ht="13.5" customHeight="1">
      <c r="A42" s="14" t="s">
        <v>3516</v>
      </c>
      <c r="B42" s="205" t="s">
        <v>170</v>
      </c>
      <c r="C42" s="19" t="s">
        <v>3517</v>
      </c>
      <c r="D42" s="68" t="str">
        <f>IFERROR(__xludf.DUMMYFUNCTION("GOOGLETRANSLATE(C42,""zh_CN"", ""en"")"),"Bulgaria")</f>
        <v>Bulgaria</v>
      </c>
      <c r="E42" s="68"/>
      <c r="F42" s="68"/>
      <c r="G42" s="68"/>
      <c r="H42" s="68"/>
      <c r="I42" s="68"/>
      <c r="J42" s="68"/>
      <c r="K42" s="68"/>
      <c r="L42" s="68"/>
      <c r="M42" s="68"/>
      <c r="N42" s="68"/>
      <c r="O42" s="68"/>
      <c r="P42" s="68"/>
      <c r="Q42" s="68"/>
      <c r="R42" s="68"/>
      <c r="S42" s="68"/>
      <c r="T42" s="68"/>
      <c r="U42" s="68"/>
      <c r="V42" s="68"/>
      <c r="W42" s="68"/>
      <c r="X42" s="68"/>
      <c r="Y42" s="68"/>
      <c r="Z42" s="68"/>
    </row>
    <row r="43" ht="13.5" customHeight="1">
      <c r="A43" s="14" t="s">
        <v>3518</v>
      </c>
      <c r="B43" s="205" t="s">
        <v>3519</v>
      </c>
      <c r="C43" s="19" t="s">
        <v>3520</v>
      </c>
      <c r="D43" s="68" t="str">
        <f>IFERROR(__xludf.DUMMYFUNCTION("GOOGLETRANSLATE(C43,""zh_CN"", ""en"")"),"Romania")</f>
        <v>Romania</v>
      </c>
      <c r="E43" s="68"/>
      <c r="F43" s="68"/>
      <c r="G43" s="68"/>
      <c r="H43" s="68"/>
      <c r="I43" s="68"/>
      <c r="J43" s="68"/>
      <c r="K43" s="68"/>
      <c r="L43" s="68"/>
      <c r="M43" s="68"/>
      <c r="N43" s="68"/>
      <c r="O43" s="68"/>
      <c r="P43" s="68"/>
      <c r="Q43" s="68"/>
      <c r="R43" s="68"/>
      <c r="S43" s="68"/>
      <c r="T43" s="68"/>
      <c r="U43" s="68"/>
      <c r="V43" s="68"/>
      <c r="W43" s="68"/>
      <c r="X43" s="68"/>
      <c r="Y43" s="68"/>
      <c r="Z43" s="68"/>
    </row>
    <row r="44" ht="13.5" customHeight="1">
      <c r="A44" s="14" t="s">
        <v>3521</v>
      </c>
      <c r="B44" s="205" t="s">
        <v>3522</v>
      </c>
      <c r="C44" s="19" t="s">
        <v>3523</v>
      </c>
      <c r="D44" s="68" t="str">
        <f>IFERROR(__xludf.DUMMYFUNCTION("GOOGLETRANSLATE(C44,""zh_CN"", ""en"")"),"Ukraine")</f>
        <v>Ukraine</v>
      </c>
      <c r="E44" s="68"/>
      <c r="F44" s="68"/>
      <c r="G44" s="68"/>
      <c r="H44" s="68"/>
      <c r="I44" s="68"/>
      <c r="J44" s="68"/>
      <c r="K44" s="68"/>
      <c r="L44" s="68"/>
      <c r="M44" s="68"/>
      <c r="N44" s="68"/>
      <c r="O44" s="68"/>
      <c r="P44" s="68"/>
      <c r="Q44" s="68"/>
      <c r="R44" s="68"/>
      <c r="S44" s="68"/>
      <c r="T44" s="68"/>
      <c r="U44" s="68"/>
      <c r="V44" s="68"/>
      <c r="W44" s="68"/>
      <c r="X44" s="68"/>
      <c r="Y44" s="68"/>
      <c r="Z44" s="68"/>
    </row>
    <row r="45" ht="13.5" customHeight="1">
      <c r="A45" s="14" t="s">
        <v>3524</v>
      </c>
      <c r="B45" s="205" t="s">
        <v>3525</v>
      </c>
      <c r="C45" s="19" t="s">
        <v>3526</v>
      </c>
      <c r="D45" s="68" t="str">
        <f>IFERROR(__xludf.DUMMYFUNCTION("GOOGLETRANSLATE(C45,""zh_CN"", ""en"")"),"South Africa")</f>
        <v>South Africa</v>
      </c>
      <c r="E45" s="68"/>
      <c r="F45" s="68"/>
      <c r="G45" s="68"/>
      <c r="H45" s="68"/>
      <c r="I45" s="68"/>
      <c r="J45" s="68"/>
      <c r="K45" s="68"/>
      <c r="L45" s="68"/>
      <c r="M45" s="68"/>
      <c r="N45" s="68"/>
      <c r="O45" s="68"/>
      <c r="P45" s="68"/>
      <c r="Q45" s="68"/>
      <c r="R45" s="68"/>
      <c r="S45" s="68"/>
      <c r="T45" s="68"/>
      <c r="U45" s="68"/>
      <c r="V45" s="68"/>
      <c r="W45" s="68"/>
      <c r="X45" s="68"/>
      <c r="Y45" s="68"/>
      <c r="Z45" s="68"/>
    </row>
    <row r="46" ht="13.5" customHeight="1">
      <c r="A46" s="14" t="s">
        <v>3527</v>
      </c>
      <c r="B46" s="205" t="s">
        <v>3528</v>
      </c>
      <c r="C46" s="19" t="s">
        <v>3529</v>
      </c>
      <c r="D46" s="68" t="str">
        <f>IFERROR(__xludf.DUMMYFUNCTION("GOOGLETRANSLATE(C46,""zh_CN"", ""en"")"),"Mauritius")</f>
        <v>Mauritius</v>
      </c>
      <c r="E46" s="68"/>
      <c r="F46" s="68"/>
      <c r="G46" s="68"/>
      <c r="H46" s="68"/>
      <c r="I46" s="68"/>
      <c r="J46" s="68"/>
      <c r="K46" s="68"/>
      <c r="L46" s="68"/>
      <c r="M46" s="68"/>
      <c r="N46" s="68"/>
      <c r="O46" s="68"/>
      <c r="P46" s="68"/>
      <c r="Q46" s="68"/>
      <c r="R46" s="68"/>
      <c r="S46" s="68"/>
      <c r="T46" s="68"/>
      <c r="U46" s="68"/>
      <c r="V46" s="68"/>
      <c r="W46" s="68"/>
      <c r="X46" s="68"/>
      <c r="Y46" s="68"/>
      <c r="Z46" s="68"/>
    </row>
    <row r="47" ht="13.5" customHeight="1">
      <c r="A47" s="14" t="s">
        <v>3530</v>
      </c>
      <c r="B47" s="205" t="s">
        <v>3531</v>
      </c>
      <c r="C47" s="19" t="s">
        <v>3532</v>
      </c>
      <c r="D47" s="68" t="str">
        <f>IFERROR(__xludf.DUMMYFUNCTION("GOOGLETRANSLATE(C47,""zh_CN"", ""en"")"),"Israel")</f>
        <v>Israel</v>
      </c>
      <c r="E47" s="68"/>
      <c r="F47" s="68"/>
      <c r="G47" s="68"/>
      <c r="H47" s="68"/>
      <c r="I47" s="68"/>
      <c r="J47" s="68"/>
      <c r="K47" s="68"/>
      <c r="L47" s="68"/>
      <c r="M47" s="68"/>
      <c r="N47" s="68"/>
      <c r="O47" s="68"/>
      <c r="P47" s="68"/>
      <c r="Q47" s="68"/>
      <c r="R47" s="68"/>
      <c r="S47" s="68"/>
      <c r="T47" s="68"/>
      <c r="U47" s="68"/>
      <c r="V47" s="68"/>
      <c r="W47" s="68"/>
      <c r="X47" s="68"/>
      <c r="Y47" s="68"/>
      <c r="Z47" s="68"/>
    </row>
    <row r="48" ht="13.5" customHeight="1">
      <c r="A48" s="14" t="s">
        <v>3533</v>
      </c>
      <c r="B48" s="205" t="s">
        <v>3534</v>
      </c>
      <c r="C48" s="19" t="s">
        <v>3535</v>
      </c>
      <c r="D48" s="68" t="str">
        <f>IFERROR(__xludf.DUMMYFUNCTION("GOOGLETRANSLATE(C48,""zh_CN"", ""en"")"),"Mexico")</f>
        <v>Mexico</v>
      </c>
      <c r="E48" s="68"/>
      <c r="F48" s="68"/>
      <c r="G48" s="68"/>
      <c r="H48" s="68"/>
      <c r="I48" s="68"/>
      <c r="J48" s="68"/>
      <c r="K48" s="68"/>
      <c r="L48" s="68"/>
      <c r="M48" s="68"/>
      <c r="N48" s="68"/>
      <c r="O48" s="68"/>
      <c r="P48" s="68"/>
      <c r="Q48" s="68"/>
      <c r="R48" s="68"/>
      <c r="S48" s="68"/>
      <c r="T48" s="68"/>
      <c r="U48" s="68"/>
      <c r="V48" s="68"/>
      <c r="W48" s="68"/>
      <c r="X48" s="68"/>
      <c r="Y48" s="68"/>
      <c r="Z48" s="68"/>
    </row>
    <row r="49" ht="13.5" customHeight="1">
      <c r="A49" s="14" t="s">
        <v>3536</v>
      </c>
      <c r="B49" s="205" t="s">
        <v>3537</v>
      </c>
      <c r="C49" s="19" t="s">
        <v>3538</v>
      </c>
      <c r="D49" s="68" t="str">
        <f>IFERROR(__xludf.DUMMYFUNCTION("GOOGLETRANSLATE(C49,""zh_CN"", ""en"")"),"Brazil")</f>
        <v>Brazil</v>
      </c>
      <c r="E49" s="68"/>
      <c r="F49" s="68"/>
      <c r="G49" s="68"/>
      <c r="H49" s="68"/>
      <c r="I49" s="68"/>
      <c r="J49" s="68"/>
      <c r="K49" s="68"/>
      <c r="L49" s="68"/>
      <c r="M49" s="68"/>
      <c r="N49" s="68"/>
      <c r="O49" s="68"/>
      <c r="P49" s="68"/>
      <c r="Q49" s="68"/>
      <c r="R49" s="68"/>
      <c r="S49" s="68"/>
      <c r="T49" s="68"/>
      <c r="U49" s="68"/>
      <c r="V49" s="68"/>
      <c r="W49" s="68"/>
      <c r="X49" s="68"/>
      <c r="Y49" s="68"/>
      <c r="Z49" s="68"/>
    </row>
    <row r="50" ht="13.5" customHeight="1">
      <c r="A50" s="14" t="s">
        <v>3539</v>
      </c>
      <c r="B50" s="205" t="s">
        <v>3540</v>
      </c>
      <c r="C50" s="19" t="s">
        <v>3541</v>
      </c>
      <c r="D50" s="68" t="str">
        <f>IFERROR(__xludf.DUMMYFUNCTION("GOOGLETRANSLATE(C50,""zh_CN"", ""en"")"),"Sri Lanka")</f>
        <v>Sri Lanka</v>
      </c>
      <c r="E50" s="68"/>
      <c r="F50" s="68"/>
      <c r="G50" s="68"/>
      <c r="H50" s="68"/>
      <c r="I50" s="68"/>
      <c r="J50" s="68"/>
      <c r="K50" s="68"/>
      <c r="L50" s="68"/>
      <c r="M50" s="68"/>
      <c r="N50" s="68"/>
      <c r="O50" s="68"/>
      <c r="P50" s="68"/>
      <c r="Q50" s="68"/>
      <c r="R50" s="68"/>
      <c r="S50" s="68"/>
      <c r="T50" s="68"/>
      <c r="U50" s="68"/>
      <c r="V50" s="68"/>
      <c r="W50" s="68"/>
      <c r="X50" s="68"/>
      <c r="Y50" s="68"/>
      <c r="Z50" s="68"/>
    </row>
    <row r="51" ht="13.5" customHeight="1">
      <c r="A51" s="14" t="s">
        <v>3542</v>
      </c>
      <c r="B51" s="205" t="s">
        <v>191</v>
      </c>
      <c r="C51" s="19" t="s">
        <v>3543</v>
      </c>
      <c r="D51" s="68" t="str">
        <f>IFERROR(__xludf.DUMMYFUNCTION("GOOGLETRANSLATE(C51,""zh_CN"", ""en"")"),"Chile")</f>
        <v>Chile</v>
      </c>
      <c r="E51" s="68"/>
      <c r="F51" s="68"/>
      <c r="G51" s="68"/>
      <c r="H51" s="68"/>
      <c r="I51" s="68"/>
      <c r="J51" s="68"/>
      <c r="K51" s="68"/>
      <c r="L51" s="68"/>
      <c r="M51" s="68"/>
      <c r="N51" s="68"/>
      <c r="O51" s="68"/>
      <c r="P51" s="68"/>
      <c r="Q51" s="68"/>
      <c r="R51" s="68"/>
      <c r="S51" s="68"/>
      <c r="T51" s="68"/>
      <c r="U51" s="68"/>
      <c r="V51" s="68"/>
      <c r="W51" s="68"/>
      <c r="X51" s="68"/>
      <c r="Y51" s="68"/>
      <c r="Z51" s="68"/>
    </row>
    <row r="52" ht="13.5" customHeight="1">
      <c r="A52" s="19" t="s">
        <v>3544</v>
      </c>
      <c r="B52" s="205" t="s">
        <v>3545</v>
      </c>
      <c r="C52" s="19" t="s">
        <v>3546</v>
      </c>
      <c r="D52" s="68" t="str">
        <f>IFERROR(__xludf.DUMMYFUNCTION("GOOGLETRANSLATE(C52,""zh_CN"", ""en"")"),"Mexico CONNERA customization")</f>
        <v>Mexico CONNERA customization</v>
      </c>
      <c r="E52" s="68"/>
      <c r="F52" s="68"/>
      <c r="G52" s="68"/>
      <c r="H52" s="68"/>
      <c r="I52" s="68"/>
      <c r="J52" s="68"/>
      <c r="K52" s="68"/>
      <c r="L52" s="68"/>
      <c r="M52" s="68"/>
      <c r="N52" s="68"/>
      <c r="O52" s="68"/>
      <c r="P52" s="68"/>
      <c r="Q52" s="68"/>
      <c r="R52" s="68"/>
      <c r="S52" s="68"/>
      <c r="T52" s="68"/>
      <c r="U52" s="68"/>
      <c r="V52" s="68"/>
      <c r="W52" s="68"/>
      <c r="X52" s="68"/>
      <c r="Y52" s="68"/>
      <c r="Z52" s="68"/>
    </row>
    <row r="53" ht="13.5" customHeight="1">
      <c r="A53" s="68"/>
      <c r="B53" s="206"/>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3.5" customHeight="1">
      <c r="A54" s="68"/>
      <c r="B54" s="206"/>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3.5" customHeight="1">
      <c r="A55" s="207"/>
      <c r="B55" s="206"/>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3.5" customHeight="1">
      <c r="A56" s="207"/>
      <c r="B56" s="206"/>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3.5" customHeight="1">
      <c r="A57" s="68"/>
      <c r="B57" s="206"/>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3.5" customHeight="1">
      <c r="A58" s="68"/>
      <c r="B58" s="206"/>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3.5" customHeight="1">
      <c r="A59" s="68"/>
      <c r="B59" s="206"/>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3.5" customHeight="1">
      <c r="A60" s="68"/>
      <c r="B60" s="206"/>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3.5" customHeight="1">
      <c r="A61" s="68"/>
      <c r="B61" s="206"/>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3.5" customHeight="1">
      <c r="A62" s="68"/>
      <c r="B62" s="206"/>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3.5" customHeight="1">
      <c r="A63" s="68"/>
      <c r="B63" s="206"/>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3.5" customHeight="1">
      <c r="A64" s="68"/>
      <c r="B64" s="206"/>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3.5" customHeight="1">
      <c r="A65" s="68"/>
      <c r="B65" s="206"/>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3.5" customHeight="1">
      <c r="A66" s="68"/>
      <c r="B66" s="206"/>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3.5" customHeight="1">
      <c r="A67" s="68"/>
      <c r="B67" s="206"/>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3.5" customHeight="1">
      <c r="A68" s="68"/>
      <c r="B68" s="206"/>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3.5" customHeight="1">
      <c r="A69" s="68"/>
      <c r="B69" s="206"/>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3.5" customHeight="1">
      <c r="A70" s="68"/>
      <c r="B70" s="206"/>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3.5" customHeight="1">
      <c r="A71" s="68"/>
      <c r="B71" s="206"/>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3.5" customHeight="1">
      <c r="A72" s="68"/>
      <c r="B72" s="206"/>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3.5" customHeight="1">
      <c r="A73" s="68"/>
      <c r="B73" s="206"/>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3.5" customHeight="1">
      <c r="A74" s="68"/>
      <c r="B74" s="206"/>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3.5" customHeight="1">
      <c r="A75" s="68"/>
      <c r="B75" s="206"/>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3.5" customHeight="1">
      <c r="A76" s="68"/>
      <c r="B76" s="206"/>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3.5" customHeight="1">
      <c r="A77" s="68"/>
      <c r="B77" s="206"/>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3.5" customHeight="1">
      <c r="A78" s="68"/>
      <c r="B78" s="206"/>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3.5" customHeight="1">
      <c r="A79" s="68"/>
      <c r="B79" s="206"/>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3.5" customHeight="1">
      <c r="A80" s="68"/>
      <c r="B80" s="206"/>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3.5" customHeight="1">
      <c r="A81" s="68"/>
      <c r="B81" s="206"/>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3.5" customHeight="1">
      <c r="A82" s="68"/>
      <c r="B82" s="206"/>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3.5" customHeight="1">
      <c r="A83" s="68"/>
      <c r="B83" s="206"/>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3.5" customHeight="1">
      <c r="A84" s="68"/>
      <c r="B84" s="206"/>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3.5" customHeight="1">
      <c r="A85" s="68"/>
      <c r="B85" s="206"/>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3.5" customHeight="1">
      <c r="A86" s="68"/>
      <c r="B86" s="206"/>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3.5" customHeight="1">
      <c r="A87" s="68"/>
      <c r="B87" s="206"/>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3.5" customHeight="1">
      <c r="A88" s="68"/>
      <c r="B88" s="206"/>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3.5" customHeight="1">
      <c r="A89" s="68"/>
      <c r="B89" s="206"/>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3.5" customHeight="1">
      <c r="A90" s="68"/>
      <c r="B90" s="206"/>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3.5" customHeight="1">
      <c r="A91" s="68"/>
      <c r="B91" s="206"/>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3.5" customHeight="1">
      <c r="A92" s="68"/>
      <c r="B92" s="206"/>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3.5" customHeight="1">
      <c r="A93" s="68"/>
      <c r="B93" s="206"/>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3.5" customHeight="1">
      <c r="A94" s="68"/>
      <c r="B94" s="206"/>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3.5" customHeight="1">
      <c r="A95" s="68"/>
      <c r="B95" s="206"/>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3.5" customHeight="1">
      <c r="A96" s="68"/>
      <c r="B96" s="206"/>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3.5" customHeight="1">
      <c r="A97" s="68"/>
      <c r="B97" s="206"/>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3.5" customHeight="1">
      <c r="A98" s="68"/>
      <c r="B98" s="206"/>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3.5" customHeight="1">
      <c r="A99" s="68"/>
      <c r="B99" s="206"/>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3.5" customHeight="1">
      <c r="A100" s="68"/>
      <c r="B100" s="206"/>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3.5" customHeight="1">
      <c r="A101" s="68"/>
      <c r="B101" s="206"/>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3.5" customHeight="1">
      <c r="A102" s="68"/>
      <c r="B102" s="206"/>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3.5" customHeight="1">
      <c r="A103" s="68"/>
      <c r="B103" s="206"/>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3.5" customHeight="1">
      <c r="A104" s="68"/>
      <c r="B104" s="206"/>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3.5" customHeight="1">
      <c r="A105" s="68"/>
      <c r="B105" s="206"/>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3.5" customHeight="1">
      <c r="A106" s="68"/>
      <c r="B106" s="206"/>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3.5" customHeight="1">
      <c r="A107" s="68"/>
      <c r="B107" s="206"/>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3.5" customHeight="1">
      <c r="A108" s="68"/>
      <c r="B108" s="206"/>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3.5" customHeight="1">
      <c r="A109" s="68"/>
      <c r="B109" s="206"/>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3.5" customHeight="1">
      <c r="A110" s="68"/>
      <c r="B110" s="206"/>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3.5" customHeight="1">
      <c r="A111" s="68"/>
      <c r="B111" s="206"/>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3.5" customHeight="1">
      <c r="A112" s="68"/>
      <c r="B112" s="206"/>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3.5" customHeight="1">
      <c r="A113" s="68"/>
      <c r="B113" s="206"/>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3.5" customHeight="1">
      <c r="A114" s="68"/>
      <c r="B114" s="206"/>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3.5" customHeight="1">
      <c r="A115" s="68"/>
      <c r="B115" s="206"/>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3.5" customHeight="1">
      <c r="A116" s="68"/>
      <c r="B116" s="206"/>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3.5" customHeight="1">
      <c r="A117" s="68"/>
      <c r="B117" s="206"/>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3.5" customHeight="1">
      <c r="A118" s="68"/>
      <c r="B118" s="206"/>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3.5" customHeight="1">
      <c r="A119" s="68"/>
      <c r="B119" s="206"/>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3.5" customHeight="1">
      <c r="A120" s="68"/>
      <c r="B120" s="206"/>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3.5" customHeight="1">
      <c r="A121" s="68"/>
      <c r="B121" s="206"/>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3.5" customHeight="1">
      <c r="A122" s="68"/>
      <c r="B122" s="206"/>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3.5" customHeight="1">
      <c r="A123" s="68"/>
      <c r="B123" s="206"/>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3.5" customHeight="1">
      <c r="A124" s="68"/>
      <c r="B124" s="206"/>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3.5" customHeight="1">
      <c r="A125" s="68"/>
      <c r="B125" s="206"/>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3.5" customHeight="1">
      <c r="A126" s="68"/>
      <c r="B126" s="206"/>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3.5" customHeight="1">
      <c r="A127" s="68"/>
      <c r="B127" s="206"/>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3.5" customHeight="1">
      <c r="A128" s="68"/>
      <c r="B128" s="206"/>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3.5" customHeight="1">
      <c r="A129" s="68"/>
      <c r="B129" s="206"/>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3.5" customHeight="1">
      <c r="A130" s="68"/>
      <c r="B130" s="206"/>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3.5" customHeight="1">
      <c r="A131" s="68"/>
      <c r="B131" s="206"/>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3.5" customHeight="1">
      <c r="A132" s="68"/>
      <c r="B132" s="206"/>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3.5" customHeight="1">
      <c r="A133" s="68"/>
      <c r="B133" s="206"/>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3.5" customHeight="1">
      <c r="A134" s="68"/>
      <c r="B134" s="206"/>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3.5" customHeight="1">
      <c r="A135" s="68"/>
      <c r="B135" s="206"/>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3.5" customHeight="1">
      <c r="A136" s="68"/>
      <c r="B136" s="206"/>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3.5" customHeight="1">
      <c r="A137" s="68"/>
      <c r="B137" s="206"/>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3.5" customHeight="1">
      <c r="A138" s="68"/>
      <c r="B138" s="206"/>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3.5" customHeight="1">
      <c r="A139" s="68"/>
      <c r="B139" s="206"/>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3.5" customHeight="1">
      <c r="A140" s="68"/>
      <c r="B140" s="206"/>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3.5" customHeight="1">
      <c r="A141" s="68"/>
      <c r="B141" s="206"/>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3.5" customHeight="1">
      <c r="A142" s="68"/>
      <c r="B142" s="206"/>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3.5" customHeight="1">
      <c r="A143" s="68"/>
      <c r="B143" s="206"/>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3.5" customHeight="1">
      <c r="A144" s="68"/>
      <c r="B144" s="206"/>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3.5" customHeight="1">
      <c r="A145" s="68"/>
      <c r="B145" s="206"/>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3.5" customHeight="1">
      <c r="A146" s="68"/>
      <c r="B146" s="206"/>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3.5" customHeight="1">
      <c r="A147" s="68"/>
      <c r="B147" s="206"/>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3.5" customHeight="1">
      <c r="A148" s="68"/>
      <c r="B148" s="206"/>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3.5" customHeight="1">
      <c r="A149" s="68"/>
      <c r="B149" s="206"/>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3.5" customHeight="1">
      <c r="A150" s="68"/>
      <c r="B150" s="206"/>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3.5" customHeight="1">
      <c r="A151" s="68"/>
      <c r="B151" s="206"/>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3.5" customHeight="1">
      <c r="A152" s="68"/>
      <c r="B152" s="206"/>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3.5" customHeight="1">
      <c r="A153" s="68"/>
      <c r="B153" s="206"/>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3.5" customHeight="1">
      <c r="A154" s="68"/>
      <c r="B154" s="206"/>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3.5" customHeight="1">
      <c r="A155" s="68"/>
      <c r="B155" s="206"/>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3.5" customHeight="1">
      <c r="A156" s="68"/>
      <c r="B156" s="206"/>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3.5" customHeight="1">
      <c r="A157" s="68"/>
      <c r="B157" s="206"/>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3.5" customHeight="1">
      <c r="A158" s="68"/>
      <c r="B158" s="206"/>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3.5" customHeight="1">
      <c r="A159" s="68"/>
      <c r="B159" s="206"/>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3.5" customHeight="1">
      <c r="A160" s="68"/>
      <c r="B160" s="206"/>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3.5" customHeight="1">
      <c r="A161" s="68"/>
      <c r="B161" s="206"/>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3.5" customHeight="1">
      <c r="A162" s="68"/>
      <c r="B162" s="206"/>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3.5" customHeight="1">
      <c r="A163" s="68"/>
      <c r="B163" s="206"/>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3.5" customHeight="1">
      <c r="A164" s="68"/>
      <c r="B164" s="206"/>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3.5" customHeight="1">
      <c r="A165" s="68"/>
      <c r="B165" s="206"/>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3.5" customHeight="1">
      <c r="A166" s="68"/>
      <c r="B166" s="206"/>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3.5" customHeight="1">
      <c r="A167" s="68"/>
      <c r="B167" s="206"/>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3.5" customHeight="1">
      <c r="A168" s="68"/>
      <c r="B168" s="206"/>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3.5" customHeight="1">
      <c r="A169" s="68"/>
      <c r="B169" s="206"/>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3.5" customHeight="1">
      <c r="A170" s="68"/>
      <c r="B170" s="206"/>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3.5" customHeight="1">
      <c r="A171" s="68"/>
      <c r="B171" s="206"/>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3.5" customHeight="1">
      <c r="A172" s="68"/>
      <c r="B172" s="206"/>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3.5" customHeight="1">
      <c r="A173" s="68"/>
      <c r="B173" s="206"/>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3.5" customHeight="1">
      <c r="A174" s="68"/>
      <c r="B174" s="206"/>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3.5" customHeight="1">
      <c r="A175" s="68"/>
      <c r="B175" s="206"/>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3.5" customHeight="1">
      <c r="A176" s="68"/>
      <c r="B176" s="206"/>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3.5" customHeight="1">
      <c r="A177" s="68"/>
      <c r="B177" s="206"/>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3.5" customHeight="1">
      <c r="A178" s="68"/>
      <c r="B178" s="206"/>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3.5" customHeight="1">
      <c r="A179" s="68"/>
      <c r="B179" s="206"/>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3.5" customHeight="1">
      <c r="A180" s="68"/>
      <c r="B180" s="206"/>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3.5" customHeight="1">
      <c r="A181" s="68"/>
      <c r="B181" s="206"/>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3.5" customHeight="1">
      <c r="A182" s="68"/>
      <c r="B182" s="206"/>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3.5" customHeight="1">
      <c r="A183" s="68"/>
      <c r="B183" s="206"/>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3.5" customHeight="1">
      <c r="A184" s="68"/>
      <c r="B184" s="206"/>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3.5" customHeight="1">
      <c r="A185" s="68"/>
      <c r="B185" s="206"/>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3.5" customHeight="1">
      <c r="A186" s="68"/>
      <c r="B186" s="206"/>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3.5" customHeight="1">
      <c r="A187" s="68"/>
      <c r="B187" s="206"/>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3.5" customHeight="1">
      <c r="A188" s="68"/>
      <c r="B188" s="206"/>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3.5" customHeight="1">
      <c r="A189" s="68"/>
      <c r="B189" s="206"/>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3.5" customHeight="1">
      <c r="A190" s="68"/>
      <c r="B190" s="206"/>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3.5" customHeight="1">
      <c r="A191" s="68"/>
      <c r="B191" s="206"/>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3.5" customHeight="1">
      <c r="A192" s="68"/>
      <c r="B192" s="206"/>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3.5" customHeight="1">
      <c r="A193" s="68"/>
      <c r="B193" s="206"/>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3.5" customHeight="1">
      <c r="A194" s="68"/>
      <c r="B194" s="206"/>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3.5" customHeight="1">
      <c r="A195" s="68"/>
      <c r="B195" s="206"/>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3.5" customHeight="1">
      <c r="A196" s="68"/>
      <c r="B196" s="206"/>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3.5" customHeight="1">
      <c r="A197" s="68"/>
      <c r="B197" s="206"/>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3.5" customHeight="1">
      <c r="A198" s="68"/>
      <c r="B198" s="206"/>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3.5" customHeight="1">
      <c r="A199" s="68"/>
      <c r="B199" s="206"/>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3.5" customHeight="1">
      <c r="A200" s="68"/>
      <c r="B200" s="206"/>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3.5" customHeight="1">
      <c r="A201" s="68"/>
      <c r="B201" s="206"/>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3.5" customHeight="1">
      <c r="A202" s="68"/>
      <c r="B202" s="206"/>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3.5" customHeight="1">
      <c r="A203" s="68"/>
      <c r="B203" s="206"/>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3.5" customHeight="1">
      <c r="A204" s="68"/>
      <c r="B204" s="206"/>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3.5" customHeight="1">
      <c r="A205" s="68"/>
      <c r="B205" s="206"/>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3.5" customHeight="1">
      <c r="A206" s="68"/>
      <c r="B206" s="206"/>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3.5" customHeight="1">
      <c r="A207" s="68"/>
      <c r="B207" s="206"/>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3.5" customHeight="1">
      <c r="A208" s="68"/>
      <c r="B208" s="206"/>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3.5" customHeight="1">
      <c r="A209" s="68"/>
      <c r="B209" s="206"/>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3.5" customHeight="1">
      <c r="A210" s="68"/>
      <c r="B210" s="206"/>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3.5" customHeight="1">
      <c r="A211" s="68"/>
      <c r="B211" s="206"/>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3.5" customHeight="1">
      <c r="A212" s="68"/>
      <c r="B212" s="206"/>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3.5" customHeight="1">
      <c r="A213" s="68"/>
      <c r="B213" s="206"/>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3.5" customHeight="1">
      <c r="A214" s="68"/>
      <c r="B214" s="206"/>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3.5" customHeight="1">
      <c r="A215" s="68"/>
      <c r="B215" s="206"/>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3.5" customHeight="1">
      <c r="A216" s="68"/>
      <c r="B216" s="206"/>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3.5" customHeight="1">
      <c r="A217" s="68"/>
      <c r="B217" s="206"/>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3.5" customHeight="1">
      <c r="A218" s="68"/>
      <c r="B218" s="206"/>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3.5" customHeight="1">
      <c r="A219" s="68"/>
      <c r="B219" s="206"/>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3.5" customHeight="1">
      <c r="A220" s="68"/>
      <c r="B220" s="206"/>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3.5" customHeight="1">
      <c r="A221" s="68"/>
      <c r="B221" s="206"/>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3.5" customHeight="1">
      <c r="A222" s="68"/>
      <c r="B222" s="206"/>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3.5" customHeight="1">
      <c r="A223" s="68"/>
      <c r="B223" s="206"/>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3.5" customHeight="1">
      <c r="A224" s="68"/>
      <c r="B224" s="206"/>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3.5" customHeight="1">
      <c r="A225" s="68"/>
      <c r="B225" s="206"/>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3.5" customHeight="1">
      <c r="A226" s="68"/>
      <c r="B226" s="206"/>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3.5" customHeight="1">
      <c r="A227" s="68"/>
      <c r="B227" s="206"/>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3.5" customHeight="1">
      <c r="A228" s="68"/>
      <c r="B228" s="206"/>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3.5" customHeight="1">
      <c r="A229" s="68"/>
      <c r="B229" s="206"/>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3.5" customHeight="1">
      <c r="A230" s="68"/>
      <c r="B230" s="206"/>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3.5" customHeight="1">
      <c r="A231" s="68"/>
      <c r="B231" s="206"/>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3.5" customHeight="1">
      <c r="A232" s="68"/>
      <c r="B232" s="206"/>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3.5" customHeight="1">
      <c r="A233" s="68"/>
      <c r="B233" s="206"/>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3.5" customHeight="1">
      <c r="A234" s="68"/>
      <c r="B234" s="206"/>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3.5" customHeight="1">
      <c r="A235" s="68"/>
      <c r="B235" s="206"/>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3.5" customHeight="1">
      <c r="A236" s="68"/>
      <c r="B236" s="206"/>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3.5" customHeight="1">
      <c r="A237" s="68"/>
      <c r="B237" s="206"/>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3.5" customHeight="1">
      <c r="A238" s="68"/>
      <c r="B238" s="206"/>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3.5" customHeight="1">
      <c r="A239" s="68"/>
      <c r="B239" s="206"/>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3.5" customHeight="1">
      <c r="A240" s="68"/>
      <c r="B240" s="206"/>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3.5" customHeight="1">
      <c r="A241" s="68"/>
      <c r="B241" s="206"/>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3.5" customHeight="1">
      <c r="A242" s="68"/>
      <c r="B242" s="206"/>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3.5" customHeight="1">
      <c r="A243" s="68"/>
      <c r="B243" s="206"/>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3.5" customHeight="1">
      <c r="A244" s="68"/>
      <c r="B244" s="206"/>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3.5" customHeight="1">
      <c r="A245" s="68"/>
      <c r="B245" s="206"/>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3.5" customHeight="1">
      <c r="A246" s="68"/>
      <c r="B246" s="206"/>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3.5" customHeight="1">
      <c r="A247" s="68"/>
      <c r="B247" s="206"/>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3.5" customHeight="1">
      <c r="A248" s="68"/>
      <c r="B248" s="206"/>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3.5" customHeight="1">
      <c r="A249" s="68"/>
      <c r="B249" s="206"/>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3.5" customHeight="1">
      <c r="A250" s="68"/>
      <c r="B250" s="206"/>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3.5" customHeight="1">
      <c r="A251" s="68"/>
      <c r="B251" s="206"/>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3.5" customHeight="1">
      <c r="A252" s="68"/>
      <c r="B252" s="206"/>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3.5" customHeight="1">
      <c r="A253" s="68"/>
      <c r="B253" s="206"/>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3.5" customHeight="1">
      <c r="A254" s="68"/>
      <c r="B254" s="206"/>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3.5" customHeight="1">
      <c r="A255" s="68"/>
      <c r="B255" s="206"/>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3.5" customHeight="1">
      <c r="A256" s="68"/>
      <c r="B256" s="206"/>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3.5" customHeight="1">
      <c r="A257" s="68"/>
      <c r="B257" s="206"/>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3.5" customHeight="1">
      <c r="A258" s="68"/>
      <c r="B258" s="206"/>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3.5" customHeight="1">
      <c r="A259" s="68"/>
      <c r="B259" s="206"/>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3.5" customHeight="1">
      <c r="A260" s="68"/>
      <c r="B260" s="206"/>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3.5" customHeight="1">
      <c r="A261" s="68"/>
      <c r="B261" s="206"/>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3.5" customHeight="1">
      <c r="A262" s="68"/>
      <c r="B262" s="206"/>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3.5" customHeight="1">
      <c r="A263" s="68"/>
      <c r="B263" s="206"/>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3.5" customHeight="1">
      <c r="A264" s="68"/>
      <c r="B264" s="206"/>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3.5" customHeight="1">
      <c r="A265" s="68"/>
      <c r="B265" s="206"/>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3.5" customHeight="1">
      <c r="A266" s="68"/>
      <c r="B266" s="206"/>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3.5" customHeight="1">
      <c r="A267" s="68"/>
      <c r="B267" s="206"/>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3.5" customHeight="1">
      <c r="A268" s="68"/>
      <c r="B268" s="206"/>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3.5" customHeight="1">
      <c r="A269" s="68"/>
      <c r="B269" s="206"/>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3.5" customHeight="1">
      <c r="A270" s="68"/>
      <c r="B270" s="206"/>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3.5" customHeight="1">
      <c r="A271" s="68"/>
      <c r="B271" s="206"/>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3.5" customHeight="1">
      <c r="A272" s="68"/>
      <c r="B272" s="206"/>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3.5" customHeight="1">
      <c r="A273" s="68"/>
      <c r="B273" s="206"/>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3.5" customHeight="1">
      <c r="A274" s="68"/>
      <c r="B274" s="206"/>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3.5" customHeight="1">
      <c r="A275" s="68"/>
      <c r="B275" s="206"/>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3.5" customHeight="1">
      <c r="A276" s="68"/>
      <c r="B276" s="206"/>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3.5" customHeight="1">
      <c r="A277" s="68"/>
      <c r="B277" s="206"/>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3.5" customHeight="1">
      <c r="A278" s="68"/>
      <c r="B278" s="206"/>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3.5" customHeight="1">
      <c r="A279" s="68"/>
      <c r="B279" s="206"/>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3.5" customHeight="1">
      <c r="A280" s="68"/>
      <c r="B280" s="206"/>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3.5" customHeight="1">
      <c r="A281" s="68"/>
      <c r="B281" s="206"/>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3.5" customHeight="1">
      <c r="A282" s="68"/>
      <c r="B282" s="206"/>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3.5" customHeight="1">
      <c r="A283" s="68"/>
      <c r="B283" s="206"/>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3.5" customHeight="1">
      <c r="A284" s="68"/>
      <c r="B284" s="206"/>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3.5" customHeight="1">
      <c r="A285" s="68"/>
      <c r="B285" s="206"/>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3.5" customHeight="1">
      <c r="A286" s="68"/>
      <c r="B286" s="206"/>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3.5" customHeight="1">
      <c r="A287" s="68"/>
      <c r="B287" s="206"/>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3.5" customHeight="1">
      <c r="A288" s="68"/>
      <c r="B288" s="206"/>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3.5" customHeight="1">
      <c r="A289" s="68"/>
      <c r="B289" s="206"/>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3.5" customHeight="1">
      <c r="A290" s="68"/>
      <c r="B290" s="206"/>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3.5" customHeight="1">
      <c r="A291" s="68"/>
      <c r="B291" s="206"/>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3.5" customHeight="1">
      <c r="A292" s="68"/>
      <c r="B292" s="206"/>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3.5" customHeight="1">
      <c r="A293" s="68"/>
      <c r="B293" s="206"/>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3.5" customHeight="1">
      <c r="A294" s="68"/>
      <c r="B294" s="206"/>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3.5" customHeight="1">
      <c r="A295" s="68"/>
      <c r="B295" s="206"/>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3.5" customHeight="1">
      <c r="A296" s="68"/>
      <c r="B296" s="206"/>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3.5" customHeight="1">
      <c r="A297" s="68"/>
      <c r="B297" s="206"/>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3.5" customHeight="1">
      <c r="A298" s="68"/>
      <c r="B298" s="206"/>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3.5" customHeight="1">
      <c r="A299" s="68"/>
      <c r="B299" s="206"/>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3.5" customHeight="1">
      <c r="A300" s="68"/>
      <c r="B300" s="206"/>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3.5" customHeight="1">
      <c r="A301" s="68"/>
      <c r="B301" s="206"/>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3.5" customHeight="1">
      <c r="A302" s="68"/>
      <c r="B302" s="206"/>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3.5" customHeight="1">
      <c r="A303" s="68"/>
      <c r="B303" s="206"/>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3.5" customHeight="1">
      <c r="A304" s="68"/>
      <c r="B304" s="206"/>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3.5" customHeight="1">
      <c r="A305" s="68"/>
      <c r="B305" s="206"/>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3.5" customHeight="1">
      <c r="A306" s="68"/>
      <c r="B306" s="206"/>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3.5" customHeight="1">
      <c r="A307" s="68"/>
      <c r="B307" s="206"/>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3.5" customHeight="1">
      <c r="A308" s="68"/>
      <c r="B308" s="206"/>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3.5" customHeight="1">
      <c r="A309" s="68"/>
      <c r="B309" s="206"/>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3.5" customHeight="1">
      <c r="A310" s="68"/>
      <c r="B310" s="206"/>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3.5" customHeight="1">
      <c r="A311" s="68"/>
      <c r="B311" s="206"/>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3.5" customHeight="1">
      <c r="A312" s="68"/>
      <c r="B312" s="206"/>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3.5" customHeight="1">
      <c r="A313" s="68"/>
      <c r="B313" s="206"/>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3.5" customHeight="1">
      <c r="A314" s="68"/>
      <c r="B314" s="206"/>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3.5" customHeight="1">
      <c r="A315" s="68"/>
      <c r="B315" s="206"/>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3.5" customHeight="1">
      <c r="A316" s="68"/>
      <c r="B316" s="206"/>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3.5" customHeight="1">
      <c r="A317" s="68"/>
      <c r="B317" s="206"/>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3.5" customHeight="1">
      <c r="A318" s="68"/>
      <c r="B318" s="206"/>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3.5" customHeight="1">
      <c r="A319" s="68"/>
      <c r="B319" s="206"/>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3.5" customHeight="1">
      <c r="A320" s="68"/>
      <c r="B320" s="206"/>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3.5" customHeight="1">
      <c r="A321" s="68"/>
      <c r="B321" s="206"/>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3.5" customHeight="1">
      <c r="A322" s="68"/>
      <c r="B322" s="206"/>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3.5" customHeight="1">
      <c r="A323" s="68"/>
      <c r="B323" s="206"/>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3.5" customHeight="1">
      <c r="A324" s="68"/>
      <c r="B324" s="206"/>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3.5" customHeight="1">
      <c r="A325" s="68"/>
      <c r="B325" s="206"/>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3.5" customHeight="1">
      <c r="A326" s="68"/>
      <c r="B326" s="206"/>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3.5" customHeight="1">
      <c r="A327" s="68"/>
      <c r="B327" s="206"/>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3.5" customHeight="1">
      <c r="A328" s="68"/>
      <c r="B328" s="206"/>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3.5" customHeight="1">
      <c r="A329" s="68"/>
      <c r="B329" s="206"/>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3.5" customHeight="1">
      <c r="A330" s="68"/>
      <c r="B330" s="206"/>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3.5" customHeight="1">
      <c r="A331" s="68"/>
      <c r="B331" s="206"/>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3.5" customHeight="1">
      <c r="A332" s="68"/>
      <c r="B332" s="206"/>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3.5" customHeight="1">
      <c r="A333" s="68"/>
      <c r="B333" s="206"/>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3.5" customHeight="1">
      <c r="A334" s="68"/>
      <c r="B334" s="206"/>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3.5" customHeight="1">
      <c r="A335" s="68"/>
      <c r="B335" s="206"/>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3.5" customHeight="1">
      <c r="A336" s="68"/>
      <c r="B336" s="206"/>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3.5" customHeight="1">
      <c r="A337" s="68"/>
      <c r="B337" s="206"/>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3.5" customHeight="1">
      <c r="A338" s="68"/>
      <c r="B338" s="206"/>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3.5" customHeight="1">
      <c r="A339" s="68"/>
      <c r="B339" s="206"/>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3.5" customHeight="1">
      <c r="A340" s="68"/>
      <c r="B340" s="206"/>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3.5" customHeight="1">
      <c r="A341" s="68"/>
      <c r="B341" s="206"/>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3.5" customHeight="1">
      <c r="A342" s="68"/>
      <c r="B342" s="206"/>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3.5" customHeight="1">
      <c r="A343" s="68"/>
      <c r="B343" s="206"/>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3.5" customHeight="1">
      <c r="A344" s="68"/>
      <c r="B344" s="206"/>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3.5" customHeight="1">
      <c r="A345" s="68"/>
      <c r="B345" s="206"/>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3.5" customHeight="1">
      <c r="A346" s="68"/>
      <c r="B346" s="206"/>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3.5" customHeight="1">
      <c r="A347" s="68"/>
      <c r="B347" s="206"/>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3.5" customHeight="1">
      <c r="A348" s="68"/>
      <c r="B348" s="206"/>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3.5" customHeight="1">
      <c r="A349" s="68"/>
      <c r="B349" s="206"/>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3.5" customHeight="1">
      <c r="A350" s="68"/>
      <c r="B350" s="206"/>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3.5" customHeight="1">
      <c r="A351" s="68"/>
      <c r="B351" s="206"/>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3.5" customHeight="1">
      <c r="A352" s="68"/>
      <c r="B352" s="206"/>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3.5" customHeight="1">
      <c r="A353" s="68"/>
      <c r="B353" s="206"/>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3.5" customHeight="1">
      <c r="A354" s="68"/>
      <c r="B354" s="206"/>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3.5" customHeight="1">
      <c r="A355" s="68"/>
      <c r="B355" s="206"/>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3.5" customHeight="1">
      <c r="A356" s="68"/>
      <c r="B356" s="206"/>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3.5" customHeight="1">
      <c r="A357" s="68"/>
      <c r="B357" s="206"/>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3.5" customHeight="1">
      <c r="A358" s="68"/>
      <c r="B358" s="206"/>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3.5" customHeight="1">
      <c r="A359" s="68"/>
      <c r="B359" s="206"/>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3.5" customHeight="1">
      <c r="A360" s="68"/>
      <c r="B360" s="206"/>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3.5" customHeight="1">
      <c r="A361" s="68"/>
      <c r="B361" s="206"/>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3.5" customHeight="1">
      <c r="A362" s="68"/>
      <c r="B362" s="206"/>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3.5" customHeight="1">
      <c r="A363" s="68"/>
      <c r="B363" s="206"/>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3.5" customHeight="1">
      <c r="A364" s="68"/>
      <c r="B364" s="206"/>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3.5" customHeight="1">
      <c r="A365" s="68"/>
      <c r="B365" s="206"/>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3.5" customHeight="1">
      <c r="A366" s="68"/>
      <c r="B366" s="206"/>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3.5" customHeight="1">
      <c r="A367" s="68"/>
      <c r="B367" s="206"/>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3.5" customHeight="1">
      <c r="A368" s="68"/>
      <c r="B368" s="206"/>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3.5" customHeight="1">
      <c r="A369" s="68"/>
      <c r="B369" s="206"/>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3.5" customHeight="1">
      <c r="A370" s="68"/>
      <c r="B370" s="206"/>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3.5" customHeight="1">
      <c r="A371" s="68"/>
      <c r="B371" s="206"/>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3.5" customHeight="1">
      <c r="A372" s="68"/>
      <c r="B372" s="206"/>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3.5" customHeight="1">
      <c r="A373" s="68"/>
      <c r="B373" s="206"/>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3.5" customHeight="1">
      <c r="A374" s="68"/>
      <c r="B374" s="206"/>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3.5" customHeight="1">
      <c r="A375" s="68"/>
      <c r="B375" s="206"/>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3.5" customHeight="1">
      <c r="A376" s="68"/>
      <c r="B376" s="206"/>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3.5" customHeight="1">
      <c r="A377" s="68"/>
      <c r="B377" s="206"/>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3.5" customHeight="1">
      <c r="A378" s="68"/>
      <c r="B378" s="206"/>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3.5" customHeight="1">
      <c r="A379" s="68"/>
      <c r="B379" s="206"/>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3.5" customHeight="1">
      <c r="A380" s="68"/>
      <c r="B380" s="206"/>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3.5" customHeight="1">
      <c r="A381" s="68"/>
      <c r="B381" s="206"/>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3.5" customHeight="1">
      <c r="A382" s="68"/>
      <c r="B382" s="206"/>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3.5" customHeight="1">
      <c r="A383" s="68"/>
      <c r="B383" s="206"/>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3.5" customHeight="1">
      <c r="A384" s="68"/>
      <c r="B384" s="206"/>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3.5" customHeight="1">
      <c r="A385" s="68"/>
      <c r="B385" s="206"/>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3.5" customHeight="1">
      <c r="A386" s="68"/>
      <c r="B386" s="206"/>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3.5" customHeight="1">
      <c r="A387" s="68"/>
      <c r="B387" s="206"/>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3.5" customHeight="1">
      <c r="A388" s="68"/>
      <c r="B388" s="206"/>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3.5" customHeight="1">
      <c r="A389" s="68"/>
      <c r="B389" s="206"/>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3.5" customHeight="1">
      <c r="A390" s="68"/>
      <c r="B390" s="206"/>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3.5" customHeight="1">
      <c r="A391" s="68"/>
      <c r="B391" s="206"/>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3.5" customHeight="1">
      <c r="A392" s="68"/>
      <c r="B392" s="206"/>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3.5" customHeight="1">
      <c r="A393" s="68"/>
      <c r="B393" s="206"/>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3.5" customHeight="1">
      <c r="A394" s="68"/>
      <c r="B394" s="206"/>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3.5" customHeight="1">
      <c r="A395" s="68"/>
      <c r="B395" s="206"/>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3.5" customHeight="1">
      <c r="A396" s="68"/>
      <c r="B396" s="206"/>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3.5" customHeight="1">
      <c r="A397" s="68"/>
      <c r="B397" s="206"/>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3.5" customHeight="1">
      <c r="A398" s="68"/>
      <c r="B398" s="206"/>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3.5" customHeight="1">
      <c r="A399" s="68"/>
      <c r="B399" s="206"/>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3.5" customHeight="1">
      <c r="A400" s="68"/>
      <c r="B400" s="206"/>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3.5" customHeight="1">
      <c r="A401" s="68"/>
      <c r="B401" s="206"/>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3.5" customHeight="1">
      <c r="A402" s="68"/>
      <c r="B402" s="206"/>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3.5" customHeight="1">
      <c r="A403" s="68"/>
      <c r="B403" s="206"/>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3.5" customHeight="1">
      <c r="A404" s="68"/>
      <c r="B404" s="206"/>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3.5" customHeight="1">
      <c r="A405" s="68"/>
      <c r="B405" s="206"/>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3.5" customHeight="1">
      <c r="A406" s="68"/>
      <c r="B406" s="206"/>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3.5" customHeight="1">
      <c r="A407" s="68"/>
      <c r="B407" s="206"/>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3.5" customHeight="1">
      <c r="A408" s="68"/>
      <c r="B408" s="206"/>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3.5" customHeight="1">
      <c r="A409" s="68"/>
      <c r="B409" s="206"/>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3.5" customHeight="1">
      <c r="A410" s="68"/>
      <c r="B410" s="206"/>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3.5" customHeight="1">
      <c r="A411" s="68"/>
      <c r="B411" s="206"/>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3.5" customHeight="1">
      <c r="A412" s="68"/>
      <c r="B412" s="206"/>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3.5" customHeight="1">
      <c r="A413" s="68"/>
      <c r="B413" s="206"/>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3.5" customHeight="1">
      <c r="A414" s="68"/>
      <c r="B414" s="206"/>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3.5" customHeight="1">
      <c r="A415" s="68"/>
      <c r="B415" s="206"/>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3.5" customHeight="1">
      <c r="A416" s="68"/>
      <c r="B416" s="206"/>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3.5" customHeight="1">
      <c r="A417" s="68"/>
      <c r="B417" s="206"/>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3.5" customHeight="1">
      <c r="A418" s="68"/>
      <c r="B418" s="206"/>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3.5" customHeight="1">
      <c r="A419" s="68"/>
      <c r="B419" s="206"/>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3.5" customHeight="1">
      <c r="A420" s="68"/>
      <c r="B420" s="206"/>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3.5" customHeight="1">
      <c r="A421" s="68"/>
      <c r="B421" s="206"/>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3.5" customHeight="1">
      <c r="A422" s="68"/>
      <c r="B422" s="206"/>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3.5" customHeight="1">
      <c r="A423" s="68"/>
      <c r="B423" s="206"/>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3.5" customHeight="1">
      <c r="A424" s="68"/>
      <c r="B424" s="206"/>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3.5" customHeight="1">
      <c r="A425" s="68"/>
      <c r="B425" s="206"/>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3.5" customHeight="1">
      <c r="A426" s="68"/>
      <c r="B426" s="206"/>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3.5" customHeight="1">
      <c r="A427" s="68"/>
      <c r="B427" s="206"/>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3.5" customHeight="1">
      <c r="A428" s="68"/>
      <c r="B428" s="206"/>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3.5" customHeight="1">
      <c r="A429" s="68"/>
      <c r="B429" s="206"/>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3.5" customHeight="1">
      <c r="A430" s="68"/>
      <c r="B430" s="206"/>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3.5" customHeight="1">
      <c r="A431" s="68"/>
      <c r="B431" s="206"/>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3.5" customHeight="1">
      <c r="A432" s="68"/>
      <c r="B432" s="206"/>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3.5" customHeight="1">
      <c r="A433" s="68"/>
      <c r="B433" s="206"/>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3.5" customHeight="1">
      <c r="A434" s="68"/>
      <c r="B434" s="206"/>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3.5" customHeight="1">
      <c r="A435" s="68"/>
      <c r="B435" s="206"/>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3.5" customHeight="1">
      <c r="A436" s="68"/>
      <c r="B436" s="206"/>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3.5" customHeight="1">
      <c r="A437" s="68"/>
      <c r="B437" s="206"/>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3.5" customHeight="1">
      <c r="A438" s="68"/>
      <c r="B438" s="206"/>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3.5" customHeight="1">
      <c r="A439" s="68"/>
      <c r="B439" s="206"/>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3.5" customHeight="1">
      <c r="A440" s="68"/>
      <c r="B440" s="206"/>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3.5" customHeight="1">
      <c r="A441" s="68"/>
      <c r="B441" s="206"/>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3.5" customHeight="1">
      <c r="A442" s="68"/>
      <c r="B442" s="206"/>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3.5" customHeight="1">
      <c r="A443" s="68"/>
      <c r="B443" s="206"/>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3.5" customHeight="1">
      <c r="A444" s="68"/>
      <c r="B444" s="206"/>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3.5" customHeight="1">
      <c r="A445" s="68"/>
      <c r="B445" s="206"/>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3.5" customHeight="1">
      <c r="A446" s="68"/>
      <c r="B446" s="206"/>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3.5" customHeight="1">
      <c r="A447" s="68"/>
      <c r="B447" s="206"/>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3.5" customHeight="1">
      <c r="A448" s="68"/>
      <c r="B448" s="206"/>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3.5" customHeight="1">
      <c r="A449" s="68"/>
      <c r="B449" s="206"/>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3.5" customHeight="1">
      <c r="A450" s="68"/>
      <c r="B450" s="206"/>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3.5" customHeight="1">
      <c r="A451" s="68"/>
      <c r="B451" s="206"/>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3.5" customHeight="1">
      <c r="A452" s="68"/>
      <c r="B452" s="206"/>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3.5" customHeight="1">
      <c r="A453" s="68"/>
      <c r="B453" s="206"/>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3.5" customHeight="1">
      <c r="A454" s="68"/>
      <c r="B454" s="206"/>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3.5" customHeight="1">
      <c r="A455" s="68"/>
      <c r="B455" s="206"/>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3.5" customHeight="1">
      <c r="A456" s="68"/>
      <c r="B456" s="206"/>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3.5" customHeight="1">
      <c r="A457" s="68"/>
      <c r="B457" s="206"/>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3.5" customHeight="1">
      <c r="A458" s="68"/>
      <c r="B458" s="206"/>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3.5" customHeight="1">
      <c r="A459" s="68"/>
      <c r="B459" s="206"/>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3.5" customHeight="1">
      <c r="A460" s="68"/>
      <c r="B460" s="206"/>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3.5" customHeight="1">
      <c r="A461" s="68"/>
      <c r="B461" s="206"/>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3.5" customHeight="1">
      <c r="A462" s="68"/>
      <c r="B462" s="206"/>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3.5" customHeight="1">
      <c r="A463" s="68"/>
      <c r="B463" s="206"/>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3.5" customHeight="1">
      <c r="A464" s="68"/>
      <c r="B464" s="206"/>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3.5" customHeight="1">
      <c r="A465" s="68"/>
      <c r="B465" s="206"/>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3.5" customHeight="1">
      <c r="A466" s="68"/>
      <c r="B466" s="206"/>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3.5" customHeight="1">
      <c r="A467" s="68"/>
      <c r="B467" s="206"/>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3.5" customHeight="1">
      <c r="A468" s="68"/>
      <c r="B468" s="206"/>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3.5" customHeight="1">
      <c r="A469" s="68"/>
      <c r="B469" s="206"/>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3.5" customHeight="1">
      <c r="A470" s="68"/>
      <c r="B470" s="206"/>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3.5" customHeight="1">
      <c r="A471" s="68"/>
      <c r="B471" s="206"/>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3.5" customHeight="1">
      <c r="A472" s="68"/>
      <c r="B472" s="206"/>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3.5" customHeight="1">
      <c r="A473" s="68"/>
      <c r="B473" s="206"/>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3.5" customHeight="1">
      <c r="A474" s="68"/>
      <c r="B474" s="206"/>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3.5" customHeight="1">
      <c r="A475" s="68"/>
      <c r="B475" s="206"/>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3.5" customHeight="1">
      <c r="A476" s="68"/>
      <c r="B476" s="206"/>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3.5" customHeight="1">
      <c r="A477" s="68"/>
      <c r="B477" s="206"/>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3.5" customHeight="1">
      <c r="A478" s="68"/>
      <c r="B478" s="206"/>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3.5" customHeight="1">
      <c r="A479" s="68"/>
      <c r="B479" s="206"/>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3.5" customHeight="1">
      <c r="A480" s="68"/>
      <c r="B480" s="206"/>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3.5" customHeight="1">
      <c r="A481" s="68"/>
      <c r="B481" s="206"/>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3.5" customHeight="1">
      <c r="A482" s="68"/>
      <c r="B482" s="206"/>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3.5" customHeight="1">
      <c r="A483" s="68"/>
      <c r="B483" s="206"/>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3.5" customHeight="1">
      <c r="A484" s="68"/>
      <c r="B484" s="206"/>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3.5" customHeight="1">
      <c r="A485" s="68"/>
      <c r="B485" s="206"/>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3.5" customHeight="1">
      <c r="A486" s="68"/>
      <c r="B486" s="206"/>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3.5" customHeight="1">
      <c r="A487" s="68"/>
      <c r="B487" s="206"/>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3.5" customHeight="1">
      <c r="A488" s="68"/>
      <c r="B488" s="206"/>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3.5" customHeight="1">
      <c r="A489" s="68"/>
      <c r="B489" s="206"/>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3.5" customHeight="1">
      <c r="A490" s="68"/>
      <c r="B490" s="206"/>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3.5" customHeight="1">
      <c r="A491" s="68"/>
      <c r="B491" s="206"/>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3.5" customHeight="1">
      <c r="A492" s="68"/>
      <c r="B492" s="206"/>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3.5" customHeight="1">
      <c r="A493" s="68"/>
      <c r="B493" s="206"/>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3.5" customHeight="1">
      <c r="A494" s="68"/>
      <c r="B494" s="206"/>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3.5" customHeight="1">
      <c r="A495" s="68"/>
      <c r="B495" s="206"/>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3.5" customHeight="1">
      <c r="A496" s="68"/>
      <c r="B496" s="206"/>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3.5" customHeight="1">
      <c r="A497" s="68"/>
      <c r="B497" s="206"/>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3.5" customHeight="1">
      <c r="A498" s="68"/>
      <c r="B498" s="206"/>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3.5" customHeight="1">
      <c r="A499" s="68"/>
      <c r="B499" s="206"/>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3.5" customHeight="1">
      <c r="A500" s="68"/>
      <c r="B500" s="206"/>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3.5" customHeight="1">
      <c r="A501" s="68"/>
      <c r="B501" s="206"/>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3.5" customHeight="1">
      <c r="A502" s="68"/>
      <c r="B502" s="206"/>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3.5" customHeight="1">
      <c r="A503" s="68"/>
      <c r="B503" s="206"/>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3.5" customHeight="1">
      <c r="A504" s="68"/>
      <c r="B504" s="206"/>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3.5" customHeight="1">
      <c r="A505" s="68"/>
      <c r="B505" s="206"/>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3.5" customHeight="1">
      <c r="A506" s="68"/>
      <c r="B506" s="206"/>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3.5" customHeight="1">
      <c r="A507" s="68"/>
      <c r="B507" s="206"/>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3.5" customHeight="1">
      <c r="A508" s="68"/>
      <c r="B508" s="206"/>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3.5" customHeight="1">
      <c r="A509" s="68"/>
      <c r="B509" s="206"/>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3.5" customHeight="1">
      <c r="A510" s="68"/>
      <c r="B510" s="206"/>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3.5" customHeight="1">
      <c r="A511" s="68"/>
      <c r="B511" s="206"/>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3.5" customHeight="1">
      <c r="A512" s="68"/>
      <c r="B512" s="206"/>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3.5" customHeight="1">
      <c r="A513" s="68"/>
      <c r="B513" s="206"/>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3.5" customHeight="1">
      <c r="A514" s="68"/>
      <c r="B514" s="206"/>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3.5" customHeight="1">
      <c r="A515" s="68"/>
      <c r="B515" s="206"/>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3.5" customHeight="1">
      <c r="A516" s="68"/>
      <c r="B516" s="206"/>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3.5" customHeight="1">
      <c r="A517" s="68"/>
      <c r="B517" s="206"/>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3.5" customHeight="1">
      <c r="A518" s="68"/>
      <c r="B518" s="206"/>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3.5" customHeight="1">
      <c r="A519" s="68"/>
      <c r="B519" s="206"/>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3.5" customHeight="1">
      <c r="A520" s="68"/>
      <c r="B520" s="206"/>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3.5" customHeight="1">
      <c r="A521" s="68"/>
      <c r="B521" s="206"/>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3.5" customHeight="1">
      <c r="A522" s="68"/>
      <c r="B522" s="206"/>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3.5" customHeight="1">
      <c r="A523" s="68"/>
      <c r="B523" s="206"/>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3.5" customHeight="1">
      <c r="A524" s="68"/>
      <c r="B524" s="206"/>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3.5" customHeight="1">
      <c r="A525" s="68"/>
      <c r="B525" s="206"/>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3.5" customHeight="1">
      <c r="A526" s="68"/>
      <c r="B526" s="206"/>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3.5" customHeight="1">
      <c r="A527" s="68"/>
      <c r="B527" s="206"/>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3.5" customHeight="1">
      <c r="A528" s="68"/>
      <c r="B528" s="206"/>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3.5" customHeight="1">
      <c r="A529" s="68"/>
      <c r="B529" s="206"/>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3.5" customHeight="1">
      <c r="A530" s="68"/>
      <c r="B530" s="206"/>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3.5" customHeight="1">
      <c r="A531" s="68"/>
      <c r="B531" s="206"/>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3.5" customHeight="1">
      <c r="A532" s="68"/>
      <c r="B532" s="206"/>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3.5" customHeight="1">
      <c r="A533" s="68"/>
      <c r="B533" s="206"/>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3.5" customHeight="1">
      <c r="A534" s="68"/>
      <c r="B534" s="206"/>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3.5" customHeight="1">
      <c r="A535" s="68"/>
      <c r="B535" s="206"/>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3.5" customHeight="1">
      <c r="A536" s="68"/>
      <c r="B536" s="206"/>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3.5" customHeight="1">
      <c r="A537" s="68"/>
      <c r="B537" s="206"/>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3.5" customHeight="1">
      <c r="A538" s="68"/>
      <c r="B538" s="206"/>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3.5" customHeight="1">
      <c r="A539" s="68"/>
      <c r="B539" s="206"/>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3.5" customHeight="1">
      <c r="A540" s="68"/>
      <c r="B540" s="206"/>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3.5" customHeight="1">
      <c r="A541" s="68"/>
      <c r="B541" s="206"/>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3.5" customHeight="1">
      <c r="A542" s="68"/>
      <c r="B542" s="206"/>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3.5" customHeight="1">
      <c r="A543" s="68"/>
      <c r="B543" s="206"/>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3.5" customHeight="1">
      <c r="A544" s="68"/>
      <c r="B544" s="206"/>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3.5" customHeight="1">
      <c r="A545" s="68"/>
      <c r="B545" s="206"/>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3.5" customHeight="1">
      <c r="A546" s="68"/>
      <c r="B546" s="206"/>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3.5" customHeight="1">
      <c r="A547" s="68"/>
      <c r="B547" s="206"/>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3.5" customHeight="1">
      <c r="A548" s="68"/>
      <c r="B548" s="206"/>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3.5" customHeight="1">
      <c r="A549" s="68"/>
      <c r="B549" s="206"/>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3.5" customHeight="1">
      <c r="A550" s="68"/>
      <c r="B550" s="206"/>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3.5" customHeight="1">
      <c r="A551" s="68"/>
      <c r="B551" s="206"/>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3.5" customHeight="1">
      <c r="A552" s="68"/>
      <c r="B552" s="206"/>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3.5" customHeight="1">
      <c r="A553" s="68"/>
      <c r="B553" s="206"/>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3.5" customHeight="1">
      <c r="A554" s="68"/>
      <c r="B554" s="206"/>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3.5" customHeight="1">
      <c r="A555" s="68"/>
      <c r="B555" s="206"/>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3.5" customHeight="1">
      <c r="A556" s="68"/>
      <c r="B556" s="206"/>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3.5" customHeight="1">
      <c r="A557" s="68"/>
      <c r="B557" s="206"/>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3.5" customHeight="1">
      <c r="A558" s="68"/>
      <c r="B558" s="206"/>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3.5" customHeight="1">
      <c r="A559" s="68"/>
      <c r="B559" s="206"/>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3.5" customHeight="1">
      <c r="A560" s="68"/>
      <c r="B560" s="206"/>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3.5" customHeight="1">
      <c r="A561" s="68"/>
      <c r="B561" s="206"/>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3.5" customHeight="1">
      <c r="A562" s="68"/>
      <c r="B562" s="206"/>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3.5" customHeight="1">
      <c r="A563" s="68"/>
      <c r="B563" s="206"/>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3.5" customHeight="1">
      <c r="A564" s="68"/>
      <c r="B564" s="206"/>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3.5" customHeight="1">
      <c r="A565" s="68"/>
      <c r="B565" s="206"/>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3.5" customHeight="1">
      <c r="A566" s="68"/>
      <c r="B566" s="206"/>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3.5" customHeight="1">
      <c r="A567" s="68"/>
      <c r="B567" s="206"/>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3.5" customHeight="1">
      <c r="A568" s="68"/>
      <c r="B568" s="206"/>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3.5" customHeight="1">
      <c r="A569" s="68"/>
      <c r="B569" s="206"/>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3.5" customHeight="1">
      <c r="A570" s="68"/>
      <c r="B570" s="206"/>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3.5" customHeight="1">
      <c r="A571" s="68"/>
      <c r="B571" s="206"/>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3.5" customHeight="1">
      <c r="A572" s="68"/>
      <c r="B572" s="206"/>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3.5" customHeight="1">
      <c r="A573" s="68"/>
      <c r="B573" s="206"/>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3.5" customHeight="1">
      <c r="A574" s="68"/>
      <c r="B574" s="206"/>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3.5" customHeight="1">
      <c r="A575" s="68"/>
      <c r="B575" s="206"/>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3.5" customHeight="1">
      <c r="A576" s="68"/>
      <c r="B576" s="206"/>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3.5" customHeight="1">
      <c r="A577" s="68"/>
      <c r="B577" s="206"/>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3.5" customHeight="1">
      <c r="A578" s="68"/>
      <c r="B578" s="206"/>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3.5" customHeight="1">
      <c r="A579" s="68"/>
      <c r="B579" s="206"/>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3.5" customHeight="1">
      <c r="A580" s="68"/>
      <c r="B580" s="206"/>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3.5" customHeight="1">
      <c r="A581" s="68"/>
      <c r="B581" s="206"/>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3.5" customHeight="1">
      <c r="A582" s="68"/>
      <c r="B582" s="206"/>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3.5" customHeight="1">
      <c r="A583" s="68"/>
      <c r="B583" s="206"/>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3.5" customHeight="1">
      <c r="A584" s="68"/>
      <c r="B584" s="206"/>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3.5" customHeight="1">
      <c r="A585" s="68"/>
      <c r="B585" s="206"/>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3.5" customHeight="1">
      <c r="A586" s="68"/>
      <c r="B586" s="206"/>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3.5" customHeight="1">
      <c r="A587" s="68"/>
      <c r="B587" s="206"/>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3.5" customHeight="1">
      <c r="A588" s="68"/>
      <c r="B588" s="206"/>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3.5" customHeight="1">
      <c r="A589" s="68"/>
      <c r="B589" s="206"/>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3.5" customHeight="1">
      <c r="A590" s="68"/>
      <c r="B590" s="206"/>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3.5" customHeight="1">
      <c r="A591" s="68"/>
      <c r="B591" s="206"/>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3.5" customHeight="1">
      <c r="A592" s="68"/>
      <c r="B592" s="206"/>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3.5" customHeight="1">
      <c r="A593" s="68"/>
      <c r="B593" s="206"/>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3.5" customHeight="1">
      <c r="A594" s="68"/>
      <c r="B594" s="206"/>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3.5" customHeight="1">
      <c r="A595" s="68"/>
      <c r="B595" s="206"/>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3.5" customHeight="1">
      <c r="A596" s="68"/>
      <c r="B596" s="206"/>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3.5" customHeight="1">
      <c r="A597" s="68"/>
      <c r="B597" s="206"/>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3.5" customHeight="1">
      <c r="A598" s="68"/>
      <c r="B598" s="206"/>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3.5" customHeight="1">
      <c r="A599" s="68"/>
      <c r="B599" s="206"/>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3.5" customHeight="1">
      <c r="A600" s="68"/>
      <c r="B600" s="206"/>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3.5" customHeight="1">
      <c r="A601" s="68"/>
      <c r="B601" s="206"/>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3.5" customHeight="1">
      <c r="A602" s="68"/>
      <c r="B602" s="206"/>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3.5" customHeight="1">
      <c r="A603" s="68"/>
      <c r="B603" s="206"/>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3.5" customHeight="1">
      <c r="A604" s="68"/>
      <c r="B604" s="206"/>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3.5" customHeight="1">
      <c r="A605" s="68"/>
      <c r="B605" s="206"/>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3.5" customHeight="1">
      <c r="A606" s="68"/>
      <c r="B606" s="206"/>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3.5" customHeight="1">
      <c r="A607" s="68"/>
      <c r="B607" s="206"/>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3.5" customHeight="1">
      <c r="A608" s="68"/>
      <c r="B608" s="206"/>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3.5" customHeight="1">
      <c r="A609" s="68"/>
      <c r="B609" s="206"/>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3.5" customHeight="1">
      <c r="A610" s="68"/>
      <c r="B610" s="206"/>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3.5" customHeight="1">
      <c r="A611" s="68"/>
      <c r="B611" s="206"/>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3.5" customHeight="1">
      <c r="A612" s="68"/>
      <c r="B612" s="206"/>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3.5" customHeight="1">
      <c r="A613" s="68"/>
      <c r="B613" s="206"/>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3.5" customHeight="1">
      <c r="A614" s="68"/>
      <c r="B614" s="206"/>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3.5" customHeight="1">
      <c r="A615" s="68"/>
      <c r="B615" s="206"/>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3.5" customHeight="1">
      <c r="A616" s="68"/>
      <c r="B616" s="206"/>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3.5" customHeight="1">
      <c r="A617" s="68"/>
      <c r="B617" s="206"/>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3.5" customHeight="1">
      <c r="A618" s="68"/>
      <c r="B618" s="206"/>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3.5" customHeight="1">
      <c r="A619" s="68"/>
      <c r="B619" s="206"/>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3.5" customHeight="1">
      <c r="A620" s="68"/>
      <c r="B620" s="206"/>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3.5" customHeight="1">
      <c r="A621" s="68"/>
      <c r="B621" s="206"/>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3.5" customHeight="1">
      <c r="A622" s="68"/>
      <c r="B622" s="206"/>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3.5" customHeight="1">
      <c r="A623" s="68"/>
      <c r="B623" s="206"/>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3.5" customHeight="1">
      <c r="A624" s="68"/>
      <c r="B624" s="206"/>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3.5" customHeight="1">
      <c r="A625" s="68"/>
      <c r="B625" s="206"/>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3.5" customHeight="1">
      <c r="A626" s="68"/>
      <c r="B626" s="206"/>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3.5" customHeight="1">
      <c r="A627" s="68"/>
      <c r="B627" s="206"/>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3.5" customHeight="1">
      <c r="A628" s="68"/>
      <c r="B628" s="206"/>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3.5" customHeight="1">
      <c r="A629" s="68"/>
      <c r="B629" s="206"/>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3.5" customHeight="1">
      <c r="A630" s="68"/>
      <c r="B630" s="206"/>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3.5" customHeight="1">
      <c r="A631" s="68"/>
      <c r="B631" s="206"/>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3.5" customHeight="1">
      <c r="A632" s="68"/>
      <c r="B632" s="206"/>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3.5" customHeight="1">
      <c r="A633" s="68"/>
      <c r="B633" s="206"/>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3.5" customHeight="1">
      <c r="A634" s="68"/>
      <c r="B634" s="206"/>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3.5" customHeight="1">
      <c r="A635" s="68"/>
      <c r="B635" s="206"/>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3.5" customHeight="1">
      <c r="A636" s="68"/>
      <c r="B636" s="206"/>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3.5" customHeight="1">
      <c r="A637" s="68"/>
      <c r="B637" s="206"/>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3.5" customHeight="1">
      <c r="A638" s="68"/>
      <c r="B638" s="206"/>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3.5" customHeight="1">
      <c r="A639" s="68"/>
      <c r="B639" s="206"/>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3.5" customHeight="1">
      <c r="A640" s="68"/>
      <c r="B640" s="206"/>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3.5" customHeight="1">
      <c r="A641" s="68"/>
      <c r="B641" s="206"/>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3.5" customHeight="1">
      <c r="A642" s="68"/>
      <c r="B642" s="206"/>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3.5" customHeight="1">
      <c r="A643" s="68"/>
      <c r="B643" s="206"/>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3.5" customHeight="1">
      <c r="A644" s="68"/>
      <c r="B644" s="206"/>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3.5" customHeight="1">
      <c r="A645" s="68"/>
      <c r="B645" s="206"/>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3.5" customHeight="1">
      <c r="A646" s="68"/>
      <c r="B646" s="206"/>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3.5" customHeight="1">
      <c r="A647" s="68"/>
      <c r="B647" s="206"/>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3.5" customHeight="1">
      <c r="A648" s="68"/>
      <c r="B648" s="206"/>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3.5" customHeight="1">
      <c r="A649" s="68"/>
      <c r="B649" s="206"/>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3.5" customHeight="1">
      <c r="A650" s="68"/>
      <c r="B650" s="206"/>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3.5" customHeight="1">
      <c r="A651" s="68"/>
      <c r="B651" s="206"/>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3.5" customHeight="1">
      <c r="A652" s="68"/>
      <c r="B652" s="206"/>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3.5" customHeight="1">
      <c r="A653" s="68"/>
      <c r="B653" s="206"/>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3.5" customHeight="1">
      <c r="A654" s="68"/>
      <c r="B654" s="206"/>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3.5" customHeight="1">
      <c r="A655" s="68"/>
      <c r="B655" s="206"/>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3.5" customHeight="1">
      <c r="A656" s="68"/>
      <c r="B656" s="206"/>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3.5" customHeight="1">
      <c r="A657" s="68"/>
      <c r="B657" s="206"/>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3.5" customHeight="1">
      <c r="A658" s="68"/>
      <c r="B658" s="206"/>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3.5" customHeight="1">
      <c r="A659" s="68"/>
      <c r="B659" s="206"/>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3.5" customHeight="1">
      <c r="A660" s="68"/>
      <c r="B660" s="206"/>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3.5" customHeight="1">
      <c r="A661" s="68"/>
      <c r="B661" s="206"/>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3.5" customHeight="1">
      <c r="A662" s="68"/>
      <c r="B662" s="206"/>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3.5" customHeight="1">
      <c r="A663" s="68"/>
      <c r="B663" s="206"/>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3.5" customHeight="1">
      <c r="A664" s="68"/>
      <c r="B664" s="206"/>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3.5" customHeight="1">
      <c r="A665" s="68"/>
      <c r="B665" s="206"/>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3.5" customHeight="1">
      <c r="A666" s="68"/>
      <c r="B666" s="206"/>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3.5" customHeight="1">
      <c r="A667" s="68"/>
      <c r="B667" s="206"/>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3.5" customHeight="1">
      <c r="A668" s="68"/>
      <c r="B668" s="206"/>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3.5" customHeight="1">
      <c r="A669" s="68"/>
      <c r="B669" s="206"/>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3.5" customHeight="1">
      <c r="A670" s="68"/>
      <c r="B670" s="206"/>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3.5" customHeight="1">
      <c r="A671" s="68"/>
      <c r="B671" s="206"/>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3.5" customHeight="1">
      <c r="A672" s="68"/>
      <c r="B672" s="206"/>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3.5" customHeight="1">
      <c r="A673" s="68"/>
      <c r="B673" s="206"/>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3.5" customHeight="1">
      <c r="A674" s="68"/>
      <c r="B674" s="206"/>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3.5" customHeight="1">
      <c r="A675" s="68"/>
      <c r="B675" s="206"/>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3.5" customHeight="1">
      <c r="A676" s="68"/>
      <c r="B676" s="206"/>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3.5" customHeight="1">
      <c r="A677" s="68"/>
      <c r="B677" s="206"/>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3.5" customHeight="1">
      <c r="A678" s="68"/>
      <c r="B678" s="206"/>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3.5" customHeight="1">
      <c r="A679" s="68"/>
      <c r="B679" s="206"/>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3.5" customHeight="1">
      <c r="A680" s="68"/>
      <c r="B680" s="206"/>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3.5" customHeight="1">
      <c r="A681" s="68"/>
      <c r="B681" s="206"/>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3.5" customHeight="1">
      <c r="A682" s="68"/>
      <c r="B682" s="206"/>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3.5" customHeight="1">
      <c r="A683" s="68"/>
      <c r="B683" s="206"/>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3.5" customHeight="1">
      <c r="A684" s="68"/>
      <c r="B684" s="206"/>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3.5" customHeight="1">
      <c r="A685" s="68"/>
      <c r="B685" s="206"/>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3.5" customHeight="1">
      <c r="A686" s="68"/>
      <c r="B686" s="206"/>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3.5" customHeight="1">
      <c r="A687" s="68"/>
      <c r="B687" s="206"/>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3.5" customHeight="1">
      <c r="A688" s="68"/>
      <c r="B688" s="206"/>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3.5" customHeight="1">
      <c r="A689" s="68"/>
      <c r="B689" s="206"/>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3.5" customHeight="1">
      <c r="A690" s="68"/>
      <c r="B690" s="206"/>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3.5" customHeight="1">
      <c r="A691" s="68"/>
      <c r="B691" s="206"/>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3.5" customHeight="1">
      <c r="A692" s="68"/>
      <c r="B692" s="206"/>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3.5" customHeight="1">
      <c r="A693" s="68"/>
      <c r="B693" s="206"/>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3.5" customHeight="1">
      <c r="A694" s="68"/>
      <c r="B694" s="206"/>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3.5" customHeight="1">
      <c r="A695" s="68"/>
      <c r="B695" s="206"/>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3.5" customHeight="1">
      <c r="A696" s="68"/>
      <c r="B696" s="206"/>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3.5" customHeight="1">
      <c r="A697" s="68"/>
      <c r="B697" s="206"/>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3.5" customHeight="1">
      <c r="A698" s="68"/>
      <c r="B698" s="206"/>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3.5" customHeight="1">
      <c r="A699" s="68"/>
      <c r="B699" s="206"/>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3.5" customHeight="1">
      <c r="A700" s="68"/>
      <c r="B700" s="206"/>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3.5" customHeight="1">
      <c r="A701" s="68"/>
      <c r="B701" s="206"/>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3.5" customHeight="1">
      <c r="A702" s="68"/>
      <c r="B702" s="206"/>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3.5" customHeight="1">
      <c r="A703" s="68"/>
      <c r="B703" s="206"/>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3.5" customHeight="1">
      <c r="A704" s="68"/>
      <c r="B704" s="206"/>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3.5" customHeight="1">
      <c r="A705" s="68"/>
      <c r="B705" s="206"/>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3.5" customHeight="1">
      <c r="A706" s="68"/>
      <c r="B706" s="206"/>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3.5" customHeight="1">
      <c r="A707" s="68"/>
      <c r="B707" s="206"/>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3.5" customHeight="1">
      <c r="A708" s="68"/>
      <c r="B708" s="206"/>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3.5" customHeight="1">
      <c r="A709" s="68"/>
      <c r="B709" s="206"/>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3.5" customHeight="1">
      <c r="A710" s="68"/>
      <c r="B710" s="206"/>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3.5" customHeight="1">
      <c r="A711" s="68"/>
      <c r="B711" s="206"/>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3.5" customHeight="1">
      <c r="A712" s="68"/>
      <c r="B712" s="206"/>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3.5" customHeight="1">
      <c r="A713" s="68"/>
      <c r="B713" s="206"/>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3.5" customHeight="1">
      <c r="A714" s="68"/>
      <c r="B714" s="206"/>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3.5" customHeight="1">
      <c r="A715" s="68"/>
      <c r="B715" s="206"/>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3.5" customHeight="1">
      <c r="A716" s="68"/>
      <c r="B716" s="206"/>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3.5" customHeight="1">
      <c r="A717" s="68"/>
      <c r="B717" s="206"/>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3.5" customHeight="1">
      <c r="A718" s="68"/>
      <c r="B718" s="206"/>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3.5" customHeight="1">
      <c r="A719" s="68"/>
      <c r="B719" s="206"/>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3.5" customHeight="1">
      <c r="A720" s="68"/>
      <c r="B720" s="206"/>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3.5" customHeight="1">
      <c r="A721" s="68"/>
      <c r="B721" s="206"/>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3.5" customHeight="1">
      <c r="A722" s="68"/>
      <c r="B722" s="206"/>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3.5" customHeight="1">
      <c r="A723" s="68"/>
      <c r="B723" s="206"/>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3.5" customHeight="1">
      <c r="A724" s="68"/>
      <c r="B724" s="206"/>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3.5" customHeight="1">
      <c r="A725" s="68"/>
      <c r="B725" s="206"/>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3.5" customHeight="1">
      <c r="A726" s="68"/>
      <c r="B726" s="206"/>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3.5" customHeight="1">
      <c r="A727" s="68"/>
      <c r="B727" s="206"/>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3.5" customHeight="1">
      <c r="A728" s="68"/>
      <c r="B728" s="206"/>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3.5" customHeight="1">
      <c r="A729" s="68"/>
      <c r="B729" s="206"/>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3.5" customHeight="1">
      <c r="A730" s="68"/>
      <c r="B730" s="206"/>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3.5" customHeight="1">
      <c r="A731" s="68"/>
      <c r="B731" s="206"/>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3.5" customHeight="1">
      <c r="A732" s="68"/>
      <c r="B732" s="206"/>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3.5" customHeight="1">
      <c r="A733" s="68"/>
      <c r="B733" s="206"/>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3.5" customHeight="1">
      <c r="A734" s="68"/>
      <c r="B734" s="206"/>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3.5" customHeight="1">
      <c r="A735" s="68"/>
      <c r="B735" s="206"/>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3.5" customHeight="1">
      <c r="A736" s="68"/>
      <c r="B736" s="206"/>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3.5" customHeight="1">
      <c r="A737" s="68"/>
      <c r="B737" s="206"/>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3.5" customHeight="1">
      <c r="A738" s="68"/>
      <c r="B738" s="206"/>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3.5" customHeight="1">
      <c r="A739" s="68"/>
      <c r="B739" s="206"/>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3.5" customHeight="1">
      <c r="A740" s="68"/>
      <c r="B740" s="206"/>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3.5" customHeight="1">
      <c r="A741" s="68"/>
      <c r="B741" s="206"/>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3.5" customHeight="1">
      <c r="A742" s="68"/>
      <c r="B742" s="206"/>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3.5" customHeight="1">
      <c r="A743" s="68"/>
      <c r="B743" s="206"/>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3.5" customHeight="1">
      <c r="A744" s="68"/>
      <c r="B744" s="206"/>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3.5" customHeight="1">
      <c r="A745" s="68"/>
      <c r="B745" s="206"/>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3.5" customHeight="1">
      <c r="A746" s="68"/>
      <c r="B746" s="206"/>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3.5" customHeight="1">
      <c r="A747" s="68"/>
      <c r="B747" s="206"/>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3.5" customHeight="1">
      <c r="A748" s="68"/>
      <c r="B748" s="206"/>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3.5" customHeight="1">
      <c r="A749" s="68"/>
      <c r="B749" s="206"/>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3.5" customHeight="1">
      <c r="A750" s="68"/>
      <c r="B750" s="206"/>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3.5" customHeight="1">
      <c r="A751" s="68"/>
      <c r="B751" s="206"/>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3.5" customHeight="1">
      <c r="A752" s="68"/>
      <c r="B752" s="206"/>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3.5" customHeight="1">
      <c r="A753" s="68"/>
      <c r="B753" s="206"/>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3.5" customHeight="1">
      <c r="A754" s="68"/>
      <c r="B754" s="206"/>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3.5" customHeight="1">
      <c r="A755" s="68"/>
      <c r="B755" s="206"/>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3.5" customHeight="1">
      <c r="A756" s="68"/>
      <c r="B756" s="206"/>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3.5" customHeight="1">
      <c r="A757" s="68"/>
      <c r="B757" s="206"/>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3.5" customHeight="1">
      <c r="A758" s="68"/>
      <c r="B758" s="206"/>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3.5" customHeight="1">
      <c r="A759" s="68"/>
      <c r="B759" s="206"/>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3.5" customHeight="1">
      <c r="A760" s="68"/>
      <c r="B760" s="206"/>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3.5" customHeight="1">
      <c r="A761" s="68"/>
      <c r="B761" s="206"/>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3.5" customHeight="1">
      <c r="A762" s="68"/>
      <c r="B762" s="206"/>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3.5" customHeight="1">
      <c r="A763" s="68"/>
      <c r="B763" s="206"/>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3.5" customHeight="1">
      <c r="A764" s="68"/>
      <c r="B764" s="206"/>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3.5" customHeight="1">
      <c r="A765" s="68"/>
      <c r="B765" s="206"/>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3.5" customHeight="1">
      <c r="A766" s="68"/>
      <c r="B766" s="206"/>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3.5" customHeight="1">
      <c r="A767" s="68"/>
      <c r="B767" s="206"/>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3.5" customHeight="1">
      <c r="A768" s="68"/>
      <c r="B768" s="206"/>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3.5" customHeight="1">
      <c r="A769" s="68"/>
      <c r="B769" s="206"/>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3.5" customHeight="1">
      <c r="A770" s="68"/>
      <c r="B770" s="206"/>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3.5" customHeight="1">
      <c r="A771" s="68"/>
      <c r="B771" s="206"/>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3.5" customHeight="1">
      <c r="A772" s="68"/>
      <c r="B772" s="206"/>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3.5" customHeight="1">
      <c r="A773" s="68"/>
      <c r="B773" s="206"/>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3.5" customHeight="1">
      <c r="A774" s="68"/>
      <c r="B774" s="206"/>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3.5" customHeight="1">
      <c r="A775" s="68"/>
      <c r="B775" s="206"/>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3.5" customHeight="1">
      <c r="A776" s="68"/>
      <c r="B776" s="206"/>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3.5" customHeight="1">
      <c r="A777" s="68"/>
      <c r="B777" s="206"/>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3.5" customHeight="1">
      <c r="A778" s="68"/>
      <c r="B778" s="206"/>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3.5" customHeight="1">
      <c r="A779" s="68"/>
      <c r="B779" s="206"/>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3.5" customHeight="1">
      <c r="A780" s="68"/>
      <c r="B780" s="206"/>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3.5" customHeight="1">
      <c r="A781" s="68"/>
      <c r="B781" s="206"/>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3.5" customHeight="1">
      <c r="A782" s="68"/>
      <c r="B782" s="206"/>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3.5" customHeight="1">
      <c r="A783" s="68"/>
      <c r="B783" s="206"/>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3.5" customHeight="1">
      <c r="A784" s="68"/>
      <c r="B784" s="206"/>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3.5" customHeight="1">
      <c r="A785" s="68"/>
      <c r="B785" s="206"/>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3.5" customHeight="1">
      <c r="A786" s="68"/>
      <c r="B786" s="206"/>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3.5" customHeight="1">
      <c r="A787" s="68"/>
      <c r="B787" s="206"/>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3.5" customHeight="1">
      <c r="A788" s="68"/>
      <c r="B788" s="206"/>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3.5" customHeight="1">
      <c r="A789" s="68"/>
      <c r="B789" s="206"/>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3.5" customHeight="1">
      <c r="A790" s="68"/>
      <c r="B790" s="206"/>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3.5" customHeight="1">
      <c r="A791" s="68"/>
      <c r="B791" s="206"/>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3.5" customHeight="1">
      <c r="A792" s="68"/>
      <c r="B792" s="206"/>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3.5" customHeight="1">
      <c r="A793" s="68"/>
      <c r="B793" s="206"/>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3.5" customHeight="1">
      <c r="A794" s="68"/>
      <c r="B794" s="206"/>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3.5" customHeight="1">
      <c r="A795" s="68"/>
      <c r="B795" s="206"/>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3.5" customHeight="1">
      <c r="A796" s="68"/>
      <c r="B796" s="206"/>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3.5" customHeight="1">
      <c r="A797" s="68"/>
      <c r="B797" s="206"/>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3.5" customHeight="1">
      <c r="A798" s="68"/>
      <c r="B798" s="206"/>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3.5" customHeight="1">
      <c r="A799" s="68"/>
      <c r="B799" s="206"/>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3.5" customHeight="1">
      <c r="A800" s="68"/>
      <c r="B800" s="206"/>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3.5" customHeight="1">
      <c r="A801" s="68"/>
      <c r="B801" s="206"/>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3.5" customHeight="1">
      <c r="A802" s="68"/>
      <c r="B802" s="206"/>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3.5" customHeight="1">
      <c r="A803" s="68"/>
      <c r="B803" s="206"/>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3.5" customHeight="1">
      <c r="A804" s="68"/>
      <c r="B804" s="206"/>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3.5" customHeight="1">
      <c r="A805" s="68"/>
      <c r="B805" s="206"/>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3.5" customHeight="1">
      <c r="A806" s="68"/>
      <c r="B806" s="206"/>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3.5" customHeight="1">
      <c r="A807" s="68"/>
      <c r="B807" s="206"/>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3.5" customHeight="1">
      <c r="A808" s="68"/>
      <c r="B808" s="206"/>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3.5" customHeight="1">
      <c r="A809" s="68"/>
      <c r="B809" s="206"/>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3.5" customHeight="1">
      <c r="A810" s="68"/>
      <c r="B810" s="206"/>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3.5" customHeight="1">
      <c r="A811" s="68"/>
      <c r="B811" s="206"/>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3.5" customHeight="1">
      <c r="A812" s="68"/>
      <c r="B812" s="206"/>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3.5" customHeight="1">
      <c r="A813" s="68"/>
      <c r="B813" s="206"/>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3.5" customHeight="1">
      <c r="A814" s="68"/>
      <c r="B814" s="206"/>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3.5" customHeight="1">
      <c r="A815" s="68"/>
      <c r="B815" s="206"/>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3.5" customHeight="1">
      <c r="A816" s="68"/>
      <c r="B816" s="206"/>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3.5" customHeight="1">
      <c r="A817" s="68"/>
      <c r="B817" s="206"/>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3.5" customHeight="1">
      <c r="A818" s="68"/>
      <c r="B818" s="206"/>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3.5" customHeight="1">
      <c r="A819" s="68"/>
      <c r="B819" s="206"/>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3.5" customHeight="1">
      <c r="A820" s="68"/>
      <c r="B820" s="206"/>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3.5" customHeight="1">
      <c r="A821" s="68"/>
      <c r="B821" s="206"/>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3.5" customHeight="1">
      <c r="A822" s="68"/>
      <c r="B822" s="206"/>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3.5" customHeight="1">
      <c r="A823" s="68"/>
      <c r="B823" s="206"/>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3.5" customHeight="1">
      <c r="A824" s="68"/>
      <c r="B824" s="206"/>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3.5" customHeight="1">
      <c r="A825" s="68"/>
      <c r="B825" s="206"/>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3.5" customHeight="1">
      <c r="A826" s="68"/>
      <c r="B826" s="206"/>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3.5" customHeight="1">
      <c r="A827" s="68"/>
      <c r="B827" s="206"/>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3.5" customHeight="1">
      <c r="A828" s="68"/>
      <c r="B828" s="206"/>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3.5" customHeight="1">
      <c r="A829" s="68"/>
      <c r="B829" s="206"/>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3.5" customHeight="1">
      <c r="A830" s="68"/>
      <c r="B830" s="206"/>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3.5" customHeight="1">
      <c r="A831" s="68"/>
      <c r="B831" s="206"/>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3.5" customHeight="1">
      <c r="A832" s="68"/>
      <c r="B832" s="206"/>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3.5" customHeight="1">
      <c r="A833" s="68"/>
      <c r="B833" s="206"/>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3.5" customHeight="1">
      <c r="A834" s="68"/>
      <c r="B834" s="206"/>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3.5" customHeight="1">
      <c r="A835" s="68"/>
      <c r="B835" s="206"/>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3.5" customHeight="1">
      <c r="A836" s="68"/>
      <c r="B836" s="206"/>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3.5" customHeight="1">
      <c r="A837" s="68"/>
      <c r="B837" s="206"/>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3.5" customHeight="1">
      <c r="A838" s="68"/>
      <c r="B838" s="206"/>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3.5" customHeight="1">
      <c r="A839" s="68"/>
      <c r="B839" s="206"/>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3.5" customHeight="1">
      <c r="A840" s="68"/>
      <c r="B840" s="206"/>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3.5" customHeight="1">
      <c r="A841" s="68"/>
      <c r="B841" s="206"/>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3.5" customHeight="1">
      <c r="A842" s="68"/>
      <c r="B842" s="206"/>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3.5" customHeight="1">
      <c r="A843" s="68"/>
      <c r="B843" s="206"/>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3.5" customHeight="1">
      <c r="A844" s="68"/>
      <c r="B844" s="206"/>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3.5" customHeight="1">
      <c r="A845" s="68"/>
      <c r="B845" s="206"/>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3.5" customHeight="1">
      <c r="A846" s="68"/>
      <c r="B846" s="206"/>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3.5" customHeight="1">
      <c r="A847" s="68"/>
      <c r="B847" s="206"/>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3.5" customHeight="1">
      <c r="A848" s="68"/>
      <c r="B848" s="206"/>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3.5" customHeight="1">
      <c r="A849" s="68"/>
      <c r="B849" s="206"/>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3.5" customHeight="1">
      <c r="A850" s="68"/>
      <c r="B850" s="206"/>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3.5" customHeight="1">
      <c r="A851" s="68"/>
      <c r="B851" s="206"/>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3.5" customHeight="1">
      <c r="A852" s="68"/>
      <c r="B852" s="206"/>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3.5" customHeight="1">
      <c r="A853" s="68"/>
      <c r="B853" s="206"/>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3.5" customHeight="1">
      <c r="A854" s="68"/>
      <c r="B854" s="206"/>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3.5" customHeight="1">
      <c r="A855" s="68"/>
      <c r="B855" s="206"/>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3.5" customHeight="1">
      <c r="A856" s="68"/>
      <c r="B856" s="206"/>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3.5" customHeight="1">
      <c r="A857" s="68"/>
      <c r="B857" s="206"/>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3.5" customHeight="1">
      <c r="A858" s="68"/>
      <c r="B858" s="206"/>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3.5" customHeight="1">
      <c r="A859" s="68"/>
      <c r="B859" s="206"/>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3.5" customHeight="1">
      <c r="A860" s="68"/>
      <c r="B860" s="206"/>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3.5" customHeight="1">
      <c r="A861" s="68"/>
      <c r="B861" s="206"/>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3.5" customHeight="1">
      <c r="A862" s="68"/>
      <c r="B862" s="206"/>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3.5" customHeight="1">
      <c r="A863" s="68"/>
      <c r="B863" s="206"/>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3.5" customHeight="1">
      <c r="A864" s="68"/>
      <c r="B864" s="206"/>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3.5" customHeight="1">
      <c r="A865" s="68"/>
      <c r="B865" s="206"/>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3.5" customHeight="1">
      <c r="A866" s="68"/>
      <c r="B866" s="206"/>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3.5" customHeight="1">
      <c r="A867" s="68"/>
      <c r="B867" s="206"/>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3.5" customHeight="1">
      <c r="A868" s="68"/>
      <c r="B868" s="206"/>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3.5" customHeight="1">
      <c r="A869" s="68"/>
      <c r="B869" s="206"/>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3.5" customHeight="1">
      <c r="A870" s="68"/>
      <c r="B870" s="206"/>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3.5" customHeight="1">
      <c r="A871" s="68"/>
      <c r="B871" s="206"/>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3.5" customHeight="1">
      <c r="A872" s="68"/>
      <c r="B872" s="206"/>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3.5" customHeight="1">
      <c r="A873" s="68"/>
      <c r="B873" s="206"/>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3.5" customHeight="1">
      <c r="A874" s="68"/>
      <c r="B874" s="206"/>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3.5" customHeight="1">
      <c r="A875" s="68"/>
      <c r="B875" s="206"/>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3.5" customHeight="1">
      <c r="A876" s="68"/>
      <c r="B876" s="206"/>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3.5" customHeight="1">
      <c r="A877" s="68"/>
      <c r="B877" s="206"/>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3.5" customHeight="1">
      <c r="A878" s="68"/>
      <c r="B878" s="206"/>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3.5" customHeight="1">
      <c r="A879" s="68"/>
      <c r="B879" s="206"/>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3.5" customHeight="1">
      <c r="A880" s="68"/>
      <c r="B880" s="206"/>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3.5" customHeight="1">
      <c r="A881" s="68"/>
      <c r="B881" s="206"/>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3.5" customHeight="1">
      <c r="A882" s="68"/>
      <c r="B882" s="206"/>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3.5" customHeight="1">
      <c r="A883" s="68"/>
      <c r="B883" s="206"/>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3.5" customHeight="1">
      <c r="A884" s="68"/>
      <c r="B884" s="206"/>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3.5" customHeight="1">
      <c r="A885" s="68"/>
      <c r="B885" s="206"/>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3.5" customHeight="1">
      <c r="A886" s="68"/>
      <c r="B886" s="206"/>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3.5" customHeight="1">
      <c r="A887" s="68"/>
      <c r="B887" s="206"/>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3.5" customHeight="1">
      <c r="A888" s="68"/>
      <c r="B888" s="206"/>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3.5" customHeight="1">
      <c r="A889" s="68"/>
      <c r="B889" s="206"/>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3.5" customHeight="1">
      <c r="A890" s="68"/>
      <c r="B890" s="206"/>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3.5" customHeight="1">
      <c r="A891" s="68"/>
      <c r="B891" s="206"/>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3.5" customHeight="1">
      <c r="A892" s="68"/>
      <c r="B892" s="206"/>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3.5" customHeight="1">
      <c r="A893" s="68"/>
      <c r="B893" s="206"/>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3.5" customHeight="1">
      <c r="A894" s="68"/>
      <c r="B894" s="206"/>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3.5" customHeight="1">
      <c r="A895" s="68"/>
      <c r="B895" s="206"/>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3.5" customHeight="1">
      <c r="A896" s="68"/>
      <c r="B896" s="206"/>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3.5" customHeight="1">
      <c r="A897" s="68"/>
      <c r="B897" s="206"/>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3.5" customHeight="1">
      <c r="A898" s="68"/>
      <c r="B898" s="206"/>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3.5" customHeight="1">
      <c r="A899" s="68"/>
      <c r="B899" s="206"/>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3.5" customHeight="1">
      <c r="A900" s="68"/>
      <c r="B900" s="206"/>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3.5" customHeight="1">
      <c r="A901" s="68"/>
      <c r="B901" s="206"/>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3.5" customHeight="1">
      <c r="A902" s="68"/>
      <c r="B902" s="206"/>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3.5" customHeight="1">
      <c r="A903" s="68"/>
      <c r="B903" s="206"/>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3.5" customHeight="1">
      <c r="A904" s="68"/>
      <c r="B904" s="206"/>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3.5" customHeight="1">
      <c r="A905" s="68"/>
      <c r="B905" s="206"/>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3.5" customHeight="1">
      <c r="A906" s="68"/>
      <c r="B906" s="206"/>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3.5" customHeight="1">
      <c r="A907" s="68"/>
      <c r="B907" s="206"/>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3.5" customHeight="1">
      <c r="A908" s="68"/>
      <c r="B908" s="206"/>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3.5" customHeight="1">
      <c r="A909" s="68"/>
      <c r="B909" s="206"/>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3.5" customHeight="1">
      <c r="A910" s="68"/>
      <c r="B910" s="206"/>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3.5" customHeight="1">
      <c r="A911" s="68"/>
      <c r="B911" s="206"/>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3.5" customHeight="1">
      <c r="A912" s="68"/>
      <c r="B912" s="206"/>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3.5" customHeight="1">
      <c r="A913" s="68"/>
      <c r="B913" s="206"/>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3.5" customHeight="1">
      <c r="A914" s="68"/>
      <c r="B914" s="206"/>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3.5" customHeight="1">
      <c r="A915" s="68"/>
      <c r="B915" s="206"/>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3.5" customHeight="1">
      <c r="A916" s="68"/>
      <c r="B916" s="206"/>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3.5" customHeight="1">
      <c r="A917" s="68"/>
      <c r="B917" s="206"/>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3.5" customHeight="1">
      <c r="A918" s="68"/>
      <c r="B918" s="206"/>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3.5" customHeight="1">
      <c r="A919" s="68"/>
      <c r="B919" s="206"/>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3.5" customHeight="1">
      <c r="A920" s="68"/>
      <c r="B920" s="206"/>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3.5" customHeight="1">
      <c r="A921" s="68"/>
      <c r="B921" s="206"/>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3.5" customHeight="1">
      <c r="A922" s="68"/>
      <c r="B922" s="206"/>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3.5" customHeight="1">
      <c r="A923" s="68"/>
      <c r="B923" s="206"/>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3.5" customHeight="1">
      <c r="A924" s="68"/>
      <c r="B924" s="206"/>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3.5" customHeight="1">
      <c r="A925" s="68"/>
      <c r="B925" s="206"/>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3.5" customHeight="1">
      <c r="A926" s="68"/>
      <c r="B926" s="206"/>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3.5" customHeight="1">
      <c r="A927" s="68"/>
      <c r="B927" s="206"/>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3.5" customHeight="1">
      <c r="A928" s="68"/>
      <c r="B928" s="206"/>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3.5" customHeight="1">
      <c r="A929" s="68"/>
      <c r="B929" s="206"/>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3.5" customHeight="1">
      <c r="A930" s="68"/>
      <c r="B930" s="206"/>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3.5" customHeight="1">
      <c r="A931" s="68"/>
      <c r="B931" s="206"/>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3.5" customHeight="1">
      <c r="A932" s="68"/>
      <c r="B932" s="206"/>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3.5" customHeight="1">
      <c r="A933" s="68"/>
      <c r="B933" s="206"/>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3.5" customHeight="1">
      <c r="A934" s="68"/>
      <c r="B934" s="206"/>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3.5" customHeight="1">
      <c r="A935" s="68"/>
      <c r="B935" s="206"/>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3.5" customHeight="1">
      <c r="A936" s="68"/>
      <c r="B936" s="206"/>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3.5" customHeight="1">
      <c r="A937" s="68"/>
      <c r="B937" s="206"/>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3.5" customHeight="1">
      <c r="A938" s="68"/>
      <c r="B938" s="206"/>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3.5" customHeight="1">
      <c r="A939" s="68"/>
      <c r="B939" s="206"/>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3.5" customHeight="1">
      <c r="A940" s="68"/>
      <c r="B940" s="206"/>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3.5" customHeight="1">
      <c r="A941" s="68"/>
      <c r="B941" s="206"/>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3.5" customHeight="1">
      <c r="A942" s="68"/>
      <c r="B942" s="206"/>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3.5" customHeight="1">
      <c r="A943" s="68"/>
      <c r="B943" s="206"/>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3.5" customHeight="1">
      <c r="A944" s="68"/>
      <c r="B944" s="206"/>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3.5" customHeight="1">
      <c r="A945" s="68"/>
      <c r="B945" s="206"/>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3.5" customHeight="1">
      <c r="A946" s="68"/>
      <c r="B946" s="206"/>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3.5" customHeight="1">
      <c r="A947" s="68"/>
      <c r="B947" s="206"/>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3.5" customHeight="1">
      <c r="A948" s="68"/>
      <c r="B948" s="206"/>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3.5" customHeight="1">
      <c r="A949" s="68"/>
      <c r="B949" s="206"/>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3.5" customHeight="1">
      <c r="A950" s="68"/>
      <c r="B950" s="206"/>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3.5" customHeight="1">
      <c r="A951" s="68"/>
      <c r="B951" s="206"/>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3.5" customHeight="1">
      <c r="A952" s="68"/>
      <c r="B952" s="206"/>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3.5" customHeight="1">
      <c r="A953" s="68"/>
      <c r="B953" s="206"/>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3.5" customHeight="1">
      <c r="A954" s="68"/>
      <c r="B954" s="206"/>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3.5" customHeight="1">
      <c r="A955" s="68"/>
      <c r="B955" s="206"/>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3.5" customHeight="1">
      <c r="A956" s="68"/>
      <c r="B956" s="206"/>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3.5" customHeight="1">
      <c r="A957" s="68"/>
      <c r="B957" s="206"/>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3.5" customHeight="1">
      <c r="A958" s="68"/>
      <c r="B958" s="206"/>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3.5" customHeight="1">
      <c r="A959" s="68"/>
      <c r="B959" s="206"/>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3.5" customHeight="1">
      <c r="A960" s="68"/>
      <c r="B960" s="206"/>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3.5" customHeight="1">
      <c r="A961" s="68"/>
      <c r="B961" s="206"/>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3.5" customHeight="1">
      <c r="A962" s="68"/>
      <c r="B962" s="206"/>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3.5" customHeight="1">
      <c r="A963" s="68"/>
      <c r="B963" s="206"/>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3.5" customHeight="1">
      <c r="A964" s="68"/>
      <c r="B964" s="206"/>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3.5" customHeight="1">
      <c r="A965" s="68"/>
      <c r="B965" s="206"/>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3.5" customHeight="1">
      <c r="A966" s="68"/>
      <c r="B966" s="206"/>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3.5" customHeight="1">
      <c r="A967" s="68"/>
      <c r="B967" s="206"/>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3.5" customHeight="1">
      <c r="A968" s="68"/>
      <c r="B968" s="206"/>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3.5" customHeight="1">
      <c r="A969" s="68"/>
      <c r="B969" s="206"/>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3.5" customHeight="1">
      <c r="A970" s="68"/>
      <c r="B970" s="206"/>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3.5" customHeight="1">
      <c r="A971" s="68"/>
      <c r="B971" s="206"/>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3.5" customHeight="1">
      <c r="A972" s="68"/>
      <c r="B972" s="206"/>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3.5" customHeight="1">
      <c r="A973" s="68"/>
      <c r="B973" s="206"/>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3.5" customHeight="1">
      <c r="A974" s="68"/>
      <c r="B974" s="206"/>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3.5" customHeight="1">
      <c r="A975" s="68"/>
      <c r="B975" s="206"/>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3.5" customHeight="1">
      <c r="A976" s="68"/>
      <c r="B976" s="206"/>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3.5" customHeight="1">
      <c r="A977" s="68"/>
      <c r="B977" s="206"/>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3.5" customHeight="1">
      <c r="A978" s="68"/>
      <c r="B978" s="206"/>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3.5" customHeight="1">
      <c r="A979" s="68"/>
      <c r="B979" s="206"/>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3.5" customHeight="1">
      <c r="A980" s="68"/>
      <c r="B980" s="206"/>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3.5" customHeight="1">
      <c r="A981" s="68"/>
      <c r="B981" s="206"/>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3.5" customHeight="1">
      <c r="A982" s="68"/>
      <c r="B982" s="206"/>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3.5" customHeight="1">
      <c r="A983" s="68"/>
      <c r="B983" s="206"/>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3.5" customHeight="1">
      <c r="A984" s="68"/>
      <c r="B984" s="206"/>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3.5" customHeight="1">
      <c r="A985" s="68"/>
      <c r="B985" s="206"/>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3.5" customHeight="1">
      <c r="A986" s="68"/>
      <c r="B986" s="206"/>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3.5" customHeight="1">
      <c r="A987" s="68"/>
      <c r="B987" s="206"/>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3.5" customHeight="1">
      <c r="A988" s="68"/>
      <c r="B988" s="206"/>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3.5" customHeight="1">
      <c r="A989" s="68"/>
      <c r="B989" s="206"/>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3.5" customHeight="1">
      <c r="A990" s="68"/>
      <c r="B990" s="206"/>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3.5" customHeight="1">
      <c r="A991" s="68"/>
      <c r="B991" s="206"/>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3.5" customHeight="1">
      <c r="A992" s="68"/>
      <c r="B992" s="206"/>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3.5" customHeight="1">
      <c r="A993" s="68"/>
      <c r="B993" s="206"/>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3.5" customHeight="1">
      <c r="A994" s="68"/>
      <c r="B994" s="206"/>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ht="13.5" customHeight="1">
      <c r="A995" s="68"/>
      <c r="B995" s="206"/>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ht="13.5" customHeight="1">
      <c r="A996" s="68"/>
      <c r="B996" s="206"/>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ht="13.5" customHeight="1">
      <c r="A997" s="68"/>
      <c r="B997" s="206"/>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ht="13.5" customHeight="1">
      <c r="A998" s="68"/>
      <c r="B998" s="206"/>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ht="13.5" customHeight="1">
      <c r="A999" s="68"/>
      <c r="B999" s="206"/>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ht="13.5" customHeight="1">
      <c r="A1000" s="68"/>
      <c r="B1000" s="206"/>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rintOptions/>
  <pageMargins bottom="1.0" footer="0.0" header="0.0" left="0.75" right="0.75" top="1.0"/>
  <pageSetup orientation="landscape"/>
  <drawing r:id="rId1"/>
</worksheet>
</file>