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😈\django\New folder\"/>
    </mc:Choice>
  </mc:AlternateContent>
  <xr:revisionPtr revIDLastSave="0" documentId="8_{C36F2C07-B9A0-457C-9D7E-8EC3A77835E1}" xr6:coauthVersionLast="47" xr6:coauthVersionMax="47" xr10:uidLastSave="{00000000-0000-0000-0000-000000000000}"/>
  <bookViews>
    <workbookView xWindow="-108" yWindow="-108" windowWidth="23256" windowHeight="13176" xr2:uid="{322B60B7-F0E9-4A63-9A38-342DD5AB6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K82" i="1"/>
  <c r="J82" i="1"/>
  <c r="H82" i="1"/>
  <c r="S82" i="1" s="1"/>
  <c r="G82" i="1"/>
  <c r="M81" i="1"/>
  <c r="L81" i="1"/>
  <c r="K81" i="1"/>
  <c r="I81" i="1"/>
  <c r="J81" i="1" s="1"/>
  <c r="H81" i="1"/>
  <c r="S81" i="1" s="1"/>
  <c r="G81" i="1"/>
  <c r="M80" i="1"/>
  <c r="L80" i="1"/>
  <c r="K80" i="1"/>
  <c r="I80" i="1"/>
  <c r="J80" i="1" s="1"/>
  <c r="G80" i="1"/>
  <c r="M79" i="1"/>
  <c r="L79" i="1"/>
  <c r="K79" i="1"/>
  <c r="I79" i="1"/>
  <c r="J79" i="1" s="1"/>
  <c r="H79" i="1"/>
  <c r="N79" i="1" s="1"/>
  <c r="G79" i="1"/>
  <c r="N78" i="1"/>
  <c r="T78" i="1" s="1"/>
  <c r="U78" i="1" s="1"/>
  <c r="AB78" i="1" s="1"/>
  <c r="Q78" i="1" s="1"/>
  <c r="M78" i="1"/>
  <c r="P78" i="1" s="1"/>
  <c r="R78" i="1" s="1"/>
  <c r="K78" i="1"/>
  <c r="J78" i="1"/>
  <c r="I78" i="1"/>
  <c r="G78" i="1"/>
  <c r="H78" i="1" s="1"/>
  <c r="S78" i="1" s="1"/>
  <c r="S77" i="1"/>
  <c r="M77" i="1"/>
  <c r="K77" i="1"/>
  <c r="J77" i="1"/>
  <c r="I77" i="1"/>
  <c r="H77" i="1"/>
  <c r="G77" i="1"/>
  <c r="S76" i="1"/>
  <c r="M76" i="1"/>
  <c r="K76" i="1"/>
  <c r="I76" i="1"/>
  <c r="J76" i="1" s="1"/>
  <c r="H76" i="1"/>
  <c r="G76" i="1"/>
  <c r="M75" i="1"/>
  <c r="K75" i="1"/>
  <c r="I75" i="1"/>
  <c r="J75" i="1" s="1"/>
  <c r="G75" i="1"/>
  <c r="M74" i="1"/>
  <c r="K74" i="1"/>
  <c r="J74" i="1"/>
  <c r="I74" i="1"/>
  <c r="G74" i="1"/>
  <c r="H74" i="1" s="1"/>
  <c r="S74" i="1" s="1"/>
  <c r="M73" i="1"/>
  <c r="L73" i="1"/>
  <c r="K73" i="1"/>
  <c r="H73" i="1"/>
  <c r="S73" i="1" s="1"/>
  <c r="G73" i="1"/>
  <c r="M72" i="1"/>
  <c r="K72" i="1"/>
  <c r="I72" i="1"/>
  <c r="J72" i="1" s="1"/>
  <c r="G72" i="1"/>
  <c r="P71" i="1"/>
  <c r="N71" i="1"/>
  <c r="T71" i="1" s="1"/>
  <c r="M71" i="1"/>
  <c r="K71" i="1"/>
  <c r="H71" i="1"/>
  <c r="G71" i="1"/>
  <c r="S71" i="1" s="1"/>
  <c r="S70" i="1"/>
  <c r="M70" i="1"/>
  <c r="K70" i="1"/>
  <c r="I70" i="1"/>
  <c r="J70" i="1" s="1"/>
  <c r="H70" i="1"/>
  <c r="G70" i="1"/>
  <c r="M69" i="1"/>
  <c r="K69" i="1"/>
  <c r="I69" i="1"/>
  <c r="J69" i="1" s="1"/>
  <c r="G69" i="1"/>
  <c r="H69" i="1" s="1"/>
  <c r="M68" i="1"/>
  <c r="L68" i="1"/>
  <c r="K68" i="1"/>
  <c r="I68" i="1"/>
  <c r="J68" i="1" s="1"/>
  <c r="H68" i="1"/>
  <c r="G68" i="1"/>
  <c r="N67" i="1"/>
  <c r="T67" i="1" s="1"/>
  <c r="U67" i="1" s="1"/>
  <c r="AB67" i="1" s="1"/>
  <c r="Q67" i="1" s="1"/>
  <c r="M67" i="1"/>
  <c r="K67" i="1"/>
  <c r="P67" i="1" s="1"/>
  <c r="J67" i="1"/>
  <c r="I67" i="1"/>
  <c r="G67" i="1"/>
  <c r="H67" i="1" s="1"/>
  <c r="S67" i="1" s="1"/>
  <c r="S66" i="1"/>
  <c r="M66" i="1"/>
  <c r="K66" i="1"/>
  <c r="I66" i="1"/>
  <c r="J66" i="1" s="1"/>
  <c r="H66" i="1"/>
  <c r="G66" i="1"/>
  <c r="M65" i="1"/>
  <c r="K65" i="1"/>
  <c r="I65" i="1"/>
  <c r="J65" i="1" s="1"/>
  <c r="G65" i="1"/>
  <c r="M64" i="1"/>
  <c r="K64" i="1"/>
  <c r="I64" i="1"/>
  <c r="J64" i="1" s="1"/>
  <c r="G64" i="1"/>
  <c r="M63" i="1"/>
  <c r="L63" i="1"/>
  <c r="K63" i="1"/>
  <c r="J63" i="1"/>
  <c r="G63" i="1"/>
  <c r="H63" i="1" s="1"/>
  <c r="S63" i="1" s="1"/>
  <c r="S62" i="1"/>
  <c r="M62" i="1"/>
  <c r="L62" i="1"/>
  <c r="K62" i="1"/>
  <c r="J62" i="1"/>
  <c r="I62" i="1"/>
  <c r="H62" i="1"/>
  <c r="N62" i="1" s="1"/>
  <c r="T62" i="1" s="1"/>
  <c r="U62" i="1" s="1"/>
  <c r="AB62" i="1" s="1"/>
  <c r="Q62" i="1" s="1"/>
  <c r="G62" i="1"/>
  <c r="S61" i="1"/>
  <c r="M61" i="1"/>
  <c r="L61" i="1"/>
  <c r="K61" i="1"/>
  <c r="I61" i="1"/>
  <c r="J61" i="1" s="1"/>
  <c r="H61" i="1"/>
  <c r="G61" i="1"/>
  <c r="M60" i="1"/>
  <c r="L60" i="1"/>
  <c r="K60" i="1"/>
  <c r="G60" i="1"/>
  <c r="H60" i="1" s="1"/>
  <c r="M59" i="1"/>
  <c r="L59" i="1"/>
  <c r="K59" i="1"/>
  <c r="G59" i="1"/>
  <c r="M58" i="1"/>
  <c r="L58" i="1"/>
  <c r="K58" i="1"/>
  <c r="H58" i="1"/>
  <c r="S58" i="1" s="1"/>
  <c r="G58" i="1"/>
  <c r="M57" i="1"/>
  <c r="L57" i="1"/>
  <c r="K57" i="1"/>
  <c r="J57" i="1"/>
  <c r="I57" i="1"/>
  <c r="H57" i="1"/>
  <c r="G57" i="1"/>
  <c r="M56" i="1"/>
  <c r="L56" i="1"/>
  <c r="K56" i="1"/>
  <c r="G56" i="1"/>
  <c r="T55" i="1"/>
  <c r="U55" i="1" s="1"/>
  <c r="AB55" i="1" s="1"/>
  <c r="Q55" i="1" s="1"/>
  <c r="S55" i="1"/>
  <c r="N55" i="1"/>
  <c r="M55" i="1"/>
  <c r="K55" i="1"/>
  <c r="J55" i="1"/>
  <c r="I55" i="1"/>
  <c r="H55" i="1"/>
  <c r="G55" i="1"/>
  <c r="M54" i="1"/>
  <c r="K54" i="1"/>
  <c r="G54" i="1"/>
  <c r="M53" i="1"/>
  <c r="K53" i="1"/>
  <c r="J53" i="1"/>
  <c r="I53" i="1"/>
  <c r="G53" i="1"/>
  <c r="N52" i="1"/>
  <c r="T52" i="1" s="1"/>
  <c r="U52" i="1" s="1"/>
  <c r="AB52" i="1" s="1"/>
  <c r="Q52" i="1" s="1"/>
  <c r="M52" i="1"/>
  <c r="L52" i="1"/>
  <c r="K52" i="1"/>
  <c r="J52" i="1"/>
  <c r="I52" i="1"/>
  <c r="G52" i="1"/>
  <c r="H52" i="1" s="1"/>
  <c r="S52" i="1" s="1"/>
  <c r="S51" i="1"/>
  <c r="M51" i="1"/>
  <c r="K51" i="1"/>
  <c r="J51" i="1"/>
  <c r="I51" i="1"/>
  <c r="H51" i="1"/>
  <c r="G51" i="1"/>
  <c r="M50" i="1"/>
  <c r="K50" i="1"/>
  <c r="J50" i="1"/>
  <c r="G50" i="1"/>
  <c r="M49" i="1"/>
  <c r="L49" i="1"/>
  <c r="K49" i="1"/>
  <c r="J49" i="1"/>
  <c r="G49" i="1"/>
  <c r="U48" i="1"/>
  <c r="AB48" i="1" s="1"/>
  <c r="Q48" i="1" s="1"/>
  <c r="T48" i="1"/>
  <c r="S48" i="1"/>
  <c r="N48" i="1"/>
  <c r="M48" i="1"/>
  <c r="L48" i="1"/>
  <c r="K48" i="1"/>
  <c r="J48" i="1"/>
  <c r="H48" i="1"/>
  <c r="G48" i="1"/>
  <c r="P48" i="1" s="1"/>
  <c r="M47" i="1"/>
  <c r="L47" i="1"/>
  <c r="K47" i="1"/>
  <c r="J47" i="1"/>
  <c r="G47" i="1"/>
  <c r="M46" i="1"/>
  <c r="L46" i="1"/>
  <c r="K46" i="1"/>
  <c r="J46" i="1"/>
  <c r="G46" i="1"/>
  <c r="M45" i="1"/>
  <c r="L45" i="1"/>
  <c r="K45" i="1"/>
  <c r="J45" i="1"/>
  <c r="I45" i="1"/>
  <c r="H45" i="1"/>
  <c r="N45" i="1" s="1"/>
  <c r="T45" i="1" s="1"/>
  <c r="G45" i="1"/>
  <c r="S44" i="1"/>
  <c r="P44" i="1"/>
  <c r="N44" i="1"/>
  <c r="T44" i="1" s="1"/>
  <c r="U44" i="1" s="1"/>
  <c r="AB44" i="1" s="1"/>
  <c r="Q44" i="1" s="1"/>
  <c r="M44" i="1"/>
  <c r="L44" i="1"/>
  <c r="K44" i="1"/>
  <c r="J44" i="1"/>
  <c r="H44" i="1"/>
  <c r="G44" i="1"/>
  <c r="M43" i="1"/>
  <c r="K43" i="1"/>
  <c r="I43" i="1"/>
  <c r="J43" i="1" s="1"/>
  <c r="H43" i="1"/>
  <c r="S43" i="1" s="1"/>
  <c r="G43" i="1"/>
  <c r="M42" i="1"/>
  <c r="L42" i="1"/>
  <c r="K42" i="1"/>
  <c r="I42" i="1"/>
  <c r="J42" i="1" s="1"/>
  <c r="H42" i="1"/>
  <c r="G42" i="1"/>
  <c r="M41" i="1"/>
  <c r="K41" i="1"/>
  <c r="I41" i="1"/>
  <c r="J41" i="1" s="1"/>
  <c r="G41" i="1"/>
  <c r="M40" i="1"/>
  <c r="L40" i="1"/>
  <c r="K40" i="1"/>
  <c r="J40" i="1"/>
  <c r="G40" i="1"/>
  <c r="S39" i="1"/>
  <c r="N39" i="1"/>
  <c r="T39" i="1" s="1"/>
  <c r="U39" i="1" s="1"/>
  <c r="AB39" i="1" s="1"/>
  <c r="Q39" i="1" s="1"/>
  <c r="M39" i="1"/>
  <c r="K39" i="1"/>
  <c r="J39" i="1"/>
  <c r="I39" i="1"/>
  <c r="H39" i="1"/>
  <c r="G39" i="1"/>
  <c r="M38" i="1"/>
  <c r="K38" i="1"/>
  <c r="J38" i="1"/>
  <c r="G38" i="1"/>
  <c r="M37" i="1"/>
  <c r="K37" i="1"/>
  <c r="J37" i="1"/>
  <c r="I37" i="1"/>
  <c r="G37" i="1"/>
  <c r="S36" i="1"/>
  <c r="N36" i="1"/>
  <c r="T36" i="1" s="1"/>
  <c r="U36" i="1" s="1"/>
  <c r="AB36" i="1" s="1"/>
  <c r="Q36" i="1" s="1"/>
  <c r="M36" i="1"/>
  <c r="L36" i="1"/>
  <c r="K36" i="1"/>
  <c r="J36" i="1"/>
  <c r="H36" i="1"/>
  <c r="G36" i="1"/>
  <c r="M35" i="1"/>
  <c r="L35" i="1"/>
  <c r="K35" i="1"/>
  <c r="J35" i="1"/>
  <c r="H35" i="1"/>
  <c r="S35" i="1" s="1"/>
  <c r="G35" i="1"/>
  <c r="M34" i="1"/>
  <c r="L34" i="1"/>
  <c r="K34" i="1"/>
  <c r="J34" i="1"/>
  <c r="G34" i="1"/>
  <c r="M33" i="1"/>
  <c r="L33" i="1"/>
  <c r="K33" i="1"/>
  <c r="J33" i="1"/>
  <c r="G33" i="1"/>
  <c r="H33" i="1" s="1"/>
  <c r="T32" i="1"/>
  <c r="U32" i="1" s="1"/>
  <c r="AB32" i="1" s="1"/>
  <c r="Q32" i="1" s="1"/>
  <c r="S32" i="1"/>
  <c r="N32" i="1"/>
  <c r="M32" i="1"/>
  <c r="K32" i="1"/>
  <c r="J32" i="1"/>
  <c r="P32" i="1" s="1"/>
  <c r="R32" i="1" s="1"/>
  <c r="I32" i="1"/>
  <c r="H32" i="1"/>
  <c r="G32" i="1"/>
  <c r="M31" i="1"/>
  <c r="K31" i="1"/>
  <c r="J31" i="1"/>
  <c r="G31" i="1"/>
  <c r="H31" i="1" s="1"/>
  <c r="S31" i="1" s="1"/>
  <c r="M30" i="1"/>
  <c r="K30" i="1"/>
  <c r="I30" i="1"/>
  <c r="J30" i="1" s="1"/>
  <c r="G30" i="1"/>
  <c r="M29" i="1"/>
  <c r="K29" i="1"/>
  <c r="J29" i="1"/>
  <c r="I29" i="1"/>
  <c r="G29" i="1"/>
  <c r="S28" i="1"/>
  <c r="N28" i="1"/>
  <c r="T28" i="1" s="1"/>
  <c r="U28" i="1" s="1"/>
  <c r="AB28" i="1" s="1"/>
  <c r="Q28" i="1" s="1"/>
  <c r="M28" i="1"/>
  <c r="K28" i="1"/>
  <c r="I28" i="1"/>
  <c r="J28" i="1" s="1"/>
  <c r="H28" i="1"/>
  <c r="G28" i="1"/>
  <c r="M27" i="1"/>
  <c r="K27" i="1"/>
  <c r="I27" i="1"/>
  <c r="J27" i="1" s="1"/>
  <c r="G27" i="1"/>
  <c r="H27" i="1" s="1"/>
  <c r="M26" i="1"/>
  <c r="K26" i="1"/>
  <c r="I26" i="1"/>
  <c r="J26" i="1" s="1"/>
  <c r="H26" i="1"/>
  <c r="S26" i="1" s="1"/>
  <c r="G26" i="1"/>
  <c r="M25" i="1"/>
  <c r="L25" i="1"/>
  <c r="K25" i="1"/>
  <c r="J25" i="1"/>
  <c r="G25" i="1"/>
  <c r="S24" i="1"/>
  <c r="N24" i="1"/>
  <c r="T24" i="1" s="1"/>
  <c r="U24" i="1" s="1"/>
  <c r="AB24" i="1" s="1"/>
  <c r="Q24" i="1" s="1"/>
  <c r="M24" i="1"/>
  <c r="K24" i="1"/>
  <c r="J24" i="1"/>
  <c r="H24" i="1"/>
  <c r="G24" i="1"/>
  <c r="M23" i="1"/>
  <c r="K23" i="1"/>
  <c r="J23" i="1"/>
  <c r="I23" i="1"/>
  <c r="G23" i="1"/>
  <c r="H23" i="1" s="1"/>
  <c r="M22" i="1"/>
  <c r="K22" i="1"/>
  <c r="J22" i="1"/>
  <c r="I22" i="1"/>
  <c r="G22" i="1"/>
  <c r="T21" i="1"/>
  <c r="U21" i="1" s="1"/>
  <c r="AB21" i="1" s="1"/>
  <c r="Q21" i="1" s="1"/>
  <c r="S21" i="1"/>
  <c r="N21" i="1"/>
  <c r="P21" i="1" s="1"/>
  <c r="R21" i="1" s="1"/>
  <c r="M21" i="1"/>
  <c r="K21" i="1"/>
  <c r="J21" i="1"/>
  <c r="H21" i="1"/>
  <c r="G21" i="1"/>
  <c r="M20" i="1"/>
  <c r="K20" i="1"/>
  <c r="J20" i="1"/>
  <c r="G20" i="1"/>
  <c r="M19" i="1"/>
  <c r="K19" i="1"/>
  <c r="J19" i="1"/>
  <c r="G19" i="1"/>
  <c r="T18" i="1"/>
  <c r="U18" i="1" s="1"/>
  <c r="AB18" i="1" s="1"/>
  <c r="Q18" i="1" s="1"/>
  <c r="S18" i="1"/>
  <c r="N18" i="1"/>
  <c r="M18" i="1"/>
  <c r="L18" i="1"/>
  <c r="K18" i="1"/>
  <c r="I18" i="1"/>
  <c r="J18" i="1" s="1"/>
  <c r="H18" i="1"/>
  <c r="G18" i="1"/>
  <c r="M17" i="1"/>
  <c r="K17" i="1"/>
  <c r="J17" i="1"/>
  <c r="G17" i="1"/>
  <c r="M16" i="1"/>
  <c r="K16" i="1"/>
  <c r="J16" i="1"/>
  <c r="G16" i="1"/>
  <c r="T15" i="1"/>
  <c r="U15" i="1" s="1"/>
  <c r="AB15" i="1" s="1"/>
  <c r="Q15" i="1" s="1"/>
  <c r="N15" i="1"/>
  <c r="M15" i="1"/>
  <c r="K15" i="1"/>
  <c r="I15" i="1"/>
  <c r="J15" i="1" s="1"/>
  <c r="H15" i="1"/>
  <c r="S15" i="1" s="1"/>
  <c r="G15" i="1"/>
  <c r="M14" i="1"/>
  <c r="K14" i="1"/>
  <c r="J14" i="1"/>
  <c r="G14" i="1"/>
  <c r="M13" i="1"/>
  <c r="K13" i="1"/>
  <c r="I13" i="1"/>
  <c r="J13" i="1" s="1"/>
  <c r="G13" i="1"/>
  <c r="M12" i="1"/>
  <c r="K12" i="1"/>
  <c r="I12" i="1"/>
  <c r="J12" i="1" s="1"/>
  <c r="H12" i="1"/>
  <c r="P12" i="1" s="1"/>
  <c r="G12" i="1"/>
  <c r="N12" i="1" s="1"/>
  <c r="T12" i="1" s="1"/>
  <c r="P11" i="1"/>
  <c r="N11" i="1"/>
  <c r="T11" i="1" s="1"/>
  <c r="M11" i="1"/>
  <c r="K11" i="1"/>
  <c r="J11" i="1"/>
  <c r="H11" i="1"/>
  <c r="S11" i="1" s="1"/>
  <c r="G11" i="1"/>
  <c r="M10" i="1"/>
  <c r="K10" i="1"/>
  <c r="I10" i="1"/>
  <c r="J10" i="1" s="1"/>
  <c r="G10" i="1"/>
  <c r="H10" i="1" s="1"/>
  <c r="M9" i="1"/>
  <c r="K9" i="1"/>
  <c r="J9" i="1"/>
  <c r="H9" i="1"/>
  <c r="S9" i="1" s="1"/>
  <c r="G9" i="1"/>
  <c r="P8" i="1"/>
  <c r="N8" i="1"/>
  <c r="T8" i="1" s="1"/>
  <c r="M8" i="1"/>
  <c r="K8" i="1"/>
  <c r="J8" i="1"/>
  <c r="H8" i="1"/>
  <c r="S8" i="1" s="1"/>
  <c r="G8" i="1"/>
  <c r="M7" i="1"/>
  <c r="K7" i="1"/>
  <c r="I7" i="1"/>
  <c r="J7" i="1" s="1"/>
  <c r="G7" i="1"/>
  <c r="H7" i="1" s="1"/>
  <c r="S6" i="1"/>
  <c r="M6" i="1"/>
  <c r="K6" i="1"/>
  <c r="I6" i="1"/>
  <c r="J6" i="1" s="1"/>
  <c r="G6" i="1"/>
  <c r="H6" i="1" s="1"/>
  <c r="M5" i="1"/>
  <c r="K5" i="1"/>
  <c r="J5" i="1"/>
  <c r="G5" i="1"/>
  <c r="P26" i="1" l="1"/>
  <c r="R26" i="1" s="1"/>
  <c r="S7" i="1"/>
  <c r="S10" i="1"/>
  <c r="P10" i="1"/>
  <c r="S13" i="1"/>
  <c r="S14" i="1"/>
  <c r="T79" i="1"/>
  <c r="P79" i="1"/>
  <c r="U11" i="1"/>
  <c r="AB11" i="1" s="1"/>
  <c r="Q11" i="1" s="1"/>
  <c r="R11" i="1" s="1"/>
  <c r="R67" i="1"/>
  <c r="U8" i="1"/>
  <c r="AB8" i="1" s="1"/>
  <c r="Q8" i="1" s="1"/>
  <c r="R8" i="1" s="1"/>
  <c r="P9" i="1"/>
  <c r="R9" i="1" s="1"/>
  <c r="P30" i="1"/>
  <c r="P68" i="1"/>
  <c r="S23" i="1"/>
  <c r="P36" i="1"/>
  <c r="R36" i="1" s="1"/>
  <c r="H41" i="1"/>
  <c r="P41" i="1" s="1"/>
  <c r="R41" i="1" s="1"/>
  <c r="P70" i="1"/>
  <c r="R70" i="1" s="1"/>
  <c r="R44" i="1"/>
  <c r="H53" i="1"/>
  <c r="S53" i="1" s="1"/>
  <c r="S69" i="1"/>
  <c r="H14" i="1"/>
  <c r="S41" i="1"/>
  <c r="H64" i="1"/>
  <c r="N64" i="1" s="1"/>
  <c r="T64" i="1" s="1"/>
  <c r="N75" i="1"/>
  <c r="T75" i="1" s="1"/>
  <c r="S75" i="1"/>
  <c r="H5" i="1"/>
  <c r="P5" i="1" s="1"/>
  <c r="N7" i="1"/>
  <c r="T7" i="1" s="1"/>
  <c r="U7" i="1" s="1"/>
  <c r="AB7" i="1" s="1"/>
  <c r="Q7" i="1" s="1"/>
  <c r="N10" i="1"/>
  <c r="T10" i="1" s="1"/>
  <c r="P13" i="1"/>
  <c r="H16" i="1"/>
  <c r="P16" i="1" s="1"/>
  <c r="S16" i="1"/>
  <c r="H30" i="1"/>
  <c r="S30" i="1"/>
  <c r="H38" i="1"/>
  <c r="S38" i="1" s="1"/>
  <c r="N42" i="1"/>
  <c r="T42" i="1" s="1"/>
  <c r="H46" i="1"/>
  <c r="H49" i="1"/>
  <c r="H54" i="1"/>
  <c r="S54" i="1" s="1"/>
  <c r="P55" i="1"/>
  <c r="R55" i="1" s="1"/>
  <c r="H65" i="1"/>
  <c r="H72" i="1"/>
  <c r="S72" i="1" s="1"/>
  <c r="H75" i="1"/>
  <c r="N27" i="1"/>
  <c r="T27" i="1" s="1"/>
  <c r="S27" i="1"/>
  <c r="P39" i="1"/>
  <c r="R39" i="1" s="1"/>
  <c r="S46" i="1"/>
  <c r="P66" i="1"/>
  <c r="R66" i="1" s="1"/>
  <c r="N60" i="1"/>
  <c r="T60" i="1" s="1"/>
  <c r="U60" i="1" s="1"/>
  <c r="AB60" i="1" s="1"/>
  <c r="Q60" i="1" s="1"/>
  <c r="N69" i="1"/>
  <c r="T69" i="1" s="1"/>
  <c r="U69" i="1" s="1"/>
  <c r="AB69" i="1" s="1"/>
  <c r="Q69" i="1" s="1"/>
  <c r="P15" i="1"/>
  <c r="R15" i="1" s="1"/>
  <c r="P24" i="1"/>
  <c r="R24" i="1" s="1"/>
  <c r="H19" i="1"/>
  <c r="S19" i="1" s="1"/>
  <c r="S22" i="1"/>
  <c r="N26" i="1"/>
  <c r="T26" i="1" s="1"/>
  <c r="U26" i="1" s="1"/>
  <c r="AB26" i="1" s="1"/>
  <c r="Q26" i="1" s="1"/>
  <c r="P28" i="1"/>
  <c r="R28" i="1" s="1"/>
  <c r="S42" i="1"/>
  <c r="N47" i="1"/>
  <c r="T47" i="1" s="1"/>
  <c r="H50" i="1"/>
  <c r="S50" i="1" s="1"/>
  <c r="S56" i="1"/>
  <c r="H56" i="1"/>
  <c r="N57" i="1"/>
  <c r="T57" i="1" s="1"/>
  <c r="P62" i="1"/>
  <c r="R62" i="1" s="1"/>
  <c r="N63" i="1"/>
  <c r="T63" i="1" s="1"/>
  <c r="U63" i="1" s="1"/>
  <c r="AB63" i="1" s="1"/>
  <c r="Q63" i="1" s="1"/>
  <c r="N68" i="1"/>
  <c r="T68" i="1" s="1"/>
  <c r="S79" i="1"/>
  <c r="S12" i="1"/>
  <c r="U12" i="1" s="1"/>
  <c r="AB12" i="1" s="1"/>
  <c r="Q12" i="1" s="1"/>
  <c r="R12" i="1" s="1"/>
  <c r="N23" i="1"/>
  <c r="T23" i="1" s="1"/>
  <c r="U23" i="1" s="1"/>
  <c r="AB23" i="1" s="1"/>
  <c r="Q23" i="1" s="1"/>
  <c r="S33" i="1"/>
  <c r="N31" i="1"/>
  <c r="T31" i="1" s="1"/>
  <c r="U31" i="1" s="1"/>
  <c r="AB31" i="1" s="1"/>
  <c r="Q31" i="1" s="1"/>
  <c r="N6" i="1"/>
  <c r="T6" i="1" s="1"/>
  <c r="U6" i="1" s="1"/>
  <c r="AB6" i="1" s="1"/>
  <c r="Q6" i="1" s="1"/>
  <c r="N9" i="1"/>
  <c r="T9" i="1" s="1"/>
  <c r="U9" i="1" s="1"/>
  <c r="AB9" i="1" s="1"/>
  <c r="Q9" i="1" s="1"/>
  <c r="P6" i="1"/>
  <c r="R6" i="1" s="1"/>
  <c r="H13" i="1"/>
  <c r="N13" i="1" s="1"/>
  <c r="T13" i="1" s="1"/>
  <c r="H17" i="1"/>
  <c r="S17" i="1" s="1"/>
  <c r="H22" i="1"/>
  <c r="S25" i="1"/>
  <c r="H25" i="1"/>
  <c r="H34" i="1"/>
  <c r="S34" i="1" s="1"/>
  <c r="N41" i="1"/>
  <c r="T41" i="1" s="1"/>
  <c r="U41" i="1" s="1"/>
  <c r="AB41" i="1" s="1"/>
  <c r="Q41" i="1" s="1"/>
  <c r="S45" i="1"/>
  <c r="U45" i="1" s="1"/>
  <c r="AB45" i="1" s="1"/>
  <c r="Q45" i="1" s="1"/>
  <c r="P45" i="1"/>
  <c r="H47" i="1"/>
  <c r="S47" i="1" s="1"/>
  <c r="N53" i="1"/>
  <c r="T53" i="1" s="1"/>
  <c r="P69" i="1"/>
  <c r="R69" i="1" s="1"/>
  <c r="N5" i="1"/>
  <c r="T5" i="1" s="1"/>
  <c r="N16" i="1"/>
  <c r="T16" i="1" s="1"/>
  <c r="N20" i="1"/>
  <c r="T20" i="1" s="1"/>
  <c r="U20" i="1" s="1"/>
  <c r="AB20" i="1" s="1"/>
  <c r="Q20" i="1" s="1"/>
  <c r="S20" i="1"/>
  <c r="P23" i="1"/>
  <c r="R23" i="1" s="1"/>
  <c r="N30" i="1"/>
  <c r="T30" i="1" s="1"/>
  <c r="H40" i="1"/>
  <c r="N40" i="1" s="1"/>
  <c r="T40" i="1" s="1"/>
  <c r="P43" i="1"/>
  <c r="R43" i="1" s="1"/>
  <c r="P53" i="1"/>
  <c r="S57" i="1"/>
  <c r="S68" i="1"/>
  <c r="U71" i="1"/>
  <c r="AB71" i="1" s="1"/>
  <c r="Q71" i="1" s="1"/>
  <c r="N74" i="1"/>
  <c r="T74" i="1" s="1"/>
  <c r="U74" i="1" s="1"/>
  <c r="AB74" i="1" s="1"/>
  <c r="Q74" i="1" s="1"/>
  <c r="P75" i="1"/>
  <c r="H80" i="1"/>
  <c r="N14" i="1"/>
  <c r="T14" i="1" s="1"/>
  <c r="U14" i="1" s="1"/>
  <c r="AB14" i="1" s="1"/>
  <c r="Q14" i="1" s="1"/>
  <c r="P18" i="1"/>
  <c r="R18" i="1" s="1"/>
  <c r="H20" i="1"/>
  <c r="P20" i="1" s="1"/>
  <c r="R20" i="1" s="1"/>
  <c r="H29" i="1"/>
  <c r="N29" i="1" s="1"/>
  <c r="N33" i="1"/>
  <c r="T33" i="1" s="1"/>
  <c r="U33" i="1" s="1"/>
  <c r="AB33" i="1" s="1"/>
  <c r="Q33" i="1" s="1"/>
  <c r="H37" i="1"/>
  <c r="R48" i="1"/>
  <c r="S60" i="1"/>
  <c r="R71" i="1"/>
  <c r="P74" i="1"/>
  <c r="R74" i="1" s="1"/>
  <c r="N35" i="1"/>
  <c r="T35" i="1" s="1"/>
  <c r="U35" i="1" s="1"/>
  <c r="AB35" i="1" s="1"/>
  <c r="Q35" i="1" s="1"/>
  <c r="N43" i="1"/>
  <c r="T43" i="1" s="1"/>
  <c r="U43" i="1" s="1"/>
  <c r="AB43" i="1" s="1"/>
  <c r="Q43" i="1" s="1"/>
  <c r="N51" i="1"/>
  <c r="T51" i="1" s="1"/>
  <c r="U51" i="1" s="1"/>
  <c r="AB51" i="1" s="1"/>
  <c r="Q51" i="1" s="1"/>
  <c r="P52" i="1"/>
  <c r="R52" i="1" s="1"/>
  <c r="N58" i="1"/>
  <c r="T58" i="1" s="1"/>
  <c r="U58" i="1" s="1"/>
  <c r="AB58" i="1" s="1"/>
  <c r="Q58" i="1" s="1"/>
  <c r="N66" i="1"/>
  <c r="T66" i="1" s="1"/>
  <c r="U66" i="1" s="1"/>
  <c r="AB66" i="1" s="1"/>
  <c r="Q66" i="1" s="1"/>
  <c r="N73" i="1"/>
  <c r="T73" i="1" s="1"/>
  <c r="U73" i="1" s="1"/>
  <c r="AB73" i="1" s="1"/>
  <c r="Q73" i="1" s="1"/>
  <c r="N77" i="1"/>
  <c r="T77" i="1" s="1"/>
  <c r="U77" i="1" s="1"/>
  <c r="AB77" i="1" s="1"/>
  <c r="Q77" i="1" s="1"/>
  <c r="N82" i="1"/>
  <c r="T82" i="1" s="1"/>
  <c r="U82" i="1" s="1"/>
  <c r="AB82" i="1" s="1"/>
  <c r="Q82" i="1" s="1"/>
  <c r="H59" i="1"/>
  <c r="S59" i="1" s="1"/>
  <c r="N61" i="1"/>
  <c r="T61" i="1" s="1"/>
  <c r="U61" i="1" s="1"/>
  <c r="AB61" i="1" s="1"/>
  <c r="Q61" i="1" s="1"/>
  <c r="N70" i="1"/>
  <c r="T70" i="1" s="1"/>
  <c r="U70" i="1" s="1"/>
  <c r="AB70" i="1" s="1"/>
  <c r="Q70" i="1" s="1"/>
  <c r="N76" i="1"/>
  <c r="T76" i="1" s="1"/>
  <c r="U76" i="1" s="1"/>
  <c r="AB76" i="1" s="1"/>
  <c r="Q76" i="1" s="1"/>
  <c r="N81" i="1"/>
  <c r="T81" i="1" s="1"/>
  <c r="U81" i="1" s="1"/>
  <c r="AB81" i="1" s="1"/>
  <c r="Q81" i="1" s="1"/>
  <c r="P37" i="1" l="1"/>
  <c r="P65" i="1"/>
  <c r="T29" i="1"/>
  <c r="P29" i="1"/>
  <c r="R16" i="1"/>
  <c r="U16" i="1"/>
  <c r="AB16" i="1" s="1"/>
  <c r="Q16" i="1" s="1"/>
  <c r="P47" i="1"/>
  <c r="R47" i="1" s="1"/>
  <c r="R79" i="1"/>
  <c r="N54" i="1"/>
  <c r="T54" i="1" s="1"/>
  <c r="U54" i="1" s="1"/>
  <c r="AB54" i="1" s="1"/>
  <c r="Q54" i="1" s="1"/>
  <c r="U57" i="1"/>
  <c r="AB57" i="1" s="1"/>
  <c r="Q57" i="1" s="1"/>
  <c r="P27" i="1"/>
  <c r="R27" i="1" s="1"/>
  <c r="R13" i="1"/>
  <c r="P73" i="1"/>
  <c r="R73" i="1" s="1"/>
  <c r="P61" i="1"/>
  <c r="R61" i="1" s="1"/>
  <c r="P40" i="1"/>
  <c r="P33" i="1"/>
  <c r="R33" i="1" s="1"/>
  <c r="U79" i="1"/>
  <c r="AB79" i="1" s="1"/>
  <c r="Q79" i="1" s="1"/>
  <c r="S40" i="1"/>
  <c r="U40" i="1" s="1"/>
  <c r="AB40" i="1" s="1"/>
  <c r="Q40" i="1" s="1"/>
  <c r="S80" i="1"/>
  <c r="P14" i="1"/>
  <c r="R14" i="1" s="1"/>
  <c r="N56" i="1"/>
  <c r="T56" i="1" s="1"/>
  <c r="U56" i="1" s="1"/>
  <c r="AB56" i="1" s="1"/>
  <c r="Q56" i="1" s="1"/>
  <c r="P56" i="1"/>
  <c r="R56" i="1" s="1"/>
  <c r="N37" i="1"/>
  <c r="T37" i="1" s="1"/>
  <c r="N17" i="1"/>
  <c r="T17" i="1" s="1"/>
  <c r="U17" i="1" s="1"/>
  <c r="AB17" i="1" s="1"/>
  <c r="Q17" i="1" s="1"/>
  <c r="N50" i="1"/>
  <c r="T50" i="1" s="1"/>
  <c r="U50" i="1" s="1"/>
  <c r="AB50" i="1" s="1"/>
  <c r="Q50" i="1" s="1"/>
  <c r="P77" i="1"/>
  <c r="R77" i="1" s="1"/>
  <c r="P46" i="1"/>
  <c r="R46" i="1" s="1"/>
  <c r="U10" i="1"/>
  <c r="AB10" i="1" s="1"/>
  <c r="Q10" i="1" s="1"/>
  <c r="R10" i="1" s="1"/>
  <c r="N72" i="1"/>
  <c r="T72" i="1" s="1"/>
  <c r="U72" i="1" s="1"/>
  <c r="AB72" i="1" s="1"/>
  <c r="Q72" i="1" s="1"/>
  <c r="N46" i="1"/>
  <c r="T46" i="1" s="1"/>
  <c r="U46" i="1" s="1"/>
  <c r="AB46" i="1" s="1"/>
  <c r="Q46" i="1" s="1"/>
  <c r="P7" i="1"/>
  <c r="R7" i="1" s="1"/>
  <c r="P22" i="1"/>
  <c r="R22" i="1" s="1"/>
  <c r="N22" i="1"/>
  <c r="T22" i="1" s="1"/>
  <c r="U22" i="1" s="1"/>
  <c r="AB22" i="1" s="1"/>
  <c r="Q22" i="1" s="1"/>
  <c r="U27" i="1"/>
  <c r="AB27" i="1" s="1"/>
  <c r="Q27" i="1" s="1"/>
  <c r="P58" i="1"/>
  <c r="R58" i="1" s="1"/>
  <c r="S37" i="1"/>
  <c r="N80" i="1"/>
  <c r="T80" i="1" s="1"/>
  <c r="U13" i="1"/>
  <c r="AB13" i="1" s="1"/>
  <c r="Q13" i="1" s="1"/>
  <c r="N34" i="1"/>
  <c r="T34" i="1" s="1"/>
  <c r="U34" i="1" s="1"/>
  <c r="AB34" i="1" s="1"/>
  <c r="Q34" i="1" s="1"/>
  <c r="P17" i="1"/>
  <c r="P50" i="1"/>
  <c r="R50" i="1" s="1"/>
  <c r="U42" i="1"/>
  <c r="AB42" i="1" s="1"/>
  <c r="Q42" i="1" s="1"/>
  <c r="P72" i="1"/>
  <c r="R72" i="1" s="1"/>
  <c r="N38" i="1"/>
  <c r="T38" i="1" s="1"/>
  <c r="U38" i="1" s="1"/>
  <c r="AB38" i="1" s="1"/>
  <c r="Q38" i="1" s="1"/>
  <c r="P57" i="1"/>
  <c r="U53" i="1"/>
  <c r="AB53" i="1" s="1"/>
  <c r="Q53" i="1" s="1"/>
  <c r="U47" i="1"/>
  <c r="AB47" i="1" s="1"/>
  <c r="Q47" i="1" s="1"/>
  <c r="S64" i="1"/>
  <c r="U64" i="1" s="1"/>
  <c r="AB64" i="1" s="1"/>
  <c r="Q64" i="1" s="1"/>
  <c r="P31" i="1"/>
  <c r="R31" i="1" s="1"/>
  <c r="N19" i="1"/>
  <c r="T19" i="1" s="1"/>
  <c r="U19" i="1" s="1"/>
  <c r="AB19" i="1" s="1"/>
  <c r="Q19" i="1" s="1"/>
  <c r="P60" i="1"/>
  <c r="R60" i="1" s="1"/>
  <c r="N49" i="1"/>
  <c r="T49" i="1" s="1"/>
  <c r="P49" i="1"/>
  <c r="U75" i="1"/>
  <c r="AB75" i="1" s="1"/>
  <c r="Q75" i="1" s="1"/>
  <c r="R75" i="1" s="1"/>
  <c r="S29" i="1"/>
  <c r="R45" i="1"/>
  <c r="S49" i="1"/>
  <c r="P54" i="1"/>
  <c r="R54" i="1" s="1"/>
  <c r="P82" i="1"/>
  <c r="R82" i="1" s="1"/>
  <c r="P64" i="1"/>
  <c r="U30" i="1"/>
  <c r="AB30" i="1" s="1"/>
  <c r="Q30" i="1" s="1"/>
  <c r="R30" i="1" s="1"/>
  <c r="P51" i="1"/>
  <c r="R51" i="1" s="1"/>
  <c r="S5" i="1"/>
  <c r="U5" i="1" s="1"/>
  <c r="AB5" i="1" s="1"/>
  <c r="Q5" i="1" s="1"/>
  <c r="R5" i="1" s="1"/>
  <c r="S65" i="1"/>
  <c r="R53" i="1"/>
  <c r="N65" i="1"/>
  <c r="T65" i="1" s="1"/>
  <c r="P59" i="1"/>
  <c r="R59" i="1" s="1"/>
  <c r="N59" i="1"/>
  <c r="T59" i="1" s="1"/>
  <c r="U59" i="1" s="1"/>
  <c r="AB59" i="1" s="1"/>
  <c r="Q59" i="1" s="1"/>
  <c r="P35" i="1"/>
  <c r="R35" i="1" s="1"/>
  <c r="P81" i="1"/>
  <c r="R81" i="1" s="1"/>
  <c r="P63" i="1"/>
  <c r="R63" i="1" s="1"/>
  <c r="N25" i="1"/>
  <c r="T25" i="1" s="1"/>
  <c r="U25" i="1" s="1"/>
  <c r="AB25" i="1" s="1"/>
  <c r="Q25" i="1" s="1"/>
  <c r="U68" i="1"/>
  <c r="AB68" i="1" s="1"/>
  <c r="Q68" i="1" s="1"/>
  <c r="R68" i="1" s="1"/>
  <c r="P76" i="1"/>
  <c r="R76" i="1" s="1"/>
  <c r="P42" i="1"/>
  <c r="P38" i="1" l="1"/>
  <c r="R38" i="1" s="1"/>
  <c r="R42" i="1"/>
  <c r="U37" i="1"/>
  <c r="AB37" i="1" s="1"/>
  <c r="Q37" i="1" s="1"/>
  <c r="R37" i="1" s="1"/>
  <c r="P19" i="1"/>
  <c r="R19" i="1" s="1"/>
  <c r="R17" i="1"/>
  <c r="R40" i="1"/>
  <c r="U65" i="1"/>
  <c r="AB65" i="1" s="1"/>
  <c r="Q65" i="1" s="1"/>
  <c r="R64" i="1"/>
  <c r="U49" i="1"/>
  <c r="AB49" i="1" s="1"/>
  <c r="Q49" i="1" s="1"/>
  <c r="R49" i="1" s="1"/>
  <c r="P25" i="1"/>
  <c r="R25" i="1" s="1"/>
  <c r="P34" i="1"/>
  <c r="R34" i="1" s="1"/>
  <c r="R57" i="1"/>
  <c r="U80" i="1"/>
  <c r="AB80" i="1" s="1"/>
  <c r="Q80" i="1" s="1"/>
  <c r="P80" i="1"/>
  <c r="R80" i="1" s="1"/>
  <c r="U29" i="1"/>
  <c r="AB29" i="1" s="1"/>
  <c r="Q29" i="1" s="1"/>
  <c r="R29" i="1" s="1"/>
  <c r="R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5" authorId="0" shapeId="0" xr:uid="{A8EB32C8-4B4E-48E5-94C9-E0E4914A82B9}">
      <text>
        <r>
          <rPr>
            <b/>
            <sz val="9"/>
            <color indexed="81"/>
            <rFont val="Tahoma"/>
            <family val="2"/>
          </rPr>
          <t>Windows User 
Due to House Loan Certificate</t>
        </r>
      </text>
    </comment>
    <comment ref="V20" authorId="0" shapeId="0" xr:uid="{F4392328-44FE-456C-BB95-827D487241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Increase from 20k to 40 k till feb-21</t>
        </r>
      </text>
    </comment>
    <comment ref="V44" authorId="0" shapeId="0" xr:uid="{0F2E40CF-A448-48DF-A6AA-0EE2788F2D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Dedected (20,000) by Dr Priyanka Bansal Application Invert No. 8350/28.07.22 </t>
        </r>
      </text>
    </comment>
    <comment ref="C66" authorId="0" shapeId="0" xr:uid="{A2914517-2C38-4C56-806C-8CA821BA30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Alag se bill banana hai Dr Ashish Chetan Diwan ka because Education Leave for 3yr
</t>
        </r>
      </text>
    </comment>
    <comment ref="Y75" authorId="0" shapeId="0" xr:uid="{355AC06C-D834-4970-881C-053278DBF7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Dr. Gaurav Sharma ko HRA Nahi diya Gaya hai isliye inki HRA recovery nahi hona hai </t>
        </r>
      </text>
    </comment>
  </commentList>
</comments>
</file>

<file path=xl/sharedStrings.xml><?xml version="1.0" encoding="utf-8"?>
<sst xmlns="http://schemas.openxmlformats.org/spreadsheetml/2006/main" count="262" uniqueCount="187">
  <si>
    <t>Salary Of Employees Shrimant Rajmata Vijyaraje Scindia Medical College, Shivpuri</t>
  </si>
  <si>
    <t>Month Of Feb -2023</t>
  </si>
  <si>
    <t>S.NO</t>
  </si>
  <si>
    <t>Vender ID</t>
  </si>
  <si>
    <t>Section of establishment and name of incumbent</t>
  </si>
  <si>
    <t>Pay Scale</t>
  </si>
  <si>
    <t>DESI.</t>
  </si>
  <si>
    <t>NO. Of Days</t>
  </si>
  <si>
    <t>Basic Pay</t>
  </si>
  <si>
    <t>DA on Basic @ 34%</t>
  </si>
  <si>
    <r>
      <t xml:space="preserve">NPA (Fixed) </t>
    </r>
    <r>
      <rPr>
        <b/>
        <sz val="10"/>
        <color theme="1"/>
        <rFont val="Arial"/>
        <family val="2"/>
      </rPr>
      <t>According to 6th Pay</t>
    </r>
  </si>
  <si>
    <r>
      <t xml:space="preserve">D.A. on NPA @  203%  </t>
    </r>
    <r>
      <rPr>
        <sz val="10"/>
        <color theme="1"/>
        <rFont val="Arial"/>
        <family val="2"/>
      </rPr>
      <t>According to 6th Pay</t>
    </r>
    <r>
      <rPr>
        <b/>
        <sz val="10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 xml:space="preserve">                      </t>
    </r>
  </si>
  <si>
    <t>ACA</t>
  </si>
  <si>
    <r>
      <t xml:space="preserve">HRA (Fixed) </t>
    </r>
    <r>
      <rPr>
        <b/>
        <sz val="10"/>
        <rFont val="Arial"/>
        <family val="2"/>
      </rPr>
      <t>According to 6th Pay</t>
    </r>
  </si>
  <si>
    <t>MTA</t>
  </si>
  <si>
    <t>NPS Govt. Contribution @14%</t>
  </si>
  <si>
    <t xml:space="preserve">Adj. Amt </t>
  </si>
  <si>
    <t>GROSS SALARY</t>
  </si>
  <si>
    <t>TOTAL DED. AMT.</t>
  </si>
  <si>
    <t>NET PAYBLE</t>
  </si>
  <si>
    <t xml:space="preserve">NPS Emp.Cont. @ 10% </t>
  </si>
  <si>
    <t xml:space="preserve">NPS Govt. Contribution @14% </t>
  </si>
  <si>
    <t>NPS Total 18+19</t>
  </si>
  <si>
    <t>IT</t>
  </si>
  <si>
    <t>PT</t>
  </si>
  <si>
    <t>HR</t>
  </si>
  <si>
    <t>HR Recovery (Allotment Date to June-2020)</t>
  </si>
  <si>
    <t>Other</t>
  </si>
  <si>
    <t>NET DEDUCTION</t>
  </si>
  <si>
    <t>V-48984533</t>
  </si>
  <si>
    <t>Dr. Shashank Tyagi</t>
  </si>
  <si>
    <t>PROFESSOR</t>
  </si>
  <si>
    <t>V-390200058538346</t>
  </si>
  <si>
    <t>Dr. Ila Jitesh Gujaria</t>
  </si>
  <si>
    <t>V-390200058538362</t>
  </si>
  <si>
    <t>Dr. Ashutosh Chourishi</t>
  </si>
  <si>
    <t>V-390200076120040</t>
  </si>
  <si>
    <t>Dr. Anant Kumar Rakhonde</t>
  </si>
  <si>
    <t>V-390200076121236</t>
  </si>
  <si>
    <t>Dr. K.B. Verma</t>
  </si>
  <si>
    <t>V-58538389</t>
  </si>
  <si>
    <t>Dr. Rajesh Kumar Ahirwar</t>
  </si>
  <si>
    <t>V-76121371</t>
  </si>
  <si>
    <t>Dr. Nilesh Chavan</t>
  </si>
  <si>
    <t>V-390200049039149</t>
  </si>
  <si>
    <t>Dr. Mukesh Mittal</t>
  </si>
  <si>
    <t>ASSO. PROFESSOR</t>
  </si>
  <si>
    <t>V-48984735</t>
  </si>
  <si>
    <t>Dr. Kiran Dagadu Thorat</t>
  </si>
  <si>
    <t>V-390200048984817</t>
  </si>
  <si>
    <t>Dr. Dharmveer Sharma</t>
  </si>
  <si>
    <t>V-390200049039127</t>
  </si>
  <si>
    <t>Dr. Aparajita Tomar</t>
  </si>
  <si>
    <t>V-48985031</t>
  </si>
  <si>
    <t>Dr. Saurabh Chauhan</t>
  </si>
  <si>
    <t>V-390200048984917</t>
  </si>
  <si>
    <t>Dr. Raman Ohary</t>
  </si>
  <si>
    <t>V-390200048985023</t>
  </si>
  <si>
    <t>Dr. Dhirendra Tripathi</t>
  </si>
  <si>
    <t>V-49045546</t>
  </si>
  <si>
    <t>Dr. Pankaj Sharma</t>
  </si>
  <si>
    <t>V-76121288</t>
  </si>
  <si>
    <t>Dr. Sangisetti Vijay Prasad</t>
  </si>
  <si>
    <t>V- 84562732</t>
  </si>
  <si>
    <t>Dr. Mohit Sharma</t>
  </si>
  <si>
    <t>V-48989877</t>
  </si>
  <si>
    <t>Dr Anand Rajput</t>
  </si>
  <si>
    <t>V-390200048988808</t>
  </si>
  <si>
    <t>Dr Rashmi Tomar</t>
  </si>
  <si>
    <t>V-390200050627456</t>
  </si>
  <si>
    <t xml:space="preserve">Dr. Arvind Yadav  </t>
  </si>
  <si>
    <t>Assistant Professor</t>
  </si>
  <si>
    <t>V-390200048988944</t>
  </si>
  <si>
    <t>Dr. Rajendra Singh Pawaiya</t>
  </si>
  <si>
    <t>V-390200058538214</t>
  </si>
  <si>
    <t>Dr. Vivek Kumar Jain</t>
  </si>
  <si>
    <t>V-390200048988114</t>
  </si>
  <si>
    <t>Dr. Hemlata Bamoriya</t>
  </si>
  <si>
    <t>V-48989322</t>
  </si>
  <si>
    <t>Dr. Rajendra Kumar Maurya</t>
  </si>
  <si>
    <t>V-390200048988010</t>
  </si>
  <si>
    <t>Dr. Anjana Niranjan</t>
  </si>
  <si>
    <t>V-390200048988019</t>
  </si>
  <si>
    <t>Dr. Manbahadur Rajpoot</t>
  </si>
  <si>
    <t>V-49045772</t>
  </si>
  <si>
    <t>Dr. Preeti Nigotia</t>
  </si>
  <si>
    <t>V-390200048987664</t>
  </si>
  <si>
    <t>Dr. Neeti Agarwal</t>
  </si>
  <si>
    <t>V-390200048988021</t>
  </si>
  <si>
    <t>Dr. Sandeep Sharma</t>
  </si>
  <si>
    <t>V-390200048987690</t>
  </si>
  <si>
    <t>Dr. Ritu Chaturvedi</t>
  </si>
  <si>
    <t>V-390200049039187</t>
  </si>
  <si>
    <t>Dr. Shikha Jain</t>
  </si>
  <si>
    <t>V-390200048989624</t>
  </si>
  <si>
    <t>Dr. Shaily Sengar</t>
  </si>
  <si>
    <t>V-390200048988030</t>
  </si>
  <si>
    <t>Dr. Shilpa Agarwal</t>
  </si>
  <si>
    <t>V-390200048987378</t>
  </si>
  <si>
    <t>Dr. Dheerendra Kumar Sachan</t>
  </si>
  <si>
    <t>V-390200058538558</t>
  </si>
  <si>
    <t>Dr. Shiras Singh Dheer</t>
  </si>
  <si>
    <t>V-390200048985955</t>
  </si>
  <si>
    <t>Dr.Parul Nema</t>
  </si>
  <si>
    <t>V-390200048986872</t>
  </si>
  <si>
    <t>Dr. Vidyanand Pandit</t>
  </si>
  <si>
    <t>V-390200076122886</t>
  </si>
  <si>
    <t>Dr. Shammi Jain</t>
  </si>
  <si>
    <t>V-761223825</t>
  </si>
  <si>
    <t>Dr. Kshatrapal Prajapati</t>
  </si>
  <si>
    <t>V-390200076124161</t>
  </si>
  <si>
    <t xml:space="preserve">Dr. Priyanka Bansal </t>
  </si>
  <si>
    <t>V-390200076124581</t>
  </si>
  <si>
    <t>Dr. Priyanka Gupta</t>
  </si>
  <si>
    <t>V-3902000103866193</t>
  </si>
  <si>
    <t>Dr. Sonendra Kumar Sharma</t>
  </si>
  <si>
    <t>V-3902000103856067</t>
  </si>
  <si>
    <t>Dr. Ritesh Yadav</t>
  </si>
  <si>
    <t>V-390200076143768</t>
  </si>
  <si>
    <t>Dr Neelam Singh</t>
  </si>
  <si>
    <t>V-3902000103264270</t>
  </si>
  <si>
    <t>Dr. Megha Prabhakar</t>
  </si>
  <si>
    <t>V-3902000182227239</t>
  </si>
  <si>
    <t>Dr Kaushlendra Singh Narwaria</t>
  </si>
  <si>
    <t>V-3902000227411600</t>
  </si>
  <si>
    <t>Dr Rakesh Shakya</t>
  </si>
  <si>
    <t>V-390200048987098</t>
  </si>
  <si>
    <t>Dr. Pawan Tiwari</t>
  </si>
  <si>
    <t>V-390200048987998</t>
  </si>
  <si>
    <t>Dr. Anil Kushwanshi</t>
  </si>
  <si>
    <t>V-390200048987110</t>
  </si>
  <si>
    <t>Dr. Vivek Kumar</t>
  </si>
  <si>
    <t>V-49045610</t>
  </si>
  <si>
    <t>Dr. Jyoti Shukla</t>
  </si>
  <si>
    <t>V-390200048986879</t>
  </si>
  <si>
    <t>Dr. Shri Vepada Ravi Kiran</t>
  </si>
  <si>
    <t>Dr Preetam Singh Katroliya</t>
  </si>
  <si>
    <t>Dr. Girish Dubey</t>
  </si>
  <si>
    <t>V-3902000183268454</t>
  </si>
  <si>
    <t>Dr. Arvind Karoria</t>
  </si>
  <si>
    <t>V-3902000177476113</t>
  </si>
  <si>
    <t>Dr. Devesh Kumar Vyas</t>
  </si>
  <si>
    <t>V-390200048986982</t>
  </si>
  <si>
    <t>Dr. Yashvardhan Raghuvanshi</t>
  </si>
  <si>
    <t>DEMONSTRATOR</t>
  </si>
  <si>
    <t>V-390200048986190</t>
  </si>
  <si>
    <t>Dr. Bhim Prakash Gautam</t>
  </si>
  <si>
    <t>V-390200048990066</t>
  </si>
  <si>
    <t>Dr. Nidhi Mishra</t>
  </si>
  <si>
    <t>V-58537656</t>
  </si>
  <si>
    <t>Dr. Bharat Singh Batham</t>
  </si>
  <si>
    <t>V-390200066315723</t>
  </si>
  <si>
    <t>Dr. Mukesh Gurjar</t>
  </si>
  <si>
    <t>V-390200049039167</t>
  </si>
  <si>
    <t>Dr. Ashish Chetan Diwan</t>
  </si>
  <si>
    <t>V-390200048987360</t>
  </si>
  <si>
    <t>Dr. Dongar Singh Prajapati</t>
  </si>
  <si>
    <t>V-48985725</t>
  </si>
  <si>
    <t>Dr. Sangeeta Singhal</t>
  </si>
  <si>
    <t>V-390200048986952</t>
  </si>
  <si>
    <t>Dr. Vishnu Kumar Gupta</t>
  </si>
  <si>
    <t>V-390200048986784</t>
  </si>
  <si>
    <t>Dr. Pawan Korku</t>
  </si>
  <si>
    <t>V-39020004898691</t>
  </si>
  <si>
    <t>Dr. Shailendra Rawal</t>
  </si>
  <si>
    <t>V-390200076128642</t>
  </si>
  <si>
    <t>Dr. C.P. Jaiswal</t>
  </si>
  <si>
    <t>V-390200076128735</t>
  </si>
  <si>
    <t>Dr. Shilpa Motghare</t>
  </si>
  <si>
    <t>V-3902000170039685</t>
  </si>
  <si>
    <t>Dr. Jitesh Gujaria</t>
  </si>
  <si>
    <t>V-3902000103858057</t>
  </si>
  <si>
    <t>Dr. Gaurav Sharma</t>
  </si>
  <si>
    <t>V-3902000117546472</t>
  </si>
  <si>
    <t>Dr. Vikram Gond</t>
  </si>
  <si>
    <t>V-3902000227409904</t>
  </si>
  <si>
    <t>Dr Rahul Yadav</t>
  </si>
  <si>
    <t>V-3902000132349703</t>
  </si>
  <si>
    <t>Dr Jitendra Kumar Sahu</t>
  </si>
  <si>
    <t>V-3902000115506215</t>
  </si>
  <si>
    <t>Dr Rekha Gurjar</t>
  </si>
  <si>
    <t>V-3902000227410877</t>
  </si>
  <si>
    <t>Dr Ajitesh Singh Yadav</t>
  </si>
  <si>
    <t>V-3902000237669938</t>
  </si>
  <si>
    <t>Dr Pradeep Kumar Dohare</t>
  </si>
  <si>
    <t>V-48986894</t>
  </si>
  <si>
    <t>Dr Sakshi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</si>
</sst>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4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sz val="14"/>
      <color theme="1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sz val="14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2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left" vertical="center"/>
    </xf>
    <xf numFmtId="1" fontId="13" fillId="5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1" fontId="9" fillId="5" borderId="1" xfId="0" quotePrefix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1" fontId="9" fillId="6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5" fillId="2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" fontId="15" fillId="7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left" vertical="center" wrapText="1"/>
    </xf>
    <xf numFmtId="1" fontId="14" fillId="3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left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/>
    </xf>
    <xf numFmtId="1" fontId="8" fillId="5" borderId="1" xfId="0" applyNumberFormat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 vertical="center"/>
    </xf>
    <xf numFmtId="1" fontId="15" fillId="5" borderId="1" xfId="0" quotePrefix="1" applyNumberFormat="1" applyFont="1" applyFill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3" fillId="7" borderId="1" xfId="0" applyFont="1" applyFill="1" applyBorder="1" applyAlignment="1">
      <alignment horizontal="left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/>
    </xf>
    <xf numFmtId="1" fontId="8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" fontId="15" fillId="7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1" fontId="14" fillId="0" borderId="2" xfId="0" applyNumberFormat="1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1" fontId="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1" fontId="15" fillId="8" borderId="1" xfId="0" applyNumberFormat="1" applyFont="1" applyFill="1" applyBorder="1" applyAlignment="1">
      <alignment horizontal="center" vertical="center"/>
    </xf>
    <xf numFmtId="1" fontId="15" fillId="8" borderId="1" xfId="0" quotePrefix="1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1" fontId="14" fillId="8" borderId="1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/>
    </xf>
    <xf numFmtId="1" fontId="14" fillId="2" borderId="1" xfId="0" applyNumberFormat="1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9A19C-CABB-4D45-BD5A-2A278367D3CD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51D647-2B18-430C-AF19-CCA121999BB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4</xdr:row>
      <xdr:rowOff>0</xdr:rowOff>
    </xdr:from>
    <xdr:ext cx="194454" cy="29290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80D10A-FA98-4E15-A1CE-B9568C423990}"/>
            </a:ext>
          </a:extLst>
        </xdr:cNvPr>
        <xdr:cNvSpPr txBox="1"/>
      </xdr:nvSpPr>
      <xdr:spPr>
        <a:xfrm>
          <a:off x="6442363" y="26289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4</xdr:row>
      <xdr:rowOff>0</xdr:rowOff>
    </xdr:from>
    <xdr:ext cx="194454" cy="29290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8738B7-C1C2-4572-A236-7D840D7BF30B}"/>
            </a:ext>
          </a:extLst>
        </xdr:cNvPr>
        <xdr:cNvSpPr txBox="1"/>
      </xdr:nvSpPr>
      <xdr:spPr>
        <a:xfrm>
          <a:off x="6442363" y="26289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41D456-5138-4CF2-ABA0-AA5E6556FB7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34468A1-E9BE-4A4F-8E36-5C6726F7448F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B12E1A-CFB4-4A39-B332-AB5B9BFF95C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340AB41-E371-4E71-B0C5-7F9EF69C636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1685E34-B65B-4EC3-8E03-2FC899E5714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DDC3A5-600F-46FD-990A-E4D152CEE2B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E4DB7EC-0DAC-402F-872A-4FFF84D183B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E18D375-E9F4-41FF-9C12-81D5AA349B7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3B86D75-FFE1-4880-B8C4-28B4DB18D25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0700B12-D4F5-4C90-89DF-3FAEE1115C3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1093010-BDC1-4C15-89E7-9B05A2E151D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3ACC9B9-3951-4901-9904-90505C8215D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5A5B18C-B9CE-4BEF-96C9-901ECFD64D2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183F333-C116-47F3-AF42-5A3AD702CF7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D4F82DF-876D-4A40-B293-737518FC230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189DB3E-D938-43EF-B658-79B4BD1D9B19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27CBEB7-9123-4178-BD51-DCBF0612B8E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844C20A-397B-4591-B96A-838A9E50D14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4CF1B44-3A89-4759-8661-DEC65465CDE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C14498E-63AB-4901-9FCB-486D21D9C2C0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7BE1FD5-D6FB-49A1-B6F6-980A8DC17CD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8636BD5-2F20-43AA-8C34-72427CFF5BEF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EC1ABA0-ECCA-485A-A81F-92CA5F46482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24AEC75-DF40-47D7-A73F-985FC2EC294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CB49DF5-F254-4413-BB70-7538AE96ADC2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A29021E-DC40-43FA-A7EB-DD5C032DC329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9708E75-0411-4292-AE18-24C6B1B0BBB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714F138-32F1-459D-9280-51DA076A031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C9B57FC-FBDD-42AB-88C1-9DD38E19A9F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33462D8-2028-4D4B-AEB4-AD9FFDC35510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B9A872D-D877-43DE-9860-E520D9EA81E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A36F895-91B9-414D-BDEB-4C409F79EBF0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86E34C7-61E1-4F84-AA9D-F63341CB9D8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9AE5BEA-CA7B-4AD2-BEB1-E1C065E6B5D0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4CE9A00-543C-4940-A6A3-CBC72243B19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144AAE7-E4BB-42AD-AAFB-BB7CAB9D7E6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53D7106-8629-41EF-AB18-915474EC16A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1745A10-7F25-48F4-88D6-46BAF70D661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91A6123-DA22-4DEB-91F2-CF24B558D27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9D05250-7BCA-4977-AFCD-B2F8B98CE73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AB31EA-DCA6-49D9-A694-39C4E2030A2D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A96DA7B-BC7C-4BDE-80FE-296A6A1AC29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5C25B03-F0EC-411C-ABD7-390CA85442F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D353E-9938-4DD2-A5F3-FB9D3E94267D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A47A18B-850C-40DB-8DF8-54C4231CAB8B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0774271-F4AF-4DEC-A25F-638242D6DC3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28FFBF6-F365-41A7-8373-93F43F41EB4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B61C536-BFD4-4725-A30C-246B95A08FA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25D70BF-3CCA-4E3A-9483-7E4C7F1688EB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A3AC249-7ADC-4EE0-ABAD-4C29949ACBC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F600DC2-D074-4791-A514-A92AA2C8AB5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D55BB42-91B6-4B62-9C91-CE399FDAF24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4014758-B34E-4B12-8147-4C89A0443EB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150FD0C-BEA9-4C2D-A93E-D12E1D1CD8A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C889358-74C6-4952-A6DE-D65A2B21EBF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CF68B2D-52EE-4FF7-9ED8-A1A2775747A9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7AF109B-8F86-482A-AE85-89BBAEA77FF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75FEF423-2506-4550-A06E-DB5E4C5DF0C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B117A8E-0333-4ACC-A0C5-E3CA5E935FC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B69AAEB-ED0D-4BBE-BA2A-E0EA3CFD2B0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5A6D821E-AAA4-497E-8188-0147A17ACA6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8655DC8-144D-476A-A9A7-649791D186B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6D27094-D5BC-4428-A6B5-AC50FE6E8A6F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023B41D-0B48-4115-9928-0E1994CC32C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7B1F74F-EB53-4E16-851F-F191D0D169C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2CBF31F-D5E3-4685-9341-B48EE7E4538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F52636E2-F4DB-4865-86CC-914CD6AC708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AA674AB-3A8F-450D-BBF7-B2667140E7E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C2E2868-F955-4FB9-9210-4CCA7B69477D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5F5952E-0921-45DD-9B80-FC65EB9B855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3128D77C-D2EB-4FC2-9D6F-11C4CCF4629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8464E62-5831-4A25-95BF-475597107E4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07E2413-9E76-4E61-BBA6-7CAD40580F3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F596533-DE21-46A2-A6BD-FD844EB32E2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ECCCA540-99AC-4CD7-AD1E-E02A1511B912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6767C0E-379D-4B27-B503-EB2D769109E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A0A00F1-29F2-41C3-93E2-3D1FE5B56AA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D01FA7CB-413F-4CE1-B31F-B460F3C79AF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F58722F-79F5-4D04-95A2-76767AF9CA38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DE8A312-A0C1-4C0A-B8BE-63DD1797A25D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9FAE26EF-787D-43E5-8E90-91D5B5DB444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D994844-31F0-4F71-80E9-47B005A045E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3184A68-4217-439E-8516-0E4888B874A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4E1F86A4-090C-4CE2-A411-12052EE24000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BEA79AF-3B6E-4447-B3AA-E8AE494B864E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852576EB-195A-4E25-9B7F-5D1491F9C1E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C32F33E6-14B1-4C67-8C5B-A523F038C8A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59C4974A-DE47-4D8C-9521-22F726F2E6B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673594-2B3A-4B1E-A130-2DCA5D68F371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2069E04B-AF91-4D1F-99A5-02F790D74DB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C3B25675-C568-4BEE-B7CE-3EDBABBE6470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E9D7D68-EFDA-4654-A749-4949726F341B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5F4D43C-3CAF-4B1F-BB0E-022DCD431CFA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222C260-C62E-4C6C-BB77-81366D2D5835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AA98225F-F860-4BBE-A213-79C145B0344C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37A83492-2EE7-4160-80D5-1E7580480F3A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8E52F50B-0DD3-4788-8A8A-044D2259EFC9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6DB0188-5C10-48E0-B07D-96D511592C8E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1DB9FA2-D832-447A-84BE-66FF10CF3AC7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466B55E0-FB8A-4336-8B8D-EE6B6CDE19F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A580830-0F53-45E6-A6E1-BB82066E91B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9630916F-A253-426B-B84D-1C129538E99F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98040827-9FFB-4BC0-80E0-138112F93F4C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FDAE9E16-ED2D-45D3-B18F-E3829FC76715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8073E1-BC37-4B3E-824F-5A99B4D17106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66F909C-15DA-404D-B556-0F9298F0A89A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F0FBFE5-F033-4DB3-B7C0-5694FADFF5F3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4E817A7-9851-42E2-BA7B-8D6D9BF2A382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B707CAA2-4397-442C-96CA-B3BEB1C37629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11</xdr:row>
      <xdr:rowOff>0</xdr:rowOff>
    </xdr:from>
    <xdr:ext cx="194454" cy="292906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22C2D9D-486D-4A69-B1C2-BE151FD97024}"/>
            </a:ext>
          </a:extLst>
        </xdr:cNvPr>
        <xdr:cNvSpPr txBox="1"/>
      </xdr:nvSpPr>
      <xdr:spPr>
        <a:xfrm>
          <a:off x="6442363" y="57226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7C573C6-4192-40CB-89C9-EF36AE7863B9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278A36B-7AE2-4301-B22F-A3E77E3A5084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4C298607-7F82-4A30-9FC8-8BF75A72B4EB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11B0B39A-EDC7-4267-93D3-42BD8A0017C5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85544E63-B4B5-4C1E-AAEE-0E492B699743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C34BED3-22A6-4C06-9167-830DCBCFB311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BEEC0E62-55AD-4192-BEB8-B4C9D811D657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25995598-70AE-4448-9C1D-88DAD4AB1EB5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798CBC5C-1F55-4289-904E-5C2DAFC9D318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2568604E-8CC1-41CA-B431-222602709E47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E3554270-8699-4A7E-897A-B1D3AE5C562F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CF427A2C-5600-4E20-BCA3-6B1BBE96E3C4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B6B38F5D-96D7-4016-9D4A-CF57229215D2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6A233DDE-08A1-4B65-8ECA-F0F510AD4F48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FC9966B-C703-487A-84A1-771B956C46C6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BBE8AD-FAB4-48E6-B3E9-934F8C60B5BA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1D4DA877-7291-41FF-85BC-BB8A663D57A1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FB4A484-2380-4382-B786-525186FA7040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5F9D67C8-4F09-4774-99A9-677AF892EF04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D61CCD8-8C7D-45E7-BB1E-6438397515B9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902DB108-AB78-478F-BB34-40A5BFB17AD6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B930049A-EEB5-4130-972C-4D107E42BC4D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906B429-0500-4D52-B745-C7FAE1E261DE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3774D79C-88C4-4BAD-AD11-6FB0F39F0D38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AB8F0E4-619D-473E-9463-311BD6DCF3DA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543F4CAD-3B91-46A4-A3C5-17C52ADB229B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E33DEFFA-D558-4B37-A1F5-1E8A1C79BB5E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F35587E-8120-49DC-BFBB-EFD5523BCCEB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9194E9D-CBD8-43EB-AA5D-8BD49F4BD272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AB691F30-CC95-4B34-B530-3A58002DB4F6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B2EC52D0-A9B6-459A-A049-D262D85561C3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B83AA57D-90D3-4465-9104-19BDADCB6875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C64FAD87-40A1-49E4-A918-C915B277AE70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4B67835F-C53B-417E-BC90-10A103F4A8BD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975ECF5D-7A51-4421-8BFD-E5FCBE07D5BC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EAE2DD89-4E33-4864-B447-E850C327F454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9419ABD-EB15-40C6-B363-CBF91DCBA03A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33B7F96D-CE6A-46C7-B1E3-8C6AB878DEE4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2667B4D-2532-4CE0-880C-1B534638D363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5</xdr:row>
      <xdr:rowOff>0</xdr:rowOff>
    </xdr:from>
    <xdr:ext cx="194454" cy="292906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B00F3702-A193-422E-B18B-2F76378A2CDA}"/>
            </a:ext>
          </a:extLst>
        </xdr:cNvPr>
        <xdr:cNvSpPr txBox="1"/>
      </xdr:nvSpPr>
      <xdr:spPr>
        <a:xfrm>
          <a:off x="6442363" y="30708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CC8D4ADD-6F99-47AC-B5E0-8FCECB7AF4A9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6</xdr:row>
      <xdr:rowOff>0</xdr:rowOff>
    </xdr:from>
    <xdr:ext cx="194454" cy="292906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F0034D0-BC87-4D0E-A4DB-4947E165C72B}"/>
            </a:ext>
          </a:extLst>
        </xdr:cNvPr>
        <xdr:cNvSpPr txBox="1"/>
      </xdr:nvSpPr>
      <xdr:spPr>
        <a:xfrm>
          <a:off x="6442363" y="351282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6F754D2D-9368-4D48-B625-1E24D1267729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52D4D474-20A0-40BB-9498-683489765021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7AAD624-D4BF-4594-8E1A-26945FEFBCFB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7</xdr:row>
      <xdr:rowOff>0</xdr:rowOff>
    </xdr:from>
    <xdr:ext cx="194454" cy="292906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F750785D-8D54-4EF7-8597-10777C103438}"/>
            </a:ext>
          </a:extLst>
        </xdr:cNvPr>
        <xdr:cNvSpPr txBox="1"/>
      </xdr:nvSpPr>
      <xdr:spPr>
        <a:xfrm>
          <a:off x="6442363" y="395478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2C46FD8-A9E4-48F0-9122-9B26F1D9BE7D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8</xdr:row>
      <xdr:rowOff>0</xdr:rowOff>
    </xdr:from>
    <xdr:ext cx="194454" cy="292906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E5E5AC1C-860C-4225-94D0-D3FAEEB427D0}"/>
            </a:ext>
          </a:extLst>
        </xdr:cNvPr>
        <xdr:cNvSpPr txBox="1"/>
      </xdr:nvSpPr>
      <xdr:spPr>
        <a:xfrm>
          <a:off x="6442363" y="439674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85291E3E-FFD4-4845-8CA7-A15A0C4A9C98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D874AF4-6F99-4841-AFB4-8581C24E391B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810E0D1F-0F03-4F77-8E3F-473D46812540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7A4BBC3D-F815-42DD-90FC-37B161E866CF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8FDF4E7-3698-48C9-B57B-88506ABDE773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F4B355AD-C690-4909-8674-FA449B506053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958ECB47-BABC-46DA-9AA7-CAB57B54CE5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E8EE3815-5AD2-46A7-8667-A9229EBF4BB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A83ADE6C-F5FC-438F-AB9D-8F419ED9BB2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503BC7E5-7075-4A7D-9EE7-1E3633EDCF7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27B9B306-0251-4ACC-B242-79860523D57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16E6F8AF-5F63-4904-8205-1EAE2E83812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316501BE-67B5-4FE5-946B-C35C00566C5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CF9B67E2-4BFB-4473-9D0F-766E00A9BF7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219A0DF3-F427-4E0E-91BE-99B4B890424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7FDFE21F-8DFC-47B6-A1D6-F741A79E6C0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E72870D8-AAEE-4BDA-9752-D733A54CE1D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2E9995A-DA6D-4EE8-B45E-14C910386B1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4911EEA6-A121-4AB3-90EA-E22738026CF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722184A2-D331-47F4-95AB-C4BF3CAE7D2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69FE2174-533D-406D-9A19-73089DA9BBF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C116101F-95E1-4315-9807-D9C86E4D75F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87CA3956-490B-41AB-9E34-25D772A4A14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1269B380-81BE-4988-BAD0-F4CA201BDC1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67516A24-96AC-4F75-9CCC-A1C8D64D213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12C75DBE-F742-462B-99BB-B4798FAFBDF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9084CC87-80F2-40EC-8521-788C093CCED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9202984C-18CF-420C-A61C-03C6456DC5A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EC77C1FE-9752-4B57-AA04-0A4B83BC16B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EC966DDF-4965-4FFD-8B81-1579973BC8C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5C6E863-A74E-4B52-BE18-C300E07805C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4AABB59-4A90-4633-9A1C-18856EAE0A7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73A42FFC-4E56-4EB6-A2D0-9551D63345D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535F8232-A0C6-4754-89FD-5326A95B931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D68E269E-46AD-4F45-B40F-45C89DB3446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4564AA55-15DC-4C16-A4D1-E4442942446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1A44E506-7419-44A1-9D50-5ECF03DCB86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75E895BB-D4C6-44B8-BC94-0BB6C4DA371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4381434E-B27B-423C-8141-6321BA155672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3FEB595B-91C9-4905-B2D0-4145DEB5AD0A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73E716C6-4363-4BD3-97A0-57EC868E733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8B862649-80BF-4E2C-B5A6-090D8639EA6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8F9A1E66-FFE0-40E3-BEB9-1000C9E76D6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57E6731E-61BB-4074-A97E-61F56A810C1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C3002855-1F01-49DD-9511-5844413BD21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D5DA0783-7F5C-478A-A1A6-E43E46DC287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007020B-9A37-45FA-82A3-B280BA67B31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1475F8AA-6B2D-431A-9BD2-88D2048EECDA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BD129ADA-07EA-41AB-9413-A6CC90187805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C52DE5D-0929-4BC1-B2A6-5495B5212380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BAB872F7-2AEF-4DD2-8BC6-B9ED2D9BD4A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4AC787C7-E591-448C-B475-77DD7110190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241112B7-A383-4DC3-9C26-04DD74262AA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A4280F6A-97E9-48B8-AC7C-74EC5864606A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D1E60F12-9779-4EDD-852E-63F0A66BABB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5A2D4551-E5DD-4661-A182-7B0674B21C7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4FB2148F-53DE-4776-A912-0944BF29337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2417A71F-7F37-4D5F-94CA-D1EBA59FA51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71B695CA-7093-4375-8BC6-D5FDDFA98365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772B8635-088A-4F7C-8E30-33F8673CC788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4CEEEBDA-B233-47CF-B1B7-51ECFF3B199E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BB33842F-3F98-42B8-AE4F-C02354DCD604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EFB581C1-5245-454A-823D-B30968F67FFB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6658439-BBA3-4E1E-B508-5AD0F654D7D7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17B551EB-8BC7-4577-8C35-F29DB58D44F9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6430C05B-D160-441B-A216-650537FF3428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6C2DD1B-4B9C-4245-A961-4021F66439C2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20FCF99A-775C-4EF2-A66E-403B3624382F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974F6BB-F248-4B86-A449-5B25A6ABF9A0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11</xdr:row>
      <xdr:rowOff>0</xdr:rowOff>
    </xdr:from>
    <xdr:ext cx="189646" cy="311803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FEBD14CA-0F00-45EA-9660-DB50B5CE1666}"/>
            </a:ext>
          </a:extLst>
        </xdr:cNvPr>
        <xdr:cNvSpPr txBox="1"/>
      </xdr:nvSpPr>
      <xdr:spPr>
        <a:xfrm>
          <a:off x="6899563" y="57226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ED82C571-7803-4508-A088-36EF510229F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BBDCC136-9FDB-4ADE-85FF-3A9B4B28561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C8D44AD8-9EF1-4AD9-9525-23CD6B75347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6F5E7DD3-D003-4703-BFE2-733A892509E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199F56DE-A510-4B81-9008-DDC64899EA2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7F57AD8C-4765-490E-97A5-5503142E0D9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719005BC-15F6-40C8-933F-61787DC9E20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CD062DE2-F24D-4917-96C3-FD60581045A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1BC3F488-3801-410D-AC5D-0594419AD6B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DAE57599-1723-444F-A088-4FD69C165F5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D0B7B561-FB05-459F-A6D8-EF5AE869C22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D360983-AEA8-46A1-A2D9-01F83CB2E15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842C20DB-46B9-4E72-9936-A7C0BE83B0C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C178640A-FA96-49AC-AAD6-455C58F2DC4B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EB55B42B-1B5B-4544-A2D3-01AFDF7FAFA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9C41BC8-AC0B-4A46-8B0F-EAFC3576248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79A31C1C-17DC-4B8D-93C0-A6AC5B368C90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A7B9703F-A76A-4A40-81F4-2DE5E42A83C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2225BC8-F054-4722-BB40-64C2B055586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F3135489-DDFD-4A2A-B492-36B002BE0045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EC4F0DBE-4382-4A62-9301-A925B91EA44B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4CB2A22D-D429-466F-8074-73AEF8B9B45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25623B77-3F83-47B7-BB38-7670B0F5DADD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6FA908C-4401-4360-AE3B-43805736721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C5DA3079-09B4-4D9E-9B62-312328707F1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E9B9337A-26DD-4422-B120-9BB880E13BD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5E6D64AF-0E8C-4EC2-9898-A3DB9DDD1CD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3C3067E6-2EF8-4792-842B-E2371B243F3B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C6E47890-9A3D-4EDE-8A32-C2FE281980BB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7D94C987-D68F-4CA4-8094-6B93C821A62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6CA69913-7306-483C-B3F8-77F9BC2140A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BBFBF60B-734E-444C-9AEE-EF0DC83FF7F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EBF47FB4-5DCD-42F3-9BDF-979C9F9DA5A7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62C1AC19-7752-43F0-8B79-8E499CB2D1C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AC2D960-4D5C-4FE3-9EEC-080B939FD6D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B7C93513-A1E7-459B-9200-2940356E795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779F3DF0-1991-4D54-AF80-7F3ACB9C5E4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171C9C28-5549-41E7-BD25-2F3D8F0054F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4AB93A9-BC49-4C93-B750-91DABEC393E4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32462C96-DF7B-414E-9F22-41A185182E44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28A7647A-0437-4AD9-81F4-96180FD9C6C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9F236910-0347-4F85-850E-C143609F935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240166E2-1238-45DF-A3D7-01BAD1A3945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12756F3C-DA19-4890-9C37-0856DFA04AD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3F8DBAE6-45A3-48B6-8D01-55784BB3E832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287449A4-7B6B-49A4-9AD2-6E99C944ED0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BD512A56-02DA-451B-8D11-7FA0E385D07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9E20FFF8-815E-419E-9B1C-B6DF57EDC771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C57E1638-0B43-49F4-9613-C81DBE659BC6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6F316F2C-9BED-4F8B-B5B2-E748473536D5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32175C6A-0DBE-42DD-8D93-67226D29A70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8DC208A8-6430-4218-9B42-469F4BB9F38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174A7FEE-3F18-4C5C-8C5A-7FE40F6E0EBB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3ACACE4B-CDD1-4A2E-A1D5-47CA1406CA9C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B3ACA031-EC86-49F5-94D7-71FB583AD34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564B43C6-568F-4F1C-A50E-D3951C9B4E8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58831D9B-000E-4766-A889-AAA091F996E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144B3DF2-37FF-47A4-A10B-51F58F4CCF5C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EFAE2386-1780-404E-A060-3CD41D996971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455E23A9-C7D8-459B-905F-B98A60673C78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A6C5540C-FBB7-4489-B023-DF5546D70E4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6530D651-526A-4E1F-BEC5-0651DBDC3C88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F5E6BD02-2326-4B3D-AD24-86A7E6584BB3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E9BD46D1-EF7A-4EF4-AE12-81EA26197A3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7F6896E-2F8B-4A3B-AD71-B2551FEC5C70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AB8638A0-9517-4BE1-987E-B648E68BCAF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C72FCEC3-3FD9-4A8B-AE2A-2A467E0ACACF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9C0FFB47-6100-4804-86E5-3C5399255F4F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F07F1D71-851C-406A-9BD0-6DDA9AE4748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B678FA2A-23BB-4480-BB00-2E0F94E37712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A1016EC9-A3D2-4A00-94D9-25015FC96EB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BFC135A1-4A09-40B0-AFC3-40EBEF7FDB2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A664FAD3-9E86-495E-A985-945FF0654C21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54E48ED8-C2CE-4C34-B3D1-C787E405048F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53ACAE23-3FFC-491D-AEE4-FAB862FF0115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B56D7DE-5584-4355-950F-75A5A793E596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3DD1A923-CCC7-4EFC-B842-2EC470E96B7D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DC5D244-44F2-4F0E-B760-380B0D3EF7C0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9BED6A59-45DC-4B19-AA8D-FD9FF7E08BB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9C151334-4ED5-48B5-BD79-EE9AB78134E5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C3FA3FF7-577F-4F07-9A10-EFECE3EDB515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B234D40-851F-41EF-B1E4-DAB2888D4B4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D3B793E2-FE25-43F4-AF74-9726BDC4B32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AD24B1BB-C9CE-475A-848A-51E22E2D682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859924F-F857-4E4D-8748-4C43CB91CBDC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97C9115F-FEBC-4DDB-9FD6-C20FE4E6222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A3B55285-E13D-414D-8772-B9269FC4CC68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30037939-082F-4C0C-AF4C-CA68709568F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54A5C72E-3FED-4FE3-A4DC-ACC5A2C82A3A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D4659006-57AE-48F9-89AD-FFF1DF88F54E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B0ACB913-1FDB-432D-AD3D-5801049DFFFE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EC7B35E-15C3-4844-B5B0-C5E1ABC4D80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A6DD1DA1-496B-4C04-ADE7-D65EF37F535B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B86A2A1-B394-4387-B666-88D5067EA7A1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8BCEB253-919F-4016-AC80-F4F76121F43B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ECD6753E-635F-4124-86A0-DD58546C14BE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BCD90EE-02B1-448A-A709-449049CCCB8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1F5C90F2-4B57-4095-A540-618138119C99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A1035153-BB14-4002-B7DE-82B21E1C829A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BAFC8D24-9CA7-4FF2-88E3-350311ECF23E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143CF6D6-0164-45A3-A884-6CBF59C9749B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4A9AA595-55E9-460C-B1E5-0B01F3BFB7E8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BFE502F4-DD25-44F5-9AEA-7AF08C24B62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A7D2215F-0728-49AD-B6A4-7BECEA52516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84E29A5A-4A77-485C-99BE-E4ED88515AE5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2CD0277D-ABAA-47E7-ABC9-08E7E91D4488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72C50D9D-C99A-4720-9E8F-3ACB24FBB9A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28948AAA-E411-484B-ACE4-F5D53739B4D3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BAE5DE82-0D73-4CD4-812E-6677B505D925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639C3593-CE67-4483-953E-319D3CE1171F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17785A76-F6FF-496D-B555-078436CADFBC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67EA5E3-9BD2-49FD-85AF-A7FBEC0CFEB1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E90BAF3A-CD95-4FC5-8368-640F9A17219C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E9263B01-6072-477F-99E6-7166E6ADD618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1D5DA2E5-E756-40E0-89F4-B611F9A3A11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D4E7A33B-E993-4535-8904-3DA8BCEF595A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DF672045-39E8-47A7-9EA2-8AFDFDD2DAF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50DA134-1CC5-45E9-9891-5377EDA3780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A7B5B456-C13F-4FDE-ABC6-1C2FCD7B0AC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A53C091B-B356-4C70-93F4-FE06E6449C1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CEC0986-FDB6-4F88-B480-FB41A59DDD2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F4B693AA-FAC6-45CB-8D16-50D0A4704F0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5FAB574D-ED6F-48AF-AB4F-A700B216C73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BC2C7066-D5AF-470C-807E-B3A3F2A3587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934ED6A-933F-4CDA-A5E7-431144A1963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36BE521C-82E5-4BD8-AF19-55EB12269F8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C5D92153-E3C5-414C-87E2-9527A2EC1E5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52DD9AA2-6C36-46C0-B3E5-AA5B96D6753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DA9F434-B964-467F-88F6-305916BC1E6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244D0B0F-BA13-4909-B344-F8857D17734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705AE22C-2282-4B80-B127-A960BAE72B3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BFE13B4C-2DC9-4041-A97B-8A5E25C618A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3407CB59-A4CE-41B8-B45E-7131C967108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190CACCF-2A25-4AB0-8967-86EB1A52442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299AF1AE-DBE6-4A6A-B818-12C8E82EAB4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6A5733EB-E77E-4A1A-8D26-2C0EB17BCCE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C414B952-D190-4297-92C5-5B7231FA245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BD2251CE-A94F-486F-9766-564CF61139C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D1CA573D-F72B-41E0-BF04-BFCA4F005D9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819DE538-95BA-4F70-BD3C-CAB34A416EF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CB369B25-4A0C-4E11-BBD9-2CD5E2555E5F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56C0BD8E-EC91-47EE-89A8-3037FD65EBF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439E8972-2B5F-4806-83C3-DBB36057093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98BF88CB-78DA-4A5F-A4F8-DD379C237B58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5E0BCD13-9681-462E-AEF0-6918B1417FFF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8B6825FC-1908-411D-AF2B-20AC68B8479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88725B0-03D9-4654-B196-CC9831A4FE0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A5871F34-E187-474E-9194-9ED507869C1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CAB7524-0A7E-4FD7-9CB4-D2EF40F4EB8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1FEACF26-FF43-4085-8C17-F20426B3146E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C05A080C-E947-442B-B2FE-E0F82D3CF7A0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EE2A14D0-B1BD-4739-BE39-95A0EDDD4EE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50FB4B66-7D03-485F-BB23-2CB0647A798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48D69DA9-C91C-436B-A0E4-5F2FF628A8A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DB25EE2F-0FB7-4E34-A083-53130BDD725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FE4EA774-45C3-47A2-8152-69BAA592FAD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F24B0790-5CC2-4CA7-9A3B-63D8D3AF503B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28352C62-A38E-480E-BEDD-C3DEB614753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EADD648B-74CD-4936-8010-B4DC52BF15E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63054D8C-3D57-462A-9A6E-EB8B8BBCABC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4504AFF3-D3CE-456F-806B-A01FDE454DB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7B605462-B83B-4F49-88A1-CCE2A0D2DE1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DE5100A0-35F3-420D-B439-4F5AECE6D33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58AB99B5-2EED-41F6-9D48-A735CFA8F9D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688FE042-C1CB-4CE7-9A33-9D32A9CC40A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98589E6F-A74C-4125-BAAE-65504155D82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470CC8C9-4391-45BF-87D2-DBB2C702EC4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E8397782-C18D-4859-A3B5-6F504BFF5DA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8D79CA4-AA9B-478A-AE8C-9800C5C68FF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16D08BC-8208-4B28-BC1A-5DD05804142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A373BDE7-3BC2-4EA4-8304-103982BBE33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3C552B4E-FCEE-4307-83B2-EB3DBEF3613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2EAA432A-26D6-4ECD-8E3A-FB2DAA51056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FC63A90D-632D-48AC-AA9E-FA174D0D6EF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E7834E83-4F5E-419B-929B-E90D76CF724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F7388B7E-421C-4E89-B4EC-D79214B24994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42D65B27-DF1C-4197-9430-A51687E5B3D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B3F1F227-3B20-475D-86F7-3CF249F415B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8C8A7214-274F-49F1-AC03-823DED1B9BA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B2404F55-9F1A-4D3A-81A6-6A91793B3E0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1CB8AAB2-178D-4646-AC9F-9CC81793E8B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70869519-3F9B-4998-A88C-CEF04461FF85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F522F974-9FB6-436E-B60B-B661F90A327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7D81EAAA-F5F8-4D98-B182-20A16B75138E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424EBB29-8DAF-413C-9F9B-895CC27FE57D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D26E5EFF-FB4D-4221-B4EF-910DC7EE9BFB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CFF02566-6EF9-4BBE-A276-E3245A1AFBAE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8B61AECE-B865-4A79-83A2-54E588965F4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C43BAFB0-082E-4814-B099-435B6453FFD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9DE21E8-E6D7-4244-BD6C-6AF851792AD3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E3BC7888-DB03-4D61-9316-896A24E8108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DC2569B4-3262-4236-9684-B3163075C430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12F8F74-BD81-4A4F-854A-723DAE85FD5D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A408954-AD60-43E4-AA08-EF2FE73C03A9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D8BA6EC1-13E7-4ECF-A5A1-C5B2807135CD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8DFECAE8-DCA1-415F-982E-33DB4A031845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85EFF8BB-5052-4D1F-A6D7-A3E1A661BCB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C3E1C6CC-22E5-4E57-BA27-5EDCA8F6F69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A5234DB3-2700-46E8-B34F-177FA4A82D9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8F1D23B5-9833-41E7-ADDB-87C5B367889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6803A3-A419-44FE-A8A5-1689F2987998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395FD478-BA00-4A99-9514-2AB2D329EBD6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C914444-78E7-4B42-A205-4446792A5601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A8A5B294-BC53-44C0-B989-A287FC2841A4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55581643-2F1F-4CB8-85CC-8BB7705ADD58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E543A25D-5BA2-4C75-BD30-E1020389495D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5D958747-41C1-43BE-994F-7635A4B212CD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9A009F91-E328-4A78-9369-0864580764D5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A83C8322-0B79-4482-81DB-9E89A8B8CC1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220E0E-B3FE-4FE6-8870-5827580DAB07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1F190893-B5FA-4008-9C68-A8B2BE58B53E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7E2BA583-780A-4A33-A7F2-0C6653DE3C42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A3AE03C-AFBE-4033-9C3E-5B4645328BB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7DE40185-919D-4D26-8788-A7D905DF7F7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C0FB7FC1-B5CB-4948-8CFB-8C81B016FAD5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14F8E400-CDE4-48D7-8C1F-E574E38C1E36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D6317E5E-C087-4137-B029-807651CBE18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397519DB-D80D-4CBB-820B-AF914D361CD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E254850B-8A38-4C4D-8E09-357F17B0A46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BC6D2728-97FE-4BC9-A2A3-F5736AEFB4EC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5402B0F5-06E0-40AE-8987-A8B5A44CF4C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663277A3-6F00-4405-A59B-BA1E5BE88B5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30D3A3B9-BEC4-442A-8AFC-AB8BE734C7F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A7FE8AD7-DD35-46A5-A5EA-29BAD7AE683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B046B8AB-C96F-4802-B858-B0A8827BCC1E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5482639-7C74-4A7A-9250-C1F20448771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2B53551-8661-4B7D-A36B-E17BA0E7CC5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A60E2AC5-AF11-4ECC-88F2-092CE572B8B0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9D9F772E-A2E7-4DED-99D4-F8828D2618B5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7E34A45F-8322-4301-92A2-E89B8849AA68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C0F67536-F671-49F3-8784-81642A4D82F3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F617B425-4963-4C54-AF24-17CBA3F22877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C6FF0440-B177-4408-87BD-39A0AEA5ECC3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C26C30A2-10A1-4D84-8E59-F4E6359D94E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D07299E-AA0B-44B2-875E-76A59242E96A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B0FAC37F-2278-419F-80EF-FD67465EBA0A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A1C47520-2945-4ABD-A8C1-76B61D0B5208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9B72C8FE-716D-41A4-99F1-B0350AD76AC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610A95DD-11AD-4DC4-8F1E-096B00C8AF2A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5B95AF99-6A88-44D8-8D64-5DFB3D529266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EB47C814-BBCD-4568-8112-16D28532D85C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A0BB1ADB-BD38-41A8-A7B7-8B6AA2C1ED1E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3D51B3BE-8944-47A6-8F1D-48EB00FAE2BA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6AB7C977-47E5-44F1-AECE-EDC2C88922E4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D957BB5-505F-4574-9FC9-D3F96E073E05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FAAB70AF-DCFF-458C-BA70-7D783068368F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61E62F2A-746A-49CB-A2E1-CC9E6E0C8501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44126355-BD51-4225-825A-100EBF572364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C01C65A7-C7B0-40AB-8CEA-8290854A38A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E661EEEB-9EBF-40A6-9F0B-1955CFEE38B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98662B22-F35D-4D30-AC7C-A521D7D7E43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CDB6414E-1332-4ABF-B1A8-1947A389DCC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AA1D6A5A-9C2C-4C20-9D28-CB77005C76A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CD59C596-8401-4250-97A7-A9F8F33B609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36F2A7A2-D7DB-4A21-96B4-860AD67E150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A2D95D3A-F745-43B0-9038-BC5964F5F1E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9401CFF9-9CF8-4D5E-8AE4-B74C5AAF57A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5AD1747-5324-47F2-9045-6EAB71C61FD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B269D022-F1DC-4BAC-8468-6835A9D2A13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D2EF4393-9ADD-46AE-8697-08A0B885BCF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C29EC669-3EB8-441E-9C06-3E2791EE35D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C7D0F365-74B0-4632-8FBA-816197B8050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1B3377A3-D2BE-457E-AF68-D5117042A6B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B51065DB-C5CA-477E-A02D-CA3CA010B6D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7E21762-C27A-47C2-A616-59A3D27D9A5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CFC19E81-C055-4C27-9B1F-835DFBB8045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C9F04120-D178-4A84-A0E2-B9597070996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908A534A-9333-4121-9829-00D320E2141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9021D404-9DA1-4955-8FC6-4EE4A9E37C2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25877D9A-E05D-45E7-9521-342A2D81E5B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D208DE9C-6D25-4925-B99C-07DE86CDF67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35C8314A-F5F0-4079-A482-6CDAE4EE0F0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759F2CF2-1BBE-4AFF-8CA9-59F2AD9FC8F8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AACBDA83-854F-4B52-B323-738689B3C850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5E0F9BD5-79E0-4752-9268-CF59E4606988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D761D59D-4CCF-4BAD-A610-4771DEBE46B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97A0321D-7CE5-4CEE-AAC7-69C0782A583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45A15FF4-74D1-4820-BC6C-2E968CA64A7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86502EFA-6456-4511-896E-3698FF862AB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DFA412EE-F617-4BD5-B960-89FCD729859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856E674F-38E4-4A34-92A5-A6936CC7699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699FE37E-D1F0-4BA4-A8B2-1C940FA61DB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758F4B4-D2DA-43B6-9E2C-1D290579A17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3474E6F0-8A33-4751-AE1A-D697C34DDF9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D5507A74-5C51-4935-B8CC-2017C085D67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B4A50B1A-7183-4E9A-B39E-09A25736B56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8034B91B-7D0B-4A8D-B3C2-F4035155B57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29CB0D39-B00A-4911-9F41-7CD386E5EB9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D3C2F54F-5C7B-4D28-A1E7-B37995CB596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73AC5840-9277-4CAD-9622-795777378C6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2539F390-B556-4A8B-A469-8814BB97E9E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3D0E1579-3091-43BA-87CB-321F766FD5D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24578AAA-B243-4EA0-9709-274E9915D4D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FEC3284E-E33E-4B5F-8367-25D6187B3AFA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0196EEA-4846-4627-961A-14D03909CCB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1CBFAF7E-3ECD-4434-A316-1D8FDEB4B4F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65608C25-EC06-4623-AB5B-EED197A73A6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48D3E657-C4B8-4FC1-9355-E281AE20645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F3BD58E-6923-49DC-B7BA-99EF8B90B9A4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EB84504C-9495-48E1-993A-D1ACA86AED0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15B740E-3EF8-4298-BBE3-089C492F046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ECFA4B88-1640-4A40-B821-28305C16998B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B3ACA133-CD9C-4872-B272-C236498DC07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90C50309-727D-4834-B0BB-33221979B01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58C28373-E677-41DA-8FEB-3A87F60D643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52362988-25DF-44FB-A4B7-25FE2BF053D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12206A39-41CC-4373-A064-3CC5918674B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B8A5CAF2-6C22-435D-9456-585163D0F83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75422A1A-7E48-438A-BEFF-A28E31976BF7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DEC93E52-C651-4260-BE55-05800F562447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693C3E2-F6FC-4C33-B820-BF3FAE598C06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6185A668-94BA-443A-9CD7-E1F6C037D27D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4684A7E0-B43A-4111-9C45-6AFF452ED60C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61C0ED82-7B9A-4722-BFE3-43CF74792D2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CF66B045-42D3-47D5-8DFC-D7BC908AB566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81884780-6EE7-4B0E-A2E0-F1C18A728EE8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4F0AE24D-2062-417D-BDA8-A8ED336C4A1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D9424258-4635-4145-B4FE-813BDFA768AF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A35223A2-A502-4D32-A581-D5AF6383769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68A3EC54-834A-47C3-8247-0D67C5A62CB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ADE5D55-FDB5-4996-8BE9-5191A2BFB33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2B0A1020-5F42-4962-8307-C550ACC7A5C6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E27CF5C4-0567-42B4-A805-BA3A858B0BD0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2B1ACA79-34AA-4FC6-BEB1-CA8443D77C02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8DBAF41B-C70D-4A97-9CF1-43C7514C609E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4A6CA2C2-D6E8-4ECD-84D7-FA95B397F55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46092284-95BE-4F28-B2B0-9B9CD73E81FB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6EAFC911-572D-41EE-85D4-21A2C4F32B0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37AA5DA8-861A-4213-9B7A-F5643140ED1F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7921A96A-E6CE-4B7D-97E0-32B98F0864CA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9646" cy="311803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5F6B488A-6A2B-4265-9E85-D521A21D133E}"/>
            </a:ext>
          </a:extLst>
        </xdr:cNvPr>
        <xdr:cNvSpPr txBox="1"/>
      </xdr:nvSpPr>
      <xdr:spPr>
        <a:xfrm>
          <a:off x="6899563" y="67284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13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D427756B-1AF2-482B-A96A-9BDBBB017C62}"/>
            </a:ext>
          </a:extLst>
        </xdr:cNvPr>
        <xdr:cNvSpPr txBox="1"/>
      </xdr:nvSpPr>
      <xdr:spPr>
        <a:xfrm>
          <a:off x="6899563" y="672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3A4E1599-5789-4912-A7D4-336B24B6390D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DE31D53E-C69A-44C5-9C9F-5E10382A2D27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593E4BAB-8621-4E54-8C52-92D6B0C155F7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EB40DA76-80EC-445D-AE5E-A39208F8E3D2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8A0A0AF1-36B8-4338-984D-C047EAB4067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B5417BF1-E81F-49BE-B1CB-8E7C41F2316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7DDF6C5D-1604-4F38-B03F-A403CC62BD7D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602C3CDC-D96D-4A2B-A079-632776C9DF86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806E3E17-2BAD-4F44-8474-01EEDAF562E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328E27F3-8438-4A7A-9E2A-0743358D280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D6E521C1-B459-4DCB-8C68-1DDFB24514B7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E6478744-7BDB-400E-8B4A-6FD7C4C8909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12823B9A-5248-47F8-8026-8F0E0B3D5F6C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194E80E4-7E78-4F00-97F5-6868580FBF34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A4104AD0-E6AE-493F-B251-30977FCAC43F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DC48A8FC-46F5-4C3A-8DE5-9ACA701D78CA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FB53C2CB-0A2D-44A9-B347-94726F4E2C7E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A20BBDE0-B8CC-4BFA-AD14-1F93DE499FF4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DA9C5A29-7F89-4252-B4FC-EB26DACFF439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B772D992-9188-4130-97B3-8378217102BE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8ABDC112-E400-4AFA-9655-DD332D9E4466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92CFE2B-8076-4886-B60F-F44221978414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960A016E-8877-45C5-8865-DE097A6A5EA3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14</xdr:row>
      <xdr:rowOff>0</xdr:rowOff>
    </xdr:from>
    <xdr:ext cx="189646" cy="311803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23B1FBC-00D9-4217-AAE0-A77E403C84DB}"/>
            </a:ext>
          </a:extLst>
        </xdr:cNvPr>
        <xdr:cNvSpPr txBox="1"/>
      </xdr:nvSpPr>
      <xdr:spPr>
        <a:xfrm>
          <a:off x="6899563" y="72313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BB17BFA3-AC3E-4312-81A7-11E27193278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728DC418-F8FF-40FB-88D4-DB02B3085D5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7E1E3A4F-26F7-4E27-ACD6-565299B9410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AB9175F0-22C1-4509-A4CB-9EDD05291EDA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47EB8F37-1A75-4064-A67E-B196C5E7530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A6D430E-B80E-4C00-AECE-CAB8825B4AB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7E90E414-AE33-434A-A210-87254157A63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59F3A255-0F19-460C-978C-C753A1D542B5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A269888E-7B90-4699-BD32-84DC9B301DA6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4BD1E1E1-B2F0-4299-9080-F313833E89A5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62EEB81-0860-4F97-B523-2AD5752783D5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FBF4911A-F00C-4048-9E6E-4D22B320E17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4E3D496A-0914-4D81-8616-F10BDD28B00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7E65A7C3-4AA1-4128-8A0B-BE870E46C3A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DAE1EAAF-19BC-43A5-ADEC-134750FC2236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7EBA2412-33F4-45F7-B657-8CAFB40A087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A0E91BAB-41FC-42F7-8D23-8EC20FB4F1B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6694E925-7603-48E7-9F4C-65D171CC7B0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BDE4FDAB-180F-4AE5-8813-7617655D505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CAFE3313-060D-47A7-A743-A97BA4F44AA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79603A52-034E-40CF-9DFA-5E862BBC23DB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15DC0B58-68F8-459A-927F-9A750F7AF436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C7354DFD-6774-431D-BFB5-62F9DD4D527A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66F352C1-5C3D-4780-B7E3-B02299B844D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75AC875C-F7C5-486B-9521-EC058CD38277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9339261-8BAF-4366-B837-00E8301C47B8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6E00945D-417F-43F7-B539-D6B61031B4B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561362EC-9830-4278-A080-95DC3F6B3B29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BD5174A-455A-40ED-AE53-694EBCDE41B1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BB9F7E9E-BBE2-469A-A0FC-8D1DBA3372E7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66B7EC6E-E82E-4E02-A4C4-9B95814F5461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D352846C-9954-4A8C-822E-FCEE8FF4174C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DBF0EDCB-87BD-4FF6-942A-1347767DD37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877690E1-69C4-41E1-BA50-D6CADB1682A8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8BAD803D-D9FC-4EB9-935A-9C2EBDD6D1E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F351FE5B-9F94-474F-9E10-DDC64DDDB44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57B73B68-F47B-47C8-99D2-A9AB19F705D6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20ABF288-868F-4A7F-B442-F30D617918D7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2570E03D-3BE2-40E0-89C8-4CCF9AF24CB9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154437F6-1931-4477-978A-660679EF4B12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5FC8517-429C-407B-8690-206E36C425F4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85E8B2C2-D57B-4D15-9EA5-A6EAEC1FF888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CAB95A6A-B478-4632-8069-438BF7F590B5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C006075D-E9CA-4130-978E-AC279CF36577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C9FC328D-E57C-4056-946E-C6753FD5B53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FCB114B7-71FD-4DD8-9A63-10F9704BC87C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3FFF52A0-3801-4601-827E-0FDB8C3A78C6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16</xdr:row>
      <xdr:rowOff>0</xdr:rowOff>
    </xdr:from>
    <xdr:ext cx="189646" cy="311803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90E0CD2C-01D8-4248-8DCE-332BFA744C6D}"/>
            </a:ext>
          </a:extLst>
        </xdr:cNvPr>
        <xdr:cNvSpPr txBox="1"/>
      </xdr:nvSpPr>
      <xdr:spPr>
        <a:xfrm>
          <a:off x="6899563" y="82372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DA175BD2-4F5A-49DE-B102-9D9A64B92DA1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B2A03A3A-11C9-427B-81C9-5F467BBF25D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884BBB1-3382-4F93-931C-5FC9E51D7D3E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21AEE83B-FCD8-47EB-A02B-08ACDB7978C2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3E7C8680-2AC6-4282-ABAB-75895083BD0F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7CA3AF87-BAFC-4614-9D3F-3FBE5BDC460E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E04E2292-B0DA-4FB2-9D18-D11673F1075B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6007FF7-3C17-4CDA-B755-474B96645C6A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F4268FD4-F310-4454-BB0C-5502764A0E60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C8E52869-DB99-4404-91D7-C785D1506F49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FB4057D7-02DB-4598-9A3E-14A87CED46C6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F5BF692A-23FA-4BE4-B9DA-D8B210D4124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8812563E-AE3B-417D-ACE2-7787D75663B1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533CBAA2-D670-468E-9BF9-DA264A1F2EE7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F1835E6B-3CB8-4D21-8673-4B8E68F06957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76F3CB9B-19A9-4214-8E27-BBE80948634B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882D962A-1B05-4676-85B6-6441B1C04091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172ED67-A14C-47B7-BDF9-15F80EAA14F4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672AA936-6415-41B6-AC29-8C035CB7F170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597DEC37-E885-4DBA-9906-E4792D591E67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F4579109-10BE-42E8-8DCC-299A76D5D69C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7DF42E74-B682-4FC8-B96A-10F7CCA8BEED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847FCCC7-3906-4934-94FE-D7A1EDC93A85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17</xdr:row>
      <xdr:rowOff>0</xdr:rowOff>
    </xdr:from>
    <xdr:ext cx="189646" cy="311803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B82C0B97-325A-47FB-95EA-36735F8CC37A}"/>
            </a:ext>
          </a:extLst>
        </xdr:cNvPr>
        <xdr:cNvSpPr txBox="1"/>
      </xdr:nvSpPr>
      <xdr:spPr>
        <a:xfrm>
          <a:off x="6899563" y="87401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85C7A5F2-82FB-42BE-939C-7C0B583F8A2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C69189EC-981F-4F8F-822E-2B807D5219E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181D2841-E0FC-44C9-A7D1-A43FC33CCDE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C094BE-AC9D-4909-82CC-E58186B8005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D0ED98D4-A081-47C7-95E0-6ECE856726D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25EEDD37-0CC8-4DEF-AECB-7FD7C3ABEA9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AF655BB4-B227-43B3-BD77-17108B85D80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BC2C6DAB-6B2F-4D1F-BCCD-9BACACB36FB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5CD58FE8-1F7E-4E37-90A8-8FAE5EA64C7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820817EE-06A0-4D29-A912-17EB61D34F6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2A3D7D8F-E6AE-443A-AF68-1E3194655DF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BE00614D-FF23-4229-AC9F-9AF2587A591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104E1958-F373-47FD-9A8F-C1C16EF8974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B32791F4-8943-418E-9778-510FC15E068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564800A1-62A9-4BB0-BDCF-C7CA57337DE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CA02BC9E-282E-4EA3-BBC1-8C173D10CB7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68EFB48B-ECF9-4C3A-A293-FD2A3AC40F3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B3CDEBBA-A633-4FB5-8E29-F83F4CB9D85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76DE818F-ECFB-4786-BA5A-3B730423798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DCD4D319-BA89-4767-A5AB-B32425EBB03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A50A1C79-2B4C-4BB1-996D-39511226404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D33322B0-1993-4148-B77E-FB978CB2081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A2E4E55-3EA1-47EB-8866-1109C22969F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63584369-F89A-4FB8-B169-E16E556B670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9981E076-FA1C-4073-A1A5-FE4CD55E8E9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88B96BB0-CF72-4E5F-ADC5-92A1BF34CFC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8BDC286-FBB7-48FB-888A-D7994DE7926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B6569252-BBFD-4854-987F-ED6BAEFBFB0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8148816B-2263-4BED-A9F7-4C05FE06FDB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78C5501B-86D7-4E03-B686-71269D9ACD1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581C3924-477A-492E-AE96-6B2E126EF3F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D3D0DC01-C2D3-4221-90DD-FB1025070EF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F5ED19DF-EBD0-4748-83E2-CB882991617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936B4E-F8B6-4517-94AE-6643DBBA5C0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8872173D-AEA0-4A5B-9B97-60804363827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2FD8F593-9805-42F4-9E50-5674DDB50AC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94F9D9FA-7517-44B4-A8A8-6E236C6E3B3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A800A56E-C768-4D83-A499-BCB73239404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2BA9B344-3895-4E56-9A43-5C8893B6B4C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231CBF9-AF8F-4FC3-9BEB-226B9393B82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59BDC05D-D94B-4AD0-B4A5-51074C1009B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32B14EA2-FDFA-40FB-B397-193B9DED674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545B5BA7-0A44-4FDA-B383-FEC6E9830E3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13174445-1638-4D66-83C9-E66EF0C56E3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EA27EFCD-94B4-469A-8EC1-1CF36632631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4ED9EF63-F48D-41C9-9B16-D308E629B55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27733B1A-E68E-48AC-B0DB-254B24AFA8A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F14CA8BA-8C4B-4635-9585-363BE100CA3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A7B84A2E-3179-4EA5-840E-774A8228D1D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5E2D72CA-6C0C-44B8-8FF2-DBB24D923D7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24BD1BD5-C9EA-4B03-9617-830602E4F27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725B640B-13D8-4650-A8DC-54D04ABB67F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CEF850BB-0280-4C1B-964C-9C8B8AAA8A5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A40FF69-9239-436A-AA40-80706C1A5E28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8D7C412A-FAFB-4731-8163-B8FAB6AD1B2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ABD1A01F-71D0-4066-81BE-743B66BC4EF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54699A3A-1355-4DE8-A256-8225E178719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2E858BB4-ECCE-4E3A-8817-7162AFC06FF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926A3D16-12B9-4C24-843A-EA279CA8F5E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6041CC5-02B3-408A-9E6A-943BD986D5D8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E8B6C53-138C-48D9-A66C-4B34A113CFA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F7219DDA-9B0F-48A9-AADA-0E9DC86F6F2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2963D3DE-583B-4630-91E2-A9F87B56DB5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3DD1CD95-D6AA-4D4D-B8BD-CA851CCA3F4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B8AA09E7-5894-4C5F-9D86-17FEAF194BD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96604B79-83D5-4AA8-8899-04C1751C66A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C7D1FEC-5C01-4AC6-BF9F-DFC41806F79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8C510ECF-6B25-4697-9E16-4D1D0CE1194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A5EA2B9A-984F-4078-A956-36531B91767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F9BC0715-27D0-4866-9076-D2284F0BE7B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DFE82AD1-49F1-4631-A80C-A8C140EC01B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32FACFC5-522A-4D71-8632-1DE09A56AB1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FB17C55-3E0E-4E89-B3BB-7136CC7DC6C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81C6A7ED-CEA8-4DC0-B52A-368FAA32F39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F5F81FF6-B58C-47A5-8F7C-17BDCB5DCC8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5F6F2996-4CBA-4939-A547-396D9C43E3D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4966E0D-D93B-46E8-B1B3-9544268B8C0F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E396D2D6-32FE-410E-8FF1-2885E927ACD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91AACF5-40E9-4CE0-90ED-915ECA46E5C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85983E30-C8C9-44D1-9892-0A3DD5CE32F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98BAC49B-168E-47D4-A69B-FF617DC2DBF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D08270AC-9750-42F0-8D4D-2E8AEF1F85A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6ED3535-FE42-455A-B018-544CC6EADFF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E6D40B8-1ECA-4D35-A15B-F623F97E1E4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AC75130C-B9A9-4DA2-9FA5-2F0353ADDEF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2C7D5617-F0D2-4F12-95D2-0CA732A6865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6D5A2E81-598E-44B6-8748-D7862D76E0C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68E5B133-88D4-42FB-8FBA-362F0D39175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B47E299-830D-4F75-A73C-D3A99CB70C5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3CC784E1-F1BD-40CC-9E26-1E42D6F6EF9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C2CC9E75-679F-45AA-9FED-C2538DB98E7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793E0EA0-21D1-4D05-94DF-FAE6106D350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6FA78DB-A9A9-4712-9C81-7061199BC488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1378586-77D2-43E6-93F9-3B01804770B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30829804-6F6B-49CB-B8DB-EEAAA1C7464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152C7F5A-2DC8-493F-B2D9-6EB70E270BE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4820A112-AEA7-4D7E-9991-E7E433D9A4B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B0B1FEBD-33B5-4A0F-94D2-AD88AA681F6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B1FCF8BC-4E50-4E62-8118-8410C176BA4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77B434E3-9B55-466C-98DD-F21862017118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B9CB872-DE8D-4E07-A8CE-98339971E89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4FCD875-D253-4514-84E4-1ADE19F151C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1B879887-B1E9-4F14-88BC-9C28861050C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B4AEB90A-BA56-4499-BFA3-C63BA11F0F0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BB9029BD-C3F3-41BB-A52C-C5B2E9028D7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72A6556B-606F-4EA1-8F62-E156ADBCE52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B3AAB865-56BF-4157-8BC4-AE05CAF8C90F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1C47E34F-BE91-4D7A-AC49-C85942BBACC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1863170F-76DA-46D7-9D3A-331D842E457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F1A72092-2D41-421B-A86B-1E3D8EF2B16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A7A82F01-83B8-40ED-B905-02FA459F291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438A1B56-100D-47A6-A3B7-8D88229F4D5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5E6F5F87-AB6C-44AB-8378-BA8A2AE7990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66473BF6-5023-44AC-99D9-42A7128FE13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AC66BF30-7317-498B-A637-920AFA99E10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5759F189-552C-40EF-A09E-DA1E652BB50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EDE73E0C-23B2-415D-AF64-A8313944183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EC786013-5B2D-475F-88BE-4CEFF641BFB8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1063E8E3-F89F-4064-85D0-4B0431DCBC4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CE71E416-0074-4F63-BA2B-63F9E01CFA9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2FDCE55-C4EE-4649-BB55-194F9C0C0BE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A0B3A540-F701-4EDE-A9ED-0B2CBC030BC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94D069C-7967-4AC8-A3FB-E802A025592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441F1F7A-96B8-48B7-9A99-F653604E395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C88A8B59-B19A-47DC-9D89-6206E19BCDC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D5AF65CC-CF84-493E-9362-06FBC4F4ABA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2267D288-1A09-4043-B705-658CB4B03BC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7C657321-13BB-4833-8BC5-6A890750A40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539EB47C-7233-47A9-B60E-200CBB2D2348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D2510357-723C-40FA-9FCD-20DC8057582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7BF3D6A4-172C-4679-8CC0-57C4562CC461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796CCA00-069E-43A0-99CB-477B23F6811E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E44290D1-6BB2-43C0-8A68-8328ACF62B1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39761B4-F868-479D-9267-193C7775FEA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EB28BA77-D9C3-4E98-A30F-8569D79284F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8766C3C7-7873-44D7-A36F-ED3335E1246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92FD6A78-05BE-49F1-8D24-4EE98C396AD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D9F7EACE-01A5-43E6-BEB4-BAAAE03E797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B9C3CC79-D3B0-4464-93EA-7FB953A2DC3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79BFB624-96EC-409F-BBC4-D4392F90BF3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C8150DBB-8E8D-47CB-B879-B2643F0C459E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8ABFB1C1-04C6-4330-95AE-62229860067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1E72A276-0F98-4497-AE9B-37AF108B500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CC515391-7667-4968-AF5C-E0C55A82F92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2F6ED689-7A2A-4BEF-B639-8ACC62707BE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243A4B42-043A-4C82-A56B-C8F163F488C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1C27DB3D-3341-4231-AE35-32ACFBB50C8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5B1ACC15-C78E-4510-B049-E76971AAC50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7D0C9443-A04C-464A-91F7-8040DCABA03A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CF398C52-A1C3-4819-8955-3A33676F237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1A2862E-B065-45B5-98DB-3EDA1986B8B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ADA186A8-2CCB-42EC-8B18-B3BC47C5B8A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54C5FC44-33FA-47E7-83CF-36A1CF1B6AE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6350973-6B3C-4FC8-BBCB-01FAC3DC86E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C1A21AA3-AC6F-4926-827B-E7B5A19C6FE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773437C0-9CCE-4354-9878-FD25C8CF19F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FF9D4FAE-89B4-4AC8-A319-CAD879DA6D2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3FAC0F04-3D1B-4A26-96D3-AB4F58722DD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519CC727-8D82-44C1-8F68-D6AC755E83F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6797E88-6AEE-448B-80CD-F76AA23CB96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C8C67946-367D-4191-9616-ECBD517A255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CBC4A357-58A1-4210-B621-7AEF4B0160F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C30AA097-0AA5-4265-80A2-C39D2EFE3E48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B317519-997B-4C1B-AA6F-F348F4E60308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B7CB08AA-4EC9-480F-A824-33C28812331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95810F42-6F8F-4105-BDCF-646641CDAC4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4511E47B-8197-4B70-9247-9C4083E7650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359C4002-3ACE-47E1-BB89-71912436C1C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B2F758D6-BC6A-43CF-9CF1-5C5C998A2DD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DF4873E9-EAD3-44CB-9215-9F77A99682F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4EF2EBEA-9DDB-47D1-8248-021767D2C2E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1653CA3C-8BE5-45D7-9C2F-6108FB1E9F3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A339774D-4379-4A63-A6D2-E5CAE94633C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8D55ADD3-49AF-4B18-B6DB-18DA79DD80AA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5C578C11-3659-4854-B1DC-7AF4FA6F7A18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7B70053-69FC-4ACD-9963-A882BFA4932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89D2A49D-9D38-4EFC-A6FD-68BD7479DBD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EA1F50E7-183D-472E-B524-E50E9A3A681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172B1E15-EB83-45BB-BB81-70EC8162C1EA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292340EF-2D1E-4A71-B548-B0608A7680B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DFF2F853-13C4-4857-B22E-A9B46CCC489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5426D761-0841-49AB-B0F1-C9C9E639196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47268D1D-FF49-41C9-A231-12AA06B942B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7FC01D1-5988-49E0-A9C3-8D83AE48F4B1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1BFE8C93-7162-4F2B-8657-7DA8DE98D3E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6F7ADCCE-E22D-4137-9656-65C1E3666F3E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D7E62C39-C58A-46DE-B758-2F1F9D64FED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2DBA0AD5-6CD3-4B36-B050-62B3B22979A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69178ACF-B240-48D8-A0F0-33DE1A3BF170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666EDE37-45F7-4352-9C2C-25E16823D1F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EC581EAC-13A0-47B3-B94E-B66507C37FC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4BE3C5B1-EB79-42ED-B661-AF3AA83B605A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913DB341-A8E6-44A3-A825-05F227E7F82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54433FD6-D145-4172-B927-D116E51ACCC6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EC219742-525E-419B-8F5A-06F513207A0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559BECD2-0AC4-42E5-8AF7-A839588ED2F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3F8DC347-7103-464D-8C3E-9A4A19D3A7D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C183D3C9-322A-48D2-9E28-08E3061EB8C1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22FF4FC0-4E8C-4A03-A1E2-E43F5C321B5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818765DD-C8C8-44F5-8A2C-05F5D603A5E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FF8267E2-88E0-4F3E-9E43-28C77555284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2A22F4B4-B552-436F-B9D0-8D4DD743980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571FD39B-637F-45A9-9CED-12E4B7FDD75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78513E74-4207-4BDF-8BC5-D89781C4AD3D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3F8BBD13-3C54-4A01-8F04-D0100BBF0E4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8BB1EE6B-19DD-47AC-A6E0-D3A36D18394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690298F4-CE60-41C7-B087-81685983B491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1C7884D6-2047-43F9-86BC-EEECE9F3E48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27C294F-052D-4385-812C-F0F0A6BC052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352A7AA8-108B-43FD-9DF1-6AF67F23842A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1C3A3CD-52A0-4D3F-8540-D3F355506B9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E24D274-E40E-4683-B70C-37FB07480B1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DD619E51-717F-4EC8-9017-692B2CA9F1E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CB629B97-801F-4E18-98DA-53F8E02C16B1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2A15FCC8-D9A2-457A-8B07-4091A1E21F5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108856F-1DA3-4B45-AB2A-9C7817C48532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95192808-B1E2-4B51-9504-34B762BAACB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BDBAEB40-5798-47A0-B0DD-42689250078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89D522C3-D854-4BB4-90C4-76EDAEC158E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49D0EB9-19B4-4C34-9B4A-353CA483DF3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2E2D6F14-1815-4647-9F65-A075FEBCBF3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18AC504D-ABCA-48B9-8F76-09B31890EA7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CD17C65E-ED85-45C5-8F02-B196B779F31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44A0D795-BE76-43F3-BC0F-254DAFF82E9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5FCA0E6F-495A-427C-A93B-CA04B94E730F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17B1E656-837D-40D4-BFFC-628E9D2AB05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B2F59255-ED21-4CAC-9AAB-18AEFAF15E7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7828688E-E59E-4AC8-9DD9-06794278AD2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B9E4D16-9267-4850-A8D7-00A21D66792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3A7D9F8F-286E-413E-8B28-F24ED9DD968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1CA30397-B265-4FBF-968F-C91C0C8C231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13255831-ECC1-4B9B-8921-FECCA149448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3F42740F-725B-4954-8BBB-689FEB34E805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E914A360-81E8-466B-884C-CF809CB9CEC3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57FFE6FE-B488-46DA-95CC-D11F232431D7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340D9814-0952-452B-BE70-1E688F9A6BC9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A6E80DA3-6757-4B97-AE8A-D4028AFBA38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2175F613-C1B4-48C4-95FD-B18B6C5502DB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FA6C15E5-BC89-45D9-AC30-9A76A67C48F4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22</xdr:row>
      <xdr:rowOff>0</xdr:rowOff>
    </xdr:from>
    <xdr:ext cx="189646" cy="311803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40FA67B9-A8DB-485D-8905-B7B2B2CFDB5C}"/>
            </a:ext>
          </a:extLst>
        </xdr:cNvPr>
        <xdr:cNvSpPr txBox="1"/>
      </xdr:nvSpPr>
      <xdr:spPr>
        <a:xfrm>
          <a:off x="6899563" y="112547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ADCA9E1F-9876-4E27-94A5-18172C0D21C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136A1069-6E84-448C-AE8F-45AECD8AAFC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8493B4CA-3355-47B2-9437-B5CDAD43359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F68E8EB2-65D6-478D-86D7-CC4BEEF756A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C7C0EE64-28BD-4563-A15A-C023A3D37AD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AEFE1A6-4E84-4F50-858F-0CEF3116B70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BC1265AA-FE14-4C8F-8783-8C52817F14A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D207A410-3FC0-424A-A2F6-92D4B9DD82A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B5CB3EE7-5481-4C93-A2B6-A21659FD85D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B3F5886E-0CF6-405E-AEB2-DD1E890D696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DA48627D-FA9C-4633-91D5-E15601BB8B8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3178F4-DD04-4B8C-BF74-6600A5439E8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241FD43-37CF-421F-9DAC-14A643C22FF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2013C58D-8066-4DC1-B511-2FF744E5179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C2DD69CF-033C-4D4E-A744-CDF1D6DA21C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4B3841AE-6A39-440E-BDC2-F97BE1715FB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C2808DA7-68C0-4FDD-AA71-C000F005ABC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62EDBB9F-98A2-4880-B2FB-AF4C888E409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164D03F1-20E1-42BE-A21A-F99CC51F076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A2E59ECD-9AD8-413C-8634-789A8D42736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C340DCC3-9EBE-4434-93C8-AA7D650DEA7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FD18E14E-2798-40F3-924A-54E27AD6C7B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88148773-34DA-468D-84C6-FAA6D8D3048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734BEC35-1C6E-4240-9A09-4AA5F824032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8D474156-D5AE-4FED-80BB-7F8D3663EC2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B2945224-3CD1-4F45-B650-9E4526C6238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F28EC2F2-C0D8-4C32-B678-0D6CFA046A4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DA50DA08-48FE-4C3F-AF9D-0D14AF13DAC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9C894DE5-8C65-45A4-91BE-22024192772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507E9C18-BF95-4613-98D3-6E2B6F6E44A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7BA5CA5C-C8D0-4E67-AAD3-AC6AD0C4BD0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DE9C6B1A-5E7B-491A-9888-68AE9286D47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55BEAEB0-1309-4D59-B91E-E0446FB08B5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526456-A858-44B5-A17B-B77F6E61D82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98F539F8-465E-458C-AFDC-F68994B3068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DAF16F1D-B859-4CC9-B46D-219158A84D6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32771F4B-F400-43F7-B7FB-2475A5A3167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711249C7-0961-401A-86A0-0DAD5058171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3C76D70-C1AF-4014-A314-0E357B2A999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BE39A44A-BF98-430C-88D9-E710E1E25F3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1EA48842-8AF4-456E-8B34-24D9AF340B8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ACB448A0-3088-4CAC-BBEF-9EA791698F7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4D4C03CB-651C-4325-AB49-56080E6D64C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B7E32128-A3F7-46E3-B385-A23A45CDA340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7EEC3A1C-0A62-466D-AB71-2579CCEBF21A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8B8DBBEF-BAC7-4B6D-8BFE-F1E6157D023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A675554B-3099-43E1-B1FC-7D3D2DB1EC1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1BCC12D-661C-458C-9482-43DB49C81A0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9E77B2B8-65D1-4AF5-AB5B-CE29B7F48C97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3CB1975D-A879-4C4D-935B-159B7A70C55C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AFE9F0DB-51D8-4484-BCBA-62FB6FD970A0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467F1-F51A-4EC1-B1D9-CA448F342E06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A870D116-5ECF-4C05-B9B2-81BB7C9391E7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1A3C0F63-DA01-4EF2-B680-FDE6A1E56AEE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476BADC1-4772-41E1-AF42-2D07432CAEAE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A76D25BA-7CF1-497D-8C47-36366E608D47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5FF2EC32-E127-473A-B116-D16C98C5278C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52FE32E-22F8-4500-B447-554B1973B1D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A1807DC-12B4-45A3-BC48-2DBAD572E406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ACCDCA0D-4C2D-4A05-8399-C7A23A18043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7710B3F9-CBB0-41D8-B098-EB25D7DA2DEA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C87658DE-3563-44A2-ADCF-03DF16BD2C22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7BBDB7A5-2795-4B2E-8253-8315CA6E22C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B71AEB3E-658A-4316-85A3-3902E95DEEE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CC479262-9FDB-417B-B633-62EC9AA002B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F09A3D92-C982-4C7E-A55E-799E7D55E91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BCD7B486-7861-4F9F-8A79-3BB86FE402E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D6FA4A97-14B1-465C-A7D5-F7FE56E68692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DCA01F9-AF79-4D9D-9218-225AA0215DAB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4C5074CD-F35C-4CAA-A517-9B1C7AE0E8C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E7E2F507-39E9-4E31-9D95-2E55871DD0D0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3FD864-2443-4582-AC7E-1F2DC285945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74FB6D71-91C4-4508-B897-B7BB9CCDAA3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4B62FBFE-C47E-4EDD-9D8C-D38C6DC44DF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3B1CA51C-3014-4AB5-8A7F-48E68B90ADB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D4E2CEE5-DCE7-4B30-8E01-81FA0B01DA4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4A64A395-B8F1-4A49-AD79-688B0D44795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92A7636-3A8F-46B0-AAF4-4F207D2B24C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B2426B70-F35B-4C13-A038-535EFBFE37E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2E339250-9390-4089-A107-393D821DE6B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6F2D3B70-02C7-4775-B45E-A4326FEA97F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70DAD12-926B-4D82-9200-BDAD88F3159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F89F4FBE-096D-4664-8EB2-3FCA0FB873A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1823CD2F-C231-4313-833E-76EB2F91126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E7D662A2-2340-48C5-8068-5CDF363EB39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D67D4D7-C7DB-4DC1-943E-7D5235D3862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6D0D2DFB-5A0D-4530-91C6-36D920674E4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79C43663-9B10-4052-905B-87680FD16CD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EFE7E0DD-4970-4C49-A12A-53B6BEB8E9F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183BC3AD-8BF7-4898-A2D6-AE98B1B35D7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A33B0EE-8BBD-469D-B7D9-DDFE12B950F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33A085D4-3A6A-4C16-B57F-16713DABA8D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5B103067-905D-43AF-82B4-E51C90371AC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A706BC03-FB15-4E20-B3B0-F68DD23B8A4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4162B7BA-C2D4-4565-9C27-655FE9991F1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DAAF38F8-7C02-4280-888D-5C0D4936DBD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8F6464D4-F767-46B9-B317-2D0922EC1B7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EA3221A9-77D5-4609-A62B-700E90AE94F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A4AD1E9C-D2D4-43CE-B7FD-0D9E4E8EFE1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A052826D-AB6E-4598-A1BC-39C6C2DE65F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B847B13-9AEB-41B0-8DE4-0457E81675E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3072AF5E-6E74-4764-9B04-AD2B014F683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C5B109E8-D139-4281-885B-DBFC746974D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7A35B1E4-C6A0-4427-8DC7-8C56E6C4093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E7D71E2-3097-4BD0-8F2F-6C0AB9A2E35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C3E98139-CE76-40FA-9268-07F1A58A35E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42B9390-CD4C-4EED-8E7B-58D9AF4590D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97CE2002-8BF0-409B-8A96-8EB6F9020BD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6D66FA34-9923-403C-B535-7B37D8D8DC0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33F20282-0B39-4F2C-9601-1490E4D49FF5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65A3169-F4D4-462C-8035-9ADBD55B53B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F887B98-A3B7-4C93-901D-D32CD4C8B44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39E9DAD2-4966-4ECB-9972-2263A25C3B1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397C789B-0235-4694-A0A9-BE8A44A7787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AAE46CE0-FBFA-4FAF-BCF7-6F28B953C4E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310117D7-6270-4904-A89F-BF7044D4B72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3B22CAEC-35BE-47AA-BD71-E1F2B2A90B8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1D407A17-9DF5-4491-80C8-46CC5352BAB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84F0C213-9BB4-4453-B14B-03DD668C2AC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A388D1F-3EC9-4DFD-9F23-29B00E10E31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E9B6329D-F3EF-467A-8516-6085F848334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54CC08F5-4B23-43E6-861C-9EA4B349568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DF74CE10-50D8-4DDE-A02A-2BA235C5B8A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E709743-79A5-407D-8018-6B1C863328F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E82CACA-9B28-450D-BEFB-DA03E539431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9FFEEA7-1BED-43D7-8F35-AD8A7D60021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2FCFCE8C-4BF3-4DE6-AAD7-D46AF65F860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18238849-9182-4EE9-BD0D-AEEAF7C834A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1BA3926B-C657-4FA4-99CD-C5A3BACCE28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EEA295E7-F153-4A04-A4E7-375CDC678B9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7060494C-3C7B-4002-88D8-083ACCB769E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D8CCC40-4945-4854-83B7-C5314EF5041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AE8CF25-EDF0-4F1A-B17C-474E7921ACC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E7615F40-371F-4B38-986E-9AA961F1BBE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831FC068-C4F1-4E4F-9CB7-2263AEEECEF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1396C9C4-60B0-4AED-A583-EB8DD7027ED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4CEB8344-D588-4E37-8E9A-6B7E6D2F055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57C26CFE-965A-47A5-8E72-BA77AF41E4B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75343D27-6AF4-44DC-90FF-1811F8B1069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9C963BB5-7E36-4BDC-89C1-402ACA16474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584F8BFD-21C9-47AE-B548-2741557069B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243B882D-73F5-4AB0-819A-AA4056BFAAF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5A84203F-A2CA-4809-A3B7-A1795D7C844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7B3BE360-2977-42D2-849B-055297ABB89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CC608DA5-01C7-489C-A28E-2A7E1710439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EE03CD3F-29FC-4D86-B019-2402034D0A4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55169696-2FEF-469C-AC06-1ABEAE2AC1C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D0F370E0-DE01-4A76-8F39-755992FB77A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79943DCB-D877-4EFB-A21D-D29E835E181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2BF5E896-44E5-4E6A-86C4-9302CD92D2A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49C6AC73-746D-4EDC-9996-FD5759F33CA0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65294F4-24E6-4047-B8B4-E1E00BE00D1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E6C60ACF-278C-4E25-8084-287BD570F15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BFD70BA9-9875-48FF-83B7-4F5EC6C2295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FC4FF283-D524-421A-B7A6-ACA05062FF0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DDD2FA0E-E3EB-4DA6-B51D-01DD90F82A9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FDA342E3-372E-40BD-AB9F-F69C58AB0517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4BC7F7EB-9251-46A7-A82C-F21F828C30DE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2AC2CE19-A82A-4E34-8C81-29CAEB06923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A9E9D0A8-EB09-4F0D-8A0B-D325E3F32A83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1A478993-6DFE-42F7-85AC-272448131C5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A4083270-ECC0-427E-8D44-28137F7F507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B0171C0-54D1-430D-B718-E7EF9B739A4C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47D1BBA9-455D-48B5-8FEA-7226FC56ED2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E65E96CB-2E0B-42EF-B9F8-071D0D4649C6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40ACF3DC-8FC2-4EA8-9411-E51302AA3EF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F9E4C91A-330B-43F8-BC72-90A103C7DE8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572593AC-DF9F-49BB-9330-3F366FF866C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CFFC7E7-6ECC-449A-91DE-3526EB5A47B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54ED5F79-96C9-49D3-B5B2-88CB23D65849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1C34BBC3-7162-455A-A6B7-F6A1363FAD3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5ED6776-CB4D-4412-B9F1-14468EDA286D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FED4FD64-C1C0-43FC-95A2-8C3F1A872271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A9CDBFA5-E7EF-4A69-BF72-BE43BA0E0824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BF43113-F6A2-4CCE-9B48-17FF6910BA4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3929EA81-0ED4-43A0-BAAD-0DB3C728284A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A30D4C96-5281-44E6-BAE5-B15CC1DDE71B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CB331FF4-553E-4D89-8E92-0D06976560F8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EF8B5ABE-31D6-449A-A95D-0618CD2322BF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18</xdr:row>
      <xdr:rowOff>0</xdr:rowOff>
    </xdr:from>
    <xdr:ext cx="189646" cy="311803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503C7033-0CB6-4773-9CE5-6BD0E268ED42}"/>
            </a:ext>
          </a:extLst>
        </xdr:cNvPr>
        <xdr:cNvSpPr txBox="1"/>
      </xdr:nvSpPr>
      <xdr:spPr>
        <a:xfrm>
          <a:off x="6899563" y="924306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ABAF1D83-A030-4915-BF4D-C68F4D7D8C1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AEC6754-D8C7-4EE5-A2A2-DAB84EF6762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1E50C742-EC11-415B-98CE-529ACDD6F03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7B23F720-3DA4-4436-B084-FB60726D3B9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3C61AFC-69F7-43A7-86DF-93212BB7E8D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857E4CB0-1343-4DA2-AFB4-BB60083AEDE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4C6668E0-70C5-4FB8-8881-BF9C7D624C1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B125F4CD-E2F3-43EB-9111-7D83778DB3D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D1E4B598-35E6-48F6-9B14-4E4EEBBD733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7C049B06-B4BA-408A-BFDB-2E3A5267558A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6388682D-4CC0-488A-ABA5-593C3D59F3A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197D25E6-9B5D-4620-B8C2-E1C5E1CBDC4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3140EA8F-F7AB-496A-AF28-6B584F6BD08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B93E8835-0476-47F4-BBDF-593A11C4C87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4DD8F3FE-D172-443A-AB29-602F3461DCD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7120D505-267A-4454-A2F0-91C4F75E52CA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885FA8AC-25D4-4E44-95C0-ED4EDCE347E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2FBF3CB1-D877-4CC7-BC03-195DBF5EA49A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840D29BA-C6A7-46B8-BB9D-C3BF6F81E016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B2BED32D-79A2-4B1B-8595-67C1DED7657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ABF5F571-3772-4DA3-ABCB-9B6AC5599C3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71CEC505-D0B7-4CD5-A5CB-D445C9547FB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66421468-6C8D-464F-820F-2D681F534647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E90659BD-F2D7-4AC4-87A4-755A26D78DA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90B34E1-C724-4057-AA1D-C0EF08669AF6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840FFEFE-DCE4-4D0B-83DA-402A552EBFD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A1F198BC-31A2-4AB8-B302-3C5F68837107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EACB3717-1380-42C5-889B-0D51F0ED3FF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1CDD939D-AC1C-40DE-A37E-0EE180A887B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D6E4D35F-BCA2-4F4F-A078-B2F4B813B94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3EE1D6A1-0FED-408B-A4A2-7503CC36CE9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F0B3DC10-06E6-48B8-ABC2-A4C65CADD65A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F7ABD31-4831-4E1F-A9B4-D1CCCB2438B3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EBE1B788-6E62-43D0-B293-816422899A4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959B86CD-DB6D-4870-B689-9C221B97FE6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FF2A4A26-A9AA-4729-8938-755E05E58146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83125303-4B61-46D6-92D4-C53BDD4BD6B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4FC3AF6D-BB30-43C9-BA58-D4EDD1EA9986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AED75AA1-6837-4D94-8D32-DE85E1B78964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3BE6335D-2237-4843-80CF-E435DE1DE296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1464113-0EE2-4607-ADDC-27C87EDC9BBE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FD7C8A2E-65B3-409C-A224-D41152AB5C3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ECF3940B-BE87-44F6-8274-842BB99F277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F8B9B235-7782-4B60-BBE8-9BC15A77E3B9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6B5C7768-690D-47A1-91B2-CA5F4E64265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DEA4C204-20F8-4B27-8D06-33BE4D59C80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9D8C376B-CA40-4DBC-9759-1F6B58362D3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A06EBF96-B76E-4112-A3C6-4926E2C30BBC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7EAD03F-8C2A-4330-9D31-20D2A2E9E46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9BFCCBBD-D48E-4CC6-A933-EF856407917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7A421DE5-60A6-4F7D-AB45-30957010494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915FE8B1-BD4F-4D1C-8EFD-55D20179FB6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4154F9E1-8CAF-45D5-B4AD-42C2B25F7BB8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672C1E26-CCC5-4F91-8999-0D5C43B2B14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2D312507-2895-425D-AB74-3EEFD6DA3FE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2BFB1971-732B-44E4-A49B-6A2A4F40D0A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A89352F2-9734-48D3-98A1-BA7ADD55E311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BE1B7EF6-D67A-462A-B0EC-BAA17AED3042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8F3DDE2C-AE82-465B-ACE1-3E5408EBD450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2BD2B0BC-5E64-4371-920C-B13143ECC20B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AFE43CB6-B0AF-4225-A4D6-5D15EC1ADFEF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9C7A4552-C8D5-471D-B5AF-C40004FAA887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DFA14DCB-ECF9-45C6-853C-CC74508A018D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20</xdr:row>
      <xdr:rowOff>0</xdr:rowOff>
    </xdr:from>
    <xdr:ext cx="189646" cy="311803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5B4AA611-4BE5-44A2-99A4-17726FBBEFF5}"/>
            </a:ext>
          </a:extLst>
        </xdr:cNvPr>
        <xdr:cNvSpPr txBox="1"/>
      </xdr:nvSpPr>
      <xdr:spPr>
        <a:xfrm>
          <a:off x="6899563" y="102489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74661376-1EBD-4961-842B-8BDF40F95673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DC66DA7C-0FA0-4130-9A1A-BB885B5BCA72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F843BBFA-DF0B-448F-B9A3-13AFD9CD8131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E20D097A-46D6-4A48-BE2A-789AD5086705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68E9152-10B1-4F4A-BBE9-AD7BF307E6CB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862C068C-3091-4670-927C-957DA1474EE6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C0FE9F27-D532-46EC-B706-2F3CD2642A06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38115560-A5B1-420A-9837-E5B6F2DFAB4D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9913AA03-3878-44B4-8D94-F3F96B7F4751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9</xdr:row>
      <xdr:rowOff>0</xdr:rowOff>
    </xdr:from>
    <xdr:ext cx="194454" cy="292906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5982AC1-3B68-4C72-8F72-6C9922336ACE}"/>
            </a:ext>
          </a:extLst>
        </xdr:cNvPr>
        <xdr:cNvSpPr txBox="1"/>
      </xdr:nvSpPr>
      <xdr:spPr>
        <a:xfrm>
          <a:off x="6442363" y="483870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BD33FF27-0540-4E3B-B5BA-EBACCD67D94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B6530F36-23E3-4B52-A87C-1CEB098CB34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8554C2AA-2DAF-48BF-909E-B321C749E4C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7BD92180-A10B-45A7-8DBB-BA6171B978E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DA2B6DFC-BFF4-4693-A0DE-10EEB9419A6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1C879F80-1F02-4F26-827D-25BB5D3A9FF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126A76B-10AB-42B9-943F-629D05DA5F9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71FCF955-2DA5-455B-ACCC-F2C1BCB9419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EB8D1D16-13AE-4B7A-B2F6-48A91DC88AE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7E1C7E84-2CEF-49AD-ABF9-6AE8B2AA50F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8F8422AE-70C8-4405-B0B8-52FC10D10F3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B8D3DEB5-4C36-43C9-98EB-F223124A3FF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264A0EEB-E2B9-4033-B602-16CDFAA94E3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7048F66-C547-4890-A090-4099A1E86F8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DB14493-EA77-47A5-BE2D-9E5A78B8C7DF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3190D77A-B15D-4B62-BEC5-4AFDB543012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28577ACF-75C3-4EB4-8AE1-19A858EA6B6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EEABFD43-CD8E-42E0-A428-86BC14588CB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D0078D4-6BFC-4759-AEE1-0B3C82CDBFD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188D59D3-E1E5-4530-9F97-B88AD0187BE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22A18213-E78F-4C35-8979-D6E45260A3A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8491F5C5-71E0-447D-92F9-46C9EA8E8F6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E9BE4458-FF54-4160-979F-6FD53D5F974F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719D77D-DC48-4C1B-99BF-D0CE41326E2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D444D44E-40C6-4FC7-ADF6-E68E353BC6D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2AA057C-54FB-415D-8402-D005947F44F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3D74C6C8-25F7-435D-BEE4-0B63994F453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19FB755-1E6D-4CA5-8643-B36EC693E3E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9C0821F0-B214-4AE9-8239-11ECBAC1EC4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EA32F27-9C4F-444F-8A14-6F9D31E634A8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E6FF61F2-85E8-4F14-8E05-E19D3E7379F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9DE8354D-7F1C-476B-A5C6-067D42B716A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6309793E-E8BA-4A61-84C3-8C7FB2792D8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486A060B-6116-46E0-9E9D-50A95F47896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DF2CF551-11AB-4A96-BA00-691FB8269D9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AA78FF5C-979C-42EF-BA14-CB7759277D8C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6A15B021-3092-494B-B421-665BFC9290CA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A6BDEF17-5C4D-4BC6-B313-457B197EAEC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692D62E4-7F00-47EC-98EB-AADA262AEF3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8ADAFCA-958C-4CAA-A889-0B60F9054F1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A215825D-33D5-48FD-8780-D9264AF1973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2B9BDDC9-E00F-48E3-AAF9-D7AC80F22E7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4CC6DECD-65EF-4EAA-9FDD-5557882B00B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83EA2F3-0C84-49E6-BB9C-D0B298EEF74D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D1D5472-DD52-4559-A19C-0B43AD114A70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DC473BEB-CBBC-476D-86D0-60C6F9668B1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E8CD70FA-9CAA-43DA-A8F1-5B2E03AABF2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7C6BA2FB-EDF6-4519-9D52-EB8AD3E5E81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133BF3C4-CBD1-4267-B897-16382E77BB8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B680C9F7-918F-4C6B-B175-FE8742FBDFBB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83B4AF82-4BA3-475A-BB7E-895A976FE125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2269645-6D64-4B7A-83A8-D8D84B86A7F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481BEB97-BF3E-4F56-B9EF-DF0E5DB04E8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DBF785B0-3413-411F-A633-FB480F758287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14852C2C-9768-4D62-8404-A49B74B961F2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F66729D5-1DE9-4B4F-9CD1-1E73EF2D3F3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3C0EE80-4346-4C21-B0A8-65EF3B92E43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3D4C3A77-6069-46CB-B498-C73BDCD9121E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F2B60D73-7456-48DA-8825-807E353B36F9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6809B542-8FF3-4D42-8218-65D78E5D5584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45C31F99-43E9-41D2-BA1A-85D78D9EB991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83C04A09-790C-425F-9E55-C92466865D93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D6F8B150-86E5-4888-8B8D-CA819BFAED46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21</xdr:row>
      <xdr:rowOff>0</xdr:rowOff>
    </xdr:from>
    <xdr:ext cx="189646" cy="311803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E83B43F9-B171-43D4-BAD6-BDCD968783FF}"/>
            </a:ext>
          </a:extLst>
        </xdr:cNvPr>
        <xdr:cNvSpPr txBox="1"/>
      </xdr:nvSpPr>
      <xdr:spPr>
        <a:xfrm>
          <a:off x="6899563" y="1075182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8A385670-7532-4172-91B6-CC34D002FA30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8D6112E-7211-4629-8FB7-94F35D761ABF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A053C41A-9EA0-452D-9836-162B8D3CFE4D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C5828772-2EFF-4DF4-9C9C-8066032BFED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ECF2E05A-EAFF-4309-BAB7-2C9184C557C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D2D9759-0732-4C18-962C-1EE5F139E0C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63FF9AC0-C7E2-4280-8A41-2A69652CD15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9A37E7EC-71C9-4A6A-BB6F-DE07820CE828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A4EABE9C-FA82-44F5-90A7-6CCBBF1A6FE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57280C26-263A-42F8-9A9E-9ABAD170B3A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4E2992D7-25DD-43CE-AF3C-341CC0E09B3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50C35E9D-7AC4-4AF6-B72B-A9EBCC1F7C0F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DEB920C2-A501-4018-8F45-AFEAC33C7EA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B2EECA4C-1009-4CC2-9D97-CF0BFC313CA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F1A83AAD-CD31-400F-A603-1A07FBF58C3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35A8095E-D820-4872-8FE8-F379E6DFE38B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47F61DB5-D5FE-4754-B6A1-3B34B6DC06A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20F22468-4FA8-4FF5-B620-47C892220C80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184ECF57-DB22-4458-BF79-2A01A5C7DFF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AECFEF8-2458-4465-8902-29CB41761E0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3948DD31-4B40-45D1-95A8-2D08870AA2C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67C74DA7-1B7A-46CB-B1F2-FF3EBA9522D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17A7CABD-BF77-457B-A0E9-B98AE5EEC8AD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C9B507EF-1F74-4E1C-A4DE-D6294763FD3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4435BED5-1BD1-42B3-BAFF-F7AC9E402B7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6DB80D18-39BD-4FDB-800A-01F89FA1149F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486AAAA0-DD60-46B9-BB2E-01EAE0ECCC6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42F01EB0-F63C-406D-B2B3-A1986D5672B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1B8C3ED9-8CB9-4088-8930-545C92A66F63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E7E8B4CB-0052-48F3-B53C-F0D8997B44F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84606ABD-D0E0-4EE8-996B-5BD0BCD69A86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E5469DC-147C-402E-83B0-B3AEC188CAC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802A30DC-B8F1-4727-A91B-E59972054E2C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37A505A5-EBF0-40DF-B4BC-183FB48D14B4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9FC29E67-609B-478E-8F3C-B38685EC9575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433E8CA6-1F00-4874-9433-E398E2CA24F2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6DDA2026-865D-409D-9517-F3D28270DF09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9F28F138-7269-459C-9B24-D45005A43B3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9E762E1-660C-4209-A818-CE16DB3C44CA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19</xdr:row>
      <xdr:rowOff>0</xdr:rowOff>
    </xdr:from>
    <xdr:ext cx="189646" cy="311803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B3E4ECD2-0228-40A4-B904-E0F6BF3E4027}"/>
            </a:ext>
          </a:extLst>
        </xdr:cNvPr>
        <xdr:cNvSpPr txBox="1"/>
      </xdr:nvSpPr>
      <xdr:spPr>
        <a:xfrm>
          <a:off x="6899563" y="974598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7ED69474-FBD2-4BD2-90D3-72AE4A2240D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40DBB4E8-AB59-4AC4-8156-6D0112B43B6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29002DD7-2AFF-4F35-AABE-6D5C3869484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8368ED2B-B036-4E65-B193-0DA0FFA0417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A0C61241-C5D3-4DCB-A94E-F1267574F66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E42CC35D-CF7E-4F1F-982E-2B598E5ABC9E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265D577E-5B67-4EC5-8113-B7079121B94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CA67608F-EA97-4A3C-8D67-DED88C8DFAE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13150333-65EA-4137-828D-34CAF24E66FB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73A9A3E-9420-41CD-8A6A-7D68ACE5D33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E49A638A-0F74-4D69-BB0A-01C477A3633B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A73C5BDD-4254-4BE3-B81D-1D5B300957F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A4588F50-D4E7-4597-AC37-251399DB5FC2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73A8DF10-7873-49FB-832D-6A2BD5EE2DA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55398EA3-0F59-4AC5-B09E-53448AE3955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D8D0C2E-EF47-424B-BD42-BA005D7EE55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E799AC75-F7C2-4982-BF08-563ABB46BDC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25CCBF7B-7CFF-4354-93B4-91E208FFC4B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8E41DE03-6C26-4D2D-8D55-732194BC9141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6746D1E2-CC15-4F9E-864B-480BA83845E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98BE2F3B-FF10-4D7F-B136-C47F1B10507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33DA753D-7A5E-47B0-AE20-8AA63BE6DAE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8ADBF3E3-D43D-4BE2-8592-7A29A6F3356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9B78ABE7-3D32-4F4D-B6EF-57F8FBEEBEF8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7517749-12FF-4A57-BC69-3B068CE72EB0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3155364F-901C-4478-99D0-8D1DD3EA5C9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FE3A8D27-CEA7-4E30-B2BE-B2F35F38F1D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88A96C1F-7F7A-4FA8-813E-E271BD008D8E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FC416C2B-4489-4696-9737-33D24CAB869A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B737ADDA-1714-4E47-A559-C55EEF4A48F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54D650FD-F1DA-456A-B1AD-389A3ED289A7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34FF9DC0-D300-42A9-83A4-D9613CA64CFC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6F88F0F0-BBAC-4DC0-9715-8E3C3760185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16EAFB56-E8D8-48D4-A253-62B775A0A6DE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D63E7B5B-17A1-43F7-A96A-853A44CEEF8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FA42705E-A090-4F38-8776-61953CD5B22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57A2B8FA-1F9B-460A-8AD4-183DCC866929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C7C42B26-88E7-4CA2-8A72-1FF46AE7806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2068A4C8-A11B-480C-B460-FD0D3E2BD1E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888B5B1F-82FB-4CFB-852F-A3831A9B927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616C4449-622A-4414-88DB-C17D65655B76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4E882053-0336-4E99-9774-9211C7524D3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719D7BA5-2E88-472D-A521-F92697B5906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A9FF7436-E51F-4022-996C-5638025ACEDF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F1F2E778-42E3-4083-A357-6196994B9328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EC4E0348-211D-48F3-9067-EEEC72A411A4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5F018563-63FE-4820-9306-1BA0F8712263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15</xdr:row>
      <xdr:rowOff>0</xdr:rowOff>
    </xdr:from>
    <xdr:ext cx="189646" cy="311803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F2A67171-5707-4850-A1E7-11855E65C53D}"/>
            </a:ext>
          </a:extLst>
        </xdr:cNvPr>
        <xdr:cNvSpPr txBox="1"/>
      </xdr:nvSpPr>
      <xdr:spPr>
        <a:xfrm>
          <a:off x="6899563" y="773430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26DF2368-02A1-4B50-BE8E-2ECF1AC252D2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FF867327-1964-4C1E-BF03-2E18D2CC4DA5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9A5FDF16-0BB0-49FD-A3F9-EE5293B5FF50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64158981-9D09-464F-8B91-855552CEE98A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E691912E-5C35-495E-BC1B-93816B7996E2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9162EEEA-B0DA-40DC-B939-7FE38731F2B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3E2DA021-14C7-4F99-ABD1-4BBF38AD5F4E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B996D56-793B-472B-B90C-9F54DAADCFCD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92548380-C3EF-47BF-890E-3602B47F1A61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5E00E6C3-EF7A-4187-BED5-3BCC35444300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8EED45E4-C9F6-48EC-86F2-6F61EAC63D83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61AAEE3A-17FE-4967-AE9C-AE2D2C6529A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6F476EF1-6AD2-47D6-9EDA-7FC4FFB20596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D24D3417-E96C-4534-937C-5455A04E122F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BCAB5716-C7D9-4245-B8EE-F4F16BDA3F87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A06EBD77-55D9-42C1-973C-912DB7F1020D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D58EA534-A569-451A-A6F6-1EDFA1C1580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8A5179CD-A947-4B56-BF1F-6FF2AAA65F4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1569DE0-8C89-40FF-8362-4A8A7493FA49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57966574-6C52-4B93-809A-5B0CDF49CF7D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C637B12D-369F-4C33-95A6-AA39A9AD5467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C73B1079-57F3-4AA8-9883-735603F980B4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562451AA-2425-4C29-8A61-1F69445BC0B8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1413163</xdr:colOff>
      <xdr:row>12</xdr:row>
      <xdr:rowOff>0</xdr:rowOff>
    </xdr:from>
    <xdr:ext cx="189646" cy="311803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4243D747-A455-4F04-A637-5516DE3E0E80}"/>
            </a:ext>
          </a:extLst>
        </xdr:cNvPr>
        <xdr:cNvSpPr txBox="1"/>
      </xdr:nvSpPr>
      <xdr:spPr>
        <a:xfrm>
          <a:off x="6899563" y="6225540"/>
          <a:ext cx="189646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2FD7519B-C032-4929-BAC7-35FCD85A178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E2DCD251-FE01-4D4C-8F63-DB708E16106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F333A083-80D6-425A-889D-684D475944E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F35B1913-C4E8-4B66-8F20-78282C54324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5EE1D40C-2105-42B9-AB26-1BDF3EAF716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9BFAF853-0D6E-4C66-BAF0-F28FC290185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8141517A-CEC3-4656-A9CE-7FF3F192A09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4CCE2D29-E145-474A-A620-0B1B6FE87FD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3507D70F-15B8-4147-B2F7-3A236FEF6E2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EAC1230-EA2B-409E-89D3-69B3C283942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A29E7C55-FA93-4945-86C4-0CE3F9DC8C8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D28DD652-470B-43D1-8050-FFE13E39721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24E27F20-D009-4C23-A073-D0ACA846089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CF8EFD55-286A-4600-BC9B-41D1D001C778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78C0F8BA-DB08-4C35-8550-0786D1A03F6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E74D34C1-D29D-4695-A189-0F152A564BA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F55D3B39-61CC-4F7A-8221-DC3C2025E28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F8B32ED-79A0-4603-992E-FF142FF2AC3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93F8B0F0-68CE-4ABE-86BB-4F87C8A3836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275B20F5-54CE-4530-A981-F758F574FCEA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B007908A-5B2C-4C05-8F38-F06C1FF92E3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1284539F-DF94-459C-AD4A-49E5649EAA9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5465894E-872F-499E-B211-3EC72536C7B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7C16E306-CBD2-43B7-8A5C-7FBE938B60E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D2F44050-5E2C-4FEA-93A4-3F2822FA1DA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A0B3C4DC-02AE-42CB-80AD-3E8A6CB1626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BF0DE34F-07B4-49C1-8A46-79BA5D6474D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25625586-7872-4F84-B74D-A8A095D6011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A45A7C79-4FDB-4137-860F-9D7948C8AFF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05B5C44-2C83-413D-B06A-06E154CDBBD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169FC4E9-B18B-462F-AA41-E8F1AF93AF5B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6F10859D-5E2C-4802-905F-DF42B0C28EBC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7C84756A-D9F6-489C-8007-ECD065B3171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A820419F-485E-4250-85CA-B2327975D9B5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2A38B3DD-EF37-4716-8C12-5D1755519EB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18A0BBBA-670B-478A-AB49-91B4D595C262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0E55459-6E84-456A-B282-7FE8F5A0E8E1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D6E79914-1BA5-431E-B9C5-73B4471E877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CF66A24B-894F-4DC9-9028-88AD8D27346F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99A6060-5C5E-48D0-AE83-1586E1EDF97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5D08CA4E-E6A2-4F75-A4F3-6A40595642A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43AF924F-D03D-42E0-9AFC-B2BFE11BF34E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349BDD64-7A28-4CE4-A2DA-290B0A034266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21D4A0FD-7ECB-4AB0-A22E-31A084F33A67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CC6D968E-95DC-45C3-BCE9-0660B19E3B6D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B0FEA91F-157A-45D8-BF51-490B071B35C3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FF9AFBFB-4CED-4974-B8CA-D4E14C396CD4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4</xdr:col>
      <xdr:colOff>955963</xdr:colOff>
      <xdr:row>10</xdr:row>
      <xdr:rowOff>0</xdr:rowOff>
    </xdr:from>
    <xdr:ext cx="194454" cy="292906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5E5092A9-37F2-45EF-9D9D-BD6BE3D96349}"/>
            </a:ext>
          </a:extLst>
        </xdr:cNvPr>
        <xdr:cNvSpPr txBox="1"/>
      </xdr:nvSpPr>
      <xdr:spPr>
        <a:xfrm>
          <a:off x="6442363" y="5280660"/>
          <a:ext cx="194454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7B63-ADF7-487E-B91F-D4B269903C83}">
  <dimension ref="A1:AB82"/>
  <sheetViews>
    <sheetView tabSelected="1" zoomScale="61" zoomScaleNormal="85" workbookViewId="0">
      <selection activeCell="P5" sqref="P5"/>
    </sheetView>
  </sheetViews>
  <sheetFormatPr defaultRowHeight="14.4" x14ac:dyDescent="0.3"/>
  <sheetData>
    <row r="1" spans="1:28" ht="28.2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2.8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</row>
    <row r="3" spans="1:28" ht="140.4" x14ac:dyDescent="0.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6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16</v>
      </c>
      <c r="AA3" s="5" t="s">
        <v>27</v>
      </c>
      <c r="AB3" s="5" t="s">
        <v>28</v>
      </c>
    </row>
    <row r="4" spans="1:28" ht="15" x14ac:dyDescent="0.3">
      <c r="A4" s="7">
        <v>1</v>
      </c>
      <c r="B4" s="7"/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7">
        <v>13</v>
      </c>
      <c r="O4" s="7">
        <v>14</v>
      </c>
      <c r="P4" s="7">
        <v>15</v>
      </c>
      <c r="Q4" s="7">
        <v>16</v>
      </c>
      <c r="R4" s="7">
        <v>17</v>
      </c>
      <c r="S4" s="7">
        <v>18</v>
      </c>
      <c r="T4" s="7">
        <v>19</v>
      </c>
      <c r="U4" s="7">
        <v>20</v>
      </c>
      <c r="V4" s="7">
        <v>21</v>
      </c>
      <c r="W4" s="7">
        <v>22</v>
      </c>
      <c r="X4" s="7">
        <v>23</v>
      </c>
      <c r="Y4" s="7">
        <v>24</v>
      </c>
      <c r="Z4" s="7">
        <v>25</v>
      </c>
      <c r="AA4" s="7">
        <v>26</v>
      </c>
      <c r="AB4" s="7">
        <v>27</v>
      </c>
    </row>
    <row r="5" spans="1:28" ht="55.2" x14ac:dyDescent="0.3">
      <c r="A5" s="8">
        <v>1</v>
      </c>
      <c r="B5" s="9" t="s">
        <v>29</v>
      </c>
      <c r="C5" s="10" t="s">
        <v>30</v>
      </c>
      <c r="D5" s="11">
        <v>144200</v>
      </c>
      <c r="E5" s="12" t="s">
        <v>31</v>
      </c>
      <c r="F5" s="13">
        <v>30</v>
      </c>
      <c r="G5" s="14">
        <f>162300/30*F5</f>
        <v>162300</v>
      </c>
      <c r="H5" s="14">
        <f>ROUND((G5)*34%,0)</f>
        <v>55182</v>
      </c>
      <c r="I5" s="14">
        <v>0</v>
      </c>
      <c r="J5" s="14">
        <f t="shared" ref="J5:J9" si="0">ROUND((I5)*154%,0)</f>
        <v>0</v>
      </c>
      <c r="K5" s="14">
        <f>((500/30)*F5)</f>
        <v>500.00000000000006</v>
      </c>
      <c r="L5" s="14">
        <v>0</v>
      </c>
      <c r="M5" s="15">
        <f>((6000/30)*F5)</f>
        <v>6000</v>
      </c>
      <c r="N5" s="15">
        <f>ROUND((G5+H5)*14%,0)</f>
        <v>30447</v>
      </c>
      <c r="O5" s="15">
        <v>0</v>
      </c>
      <c r="P5" s="16">
        <f t="shared" ref="P5:P11" si="1">SUM(G5:O5)</f>
        <v>254429</v>
      </c>
      <c r="Q5" s="16">
        <f t="shared" ref="Q5:Q68" si="2">AB5</f>
        <v>101845</v>
      </c>
      <c r="R5" s="16">
        <f>P5-Q5</f>
        <v>152584</v>
      </c>
      <c r="S5" s="15">
        <f>ROUND((G5+H5)*10%,0)</f>
        <v>21748</v>
      </c>
      <c r="T5" s="17">
        <f>N5</f>
        <v>30447</v>
      </c>
      <c r="U5" s="18">
        <f t="shared" ref="U5:U60" si="3">+T5+S5</f>
        <v>52195</v>
      </c>
      <c r="V5" s="14">
        <v>47000</v>
      </c>
      <c r="W5" s="14">
        <v>250</v>
      </c>
      <c r="X5" s="14">
        <v>2400</v>
      </c>
      <c r="Y5" s="14">
        <v>0</v>
      </c>
      <c r="Z5" s="14">
        <v>0</v>
      </c>
      <c r="AA5" s="14">
        <v>0</v>
      </c>
      <c r="AB5" s="14">
        <f>ROUND((U5+V5+W5+X5+Y5+Z5+AA5),0)</f>
        <v>101845</v>
      </c>
    </row>
    <row r="6" spans="1:28" ht="41.4" x14ac:dyDescent="0.3">
      <c r="A6" s="8">
        <v>2</v>
      </c>
      <c r="B6" s="19" t="s">
        <v>32</v>
      </c>
      <c r="C6" s="10" t="s">
        <v>33</v>
      </c>
      <c r="D6" s="11">
        <v>144200</v>
      </c>
      <c r="E6" s="12" t="s">
        <v>31</v>
      </c>
      <c r="F6" s="13">
        <v>30</v>
      </c>
      <c r="G6" s="14">
        <f t="shared" ref="G6:G7" si="4">162300/30*F6</f>
        <v>162300</v>
      </c>
      <c r="H6" s="14">
        <f t="shared" ref="H6:H7" si="5">ROUND((G6)*34%,0)</f>
        <v>55182</v>
      </c>
      <c r="I6" s="14">
        <f>11850/30*F6</f>
        <v>11850</v>
      </c>
      <c r="J6" s="14">
        <f>ROUND((I6)*203%,0)</f>
        <v>24056</v>
      </c>
      <c r="K6" s="14">
        <f t="shared" ref="K6:K7" si="6">((500/30)*F6)</f>
        <v>500.00000000000006</v>
      </c>
      <c r="L6" s="14">
        <v>0</v>
      </c>
      <c r="M6" s="15">
        <f t="shared" ref="M6:M7" si="7">((6000/30)*F6)</f>
        <v>6000</v>
      </c>
      <c r="N6" s="15">
        <f t="shared" ref="N6:N11" si="8">ROUND((G6+H6)*14%,0)</f>
        <v>30447</v>
      </c>
      <c r="O6" s="15">
        <v>0</v>
      </c>
      <c r="P6" s="16">
        <f t="shared" si="1"/>
        <v>290335</v>
      </c>
      <c r="Q6" s="16">
        <f t="shared" si="2"/>
        <v>118845</v>
      </c>
      <c r="R6" s="16">
        <f t="shared" ref="R6:R11" si="9">P6-Q6</f>
        <v>171490</v>
      </c>
      <c r="S6" s="15">
        <f t="shared" ref="S6:S11" si="10">ROUND((G6+H6)*10%,0)</f>
        <v>21748</v>
      </c>
      <c r="T6" s="17">
        <f t="shared" ref="T6:T11" si="11">N6</f>
        <v>30447</v>
      </c>
      <c r="U6" s="18">
        <f t="shared" si="3"/>
        <v>52195</v>
      </c>
      <c r="V6" s="14">
        <v>64000</v>
      </c>
      <c r="W6" s="14">
        <v>250</v>
      </c>
      <c r="X6" s="14">
        <v>2400</v>
      </c>
      <c r="Y6" s="14">
        <v>0</v>
      </c>
      <c r="Z6" s="14">
        <v>0</v>
      </c>
      <c r="AA6" s="14">
        <v>0</v>
      </c>
      <c r="AB6" s="14">
        <f t="shared" ref="AB6:AB11" si="12">ROUND((U6+V6+W6+X6+Y6+Z6+AA6),0)</f>
        <v>118845</v>
      </c>
    </row>
    <row r="7" spans="1:28" ht="69" x14ac:dyDescent="0.3">
      <c r="A7" s="8">
        <v>3</v>
      </c>
      <c r="B7" s="19" t="s">
        <v>34</v>
      </c>
      <c r="C7" s="10" t="s">
        <v>35</v>
      </c>
      <c r="D7" s="11">
        <v>144200</v>
      </c>
      <c r="E7" s="12" t="s">
        <v>31</v>
      </c>
      <c r="F7" s="13">
        <v>30</v>
      </c>
      <c r="G7" s="14">
        <f t="shared" si="4"/>
        <v>162300</v>
      </c>
      <c r="H7" s="14">
        <f t="shared" si="5"/>
        <v>55182</v>
      </c>
      <c r="I7" s="14">
        <f>11850/30*F7</f>
        <v>11850</v>
      </c>
      <c r="J7" s="14">
        <f>ROUND((I7)*203%,0)</f>
        <v>24056</v>
      </c>
      <c r="K7" s="14">
        <f t="shared" si="6"/>
        <v>500.00000000000006</v>
      </c>
      <c r="L7" s="14">
        <v>0</v>
      </c>
      <c r="M7" s="15">
        <f t="shared" si="7"/>
        <v>6000</v>
      </c>
      <c r="N7" s="15">
        <f t="shared" si="8"/>
        <v>30447</v>
      </c>
      <c r="O7" s="15">
        <v>0</v>
      </c>
      <c r="P7" s="16">
        <f t="shared" si="1"/>
        <v>290335</v>
      </c>
      <c r="Q7" s="16">
        <f t="shared" si="2"/>
        <v>118845</v>
      </c>
      <c r="R7" s="16">
        <f t="shared" si="9"/>
        <v>171490</v>
      </c>
      <c r="S7" s="15">
        <f t="shared" si="10"/>
        <v>21748</v>
      </c>
      <c r="T7" s="17">
        <f t="shared" si="11"/>
        <v>30447</v>
      </c>
      <c r="U7" s="18">
        <f t="shared" si="3"/>
        <v>52195</v>
      </c>
      <c r="V7" s="14">
        <v>64000</v>
      </c>
      <c r="W7" s="14">
        <v>250</v>
      </c>
      <c r="X7" s="14">
        <v>2400</v>
      </c>
      <c r="Y7" s="14">
        <v>0</v>
      </c>
      <c r="Z7" s="14">
        <v>0</v>
      </c>
      <c r="AA7" s="14">
        <v>0</v>
      </c>
      <c r="AB7" s="14">
        <f t="shared" si="12"/>
        <v>118845</v>
      </c>
    </row>
    <row r="8" spans="1:28" ht="69" x14ac:dyDescent="0.3">
      <c r="A8" s="20">
        <v>4</v>
      </c>
      <c r="B8" s="19" t="s">
        <v>36</v>
      </c>
      <c r="C8" s="21" t="s">
        <v>37</v>
      </c>
      <c r="D8" s="22">
        <v>144200</v>
      </c>
      <c r="E8" s="23" t="s">
        <v>31</v>
      </c>
      <c r="F8" s="24">
        <v>30</v>
      </c>
      <c r="G8" s="25">
        <f>162300/30*F8</f>
        <v>162300</v>
      </c>
      <c r="H8" s="25">
        <f>ROUND((G8)*34%,0)</f>
        <v>55182</v>
      </c>
      <c r="I8" s="25">
        <v>0</v>
      </c>
      <c r="J8" s="25">
        <f t="shared" si="0"/>
        <v>0</v>
      </c>
      <c r="K8" s="25">
        <f>((500/30)*F8)</f>
        <v>500.00000000000006</v>
      </c>
      <c r="L8" s="25">
        <v>0</v>
      </c>
      <c r="M8" s="25">
        <f>((6000/30)*F8)</f>
        <v>6000</v>
      </c>
      <c r="N8" s="25">
        <f t="shared" si="8"/>
        <v>30447</v>
      </c>
      <c r="O8" s="25">
        <v>0</v>
      </c>
      <c r="P8" s="26">
        <f t="shared" si="1"/>
        <v>254429</v>
      </c>
      <c r="Q8" s="26">
        <f t="shared" si="2"/>
        <v>106845</v>
      </c>
      <c r="R8" s="26">
        <f t="shared" si="9"/>
        <v>147584</v>
      </c>
      <c r="S8" s="25">
        <f t="shared" si="10"/>
        <v>21748</v>
      </c>
      <c r="T8" s="17">
        <f t="shared" si="11"/>
        <v>30447</v>
      </c>
      <c r="U8" s="18">
        <f t="shared" si="3"/>
        <v>52195</v>
      </c>
      <c r="V8" s="25">
        <v>52000</v>
      </c>
      <c r="W8" s="25">
        <v>250</v>
      </c>
      <c r="X8" s="25">
        <v>2400</v>
      </c>
      <c r="Y8" s="25">
        <v>0</v>
      </c>
      <c r="Z8" s="25">
        <v>0</v>
      </c>
      <c r="AA8" s="25">
        <v>0</v>
      </c>
      <c r="AB8" s="25">
        <f t="shared" si="12"/>
        <v>106845</v>
      </c>
    </row>
    <row r="9" spans="1:28" ht="27.6" x14ac:dyDescent="0.3">
      <c r="A9" s="20">
        <v>5</v>
      </c>
      <c r="B9" s="19" t="s">
        <v>38</v>
      </c>
      <c r="C9" s="21" t="s">
        <v>39</v>
      </c>
      <c r="D9" s="22">
        <v>144200</v>
      </c>
      <c r="E9" s="23" t="s">
        <v>31</v>
      </c>
      <c r="F9" s="24">
        <v>30</v>
      </c>
      <c r="G9" s="25">
        <f>162300/30*F9</f>
        <v>162300</v>
      </c>
      <c r="H9" s="25">
        <f>ROUND((G9)*34%,0)</f>
        <v>55182</v>
      </c>
      <c r="I9" s="25">
        <v>0</v>
      </c>
      <c r="J9" s="25">
        <f t="shared" si="0"/>
        <v>0</v>
      </c>
      <c r="K9" s="25">
        <f>((500/30)*F9)</f>
        <v>500.00000000000006</v>
      </c>
      <c r="L9" s="25">
        <v>0</v>
      </c>
      <c r="M9" s="25">
        <f>((6000/30)*F9)</f>
        <v>6000</v>
      </c>
      <c r="N9" s="25">
        <f t="shared" si="8"/>
        <v>30447</v>
      </c>
      <c r="O9" s="25">
        <v>0</v>
      </c>
      <c r="P9" s="26">
        <f t="shared" si="1"/>
        <v>254429</v>
      </c>
      <c r="Q9" s="26">
        <f t="shared" si="2"/>
        <v>102845</v>
      </c>
      <c r="R9" s="26">
        <f t="shared" si="9"/>
        <v>151584</v>
      </c>
      <c r="S9" s="25">
        <f t="shared" si="10"/>
        <v>21748</v>
      </c>
      <c r="T9" s="17">
        <f t="shared" si="11"/>
        <v>30447</v>
      </c>
      <c r="U9" s="18">
        <f t="shared" si="3"/>
        <v>52195</v>
      </c>
      <c r="V9" s="25">
        <v>48000</v>
      </c>
      <c r="W9" s="25">
        <v>250</v>
      </c>
      <c r="X9" s="25">
        <v>2400</v>
      </c>
      <c r="Y9" s="25">
        <v>0</v>
      </c>
      <c r="Z9" s="25">
        <v>0</v>
      </c>
      <c r="AA9" s="25">
        <v>0</v>
      </c>
      <c r="AB9" s="25">
        <f t="shared" si="12"/>
        <v>102845</v>
      </c>
    </row>
    <row r="10" spans="1:28" ht="55.2" x14ac:dyDescent="0.3">
      <c r="A10" s="27">
        <v>6</v>
      </c>
      <c r="B10" s="19" t="s">
        <v>40</v>
      </c>
      <c r="C10" s="28" t="s">
        <v>41</v>
      </c>
      <c r="D10" s="29">
        <v>144200</v>
      </c>
      <c r="E10" s="30" t="s">
        <v>31</v>
      </c>
      <c r="F10" s="31">
        <v>31</v>
      </c>
      <c r="G10" s="32">
        <f>153000/31*F10</f>
        <v>153000</v>
      </c>
      <c r="H10" s="32">
        <f>ROUND((G10)*38%,0)</f>
        <v>58140</v>
      </c>
      <c r="I10" s="32">
        <f>11850/31*F10</f>
        <v>11850</v>
      </c>
      <c r="J10" s="32">
        <f>ROUND((I10)*203%,0)</f>
        <v>24056</v>
      </c>
      <c r="K10" s="32">
        <f>((500/31)*F10)</f>
        <v>500</v>
      </c>
      <c r="L10" s="32">
        <v>0</v>
      </c>
      <c r="M10" s="32">
        <f>((6000/31)*F10)</f>
        <v>6000</v>
      </c>
      <c r="N10" s="32">
        <f t="shared" si="8"/>
        <v>29560</v>
      </c>
      <c r="O10" s="32">
        <v>0</v>
      </c>
      <c r="P10" s="33">
        <f t="shared" si="1"/>
        <v>283106</v>
      </c>
      <c r="Q10" s="33">
        <f t="shared" si="2"/>
        <v>98074</v>
      </c>
      <c r="R10" s="33">
        <f t="shared" si="9"/>
        <v>185032</v>
      </c>
      <c r="S10" s="32">
        <f t="shared" si="10"/>
        <v>21114</v>
      </c>
      <c r="T10" s="17">
        <f t="shared" si="11"/>
        <v>29560</v>
      </c>
      <c r="U10" s="18">
        <f t="shared" si="3"/>
        <v>50674</v>
      </c>
      <c r="V10" s="32">
        <v>45000</v>
      </c>
      <c r="W10" s="32">
        <v>0</v>
      </c>
      <c r="X10" s="32">
        <v>2400</v>
      </c>
      <c r="Y10" s="32">
        <v>0</v>
      </c>
      <c r="Z10" s="32">
        <v>0</v>
      </c>
      <c r="AA10" s="32">
        <v>0</v>
      </c>
      <c r="AB10" s="32">
        <f t="shared" si="12"/>
        <v>98074</v>
      </c>
    </row>
    <row r="11" spans="1:28" ht="41.4" x14ac:dyDescent="0.3">
      <c r="A11" s="27">
        <v>7</v>
      </c>
      <c r="B11" s="19" t="s">
        <v>42</v>
      </c>
      <c r="C11" s="28" t="s">
        <v>43</v>
      </c>
      <c r="D11" s="29">
        <v>144200</v>
      </c>
      <c r="E11" s="30" t="s">
        <v>31</v>
      </c>
      <c r="F11" s="31">
        <v>28</v>
      </c>
      <c r="G11" s="32">
        <f>153000/28*F11</f>
        <v>153000</v>
      </c>
      <c r="H11" s="32">
        <f>ROUND((G11)*38%,0)</f>
        <v>58140</v>
      </c>
      <c r="I11" s="32">
        <v>0</v>
      </c>
      <c r="J11" s="32">
        <f t="shared" ref="J11" si="13">ROUND((I11)*154%,0)</f>
        <v>0</v>
      </c>
      <c r="K11" s="32">
        <f t="shared" ref="K11" si="14">((500/28)*F11)</f>
        <v>500</v>
      </c>
      <c r="L11" s="32">
        <v>0</v>
      </c>
      <c r="M11" s="32">
        <f t="shared" ref="M11" si="15">((6000/28)*F11)</f>
        <v>6000</v>
      </c>
      <c r="N11" s="32">
        <f t="shared" si="8"/>
        <v>29560</v>
      </c>
      <c r="O11" s="32">
        <v>0</v>
      </c>
      <c r="P11" s="33">
        <f t="shared" si="1"/>
        <v>247200</v>
      </c>
      <c r="Q11" s="33">
        <f t="shared" si="2"/>
        <v>53074</v>
      </c>
      <c r="R11" s="33">
        <f t="shared" si="9"/>
        <v>194126</v>
      </c>
      <c r="S11" s="32">
        <f t="shared" si="10"/>
        <v>21114</v>
      </c>
      <c r="T11" s="17">
        <f t="shared" si="11"/>
        <v>29560</v>
      </c>
      <c r="U11" s="18">
        <f t="shared" si="3"/>
        <v>50674</v>
      </c>
      <c r="V11" s="32">
        <v>0</v>
      </c>
      <c r="W11" s="32">
        <v>0</v>
      </c>
      <c r="X11" s="32">
        <v>2400</v>
      </c>
      <c r="Y11" s="32">
        <v>0</v>
      </c>
      <c r="Z11" s="32">
        <v>0</v>
      </c>
      <c r="AA11" s="32">
        <v>0</v>
      </c>
      <c r="AB11" s="32">
        <f t="shared" si="12"/>
        <v>53074</v>
      </c>
    </row>
    <row r="12" spans="1:28" ht="41.4" x14ac:dyDescent="0.3">
      <c r="A12" s="8">
        <v>1</v>
      </c>
      <c r="B12" s="19" t="s">
        <v>44</v>
      </c>
      <c r="C12" s="34" t="s">
        <v>45</v>
      </c>
      <c r="D12" s="11">
        <v>131400</v>
      </c>
      <c r="E12" s="12" t="s">
        <v>46</v>
      </c>
      <c r="F12" s="35">
        <v>30</v>
      </c>
      <c r="G12" s="14">
        <f>147900/30*F12</f>
        <v>147900</v>
      </c>
      <c r="H12" s="14">
        <f>ROUND((G12)*34%,0)</f>
        <v>50286</v>
      </c>
      <c r="I12" s="17">
        <f>11600/30*F12</f>
        <v>11600</v>
      </c>
      <c r="J12" s="14">
        <f>ROUND((I12)*203%,0)</f>
        <v>23548</v>
      </c>
      <c r="K12" s="14">
        <f>((500/30)*F12)</f>
        <v>500.00000000000006</v>
      </c>
      <c r="L12" s="14">
        <v>0</v>
      </c>
      <c r="M12" s="15">
        <f>((5000/30)*F12)</f>
        <v>5000</v>
      </c>
      <c r="N12" s="15">
        <f>ROUND((G12+H12)*14%,0)</f>
        <v>27746</v>
      </c>
      <c r="O12" s="15">
        <v>0</v>
      </c>
      <c r="P12" s="16">
        <f t="shared" ref="P12:P21" si="16">SUM(G12:N12)</f>
        <v>266580</v>
      </c>
      <c r="Q12" s="16">
        <f t="shared" si="2"/>
        <v>105615</v>
      </c>
      <c r="R12" s="16">
        <f>P12-Q12</f>
        <v>160965</v>
      </c>
      <c r="S12" s="15">
        <f>ROUND((G12+H12)*10%,0)</f>
        <v>19819</v>
      </c>
      <c r="T12" s="14">
        <f>N12</f>
        <v>27746</v>
      </c>
      <c r="U12" s="17">
        <f t="shared" si="3"/>
        <v>47565</v>
      </c>
      <c r="V12" s="14">
        <v>56000</v>
      </c>
      <c r="W12" s="14">
        <v>250</v>
      </c>
      <c r="X12" s="14">
        <v>1800</v>
      </c>
      <c r="Y12" s="14">
        <v>0</v>
      </c>
      <c r="Z12" s="14">
        <v>0</v>
      </c>
      <c r="AA12" s="14">
        <v>0</v>
      </c>
      <c r="AB12" s="14">
        <f>ROUND((U12+V12+W12+X12+Y12+Z12+AA12),0)</f>
        <v>105615</v>
      </c>
    </row>
    <row r="13" spans="1:28" ht="55.2" x14ac:dyDescent="0.3">
      <c r="A13" s="8">
        <v>2</v>
      </c>
      <c r="B13" s="19" t="s">
        <v>47</v>
      </c>
      <c r="C13" s="34" t="s">
        <v>48</v>
      </c>
      <c r="D13" s="11">
        <v>131400</v>
      </c>
      <c r="E13" s="12" t="s">
        <v>46</v>
      </c>
      <c r="F13" s="35">
        <v>28</v>
      </c>
      <c r="G13" s="14">
        <f>152300/28*F13</f>
        <v>152300</v>
      </c>
      <c r="H13" s="14">
        <f t="shared" ref="H13" si="17">ROUND((G13)*38%,0)</f>
        <v>57874</v>
      </c>
      <c r="I13" s="17">
        <f>11600/28*F13</f>
        <v>11600</v>
      </c>
      <c r="J13" s="14">
        <f>ROUND((I13)*212%,0)</f>
        <v>24592</v>
      </c>
      <c r="K13" s="14">
        <f t="shared" ref="K13" si="18">((500/28)*F13)</f>
        <v>500</v>
      </c>
      <c r="L13" s="14">
        <v>0</v>
      </c>
      <c r="M13" s="15">
        <f t="shared" ref="M13" si="19">((5000/28)*F13)</f>
        <v>5000</v>
      </c>
      <c r="N13" s="15">
        <f t="shared" ref="N13:N19" si="20">ROUND((G13+H13)*14%,0)</f>
        <v>29424</v>
      </c>
      <c r="O13" s="15">
        <v>0</v>
      </c>
      <c r="P13" s="16">
        <f t="shared" si="16"/>
        <v>281290</v>
      </c>
      <c r="Q13" s="16">
        <f t="shared" si="2"/>
        <v>52241</v>
      </c>
      <c r="R13" s="16">
        <f t="shared" ref="R13:R23" si="21">P13-Q13</f>
        <v>229049</v>
      </c>
      <c r="S13" s="15">
        <f t="shared" ref="S13:S23" si="22">ROUND((G13+H13)*10%,0)</f>
        <v>21017</v>
      </c>
      <c r="T13" s="14">
        <f t="shared" ref="T13:T19" si="23">N13</f>
        <v>29424</v>
      </c>
      <c r="U13" s="17">
        <f t="shared" si="3"/>
        <v>50441</v>
      </c>
      <c r="V13" s="14">
        <v>0</v>
      </c>
      <c r="W13" s="14">
        <v>0</v>
      </c>
      <c r="X13" s="14">
        <v>1800</v>
      </c>
      <c r="Y13" s="14">
        <v>0</v>
      </c>
      <c r="Z13" s="14">
        <v>0</v>
      </c>
      <c r="AA13" s="14">
        <v>0</v>
      </c>
      <c r="AB13" s="14">
        <f t="shared" ref="AB13:AB23" si="24">ROUND((U13+V13+W13+X13+Y13+Z13+AA13),0)</f>
        <v>52241</v>
      </c>
    </row>
    <row r="14" spans="1:28" ht="55.2" x14ac:dyDescent="0.3">
      <c r="A14" s="8">
        <v>3</v>
      </c>
      <c r="B14" s="19" t="s">
        <v>49</v>
      </c>
      <c r="C14" s="34" t="s">
        <v>50</v>
      </c>
      <c r="D14" s="11">
        <v>131400</v>
      </c>
      <c r="E14" s="12" t="s">
        <v>46</v>
      </c>
      <c r="F14" s="35">
        <v>30</v>
      </c>
      <c r="G14" s="14">
        <f t="shared" ref="G14:G18" si="25">147900/30*F14</f>
        <v>147900</v>
      </c>
      <c r="H14" s="14">
        <f t="shared" ref="H14:H18" si="26">ROUND((G14)*34%,0)</f>
        <v>50286</v>
      </c>
      <c r="I14" s="14">
        <v>0</v>
      </c>
      <c r="J14" s="14">
        <f t="shared" ref="J14:J17" si="27">ROUND((I14)*154%,0)</f>
        <v>0</v>
      </c>
      <c r="K14" s="14">
        <f t="shared" ref="K14:K18" si="28">((500/30)*F14)</f>
        <v>500.00000000000006</v>
      </c>
      <c r="L14" s="14">
        <v>0</v>
      </c>
      <c r="M14" s="15">
        <f t="shared" ref="M14:M18" si="29">((5000/30)*F14)</f>
        <v>5000</v>
      </c>
      <c r="N14" s="15">
        <f t="shared" si="20"/>
        <v>27746</v>
      </c>
      <c r="O14" s="15">
        <v>0</v>
      </c>
      <c r="P14" s="16">
        <f t="shared" si="16"/>
        <v>231432</v>
      </c>
      <c r="Q14" s="16">
        <f t="shared" si="2"/>
        <v>94615</v>
      </c>
      <c r="R14" s="16">
        <f t="shared" si="21"/>
        <v>136817</v>
      </c>
      <c r="S14" s="15">
        <f t="shared" si="22"/>
        <v>19819</v>
      </c>
      <c r="T14" s="14">
        <f t="shared" si="23"/>
        <v>27746</v>
      </c>
      <c r="U14" s="17">
        <f t="shared" si="3"/>
        <v>47565</v>
      </c>
      <c r="V14" s="14">
        <v>45000</v>
      </c>
      <c r="W14" s="14">
        <v>250</v>
      </c>
      <c r="X14" s="14">
        <v>1800</v>
      </c>
      <c r="Y14" s="14">
        <v>0</v>
      </c>
      <c r="Z14" s="14">
        <v>0</v>
      </c>
      <c r="AA14" s="14">
        <v>0</v>
      </c>
      <c r="AB14" s="14">
        <f t="shared" si="24"/>
        <v>94615</v>
      </c>
    </row>
    <row r="15" spans="1:28" ht="41.4" x14ac:dyDescent="0.3">
      <c r="A15" s="8">
        <v>4</v>
      </c>
      <c r="B15" s="19" t="s">
        <v>51</v>
      </c>
      <c r="C15" s="34" t="s">
        <v>52</v>
      </c>
      <c r="D15" s="11">
        <v>131400</v>
      </c>
      <c r="E15" s="12" t="s">
        <v>46</v>
      </c>
      <c r="F15" s="35">
        <v>30</v>
      </c>
      <c r="G15" s="14">
        <f t="shared" si="25"/>
        <v>147900</v>
      </c>
      <c r="H15" s="14">
        <f t="shared" si="26"/>
        <v>50286</v>
      </c>
      <c r="I15" s="17">
        <f>11600/30*F15</f>
        <v>11600</v>
      </c>
      <c r="J15" s="14">
        <f>ROUND((I15)*203%,0)</f>
        <v>23548</v>
      </c>
      <c r="K15" s="14">
        <f t="shared" si="28"/>
        <v>500.00000000000006</v>
      </c>
      <c r="L15" s="14">
        <v>0</v>
      </c>
      <c r="M15" s="15">
        <f t="shared" si="29"/>
        <v>5000</v>
      </c>
      <c r="N15" s="15">
        <f t="shared" si="20"/>
        <v>27746</v>
      </c>
      <c r="O15" s="15">
        <v>0</v>
      </c>
      <c r="P15" s="16">
        <f t="shared" si="16"/>
        <v>266580</v>
      </c>
      <c r="Q15" s="16">
        <f t="shared" si="2"/>
        <v>105615</v>
      </c>
      <c r="R15" s="16">
        <f t="shared" si="21"/>
        <v>160965</v>
      </c>
      <c r="S15" s="15">
        <f t="shared" si="22"/>
        <v>19819</v>
      </c>
      <c r="T15" s="14">
        <f t="shared" si="23"/>
        <v>27746</v>
      </c>
      <c r="U15" s="17">
        <f t="shared" si="3"/>
        <v>47565</v>
      </c>
      <c r="V15" s="14">
        <v>56000</v>
      </c>
      <c r="W15" s="14">
        <v>250</v>
      </c>
      <c r="X15" s="14">
        <v>1800</v>
      </c>
      <c r="Y15" s="14">
        <v>0</v>
      </c>
      <c r="Z15" s="14">
        <v>0</v>
      </c>
      <c r="AA15" s="14">
        <v>0</v>
      </c>
      <c r="AB15" s="14">
        <f t="shared" si="24"/>
        <v>105615</v>
      </c>
    </row>
    <row r="16" spans="1:28" ht="69" x14ac:dyDescent="0.3">
      <c r="A16" s="8">
        <v>5</v>
      </c>
      <c r="B16" s="19" t="s">
        <v>53</v>
      </c>
      <c r="C16" s="34" t="s">
        <v>54</v>
      </c>
      <c r="D16" s="11">
        <v>131400</v>
      </c>
      <c r="E16" s="12" t="s">
        <v>46</v>
      </c>
      <c r="F16" s="35">
        <v>28</v>
      </c>
      <c r="G16" s="14">
        <f t="shared" ref="G16" si="30">152300/28*F16</f>
        <v>152300</v>
      </c>
      <c r="H16" s="14">
        <f t="shared" ref="H16" si="31">ROUND((G16)*38%,0)</f>
        <v>57874</v>
      </c>
      <c r="I16" s="14">
        <v>0</v>
      </c>
      <c r="J16" s="14">
        <f t="shared" ref="J16" si="32">ROUND((I16)*154%,0)</f>
        <v>0</v>
      </c>
      <c r="K16" s="14">
        <f t="shared" ref="K16" si="33">((500/28)*F16)</f>
        <v>500</v>
      </c>
      <c r="L16" s="14">
        <v>0</v>
      </c>
      <c r="M16" s="15">
        <f t="shared" ref="M16" si="34">((5000/28)*F16)</f>
        <v>5000</v>
      </c>
      <c r="N16" s="15">
        <f t="shared" si="20"/>
        <v>29424</v>
      </c>
      <c r="O16" s="15">
        <v>0</v>
      </c>
      <c r="P16" s="16">
        <f t="shared" si="16"/>
        <v>245098</v>
      </c>
      <c r="Q16" s="16">
        <f t="shared" si="2"/>
        <v>52241</v>
      </c>
      <c r="R16" s="16">
        <f t="shared" si="21"/>
        <v>192857</v>
      </c>
      <c r="S16" s="15">
        <f t="shared" si="22"/>
        <v>21017</v>
      </c>
      <c r="T16" s="14">
        <f t="shared" si="23"/>
        <v>29424</v>
      </c>
      <c r="U16" s="17">
        <f t="shared" si="3"/>
        <v>50441</v>
      </c>
      <c r="V16" s="14">
        <v>0</v>
      </c>
      <c r="W16" s="14">
        <v>0</v>
      </c>
      <c r="X16" s="14">
        <v>1800</v>
      </c>
      <c r="Y16" s="14">
        <v>0</v>
      </c>
      <c r="Z16" s="14">
        <v>0</v>
      </c>
      <c r="AA16" s="14">
        <v>0</v>
      </c>
      <c r="AB16" s="14">
        <f t="shared" si="24"/>
        <v>52241</v>
      </c>
    </row>
    <row r="17" spans="1:28" ht="41.4" x14ac:dyDescent="0.3">
      <c r="A17" s="8">
        <v>6</v>
      </c>
      <c r="B17" s="19" t="s">
        <v>55</v>
      </c>
      <c r="C17" s="34" t="s">
        <v>56</v>
      </c>
      <c r="D17" s="11">
        <v>131400</v>
      </c>
      <c r="E17" s="12" t="s">
        <v>46</v>
      </c>
      <c r="F17" s="35">
        <v>30</v>
      </c>
      <c r="G17" s="14">
        <f t="shared" si="25"/>
        <v>147900</v>
      </c>
      <c r="H17" s="14">
        <f t="shared" si="26"/>
        <v>50286</v>
      </c>
      <c r="I17" s="14">
        <v>0</v>
      </c>
      <c r="J17" s="14">
        <f t="shared" si="27"/>
        <v>0</v>
      </c>
      <c r="K17" s="14">
        <f t="shared" si="28"/>
        <v>500.00000000000006</v>
      </c>
      <c r="L17" s="14">
        <v>0</v>
      </c>
      <c r="M17" s="15">
        <f t="shared" si="29"/>
        <v>5000</v>
      </c>
      <c r="N17" s="15">
        <f t="shared" si="20"/>
        <v>27746</v>
      </c>
      <c r="O17" s="15">
        <v>0</v>
      </c>
      <c r="P17" s="16">
        <f t="shared" si="16"/>
        <v>231432</v>
      </c>
      <c r="Q17" s="16">
        <f t="shared" si="2"/>
        <v>94615</v>
      </c>
      <c r="R17" s="16">
        <f t="shared" si="21"/>
        <v>136817</v>
      </c>
      <c r="S17" s="15">
        <f t="shared" si="22"/>
        <v>19819</v>
      </c>
      <c r="T17" s="14">
        <f t="shared" si="23"/>
        <v>27746</v>
      </c>
      <c r="U17" s="17">
        <f t="shared" si="3"/>
        <v>47565</v>
      </c>
      <c r="V17" s="14">
        <v>45000</v>
      </c>
      <c r="W17" s="14">
        <v>250</v>
      </c>
      <c r="X17" s="14">
        <v>1800</v>
      </c>
      <c r="Y17" s="14">
        <v>0</v>
      </c>
      <c r="Z17" s="14">
        <v>0</v>
      </c>
      <c r="AA17" s="14">
        <v>0</v>
      </c>
      <c r="AB17" s="14">
        <f t="shared" si="24"/>
        <v>94615</v>
      </c>
    </row>
    <row r="18" spans="1:28" ht="55.2" x14ac:dyDescent="0.3">
      <c r="A18" s="8">
        <v>7</v>
      </c>
      <c r="B18" s="19" t="s">
        <v>57</v>
      </c>
      <c r="C18" s="10" t="s">
        <v>58</v>
      </c>
      <c r="D18" s="11">
        <v>131400</v>
      </c>
      <c r="E18" s="12" t="s">
        <v>46</v>
      </c>
      <c r="F18" s="35">
        <v>30</v>
      </c>
      <c r="G18" s="14">
        <f t="shared" si="25"/>
        <v>147900</v>
      </c>
      <c r="H18" s="14">
        <f t="shared" si="26"/>
        <v>50286</v>
      </c>
      <c r="I18" s="17">
        <f>11600/30*F18</f>
        <v>11600</v>
      </c>
      <c r="J18" s="14">
        <f>ROUND((I18)*203%,0)</f>
        <v>23548</v>
      </c>
      <c r="K18" s="14">
        <f t="shared" si="28"/>
        <v>500.00000000000006</v>
      </c>
      <c r="L18" s="14">
        <f>2320/30*F18</f>
        <v>2320</v>
      </c>
      <c r="M18" s="15">
        <f t="shared" si="29"/>
        <v>5000</v>
      </c>
      <c r="N18" s="15">
        <f t="shared" si="20"/>
        <v>27746</v>
      </c>
      <c r="O18" s="15">
        <v>0</v>
      </c>
      <c r="P18" s="16">
        <f t="shared" si="16"/>
        <v>268900</v>
      </c>
      <c r="Q18" s="16">
        <f t="shared" si="2"/>
        <v>103815</v>
      </c>
      <c r="R18" s="16">
        <f t="shared" si="21"/>
        <v>165085</v>
      </c>
      <c r="S18" s="15">
        <f t="shared" si="22"/>
        <v>19819</v>
      </c>
      <c r="T18" s="14">
        <f t="shared" si="23"/>
        <v>27746</v>
      </c>
      <c r="U18" s="17">
        <f t="shared" si="3"/>
        <v>47565</v>
      </c>
      <c r="V18" s="14">
        <v>56000</v>
      </c>
      <c r="W18" s="14">
        <v>250</v>
      </c>
      <c r="X18" s="14">
        <v>0</v>
      </c>
      <c r="Y18" s="14">
        <v>0</v>
      </c>
      <c r="Z18" s="14">
        <v>0</v>
      </c>
      <c r="AA18" s="14">
        <v>0</v>
      </c>
      <c r="AB18" s="14">
        <f t="shared" si="24"/>
        <v>103815</v>
      </c>
    </row>
    <row r="19" spans="1:28" ht="41.4" x14ac:dyDescent="0.3">
      <c r="A19" s="8">
        <v>8</v>
      </c>
      <c r="B19" s="19" t="s">
        <v>59</v>
      </c>
      <c r="C19" s="36" t="s">
        <v>60</v>
      </c>
      <c r="D19" s="11">
        <v>131400</v>
      </c>
      <c r="E19" s="12" t="s">
        <v>46</v>
      </c>
      <c r="F19" s="35">
        <v>31</v>
      </c>
      <c r="G19" s="14">
        <f t="shared" ref="G19" si="35">152300/31*F19</f>
        <v>152300</v>
      </c>
      <c r="H19" s="14">
        <f t="shared" ref="H19" si="36">ROUND((G19)*38%,0)</f>
        <v>57874</v>
      </c>
      <c r="I19" s="14">
        <v>0</v>
      </c>
      <c r="J19" s="14">
        <f t="shared" ref="J19:J20" si="37">ROUND((I19)*154%,0)</f>
        <v>0</v>
      </c>
      <c r="K19" s="14">
        <f t="shared" ref="K19" si="38">((500/31)*F19)</f>
        <v>500</v>
      </c>
      <c r="L19" s="14">
        <v>0</v>
      </c>
      <c r="M19" s="15">
        <f t="shared" ref="M19" si="39">((5000/31)*F19)</f>
        <v>5000</v>
      </c>
      <c r="N19" s="15">
        <f t="shared" si="20"/>
        <v>29424</v>
      </c>
      <c r="O19" s="15">
        <v>0</v>
      </c>
      <c r="P19" s="16">
        <f t="shared" si="16"/>
        <v>245098</v>
      </c>
      <c r="Q19" s="16">
        <f t="shared" si="2"/>
        <v>97241</v>
      </c>
      <c r="R19" s="16">
        <f t="shared" si="21"/>
        <v>147857</v>
      </c>
      <c r="S19" s="15">
        <f t="shared" si="22"/>
        <v>21017</v>
      </c>
      <c r="T19" s="14">
        <f t="shared" si="23"/>
        <v>29424</v>
      </c>
      <c r="U19" s="17">
        <f t="shared" si="3"/>
        <v>50441</v>
      </c>
      <c r="V19" s="14">
        <v>45000</v>
      </c>
      <c r="W19" s="14">
        <v>0</v>
      </c>
      <c r="X19" s="14">
        <v>1800</v>
      </c>
      <c r="Y19" s="14">
        <v>0</v>
      </c>
      <c r="Z19" s="14">
        <v>0</v>
      </c>
      <c r="AA19" s="14">
        <v>0</v>
      </c>
      <c r="AB19" s="14">
        <f t="shared" si="24"/>
        <v>97241</v>
      </c>
    </row>
    <row r="20" spans="1:28" ht="55.2" x14ac:dyDescent="0.3">
      <c r="A20" s="20">
        <v>9</v>
      </c>
      <c r="B20" s="19" t="s">
        <v>61</v>
      </c>
      <c r="C20" s="37" t="s">
        <v>62</v>
      </c>
      <c r="D20" s="22">
        <v>131400</v>
      </c>
      <c r="E20" s="23" t="s">
        <v>46</v>
      </c>
      <c r="F20" s="24">
        <v>31</v>
      </c>
      <c r="G20" s="25">
        <f>147900/31*F20</f>
        <v>147900</v>
      </c>
      <c r="H20" s="25">
        <f>ROUND((G20)*38%,0)</f>
        <v>56202</v>
      </c>
      <c r="I20" s="25">
        <v>0</v>
      </c>
      <c r="J20" s="25">
        <f t="shared" si="37"/>
        <v>0</v>
      </c>
      <c r="K20" s="25">
        <f>((500/31)*F20)</f>
        <v>500</v>
      </c>
      <c r="L20" s="25">
        <v>0</v>
      </c>
      <c r="M20" s="25">
        <f>((5000/31)*F20)</f>
        <v>5000</v>
      </c>
      <c r="N20" s="25">
        <f>ROUND((G20+H20)*14%,0)</f>
        <v>28574</v>
      </c>
      <c r="O20" s="25">
        <v>0</v>
      </c>
      <c r="P20" s="26">
        <f t="shared" si="16"/>
        <v>238176</v>
      </c>
      <c r="Q20" s="26">
        <f t="shared" si="2"/>
        <v>90784</v>
      </c>
      <c r="R20" s="26">
        <f t="shared" si="21"/>
        <v>147392</v>
      </c>
      <c r="S20" s="25">
        <f t="shared" si="22"/>
        <v>20410</v>
      </c>
      <c r="T20" s="25">
        <f>N20</f>
        <v>28574</v>
      </c>
      <c r="U20" s="25">
        <f t="shared" si="3"/>
        <v>48984</v>
      </c>
      <c r="V20" s="25">
        <v>40000</v>
      </c>
      <c r="W20" s="25">
        <v>0</v>
      </c>
      <c r="X20" s="25">
        <v>1800</v>
      </c>
      <c r="Y20" s="25">
        <v>0</v>
      </c>
      <c r="Z20" s="25">
        <v>0</v>
      </c>
      <c r="AA20" s="25">
        <v>0</v>
      </c>
      <c r="AB20" s="25">
        <f t="shared" si="24"/>
        <v>90784</v>
      </c>
    </row>
    <row r="21" spans="1:28" ht="41.4" x14ac:dyDescent="0.3">
      <c r="A21" s="20">
        <v>10</v>
      </c>
      <c r="B21" s="19" t="s">
        <v>63</v>
      </c>
      <c r="C21" s="37" t="s">
        <v>64</v>
      </c>
      <c r="D21" s="22">
        <v>131400</v>
      </c>
      <c r="E21" s="23" t="s">
        <v>46</v>
      </c>
      <c r="F21" s="24">
        <v>31</v>
      </c>
      <c r="G21" s="25">
        <f>147900/31*F21</f>
        <v>147900</v>
      </c>
      <c r="H21" s="25">
        <f>ROUND((G21)*38%,0)</f>
        <v>56202</v>
      </c>
      <c r="I21" s="25">
        <v>0</v>
      </c>
      <c r="J21" s="25">
        <f>ROUND((I21)*203%,0)</f>
        <v>0</v>
      </c>
      <c r="K21" s="25">
        <f>((500/31)*F21)</f>
        <v>500</v>
      </c>
      <c r="L21" s="25">
        <v>0</v>
      </c>
      <c r="M21" s="25">
        <f>((5000/31)*F21)</f>
        <v>5000</v>
      </c>
      <c r="N21" s="25">
        <f t="shared" ref="N21" si="40">ROUND((G21+H21)*14%,0)</f>
        <v>28574</v>
      </c>
      <c r="O21" s="25">
        <v>0</v>
      </c>
      <c r="P21" s="26">
        <f t="shared" si="16"/>
        <v>238176</v>
      </c>
      <c r="Q21" s="26">
        <f t="shared" si="2"/>
        <v>93984</v>
      </c>
      <c r="R21" s="26">
        <f t="shared" si="21"/>
        <v>144192</v>
      </c>
      <c r="S21" s="25">
        <f t="shared" si="22"/>
        <v>20410</v>
      </c>
      <c r="T21" s="25">
        <f t="shared" ref="T21:T23" si="41">N21</f>
        <v>28574</v>
      </c>
      <c r="U21" s="25">
        <f t="shared" si="3"/>
        <v>48984</v>
      </c>
      <c r="V21" s="25">
        <v>45000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f t="shared" si="24"/>
        <v>93984</v>
      </c>
    </row>
    <row r="22" spans="1:28" ht="46.8" x14ac:dyDescent="0.3">
      <c r="A22" s="27">
        <v>11</v>
      </c>
      <c r="B22" s="19" t="s">
        <v>65</v>
      </c>
      <c r="C22" s="38" t="s">
        <v>66</v>
      </c>
      <c r="D22" s="29">
        <v>131400</v>
      </c>
      <c r="E22" s="30" t="s">
        <v>46</v>
      </c>
      <c r="F22" s="31">
        <v>31</v>
      </c>
      <c r="G22" s="32">
        <f>139400/31*F22</f>
        <v>139400</v>
      </c>
      <c r="H22" s="32">
        <f>ROUND((G22)*38%,0)</f>
        <v>52972</v>
      </c>
      <c r="I22" s="17">
        <f>11600/31*F22</f>
        <v>11600</v>
      </c>
      <c r="J22" s="32">
        <f>ROUND((I22)*203%,0)</f>
        <v>23548</v>
      </c>
      <c r="K22" s="32">
        <f>((500/31)*F22)</f>
        <v>500</v>
      </c>
      <c r="L22" s="32">
        <v>0</v>
      </c>
      <c r="M22" s="32">
        <f>((5000/31)*F22)</f>
        <v>5000</v>
      </c>
      <c r="N22" s="32">
        <f>ROUND((G22+H22)*14%,0)</f>
        <v>26932</v>
      </c>
      <c r="O22" s="32">
        <v>0</v>
      </c>
      <c r="P22" s="33">
        <f>SUM(G22:N22)</f>
        <v>259952</v>
      </c>
      <c r="Q22" s="33">
        <f t="shared" si="2"/>
        <v>95969</v>
      </c>
      <c r="R22" s="33">
        <f t="shared" si="21"/>
        <v>163983</v>
      </c>
      <c r="S22" s="32">
        <f t="shared" si="22"/>
        <v>19237</v>
      </c>
      <c r="T22" s="32">
        <f t="shared" si="41"/>
        <v>26932</v>
      </c>
      <c r="U22" s="32">
        <f t="shared" si="3"/>
        <v>46169</v>
      </c>
      <c r="V22" s="32">
        <v>48000</v>
      </c>
      <c r="W22" s="32">
        <v>0</v>
      </c>
      <c r="X22" s="32">
        <v>1800</v>
      </c>
      <c r="Y22" s="32">
        <v>0</v>
      </c>
      <c r="Z22" s="32">
        <v>0</v>
      </c>
      <c r="AA22" s="32">
        <v>0</v>
      </c>
      <c r="AB22" s="32">
        <f t="shared" si="24"/>
        <v>95969</v>
      </c>
    </row>
    <row r="23" spans="1:28" ht="46.8" x14ac:dyDescent="0.3">
      <c r="A23" s="27">
        <v>12</v>
      </c>
      <c r="B23" s="19" t="s">
        <v>67</v>
      </c>
      <c r="C23" s="38" t="s">
        <v>68</v>
      </c>
      <c r="D23" s="29">
        <v>131400</v>
      </c>
      <c r="E23" s="30" t="s">
        <v>46</v>
      </c>
      <c r="F23" s="31">
        <v>30</v>
      </c>
      <c r="G23" s="32">
        <f>131400/30*F23</f>
        <v>131400</v>
      </c>
      <c r="H23" s="32">
        <f>ROUND((G23)*34%,0)</f>
        <v>44676</v>
      </c>
      <c r="I23" s="17">
        <f t="shared" ref="I23" si="42">11600/30*F23</f>
        <v>11600</v>
      </c>
      <c r="J23" s="32">
        <f>ROUND((I23)*203%,0)</f>
        <v>23548</v>
      </c>
      <c r="K23" s="32">
        <f>((500/30)*F23)</f>
        <v>500.00000000000006</v>
      </c>
      <c r="L23" s="32">
        <v>0</v>
      </c>
      <c r="M23" s="32">
        <f>((5000/30)*F23)</f>
        <v>5000</v>
      </c>
      <c r="N23" s="32">
        <f>ROUND((G23+H23)*14%,0)</f>
        <v>24651</v>
      </c>
      <c r="O23" s="32">
        <v>0</v>
      </c>
      <c r="P23" s="33">
        <f>SUM(G23:N23)</f>
        <v>241375</v>
      </c>
      <c r="Q23" s="33">
        <f t="shared" si="2"/>
        <v>89309</v>
      </c>
      <c r="R23" s="33">
        <f t="shared" si="21"/>
        <v>152066</v>
      </c>
      <c r="S23" s="32">
        <f t="shared" si="22"/>
        <v>17608</v>
      </c>
      <c r="T23" s="32">
        <f t="shared" si="41"/>
        <v>24651</v>
      </c>
      <c r="U23" s="32">
        <f t="shared" si="3"/>
        <v>42259</v>
      </c>
      <c r="V23" s="32">
        <v>45000</v>
      </c>
      <c r="W23" s="32">
        <v>250</v>
      </c>
      <c r="X23" s="32">
        <v>1800</v>
      </c>
      <c r="Y23" s="32">
        <v>0</v>
      </c>
      <c r="Z23" s="32">
        <v>0</v>
      </c>
      <c r="AA23" s="32">
        <v>0</v>
      </c>
      <c r="AB23" s="32">
        <f t="shared" si="24"/>
        <v>89309</v>
      </c>
    </row>
    <row r="24" spans="1:28" ht="46.8" x14ac:dyDescent="0.3">
      <c r="A24" s="8">
        <v>1</v>
      </c>
      <c r="B24" s="19" t="s">
        <v>69</v>
      </c>
      <c r="C24" s="39" t="s">
        <v>70</v>
      </c>
      <c r="D24" s="40">
        <v>68900</v>
      </c>
      <c r="E24" s="41" t="s">
        <v>71</v>
      </c>
      <c r="F24" s="42">
        <v>30</v>
      </c>
      <c r="G24" s="43">
        <f>77600/30*F24</f>
        <v>77600</v>
      </c>
      <c r="H24" s="43">
        <f>ROUND((G24)*34%,0)</f>
        <v>26384</v>
      </c>
      <c r="I24" s="43">
        <v>0</v>
      </c>
      <c r="J24" s="14">
        <f t="shared" ref="J24:J50" si="43">ROUND((I24)*154%,0)</f>
        <v>0</v>
      </c>
      <c r="K24" s="43">
        <f>((500/30)*F24)</f>
        <v>500.00000000000006</v>
      </c>
      <c r="L24" s="43">
        <v>0</v>
      </c>
      <c r="M24" s="44">
        <f>((4000/30)*F24)</f>
        <v>4000.0000000000005</v>
      </c>
      <c r="N24" s="44">
        <f>ROUND((G24+H24)*14%,0)</f>
        <v>14558</v>
      </c>
      <c r="O24" s="44">
        <v>0</v>
      </c>
      <c r="P24" s="45">
        <f>SUM(G24:O24)</f>
        <v>123042</v>
      </c>
      <c r="Q24" s="45">
        <f t="shared" si="2"/>
        <v>38706</v>
      </c>
      <c r="R24" s="45">
        <f>P24-Q24</f>
        <v>84336</v>
      </c>
      <c r="S24" s="44">
        <f>ROUND((G24+H24)*10%,0)</f>
        <v>10398</v>
      </c>
      <c r="T24" s="46">
        <f>N24</f>
        <v>14558</v>
      </c>
      <c r="U24" s="47">
        <f t="shared" si="3"/>
        <v>24956</v>
      </c>
      <c r="V24" s="43">
        <v>12000</v>
      </c>
      <c r="W24" s="43">
        <v>250</v>
      </c>
      <c r="X24" s="43">
        <v>1500</v>
      </c>
      <c r="Y24" s="43">
        <v>0</v>
      </c>
      <c r="Z24" s="43">
        <v>0</v>
      </c>
      <c r="AA24" s="43">
        <v>0</v>
      </c>
      <c r="AB24" s="43">
        <f>ROUND((U24+V24+W24+X24+Y24+Z24+AA24),0)</f>
        <v>38706</v>
      </c>
    </row>
    <row r="25" spans="1:28" ht="93.6" x14ac:dyDescent="0.3">
      <c r="A25" s="8">
        <v>2</v>
      </c>
      <c r="B25" s="19" t="s">
        <v>72</v>
      </c>
      <c r="C25" s="48" t="s">
        <v>73</v>
      </c>
      <c r="D25" s="40">
        <v>68900</v>
      </c>
      <c r="E25" s="41" t="s">
        <v>71</v>
      </c>
      <c r="F25" s="42">
        <v>30</v>
      </c>
      <c r="G25" s="43">
        <f t="shared" ref="G25:G41" si="44">77600/30*F25</f>
        <v>77600</v>
      </c>
      <c r="H25" s="43">
        <f t="shared" ref="H25:H41" si="45">ROUND((G25)*34%,0)</f>
        <v>26384</v>
      </c>
      <c r="I25" s="43">
        <v>0</v>
      </c>
      <c r="J25" s="14">
        <f t="shared" si="43"/>
        <v>0</v>
      </c>
      <c r="K25" s="43">
        <f t="shared" ref="K25:K41" si="46">((500/30)*F25)</f>
        <v>500.00000000000006</v>
      </c>
      <c r="L25" s="43">
        <f>1280/30*F25</f>
        <v>1280</v>
      </c>
      <c r="M25" s="44">
        <f t="shared" ref="M25:M41" si="47">((4000/30)*F25)</f>
        <v>4000.0000000000005</v>
      </c>
      <c r="N25" s="44">
        <f t="shared" ref="N25:N41" si="48">ROUND((G25+H25)*14%,0)</f>
        <v>14558</v>
      </c>
      <c r="O25" s="44">
        <v>0</v>
      </c>
      <c r="P25" s="45">
        <f t="shared" ref="P25:P47" si="49">SUM(G25:O25)</f>
        <v>124322</v>
      </c>
      <c r="Q25" s="45">
        <f t="shared" si="2"/>
        <v>37206</v>
      </c>
      <c r="R25" s="45">
        <f t="shared" ref="R25:R47" si="50">P25-Q25</f>
        <v>87116</v>
      </c>
      <c r="S25" s="44">
        <f t="shared" ref="S25:S47" si="51">ROUND((G25+H25)*10%,0)</f>
        <v>10398</v>
      </c>
      <c r="T25" s="46">
        <f t="shared" ref="T25:T41" si="52">N25</f>
        <v>14558</v>
      </c>
      <c r="U25" s="47">
        <f t="shared" si="3"/>
        <v>24956</v>
      </c>
      <c r="V25" s="43">
        <v>12000</v>
      </c>
      <c r="W25" s="43">
        <v>250</v>
      </c>
      <c r="X25" s="43">
        <v>0</v>
      </c>
      <c r="Y25" s="43">
        <v>0</v>
      </c>
      <c r="Z25" s="43">
        <v>0</v>
      </c>
      <c r="AA25" s="43">
        <v>0</v>
      </c>
      <c r="AB25" s="43">
        <f t="shared" ref="AB25:AB47" si="53">ROUND((U25+V25+W25+X25+Y25+Z25+AA25),0)</f>
        <v>37206</v>
      </c>
    </row>
    <row r="26" spans="1:28" ht="62.4" x14ac:dyDescent="0.3">
      <c r="A26" s="8">
        <v>3</v>
      </c>
      <c r="B26" s="19" t="s">
        <v>74</v>
      </c>
      <c r="C26" s="39" t="s">
        <v>75</v>
      </c>
      <c r="D26" s="40">
        <v>68900</v>
      </c>
      <c r="E26" s="41" t="s">
        <v>71</v>
      </c>
      <c r="F26" s="42">
        <v>30</v>
      </c>
      <c r="G26" s="43">
        <f t="shared" si="44"/>
        <v>77600</v>
      </c>
      <c r="H26" s="43">
        <f t="shared" si="45"/>
        <v>26384</v>
      </c>
      <c r="I26" s="46">
        <f>6400/30*F26</f>
        <v>6400</v>
      </c>
      <c r="J26" s="43">
        <f>ROUND((I26)*203%,0)</f>
        <v>12992</v>
      </c>
      <c r="K26" s="43">
        <f t="shared" si="46"/>
        <v>500.00000000000006</v>
      </c>
      <c r="L26" s="43">
        <v>0</v>
      </c>
      <c r="M26" s="44">
        <f t="shared" si="47"/>
        <v>4000.0000000000005</v>
      </c>
      <c r="N26" s="44">
        <f t="shared" si="48"/>
        <v>14558</v>
      </c>
      <c r="O26" s="44">
        <v>0</v>
      </c>
      <c r="P26" s="45">
        <f t="shared" si="49"/>
        <v>142434</v>
      </c>
      <c r="Q26" s="45">
        <f t="shared" si="2"/>
        <v>36706</v>
      </c>
      <c r="R26" s="45">
        <f t="shared" si="50"/>
        <v>105728</v>
      </c>
      <c r="S26" s="44">
        <f t="shared" si="51"/>
        <v>10398</v>
      </c>
      <c r="T26" s="46">
        <f t="shared" si="52"/>
        <v>14558</v>
      </c>
      <c r="U26" s="47">
        <f t="shared" si="3"/>
        <v>24956</v>
      </c>
      <c r="V26" s="46">
        <v>10000</v>
      </c>
      <c r="W26" s="43">
        <v>250</v>
      </c>
      <c r="X26" s="43">
        <v>1500</v>
      </c>
      <c r="Y26" s="43">
        <v>0</v>
      </c>
      <c r="Z26" s="43">
        <v>0</v>
      </c>
      <c r="AA26" s="43">
        <v>0</v>
      </c>
      <c r="AB26" s="43">
        <f t="shared" si="53"/>
        <v>36706</v>
      </c>
    </row>
    <row r="27" spans="1:28" ht="78" x14ac:dyDescent="0.3">
      <c r="A27" s="8">
        <v>4</v>
      </c>
      <c r="B27" s="19" t="s">
        <v>76</v>
      </c>
      <c r="C27" s="39" t="s">
        <v>77</v>
      </c>
      <c r="D27" s="40">
        <v>68900</v>
      </c>
      <c r="E27" s="41" t="s">
        <v>71</v>
      </c>
      <c r="F27" s="42">
        <v>30</v>
      </c>
      <c r="G27" s="43">
        <f t="shared" si="44"/>
        <v>77600</v>
      </c>
      <c r="H27" s="43">
        <f t="shared" si="45"/>
        <v>26384</v>
      </c>
      <c r="I27" s="46">
        <f t="shared" ref="I27:I30" si="54">6400/30*F27</f>
        <v>6400</v>
      </c>
      <c r="J27" s="43">
        <f t="shared" ref="J27:J30" si="55">ROUND((I27)*203%,0)</f>
        <v>12992</v>
      </c>
      <c r="K27" s="43">
        <f t="shared" si="46"/>
        <v>500.00000000000006</v>
      </c>
      <c r="L27" s="43">
        <v>0</v>
      </c>
      <c r="M27" s="44">
        <f t="shared" si="47"/>
        <v>4000.0000000000005</v>
      </c>
      <c r="N27" s="44">
        <f t="shared" si="48"/>
        <v>14558</v>
      </c>
      <c r="O27" s="44">
        <v>0</v>
      </c>
      <c r="P27" s="45">
        <f t="shared" si="49"/>
        <v>142434</v>
      </c>
      <c r="Q27" s="45">
        <f t="shared" si="2"/>
        <v>45706</v>
      </c>
      <c r="R27" s="45">
        <f t="shared" si="50"/>
        <v>96728</v>
      </c>
      <c r="S27" s="44">
        <f t="shared" si="51"/>
        <v>10398</v>
      </c>
      <c r="T27" s="46">
        <f t="shared" si="52"/>
        <v>14558</v>
      </c>
      <c r="U27" s="47">
        <f t="shared" si="3"/>
        <v>24956</v>
      </c>
      <c r="V27" s="43">
        <v>19000</v>
      </c>
      <c r="W27" s="43">
        <v>250</v>
      </c>
      <c r="X27" s="43">
        <v>1500</v>
      </c>
      <c r="Y27" s="43">
        <v>0</v>
      </c>
      <c r="Z27" s="43">
        <v>0</v>
      </c>
      <c r="AA27" s="43">
        <v>0</v>
      </c>
      <c r="AB27" s="43">
        <f t="shared" si="53"/>
        <v>45706</v>
      </c>
    </row>
    <row r="28" spans="1:28" ht="78" x14ac:dyDescent="0.3">
      <c r="A28" s="8">
        <v>5</v>
      </c>
      <c r="B28" s="19" t="s">
        <v>78</v>
      </c>
      <c r="C28" s="39" t="s">
        <v>79</v>
      </c>
      <c r="D28" s="40">
        <v>68900</v>
      </c>
      <c r="E28" s="41" t="s">
        <v>71</v>
      </c>
      <c r="F28" s="42">
        <v>28</v>
      </c>
      <c r="G28" s="43">
        <f t="shared" ref="G28" si="56">79900/28*F28</f>
        <v>79900</v>
      </c>
      <c r="H28" s="43">
        <f t="shared" ref="H28" si="57">ROUND((G28)*38%,0)</f>
        <v>30362</v>
      </c>
      <c r="I28" s="49">
        <f t="shared" ref="I28" si="58">6400/28*F28</f>
        <v>6400</v>
      </c>
      <c r="J28" s="43">
        <f t="shared" ref="J28" si="59">ROUND((I28)*212%,0)</f>
        <v>13568</v>
      </c>
      <c r="K28" s="43">
        <f t="shared" ref="K28" si="60">((500/28)*F28)</f>
        <v>500</v>
      </c>
      <c r="L28" s="43">
        <v>0</v>
      </c>
      <c r="M28" s="44">
        <f t="shared" ref="M28" si="61">((4000/28)*F28)</f>
        <v>4000</v>
      </c>
      <c r="N28" s="44">
        <f t="shared" si="48"/>
        <v>15437</v>
      </c>
      <c r="O28" s="44">
        <v>0</v>
      </c>
      <c r="P28" s="45">
        <f t="shared" si="49"/>
        <v>150167</v>
      </c>
      <c r="Q28" s="45">
        <f t="shared" si="2"/>
        <v>36963</v>
      </c>
      <c r="R28" s="45">
        <f t="shared" si="50"/>
        <v>113204</v>
      </c>
      <c r="S28" s="44">
        <f t="shared" si="51"/>
        <v>11026</v>
      </c>
      <c r="T28" s="46">
        <f t="shared" si="52"/>
        <v>15437</v>
      </c>
      <c r="U28" s="47">
        <f t="shared" si="3"/>
        <v>26463</v>
      </c>
      <c r="V28" s="43">
        <v>9000</v>
      </c>
      <c r="W28" s="43">
        <v>0</v>
      </c>
      <c r="X28" s="43">
        <v>1500</v>
      </c>
      <c r="Y28" s="43">
        <v>0</v>
      </c>
      <c r="Z28" s="43">
        <v>0</v>
      </c>
      <c r="AA28" s="43">
        <v>0</v>
      </c>
      <c r="AB28" s="43">
        <f t="shared" si="53"/>
        <v>36963</v>
      </c>
    </row>
    <row r="29" spans="1:28" ht="62.4" x14ac:dyDescent="0.3">
      <c r="A29" s="8">
        <v>6</v>
      </c>
      <c r="B29" s="19" t="s">
        <v>80</v>
      </c>
      <c r="C29" s="39" t="s">
        <v>81</v>
      </c>
      <c r="D29" s="40">
        <v>68900</v>
      </c>
      <c r="E29" s="41" t="s">
        <v>71</v>
      </c>
      <c r="F29" s="42">
        <v>30</v>
      </c>
      <c r="G29" s="43">
        <f t="shared" si="44"/>
        <v>77600</v>
      </c>
      <c r="H29" s="43">
        <f t="shared" si="45"/>
        <v>26384</v>
      </c>
      <c r="I29" s="46">
        <f t="shared" si="54"/>
        <v>6400</v>
      </c>
      <c r="J29" s="43">
        <f t="shared" si="55"/>
        <v>12992</v>
      </c>
      <c r="K29" s="43">
        <f t="shared" si="46"/>
        <v>500.00000000000006</v>
      </c>
      <c r="L29" s="43">
        <v>0</v>
      </c>
      <c r="M29" s="44">
        <f t="shared" si="47"/>
        <v>4000.0000000000005</v>
      </c>
      <c r="N29" s="44">
        <f t="shared" si="48"/>
        <v>14558</v>
      </c>
      <c r="O29" s="44">
        <v>0</v>
      </c>
      <c r="P29" s="45">
        <f t="shared" si="49"/>
        <v>142434</v>
      </c>
      <c r="Q29" s="45">
        <f t="shared" si="2"/>
        <v>45706</v>
      </c>
      <c r="R29" s="45">
        <f t="shared" si="50"/>
        <v>96728</v>
      </c>
      <c r="S29" s="44">
        <f t="shared" si="51"/>
        <v>10398</v>
      </c>
      <c r="T29" s="46">
        <f t="shared" si="52"/>
        <v>14558</v>
      </c>
      <c r="U29" s="47">
        <f t="shared" si="3"/>
        <v>24956</v>
      </c>
      <c r="V29" s="43">
        <v>19000</v>
      </c>
      <c r="W29" s="43">
        <v>250</v>
      </c>
      <c r="X29" s="43">
        <v>1500</v>
      </c>
      <c r="Y29" s="43">
        <v>0</v>
      </c>
      <c r="Z29" s="43">
        <v>0</v>
      </c>
      <c r="AA29" s="43">
        <v>0</v>
      </c>
      <c r="AB29" s="43">
        <f t="shared" si="53"/>
        <v>45706</v>
      </c>
    </row>
    <row r="30" spans="1:28" ht="78" x14ac:dyDescent="0.3">
      <c r="A30" s="8">
        <v>7</v>
      </c>
      <c r="B30" s="19" t="s">
        <v>82</v>
      </c>
      <c r="C30" s="39" t="s">
        <v>83</v>
      </c>
      <c r="D30" s="40">
        <v>68900</v>
      </c>
      <c r="E30" s="41" t="s">
        <v>71</v>
      </c>
      <c r="F30" s="42">
        <v>30</v>
      </c>
      <c r="G30" s="43">
        <f t="shared" si="44"/>
        <v>77600</v>
      </c>
      <c r="H30" s="43">
        <f t="shared" si="45"/>
        <v>26384</v>
      </c>
      <c r="I30" s="46">
        <f t="shared" si="54"/>
        <v>6400</v>
      </c>
      <c r="J30" s="43">
        <f t="shared" si="55"/>
        <v>12992</v>
      </c>
      <c r="K30" s="43">
        <f t="shared" si="46"/>
        <v>500.00000000000006</v>
      </c>
      <c r="L30" s="43">
        <v>0</v>
      </c>
      <c r="M30" s="44">
        <f t="shared" si="47"/>
        <v>4000.0000000000005</v>
      </c>
      <c r="N30" s="44">
        <f t="shared" si="48"/>
        <v>14558</v>
      </c>
      <c r="O30" s="44">
        <v>0</v>
      </c>
      <c r="P30" s="45">
        <f t="shared" si="49"/>
        <v>142434</v>
      </c>
      <c r="Q30" s="45">
        <f t="shared" si="2"/>
        <v>45706</v>
      </c>
      <c r="R30" s="45">
        <f t="shared" si="50"/>
        <v>96728</v>
      </c>
      <c r="S30" s="44">
        <f t="shared" si="51"/>
        <v>10398</v>
      </c>
      <c r="T30" s="46">
        <f t="shared" si="52"/>
        <v>14558</v>
      </c>
      <c r="U30" s="47">
        <f t="shared" si="3"/>
        <v>24956</v>
      </c>
      <c r="V30" s="43">
        <v>19000</v>
      </c>
      <c r="W30" s="43">
        <v>250</v>
      </c>
      <c r="X30" s="43">
        <v>1500</v>
      </c>
      <c r="Y30" s="43">
        <v>0</v>
      </c>
      <c r="Z30" s="43">
        <v>0</v>
      </c>
      <c r="AA30" s="43">
        <v>0</v>
      </c>
      <c r="AB30" s="43">
        <f t="shared" si="53"/>
        <v>45706</v>
      </c>
    </row>
    <row r="31" spans="1:28" ht="46.8" x14ac:dyDescent="0.3">
      <c r="A31" s="8">
        <v>8</v>
      </c>
      <c r="B31" s="19" t="s">
        <v>84</v>
      </c>
      <c r="C31" s="39" t="s">
        <v>85</v>
      </c>
      <c r="D31" s="40">
        <v>68900</v>
      </c>
      <c r="E31" s="41" t="s">
        <v>71</v>
      </c>
      <c r="F31" s="42">
        <v>31</v>
      </c>
      <c r="G31" s="43">
        <f t="shared" ref="G31" si="62">79900/31*F31</f>
        <v>79900</v>
      </c>
      <c r="H31" s="43">
        <f t="shared" ref="H31" si="63">ROUND((G31)*38%,0)</f>
        <v>30362</v>
      </c>
      <c r="I31" s="43">
        <v>0</v>
      </c>
      <c r="J31" s="43">
        <f t="shared" ref="J31" si="64">ROUND((I31)*154%,0)</f>
        <v>0</v>
      </c>
      <c r="K31" s="43">
        <f t="shared" ref="K31" si="65">((500/31)*F31)</f>
        <v>500</v>
      </c>
      <c r="L31" s="43">
        <v>0</v>
      </c>
      <c r="M31" s="44">
        <f t="shared" ref="M31" si="66">((4000/31)*F31)</f>
        <v>4000</v>
      </c>
      <c r="N31" s="44">
        <f t="shared" si="48"/>
        <v>15437</v>
      </c>
      <c r="O31" s="44">
        <v>0</v>
      </c>
      <c r="P31" s="45">
        <f t="shared" si="49"/>
        <v>130199</v>
      </c>
      <c r="Q31" s="45">
        <f t="shared" si="2"/>
        <v>39963</v>
      </c>
      <c r="R31" s="45">
        <f t="shared" si="50"/>
        <v>90236</v>
      </c>
      <c r="S31" s="44">
        <f t="shared" si="51"/>
        <v>11026</v>
      </c>
      <c r="T31" s="46">
        <f t="shared" si="52"/>
        <v>15437</v>
      </c>
      <c r="U31" s="47">
        <f t="shared" si="3"/>
        <v>26463</v>
      </c>
      <c r="V31" s="43">
        <v>12000</v>
      </c>
      <c r="W31" s="43">
        <v>0</v>
      </c>
      <c r="X31" s="43">
        <v>1500</v>
      </c>
      <c r="Y31" s="43">
        <v>0</v>
      </c>
      <c r="Z31" s="43">
        <v>0</v>
      </c>
      <c r="AA31" s="43">
        <v>0</v>
      </c>
      <c r="AB31" s="43">
        <f t="shared" si="53"/>
        <v>39963</v>
      </c>
    </row>
    <row r="32" spans="1:28" ht="62.4" x14ac:dyDescent="0.3">
      <c r="A32" s="8">
        <v>9</v>
      </c>
      <c r="B32" s="19" t="s">
        <v>86</v>
      </c>
      <c r="C32" s="39" t="s">
        <v>87</v>
      </c>
      <c r="D32" s="40">
        <v>68900</v>
      </c>
      <c r="E32" s="41" t="s">
        <v>71</v>
      </c>
      <c r="F32" s="42">
        <v>30</v>
      </c>
      <c r="G32" s="43">
        <f t="shared" si="44"/>
        <v>77600</v>
      </c>
      <c r="H32" s="43">
        <f t="shared" si="45"/>
        <v>26384</v>
      </c>
      <c r="I32" s="46">
        <f>6400/30*F32</f>
        <v>6400</v>
      </c>
      <c r="J32" s="43">
        <f>ROUND((I32)*203%,0)</f>
        <v>12992</v>
      </c>
      <c r="K32" s="43">
        <f t="shared" si="46"/>
        <v>500.00000000000006</v>
      </c>
      <c r="L32" s="43">
        <v>0</v>
      </c>
      <c r="M32" s="44">
        <f t="shared" si="47"/>
        <v>4000.0000000000005</v>
      </c>
      <c r="N32" s="44">
        <f t="shared" si="48"/>
        <v>14558</v>
      </c>
      <c r="O32" s="44">
        <v>0</v>
      </c>
      <c r="P32" s="45">
        <f t="shared" si="49"/>
        <v>142434</v>
      </c>
      <c r="Q32" s="45">
        <f t="shared" si="2"/>
        <v>45706</v>
      </c>
      <c r="R32" s="45">
        <f t="shared" si="50"/>
        <v>96728</v>
      </c>
      <c r="S32" s="44">
        <f t="shared" si="51"/>
        <v>10398</v>
      </c>
      <c r="T32" s="46">
        <f t="shared" si="52"/>
        <v>14558</v>
      </c>
      <c r="U32" s="47">
        <f t="shared" si="3"/>
        <v>24956</v>
      </c>
      <c r="V32" s="43">
        <v>19000</v>
      </c>
      <c r="W32" s="43">
        <v>250</v>
      </c>
      <c r="X32" s="43">
        <v>1500</v>
      </c>
      <c r="Y32" s="43">
        <v>0</v>
      </c>
      <c r="Z32" s="43">
        <v>0</v>
      </c>
      <c r="AA32" s="43">
        <v>0</v>
      </c>
      <c r="AB32" s="43">
        <f t="shared" si="53"/>
        <v>45706</v>
      </c>
    </row>
    <row r="33" spans="1:28" ht="78" x14ac:dyDescent="0.3">
      <c r="A33" s="8">
        <v>10</v>
      </c>
      <c r="B33" s="19" t="s">
        <v>88</v>
      </c>
      <c r="C33" s="48" t="s">
        <v>89</v>
      </c>
      <c r="D33" s="40">
        <v>68900</v>
      </c>
      <c r="E33" s="41" t="s">
        <v>71</v>
      </c>
      <c r="F33" s="42">
        <v>30</v>
      </c>
      <c r="G33" s="43">
        <f t="shared" si="44"/>
        <v>77600</v>
      </c>
      <c r="H33" s="43">
        <f t="shared" si="45"/>
        <v>26384</v>
      </c>
      <c r="I33" s="43">
        <v>0</v>
      </c>
      <c r="J33" s="43">
        <f t="shared" si="43"/>
        <v>0</v>
      </c>
      <c r="K33" s="43">
        <f t="shared" si="46"/>
        <v>500.00000000000006</v>
      </c>
      <c r="L33" s="43">
        <f t="shared" ref="L33:L36" si="67">1280/30*F33</f>
        <v>1280</v>
      </c>
      <c r="M33" s="44">
        <f t="shared" si="47"/>
        <v>4000.0000000000005</v>
      </c>
      <c r="N33" s="44">
        <f t="shared" si="48"/>
        <v>14558</v>
      </c>
      <c r="O33" s="44">
        <v>0</v>
      </c>
      <c r="P33" s="45">
        <f t="shared" si="49"/>
        <v>124322</v>
      </c>
      <c r="Q33" s="45">
        <f t="shared" si="2"/>
        <v>37206</v>
      </c>
      <c r="R33" s="45">
        <f t="shared" si="50"/>
        <v>87116</v>
      </c>
      <c r="S33" s="44">
        <f t="shared" si="51"/>
        <v>10398</v>
      </c>
      <c r="T33" s="46">
        <f t="shared" si="52"/>
        <v>14558</v>
      </c>
      <c r="U33" s="47">
        <f t="shared" si="3"/>
        <v>24956</v>
      </c>
      <c r="V33" s="43">
        <v>12000</v>
      </c>
      <c r="W33" s="43">
        <v>250</v>
      </c>
      <c r="X33" s="43">
        <v>0</v>
      </c>
      <c r="Y33" s="43">
        <v>0</v>
      </c>
      <c r="Z33" s="43">
        <v>0</v>
      </c>
      <c r="AA33" s="43">
        <v>0</v>
      </c>
      <c r="AB33" s="43">
        <f t="shared" si="53"/>
        <v>37206</v>
      </c>
    </row>
    <row r="34" spans="1:28" ht="62.4" x14ac:dyDescent="0.3">
      <c r="A34" s="8">
        <v>11</v>
      </c>
      <c r="B34" s="19" t="s">
        <v>90</v>
      </c>
      <c r="C34" s="39" t="s">
        <v>91</v>
      </c>
      <c r="D34" s="40">
        <v>68900</v>
      </c>
      <c r="E34" s="41" t="s">
        <v>71</v>
      </c>
      <c r="F34" s="42">
        <v>30</v>
      </c>
      <c r="G34" s="43">
        <f t="shared" si="44"/>
        <v>77600</v>
      </c>
      <c r="H34" s="43">
        <f t="shared" si="45"/>
        <v>26384</v>
      </c>
      <c r="I34" s="43">
        <v>0</v>
      </c>
      <c r="J34" s="43">
        <f t="shared" si="43"/>
        <v>0</v>
      </c>
      <c r="K34" s="43">
        <f t="shared" si="46"/>
        <v>500.00000000000006</v>
      </c>
      <c r="L34" s="43">
        <f t="shared" si="67"/>
        <v>1280</v>
      </c>
      <c r="M34" s="44">
        <f t="shared" si="47"/>
        <v>4000.0000000000005</v>
      </c>
      <c r="N34" s="44">
        <f t="shared" si="48"/>
        <v>14558</v>
      </c>
      <c r="O34" s="44">
        <v>0</v>
      </c>
      <c r="P34" s="45">
        <f t="shared" si="49"/>
        <v>124322</v>
      </c>
      <c r="Q34" s="45">
        <f t="shared" si="2"/>
        <v>37206</v>
      </c>
      <c r="R34" s="45">
        <f t="shared" si="50"/>
        <v>87116</v>
      </c>
      <c r="S34" s="44">
        <f t="shared" si="51"/>
        <v>10398</v>
      </c>
      <c r="T34" s="46">
        <f t="shared" si="52"/>
        <v>14558</v>
      </c>
      <c r="U34" s="47">
        <f t="shared" si="3"/>
        <v>24956</v>
      </c>
      <c r="V34" s="43">
        <v>12000</v>
      </c>
      <c r="W34" s="43">
        <v>250</v>
      </c>
      <c r="X34" s="44">
        <v>0</v>
      </c>
      <c r="Y34" s="43">
        <v>0</v>
      </c>
      <c r="Z34" s="43">
        <v>0</v>
      </c>
      <c r="AA34" s="43">
        <v>0</v>
      </c>
      <c r="AB34" s="43">
        <f t="shared" si="53"/>
        <v>37206</v>
      </c>
    </row>
    <row r="35" spans="1:28" ht="46.8" x14ac:dyDescent="0.3">
      <c r="A35" s="8">
        <v>12</v>
      </c>
      <c r="B35" s="19" t="s">
        <v>92</v>
      </c>
      <c r="C35" s="48" t="s">
        <v>93</v>
      </c>
      <c r="D35" s="40">
        <v>68900</v>
      </c>
      <c r="E35" s="41" t="s">
        <v>71</v>
      </c>
      <c r="F35" s="42">
        <v>30</v>
      </c>
      <c r="G35" s="43">
        <f t="shared" si="44"/>
        <v>77600</v>
      </c>
      <c r="H35" s="43">
        <f t="shared" si="45"/>
        <v>26384</v>
      </c>
      <c r="I35" s="43">
        <v>0</v>
      </c>
      <c r="J35" s="43">
        <f t="shared" si="43"/>
        <v>0</v>
      </c>
      <c r="K35" s="43">
        <f t="shared" si="46"/>
        <v>500.00000000000006</v>
      </c>
      <c r="L35" s="43">
        <f t="shared" si="67"/>
        <v>1280</v>
      </c>
      <c r="M35" s="44">
        <f t="shared" si="47"/>
        <v>4000.0000000000005</v>
      </c>
      <c r="N35" s="44">
        <f t="shared" si="48"/>
        <v>14558</v>
      </c>
      <c r="O35" s="44">
        <v>0</v>
      </c>
      <c r="P35" s="45">
        <f t="shared" si="49"/>
        <v>124322</v>
      </c>
      <c r="Q35" s="45">
        <f t="shared" si="2"/>
        <v>37206</v>
      </c>
      <c r="R35" s="45">
        <f t="shared" si="50"/>
        <v>87116</v>
      </c>
      <c r="S35" s="44">
        <f t="shared" si="51"/>
        <v>10398</v>
      </c>
      <c r="T35" s="46">
        <f t="shared" si="52"/>
        <v>14558</v>
      </c>
      <c r="U35" s="47">
        <f t="shared" si="3"/>
        <v>24956</v>
      </c>
      <c r="V35" s="43">
        <v>12000</v>
      </c>
      <c r="W35" s="43">
        <v>250</v>
      </c>
      <c r="X35" s="43">
        <v>0</v>
      </c>
      <c r="Y35" s="43">
        <v>0</v>
      </c>
      <c r="Z35" s="43">
        <v>0</v>
      </c>
      <c r="AA35" s="43">
        <v>0</v>
      </c>
      <c r="AB35" s="43">
        <f t="shared" si="53"/>
        <v>37206</v>
      </c>
    </row>
    <row r="36" spans="1:28" ht="46.8" x14ac:dyDescent="0.3">
      <c r="A36" s="8">
        <v>13</v>
      </c>
      <c r="B36" s="19" t="s">
        <v>94</v>
      </c>
      <c r="C36" s="48" t="s">
        <v>95</v>
      </c>
      <c r="D36" s="40">
        <v>68900</v>
      </c>
      <c r="E36" s="41" t="s">
        <v>71</v>
      </c>
      <c r="F36" s="42">
        <v>30</v>
      </c>
      <c r="G36" s="43">
        <f t="shared" si="44"/>
        <v>77600</v>
      </c>
      <c r="H36" s="43">
        <f t="shared" si="45"/>
        <v>26384</v>
      </c>
      <c r="I36" s="43">
        <v>0</v>
      </c>
      <c r="J36" s="43">
        <f t="shared" si="43"/>
        <v>0</v>
      </c>
      <c r="K36" s="43">
        <f t="shared" si="46"/>
        <v>500.00000000000006</v>
      </c>
      <c r="L36" s="43">
        <f t="shared" si="67"/>
        <v>1280</v>
      </c>
      <c r="M36" s="44">
        <f t="shared" si="47"/>
        <v>4000.0000000000005</v>
      </c>
      <c r="N36" s="44">
        <f t="shared" si="48"/>
        <v>14558</v>
      </c>
      <c r="O36" s="44">
        <v>0</v>
      </c>
      <c r="P36" s="45">
        <f t="shared" si="49"/>
        <v>124322</v>
      </c>
      <c r="Q36" s="45">
        <f t="shared" si="2"/>
        <v>37206</v>
      </c>
      <c r="R36" s="45">
        <f t="shared" si="50"/>
        <v>87116</v>
      </c>
      <c r="S36" s="44">
        <f t="shared" si="51"/>
        <v>10398</v>
      </c>
      <c r="T36" s="46">
        <f t="shared" si="52"/>
        <v>14558</v>
      </c>
      <c r="U36" s="47">
        <f t="shared" si="3"/>
        <v>24956</v>
      </c>
      <c r="V36" s="43">
        <v>12000</v>
      </c>
      <c r="W36" s="43">
        <v>250</v>
      </c>
      <c r="X36" s="43">
        <v>0</v>
      </c>
      <c r="Y36" s="43">
        <v>0</v>
      </c>
      <c r="Z36" s="43">
        <v>0</v>
      </c>
      <c r="AA36" s="43">
        <v>0</v>
      </c>
      <c r="AB36" s="43">
        <f t="shared" si="53"/>
        <v>37206</v>
      </c>
    </row>
    <row r="37" spans="1:28" ht="62.4" x14ac:dyDescent="0.3">
      <c r="A37" s="8">
        <v>14</v>
      </c>
      <c r="B37" s="19" t="s">
        <v>96</v>
      </c>
      <c r="C37" s="39" t="s">
        <v>97</v>
      </c>
      <c r="D37" s="40">
        <v>68900</v>
      </c>
      <c r="E37" s="41" t="s">
        <v>71</v>
      </c>
      <c r="F37" s="42">
        <v>30</v>
      </c>
      <c r="G37" s="43">
        <f t="shared" si="44"/>
        <v>77600</v>
      </c>
      <c r="H37" s="43">
        <f t="shared" si="45"/>
        <v>26384</v>
      </c>
      <c r="I37" s="46">
        <f>6400/30*F37</f>
        <v>6400</v>
      </c>
      <c r="J37" s="43">
        <f>ROUND((I37)*203%,0)</f>
        <v>12992</v>
      </c>
      <c r="K37" s="43">
        <f t="shared" si="46"/>
        <v>500.00000000000006</v>
      </c>
      <c r="L37" s="43">
        <v>0</v>
      </c>
      <c r="M37" s="44">
        <f t="shared" si="47"/>
        <v>4000.0000000000005</v>
      </c>
      <c r="N37" s="44">
        <f t="shared" si="48"/>
        <v>14558</v>
      </c>
      <c r="O37" s="44">
        <v>0</v>
      </c>
      <c r="P37" s="45">
        <f t="shared" si="49"/>
        <v>142434</v>
      </c>
      <c r="Q37" s="45">
        <f t="shared" si="2"/>
        <v>45706</v>
      </c>
      <c r="R37" s="45">
        <f t="shared" si="50"/>
        <v>96728</v>
      </c>
      <c r="S37" s="44">
        <f t="shared" si="51"/>
        <v>10398</v>
      </c>
      <c r="T37" s="46">
        <f t="shared" si="52"/>
        <v>14558</v>
      </c>
      <c r="U37" s="47">
        <f t="shared" si="3"/>
        <v>24956</v>
      </c>
      <c r="V37" s="43">
        <v>19000</v>
      </c>
      <c r="W37" s="43">
        <v>250</v>
      </c>
      <c r="X37" s="43">
        <v>1500</v>
      </c>
      <c r="Y37" s="43">
        <v>0</v>
      </c>
      <c r="Z37" s="43">
        <v>0</v>
      </c>
      <c r="AA37" s="43">
        <v>0</v>
      </c>
      <c r="AB37" s="43">
        <f t="shared" si="53"/>
        <v>45706</v>
      </c>
    </row>
    <row r="38" spans="1:28" ht="78" x14ac:dyDescent="0.3">
      <c r="A38" s="8">
        <v>15</v>
      </c>
      <c r="B38" s="19" t="s">
        <v>98</v>
      </c>
      <c r="C38" s="39" t="s">
        <v>99</v>
      </c>
      <c r="D38" s="40">
        <v>68900</v>
      </c>
      <c r="E38" s="41" t="s">
        <v>71</v>
      </c>
      <c r="F38" s="42">
        <v>30</v>
      </c>
      <c r="G38" s="43">
        <f t="shared" si="44"/>
        <v>77600</v>
      </c>
      <c r="H38" s="43">
        <f t="shared" si="45"/>
        <v>26384</v>
      </c>
      <c r="I38" s="43">
        <v>0</v>
      </c>
      <c r="J38" s="43">
        <f t="shared" si="43"/>
        <v>0</v>
      </c>
      <c r="K38" s="43">
        <f t="shared" si="46"/>
        <v>500.00000000000006</v>
      </c>
      <c r="L38" s="43">
        <v>0</v>
      </c>
      <c r="M38" s="44">
        <f t="shared" si="47"/>
        <v>4000.0000000000005</v>
      </c>
      <c r="N38" s="44">
        <f t="shared" si="48"/>
        <v>14558</v>
      </c>
      <c r="O38" s="44">
        <v>0</v>
      </c>
      <c r="P38" s="45">
        <f t="shared" si="49"/>
        <v>123042</v>
      </c>
      <c r="Q38" s="45">
        <f t="shared" si="2"/>
        <v>38706</v>
      </c>
      <c r="R38" s="45">
        <f t="shared" si="50"/>
        <v>84336</v>
      </c>
      <c r="S38" s="44">
        <f t="shared" si="51"/>
        <v>10398</v>
      </c>
      <c r="T38" s="46">
        <f t="shared" si="52"/>
        <v>14558</v>
      </c>
      <c r="U38" s="47">
        <f t="shared" si="3"/>
        <v>24956</v>
      </c>
      <c r="V38" s="43">
        <v>12000</v>
      </c>
      <c r="W38" s="43">
        <v>250</v>
      </c>
      <c r="X38" s="43">
        <v>1500</v>
      </c>
      <c r="Y38" s="43">
        <v>0</v>
      </c>
      <c r="Z38" s="43">
        <v>0</v>
      </c>
      <c r="AA38" s="43">
        <v>0</v>
      </c>
      <c r="AB38" s="43">
        <f t="shared" si="53"/>
        <v>38706</v>
      </c>
    </row>
    <row r="39" spans="1:28" ht="62.4" x14ac:dyDescent="0.3">
      <c r="A39" s="8">
        <v>16</v>
      </c>
      <c r="B39" s="19" t="s">
        <v>100</v>
      </c>
      <c r="C39" s="48" t="s">
        <v>101</v>
      </c>
      <c r="D39" s="40">
        <v>68900</v>
      </c>
      <c r="E39" s="41" t="s">
        <v>71</v>
      </c>
      <c r="F39" s="42">
        <v>30</v>
      </c>
      <c r="G39" s="43">
        <f t="shared" si="44"/>
        <v>77600</v>
      </c>
      <c r="H39" s="43">
        <f t="shared" si="45"/>
        <v>26384</v>
      </c>
      <c r="I39" s="46">
        <f>6400/30*F39</f>
        <v>6400</v>
      </c>
      <c r="J39" s="43">
        <f>ROUND((I39)*203%,0)</f>
        <v>12992</v>
      </c>
      <c r="K39" s="43">
        <f t="shared" si="46"/>
        <v>500.00000000000006</v>
      </c>
      <c r="L39" s="43">
        <v>0</v>
      </c>
      <c r="M39" s="44">
        <f t="shared" si="47"/>
        <v>4000.0000000000005</v>
      </c>
      <c r="N39" s="44">
        <f t="shared" si="48"/>
        <v>14558</v>
      </c>
      <c r="O39" s="44">
        <v>0</v>
      </c>
      <c r="P39" s="45">
        <f t="shared" si="49"/>
        <v>142434</v>
      </c>
      <c r="Q39" s="45">
        <f t="shared" si="2"/>
        <v>45706</v>
      </c>
      <c r="R39" s="45">
        <f t="shared" si="50"/>
        <v>96728</v>
      </c>
      <c r="S39" s="44">
        <f t="shared" si="51"/>
        <v>10398</v>
      </c>
      <c r="T39" s="46">
        <f t="shared" si="52"/>
        <v>14558</v>
      </c>
      <c r="U39" s="47">
        <f t="shared" si="3"/>
        <v>24956</v>
      </c>
      <c r="V39" s="43">
        <v>19000</v>
      </c>
      <c r="W39" s="43">
        <v>250</v>
      </c>
      <c r="X39" s="43">
        <v>1500</v>
      </c>
      <c r="Y39" s="43">
        <v>0</v>
      </c>
      <c r="Z39" s="43">
        <v>0</v>
      </c>
      <c r="AA39" s="43">
        <v>0</v>
      </c>
      <c r="AB39" s="43">
        <f t="shared" si="53"/>
        <v>45706</v>
      </c>
    </row>
    <row r="40" spans="1:28" ht="46.8" x14ac:dyDescent="0.3">
      <c r="A40" s="8">
        <v>17</v>
      </c>
      <c r="B40" s="19" t="s">
        <v>102</v>
      </c>
      <c r="C40" s="50" t="s">
        <v>103</v>
      </c>
      <c r="D40" s="40">
        <v>68900</v>
      </c>
      <c r="E40" s="41" t="s">
        <v>71</v>
      </c>
      <c r="F40" s="42">
        <v>30</v>
      </c>
      <c r="G40" s="43">
        <f t="shared" si="44"/>
        <v>77600</v>
      </c>
      <c r="H40" s="43">
        <f t="shared" si="45"/>
        <v>26384</v>
      </c>
      <c r="I40" s="43">
        <v>0</v>
      </c>
      <c r="J40" s="43">
        <f t="shared" si="43"/>
        <v>0</v>
      </c>
      <c r="K40" s="43">
        <f t="shared" si="46"/>
        <v>500.00000000000006</v>
      </c>
      <c r="L40" s="43">
        <f t="shared" ref="L40" si="68">1280/30*F40</f>
        <v>1280</v>
      </c>
      <c r="M40" s="44">
        <f t="shared" si="47"/>
        <v>4000.0000000000005</v>
      </c>
      <c r="N40" s="44">
        <f t="shared" si="48"/>
        <v>14558</v>
      </c>
      <c r="O40" s="44">
        <v>0</v>
      </c>
      <c r="P40" s="45">
        <f t="shared" si="49"/>
        <v>124322</v>
      </c>
      <c r="Q40" s="45">
        <f t="shared" si="2"/>
        <v>37206</v>
      </c>
      <c r="R40" s="45">
        <f t="shared" si="50"/>
        <v>87116</v>
      </c>
      <c r="S40" s="44">
        <f t="shared" si="51"/>
        <v>10398</v>
      </c>
      <c r="T40" s="46">
        <f t="shared" si="52"/>
        <v>14558</v>
      </c>
      <c r="U40" s="47">
        <f t="shared" si="3"/>
        <v>24956</v>
      </c>
      <c r="V40" s="43">
        <v>12000</v>
      </c>
      <c r="W40" s="43">
        <v>250</v>
      </c>
      <c r="X40" s="43">
        <v>0</v>
      </c>
      <c r="Y40" s="43">
        <v>0</v>
      </c>
      <c r="Z40" s="43">
        <v>0</v>
      </c>
      <c r="AA40" s="43">
        <v>0</v>
      </c>
      <c r="AB40" s="43">
        <f t="shared" si="53"/>
        <v>37206</v>
      </c>
    </row>
    <row r="41" spans="1:28" ht="62.4" x14ac:dyDescent="0.3">
      <c r="A41" s="8">
        <v>18</v>
      </c>
      <c r="B41" s="19" t="s">
        <v>104</v>
      </c>
      <c r="C41" s="51" t="s">
        <v>105</v>
      </c>
      <c r="D41" s="40">
        <v>68900</v>
      </c>
      <c r="E41" s="41" t="s">
        <v>71</v>
      </c>
      <c r="F41" s="42">
        <v>30</v>
      </c>
      <c r="G41" s="43">
        <f t="shared" si="44"/>
        <v>77600</v>
      </c>
      <c r="H41" s="43">
        <f t="shared" si="45"/>
        <v>26384</v>
      </c>
      <c r="I41" s="46">
        <f t="shared" ref="I41:I43" si="69">6400/30*F41</f>
        <v>6400</v>
      </c>
      <c r="J41" s="43">
        <f>ROUND((I41)*203%,0)</f>
        <v>12992</v>
      </c>
      <c r="K41" s="43">
        <f t="shared" si="46"/>
        <v>500.00000000000006</v>
      </c>
      <c r="L41" s="43">
        <v>0</v>
      </c>
      <c r="M41" s="44">
        <f t="shared" si="47"/>
        <v>4000.0000000000005</v>
      </c>
      <c r="N41" s="44">
        <f t="shared" si="48"/>
        <v>14558</v>
      </c>
      <c r="O41" s="44">
        <v>0</v>
      </c>
      <c r="P41" s="45">
        <f t="shared" si="49"/>
        <v>142434</v>
      </c>
      <c r="Q41" s="45">
        <f t="shared" si="2"/>
        <v>45706</v>
      </c>
      <c r="R41" s="45">
        <f t="shared" si="50"/>
        <v>96728</v>
      </c>
      <c r="S41" s="44">
        <f t="shared" si="51"/>
        <v>10398</v>
      </c>
      <c r="T41" s="46">
        <f t="shared" si="52"/>
        <v>14558</v>
      </c>
      <c r="U41" s="47">
        <f t="shared" si="3"/>
        <v>24956</v>
      </c>
      <c r="V41" s="43">
        <v>19000</v>
      </c>
      <c r="W41" s="43">
        <v>250</v>
      </c>
      <c r="X41" s="43">
        <v>1500</v>
      </c>
      <c r="Y41" s="43">
        <v>0</v>
      </c>
      <c r="Z41" s="43">
        <v>0</v>
      </c>
      <c r="AA41" s="43">
        <v>0</v>
      </c>
      <c r="AB41" s="43">
        <f t="shared" si="53"/>
        <v>45706</v>
      </c>
    </row>
    <row r="42" spans="1:28" ht="46.8" x14ac:dyDescent="0.3">
      <c r="A42" s="8">
        <v>19</v>
      </c>
      <c r="B42" s="19" t="s">
        <v>106</v>
      </c>
      <c r="C42" s="52" t="s">
        <v>107</v>
      </c>
      <c r="D42" s="53">
        <v>68900</v>
      </c>
      <c r="E42" s="54" t="s">
        <v>71</v>
      </c>
      <c r="F42" s="55">
        <v>30</v>
      </c>
      <c r="G42" s="56">
        <f>77600/30*F42</f>
        <v>77600</v>
      </c>
      <c r="H42" s="56">
        <f>ROUND((G42)*34%,0)</f>
        <v>26384</v>
      </c>
      <c r="I42" s="46">
        <f t="shared" si="69"/>
        <v>6400</v>
      </c>
      <c r="J42" s="56">
        <f>ROUND((I42)*203%,0)</f>
        <v>12992</v>
      </c>
      <c r="K42" s="56">
        <f>((500/30)*F42)</f>
        <v>500.00000000000006</v>
      </c>
      <c r="L42" s="56">
        <f>1280/30*F42</f>
        <v>1280</v>
      </c>
      <c r="M42" s="56">
        <f>((4000/30)*F42)</f>
        <v>4000.0000000000005</v>
      </c>
      <c r="N42" s="56">
        <f>ROUND((G42+H42)*14%,0)</f>
        <v>14558</v>
      </c>
      <c r="O42" s="56">
        <v>0</v>
      </c>
      <c r="P42" s="57">
        <f t="shared" si="49"/>
        <v>143714</v>
      </c>
      <c r="Q42" s="57">
        <f t="shared" si="2"/>
        <v>44206</v>
      </c>
      <c r="R42" s="57">
        <f t="shared" si="50"/>
        <v>99508</v>
      </c>
      <c r="S42" s="56">
        <f t="shared" si="51"/>
        <v>10398</v>
      </c>
      <c r="T42" s="56">
        <f>N42</f>
        <v>14558</v>
      </c>
      <c r="U42" s="56">
        <f t="shared" si="3"/>
        <v>24956</v>
      </c>
      <c r="V42" s="56">
        <v>19000</v>
      </c>
      <c r="W42" s="56">
        <v>250</v>
      </c>
      <c r="X42" s="56">
        <v>0</v>
      </c>
      <c r="Y42" s="56">
        <v>0</v>
      </c>
      <c r="Z42" s="56">
        <v>0</v>
      </c>
      <c r="AA42" s="56">
        <v>0</v>
      </c>
      <c r="AB42" s="56">
        <f t="shared" si="53"/>
        <v>44206</v>
      </c>
    </row>
    <row r="43" spans="1:28" ht="78" x14ac:dyDescent="0.3">
      <c r="A43" s="8">
        <v>20</v>
      </c>
      <c r="B43" s="19" t="s">
        <v>108</v>
      </c>
      <c r="C43" s="52" t="s">
        <v>109</v>
      </c>
      <c r="D43" s="53">
        <v>68900</v>
      </c>
      <c r="E43" s="54" t="s">
        <v>71</v>
      </c>
      <c r="F43" s="55">
        <v>30</v>
      </c>
      <c r="G43" s="56">
        <f t="shared" ref="G43:G45" si="70">77600/30*F43</f>
        <v>77600</v>
      </c>
      <c r="H43" s="56">
        <f t="shared" ref="H43:H45" si="71">ROUND((G43)*34%,0)</f>
        <v>26384</v>
      </c>
      <c r="I43" s="46">
        <f t="shared" si="69"/>
        <v>6400</v>
      </c>
      <c r="J43" s="56">
        <f>ROUND((I43)*203%,0)</f>
        <v>12992</v>
      </c>
      <c r="K43" s="56">
        <f t="shared" ref="K43:K45" si="72">((500/30)*F43)</f>
        <v>500.00000000000006</v>
      </c>
      <c r="L43" s="56">
        <v>0</v>
      </c>
      <c r="M43" s="56">
        <f t="shared" ref="M43:M45" si="73">((4000/30)*F43)</f>
        <v>4000.0000000000005</v>
      </c>
      <c r="N43" s="56">
        <f t="shared" ref="N43:N47" si="74">ROUND((G43+H43)*14%,0)</f>
        <v>14558</v>
      </c>
      <c r="O43" s="56">
        <v>0</v>
      </c>
      <c r="P43" s="57">
        <f t="shared" si="49"/>
        <v>142434</v>
      </c>
      <c r="Q43" s="57">
        <f t="shared" si="2"/>
        <v>41706</v>
      </c>
      <c r="R43" s="57">
        <f t="shared" si="50"/>
        <v>100728</v>
      </c>
      <c r="S43" s="56">
        <f t="shared" si="51"/>
        <v>10398</v>
      </c>
      <c r="T43" s="56">
        <f t="shared" ref="T43:T47" si="75">N43</f>
        <v>14558</v>
      </c>
      <c r="U43" s="56">
        <f t="shared" si="3"/>
        <v>24956</v>
      </c>
      <c r="V43" s="56">
        <v>15000</v>
      </c>
      <c r="W43" s="56">
        <v>250</v>
      </c>
      <c r="X43" s="56">
        <v>1500</v>
      </c>
      <c r="Y43" s="56">
        <v>0</v>
      </c>
      <c r="Z43" s="56">
        <v>0</v>
      </c>
      <c r="AA43" s="56">
        <v>0</v>
      </c>
      <c r="AB43" s="56">
        <f t="shared" si="53"/>
        <v>41706</v>
      </c>
    </row>
    <row r="44" spans="1:28" ht="62.4" x14ac:dyDescent="0.3">
      <c r="A44" s="8">
        <v>21</v>
      </c>
      <c r="B44" s="19" t="s">
        <v>110</v>
      </c>
      <c r="C44" s="52" t="s">
        <v>111</v>
      </c>
      <c r="D44" s="53">
        <v>68900</v>
      </c>
      <c r="E44" s="54" t="s">
        <v>71</v>
      </c>
      <c r="F44" s="55">
        <v>30</v>
      </c>
      <c r="G44" s="56">
        <f t="shared" si="70"/>
        <v>77600</v>
      </c>
      <c r="H44" s="56">
        <f t="shared" si="71"/>
        <v>26384</v>
      </c>
      <c r="I44" s="56">
        <v>0</v>
      </c>
      <c r="J44" s="25">
        <f t="shared" si="43"/>
        <v>0</v>
      </c>
      <c r="K44" s="56">
        <f t="shared" si="72"/>
        <v>500.00000000000006</v>
      </c>
      <c r="L44" s="56">
        <f t="shared" ref="L44:L45" si="76">1280/30*F44</f>
        <v>1280</v>
      </c>
      <c r="M44" s="56">
        <f t="shared" si="73"/>
        <v>4000.0000000000005</v>
      </c>
      <c r="N44" s="56">
        <f t="shared" si="74"/>
        <v>14558</v>
      </c>
      <c r="O44" s="56">
        <v>0</v>
      </c>
      <c r="P44" s="57">
        <f t="shared" si="49"/>
        <v>124322</v>
      </c>
      <c r="Q44" s="57">
        <f t="shared" si="2"/>
        <v>45206</v>
      </c>
      <c r="R44" s="57">
        <f t="shared" si="50"/>
        <v>79116</v>
      </c>
      <c r="S44" s="56">
        <f t="shared" si="51"/>
        <v>10398</v>
      </c>
      <c r="T44" s="56">
        <f t="shared" si="75"/>
        <v>14558</v>
      </c>
      <c r="U44" s="56">
        <f t="shared" si="3"/>
        <v>24956</v>
      </c>
      <c r="V44" s="46">
        <v>20000</v>
      </c>
      <c r="W44" s="56">
        <v>250</v>
      </c>
      <c r="X44" s="56">
        <v>0</v>
      </c>
      <c r="Y44" s="56">
        <v>0</v>
      </c>
      <c r="Z44" s="56">
        <v>0</v>
      </c>
      <c r="AA44" s="56">
        <v>0</v>
      </c>
      <c r="AB44" s="56">
        <f t="shared" si="53"/>
        <v>45206</v>
      </c>
    </row>
    <row r="45" spans="1:28" ht="62.4" x14ac:dyDescent="0.3">
      <c r="A45" s="8">
        <v>22</v>
      </c>
      <c r="B45" s="19" t="s">
        <v>112</v>
      </c>
      <c r="C45" s="52" t="s">
        <v>113</v>
      </c>
      <c r="D45" s="53">
        <v>68900</v>
      </c>
      <c r="E45" s="54" t="s">
        <v>71</v>
      </c>
      <c r="F45" s="55">
        <v>30</v>
      </c>
      <c r="G45" s="56">
        <f t="shared" si="70"/>
        <v>77600</v>
      </c>
      <c r="H45" s="56">
        <f t="shared" si="71"/>
        <v>26384</v>
      </c>
      <c r="I45" s="46">
        <f>6400/30*F45</f>
        <v>6400</v>
      </c>
      <c r="J45" s="56">
        <f>ROUND((I45)*203%,0)</f>
        <v>12992</v>
      </c>
      <c r="K45" s="56">
        <f t="shared" si="72"/>
        <v>500.00000000000006</v>
      </c>
      <c r="L45" s="56">
        <f t="shared" si="76"/>
        <v>1280</v>
      </c>
      <c r="M45" s="56">
        <f t="shared" si="73"/>
        <v>4000.0000000000005</v>
      </c>
      <c r="N45" s="56">
        <f t="shared" si="74"/>
        <v>14558</v>
      </c>
      <c r="O45" s="56">
        <v>0</v>
      </c>
      <c r="P45" s="57">
        <f t="shared" si="49"/>
        <v>143714</v>
      </c>
      <c r="Q45" s="57">
        <f t="shared" si="2"/>
        <v>44206</v>
      </c>
      <c r="R45" s="57">
        <f t="shared" si="50"/>
        <v>99508</v>
      </c>
      <c r="S45" s="56">
        <f t="shared" si="51"/>
        <v>10398</v>
      </c>
      <c r="T45" s="56">
        <f t="shared" si="75"/>
        <v>14558</v>
      </c>
      <c r="U45" s="56">
        <f t="shared" si="3"/>
        <v>24956</v>
      </c>
      <c r="V45" s="56">
        <v>19000</v>
      </c>
      <c r="W45" s="56">
        <v>250</v>
      </c>
      <c r="X45" s="56">
        <v>0</v>
      </c>
      <c r="Y45" s="56">
        <v>0</v>
      </c>
      <c r="Z45" s="56">
        <v>0</v>
      </c>
      <c r="AA45" s="56">
        <v>0</v>
      </c>
      <c r="AB45" s="56">
        <f t="shared" si="53"/>
        <v>44206</v>
      </c>
    </row>
    <row r="46" spans="1:28" ht="93.6" x14ac:dyDescent="0.3">
      <c r="A46" s="8">
        <v>23</v>
      </c>
      <c r="B46" s="19" t="s">
        <v>114</v>
      </c>
      <c r="C46" s="50" t="s">
        <v>115</v>
      </c>
      <c r="D46" s="40">
        <v>68900</v>
      </c>
      <c r="E46" s="41" t="s">
        <v>71</v>
      </c>
      <c r="F46" s="42">
        <v>30</v>
      </c>
      <c r="G46" s="44">
        <f>75300/30*F46</f>
        <v>75300</v>
      </c>
      <c r="H46" s="44">
        <f>ROUND((G46)*34%,0)</f>
        <v>25602</v>
      </c>
      <c r="I46" s="44">
        <v>0</v>
      </c>
      <c r="J46" s="15">
        <f t="shared" si="43"/>
        <v>0</v>
      </c>
      <c r="K46" s="43">
        <f>((500/30)*F46)</f>
        <v>500.00000000000006</v>
      </c>
      <c r="L46" s="43">
        <f>1280/30*F46</f>
        <v>1280</v>
      </c>
      <c r="M46" s="44">
        <f>((4000/30)*F46)</f>
        <v>4000.0000000000005</v>
      </c>
      <c r="N46" s="44">
        <f t="shared" si="74"/>
        <v>14126</v>
      </c>
      <c r="O46" s="44">
        <v>0</v>
      </c>
      <c r="P46" s="58">
        <f t="shared" si="49"/>
        <v>120808</v>
      </c>
      <c r="Q46" s="58">
        <f t="shared" si="2"/>
        <v>36466</v>
      </c>
      <c r="R46" s="58">
        <f t="shared" si="50"/>
        <v>84342</v>
      </c>
      <c r="S46" s="44">
        <f t="shared" si="51"/>
        <v>10090</v>
      </c>
      <c r="T46" s="44">
        <f t="shared" si="75"/>
        <v>14126</v>
      </c>
      <c r="U46" s="44">
        <f t="shared" si="3"/>
        <v>24216</v>
      </c>
      <c r="V46" s="46">
        <v>12000</v>
      </c>
      <c r="W46" s="44">
        <v>250</v>
      </c>
      <c r="X46" s="44">
        <v>0</v>
      </c>
      <c r="Y46" s="44">
        <v>0</v>
      </c>
      <c r="Z46" s="44">
        <v>0</v>
      </c>
      <c r="AA46" s="44">
        <v>0</v>
      </c>
      <c r="AB46" s="44">
        <f t="shared" si="53"/>
        <v>36466</v>
      </c>
    </row>
    <row r="47" spans="1:28" ht="46.8" x14ac:dyDescent="0.3">
      <c r="A47" s="8">
        <v>24</v>
      </c>
      <c r="B47" s="19" t="s">
        <v>116</v>
      </c>
      <c r="C47" s="50" t="s">
        <v>117</v>
      </c>
      <c r="D47" s="40">
        <v>68900</v>
      </c>
      <c r="E47" s="41" t="s">
        <v>71</v>
      </c>
      <c r="F47" s="42">
        <v>30</v>
      </c>
      <c r="G47" s="44">
        <f>75300/30*F47</f>
        <v>75300</v>
      </c>
      <c r="H47" s="44">
        <f t="shared" ref="H47:H60" si="77">ROUND((G47)*34%,0)</f>
        <v>25602</v>
      </c>
      <c r="I47" s="44">
        <v>0</v>
      </c>
      <c r="J47" s="15">
        <f t="shared" si="43"/>
        <v>0</v>
      </c>
      <c r="K47" s="43">
        <f>((500/30)*F47)</f>
        <v>500.00000000000006</v>
      </c>
      <c r="L47" s="43">
        <f>1280/30*F47</f>
        <v>1280</v>
      </c>
      <c r="M47" s="44">
        <f>((4000/30)*F47)</f>
        <v>4000.0000000000005</v>
      </c>
      <c r="N47" s="44">
        <f t="shared" si="74"/>
        <v>14126</v>
      </c>
      <c r="O47" s="44">
        <v>0</v>
      </c>
      <c r="P47" s="58">
        <f t="shared" si="49"/>
        <v>120808</v>
      </c>
      <c r="Q47" s="58">
        <f t="shared" si="2"/>
        <v>36466</v>
      </c>
      <c r="R47" s="58">
        <f t="shared" si="50"/>
        <v>84342</v>
      </c>
      <c r="S47" s="44">
        <f t="shared" si="51"/>
        <v>10090</v>
      </c>
      <c r="T47" s="44">
        <f t="shared" si="75"/>
        <v>14126</v>
      </c>
      <c r="U47" s="44">
        <f t="shared" si="3"/>
        <v>24216</v>
      </c>
      <c r="V47" s="46">
        <v>12000</v>
      </c>
      <c r="W47" s="44">
        <v>250</v>
      </c>
      <c r="X47" s="44">
        <v>0</v>
      </c>
      <c r="Y47" s="44">
        <v>0</v>
      </c>
      <c r="Z47" s="44">
        <v>0</v>
      </c>
      <c r="AA47" s="44">
        <v>0</v>
      </c>
      <c r="AB47" s="44">
        <f t="shared" si="53"/>
        <v>36466</v>
      </c>
    </row>
    <row r="48" spans="1:28" ht="46.8" x14ac:dyDescent="0.3">
      <c r="A48" s="8">
        <v>25</v>
      </c>
      <c r="B48" s="59" t="s">
        <v>118</v>
      </c>
      <c r="C48" s="60" t="s">
        <v>119</v>
      </c>
      <c r="D48" s="61">
        <v>68900</v>
      </c>
      <c r="E48" s="62" t="s">
        <v>71</v>
      </c>
      <c r="F48" s="63">
        <v>30</v>
      </c>
      <c r="G48" s="49">
        <f>71000/30*F48</f>
        <v>71000</v>
      </c>
      <c r="H48" s="49">
        <f t="shared" si="77"/>
        <v>24140</v>
      </c>
      <c r="I48" s="49">
        <v>0</v>
      </c>
      <c r="J48" s="64">
        <f t="shared" si="43"/>
        <v>0</v>
      </c>
      <c r="K48" s="49">
        <f>((500/30)*F48)</f>
        <v>500.00000000000006</v>
      </c>
      <c r="L48" s="49">
        <f>1280/30*F48</f>
        <v>1280</v>
      </c>
      <c r="M48" s="49">
        <f>((4000/30)*F48)</f>
        <v>4000.0000000000005</v>
      </c>
      <c r="N48" s="49">
        <f>ROUND((G48+H48)*14%,0)</f>
        <v>13320</v>
      </c>
      <c r="O48" s="49">
        <v>0</v>
      </c>
      <c r="P48" s="65">
        <f>SUM(G48:O48)</f>
        <v>114240</v>
      </c>
      <c r="Q48" s="65">
        <f t="shared" si="2"/>
        <v>33084</v>
      </c>
      <c r="R48" s="65">
        <f>P48-Q48</f>
        <v>81156</v>
      </c>
      <c r="S48" s="49">
        <f>ROUND((G48+H48)*10%,0)</f>
        <v>9514</v>
      </c>
      <c r="T48" s="49">
        <f>N48</f>
        <v>13320</v>
      </c>
      <c r="U48" s="49">
        <f t="shared" si="3"/>
        <v>22834</v>
      </c>
      <c r="V48" s="49">
        <v>10000</v>
      </c>
      <c r="W48" s="49">
        <v>250</v>
      </c>
      <c r="X48" s="49">
        <v>0</v>
      </c>
      <c r="Y48" s="49">
        <v>0</v>
      </c>
      <c r="Z48" s="49">
        <v>0</v>
      </c>
      <c r="AA48" s="49">
        <v>0</v>
      </c>
      <c r="AB48" s="49">
        <f>ROUND((U48+V48+W48+X48+Y48+Z48+AA48),0)</f>
        <v>33084</v>
      </c>
    </row>
    <row r="49" spans="1:28" ht="62.4" x14ac:dyDescent="0.3">
      <c r="A49" s="8">
        <v>26</v>
      </c>
      <c r="B49" s="66" t="s">
        <v>120</v>
      </c>
      <c r="C49" s="60" t="s">
        <v>121</v>
      </c>
      <c r="D49" s="61">
        <v>68900</v>
      </c>
      <c r="E49" s="62" t="s">
        <v>71</v>
      </c>
      <c r="F49" s="63">
        <v>30</v>
      </c>
      <c r="G49" s="49">
        <f>71000/30*F49</f>
        <v>71000</v>
      </c>
      <c r="H49" s="49">
        <f t="shared" si="77"/>
        <v>24140</v>
      </c>
      <c r="I49" s="49">
        <v>0</v>
      </c>
      <c r="J49" s="64">
        <f t="shared" si="43"/>
        <v>0</v>
      </c>
      <c r="K49" s="49">
        <f>((500/30)*F49)</f>
        <v>500.00000000000006</v>
      </c>
      <c r="L49" s="49">
        <f>1280/30*F49</f>
        <v>1280</v>
      </c>
      <c r="M49" s="49">
        <f>((4000/30)*F49)</f>
        <v>4000.0000000000005</v>
      </c>
      <c r="N49" s="49">
        <f>ROUND((G49+H49)*14%,0)</f>
        <v>13320</v>
      </c>
      <c r="O49" s="49">
        <v>0</v>
      </c>
      <c r="P49" s="65">
        <f>SUM(G49:O49)</f>
        <v>114240</v>
      </c>
      <c r="Q49" s="65">
        <f t="shared" si="2"/>
        <v>33084</v>
      </c>
      <c r="R49" s="65">
        <f t="shared" ref="R49:R60" si="78">P49-Q49</f>
        <v>81156</v>
      </c>
      <c r="S49" s="49">
        <f>ROUND((G49+H49)*10%,0)</f>
        <v>9514</v>
      </c>
      <c r="T49" s="49">
        <f t="shared" ref="T49:T60" si="79">N49</f>
        <v>13320</v>
      </c>
      <c r="U49" s="49">
        <f t="shared" si="3"/>
        <v>22834</v>
      </c>
      <c r="V49" s="49">
        <v>10000</v>
      </c>
      <c r="W49" s="49">
        <v>250</v>
      </c>
      <c r="X49" s="49">
        <v>0</v>
      </c>
      <c r="Y49" s="49">
        <v>0</v>
      </c>
      <c r="Z49" s="49">
        <v>0</v>
      </c>
      <c r="AA49" s="49">
        <v>0</v>
      </c>
      <c r="AB49" s="49">
        <f t="shared" ref="AB49:AB60" si="80">ROUND((U49+V49+W49+X49+Y49+Z49+AA49),0)</f>
        <v>33084</v>
      </c>
    </row>
    <row r="50" spans="1:28" ht="93.6" x14ac:dyDescent="0.3">
      <c r="A50" s="8">
        <v>27</v>
      </c>
      <c r="B50" s="66" t="s">
        <v>122</v>
      </c>
      <c r="C50" s="67" t="s">
        <v>123</v>
      </c>
      <c r="D50" s="40">
        <v>68900</v>
      </c>
      <c r="E50" s="41" t="s">
        <v>71</v>
      </c>
      <c r="F50" s="42">
        <v>30</v>
      </c>
      <c r="G50" s="43">
        <f>68900/30*F50</f>
        <v>68900</v>
      </c>
      <c r="H50" s="44">
        <f t="shared" si="77"/>
        <v>23426</v>
      </c>
      <c r="I50" s="43">
        <v>0</v>
      </c>
      <c r="J50" s="43">
        <f t="shared" si="43"/>
        <v>0</v>
      </c>
      <c r="K50" s="43">
        <f>((500/30)*F50)</f>
        <v>500.00000000000006</v>
      </c>
      <c r="L50" s="43">
        <v>0</v>
      </c>
      <c r="M50" s="44">
        <f>((4000/30)*F50)</f>
        <v>4000.0000000000005</v>
      </c>
      <c r="N50" s="44">
        <f t="shared" ref="N50:N60" si="81">ROUND((G50+H50)*14%,0)</f>
        <v>12926</v>
      </c>
      <c r="O50" s="44">
        <v>0</v>
      </c>
      <c r="P50" s="45">
        <f t="shared" ref="P50:P60" si="82">SUM(G50:O50)</f>
        <v>109752</v>
      </c>
      <c r="Q50" s="45">
        <f t="shared" si="2"/>
        <v>33909</v>
      </c>
      <c r="R50" s="45">
        <f t="shared" si="78"/>
        <v>75843</v>
      </c>
      <c r="S50" s="44">
        <f t="shared" ref="S50:S60" si="83">ROUND((G50+H50)*10%,0)</f>
        <v>9233</v>
      </c>
      <c r="T50" s="46">
        <f t="shared" si="79"/>
        <v>12926</v>
      </c>
      <c r="U50" s="47">
        <f t="shared" si="3"/>
        <v>22159</v>
      </c>
      <c r="V50" s="46">
        <v>10000</v>
      </c>
      <c r="W50" s="43">
        <v>250</v>
      </c>
      <c r="X50" s="44">
        <v>1500</v>
      </c>
      <c r="Y50" s="43">
        <v>0</v>
      </c>
      <c r="Z50" s="43">
        <v>0</v>
      </c>
      <c r="AA50" s="43">
        <v>0</v>
      </c>
      <c r="AB50" s="43">
        <f t="shared" si="80"/>
        <v>33909</v>
      </c>
    </row>
    <row r="51" spans="1:28" ht="46.8" x14ac:dyDescent="0.3">
      <c r="A51" s="8">
        <v>28</v>
      </c>
      <c r="B51" s="66" t="s">
        <v>124</v>
      </c>
      <c r="C51" s="67" t="s">
        <v>125</v>
      </c>
      <c r="D51" s="40">
        <v>68900</v>
      </c>
      <c r="E51" s="41" t="s">
        <v>71</v>
      </c>
      <c r="F51" s="42">
        <v>30</v>
      </c>
      <c r="G51" s="43">
        <f t="shared" ref="G51:G60" si="84">68900/30*F51</f>
        <v>68900</v>
      </c>
      <c r="H51" s="44">
        <f t="shared" si="77"/>
        <v>23426</v>
      </c>
      <c r="I51" s="46">
        <f t="shared" ref="I51:I53" si="85">6400/30*F51</f>
        <v>6400</v>
      </c>
      <c r="J51" s="43">
        <f>ROUND((I51)*203%,0)</f>
        <v>12992</v>
      </c>
      <c r="K51" s="43">
        <f t="shared" ref="K51:K60" si="86">((500/30)*F51)</f>
        <v>500.00000000000006</v>
      </c>
      <c r="L51" s="43">
        <v>0</v>
      </c>
      <c r="M51" s="44">
        <f t="shared" ref="M51:M60" si="87">((4000/30)*F51)</f>
        <v>4000.0000000000005</v>
      </c>
      <c r="N51" s="44">
        <f t="shared" si="81"/>
        <v>12926</v>
      </c>
      <c r="O51" s="44">
        <v>0</v>
      </c>
      <c r="P51" s="45">
        <f t="shared" si="82"/>
        <v>129144</v>
      </c>
      <c r="Q51" s="45">
        <f t="shared" si="2"/>
        <v>38909</v>
      </c>
      <c r="R51" s="45">
        <f t="shared" si="78"/>
        <v>90235</v>
      </c>
      <c r="S51" s="44">
        <f t="shared" si="83"/>
        <v>9233</v>
      </c>
      <c r="T51" s="46">
        <f t="shared" si="79"/>
        <v>12926</v>
      </c>
      <c r="U51" s="47">
        <f t="shared" si="3"/>
        <v>22159</v>
      </c>
      <c r="V51" s="43">
        <v>15000</v>
      </c>
      <c r="W51" s="43">
        <v>250</v>
      </c>
      <c r="X51" s="43">
        <v>1500</v>
      </c>
      <c r="Y51" s="43">
        <v>0</v>
      </c>
      <c r="Z51" s="43">
        <v>0</v>
      </c>
      <c r="AA51" s="43">
        <v>0</v>
      </c>
      <c r="AB51" s="43">
        <f t="shared" si="80"/>
        <v>38909</v>
      </c>
    </row>
    <row r="52" spans="1:28" ht="46.8" x14ac:dyDescent="0.3">
      <c r="A52" s="8">
        <v>29</v>
      </c>
      <c r="B52" s="19" t="s">
        <v>126</v>
      </c>
      <c r="C52" s="68" t="s">
        <v>127</v>
      </c>
      <c r="D52" s="40">
        <v>68900</v>
      </c>
      <c r="E52" s="41" t="s">
        <v>71</v>
      </c>
      <c r="F52" s="42">
        <v>30</v>
      </c>
      <c r="G52" s="43">
        <f t="shared" si="84"/>
        <v>68900</v>
      </c>
      <c r="H52" s="44">
        <f t="shared" si="77"/>
        <v>23426</v>
      </c>
      <c r="I52" s="46">
        <f t="shared" si="85"/>
        <v>6400</v>
      </c>
      <c r="J52" s="43">
        <f t="shared" ref="J52:J53" si="88">ROUND((I52)*203%,0)</f>
        <v>12992</v>
      </c>
      <c r="K52" s="43">
        <f t="shared" si="86"/>
        <v>500.00000000000006</v>
      </c>
      <c r="L52" s="43">
        <f>1280/30*F52</f>
        <v>1280</v>
      </c>
      <c r="M52" s="44">
        <f t="shared" si="87"/>
        <v>4000.0000000000005</v>
      </c>
      <c r="N52" s="44">
        <f t="shared" si="81"/>
        <v>12926</v>
      </c>
      <c r="O52" s="44">
        <v>0</v>
      </c>
      <c r="P52" s="45">
        <f t="shared" si="82"/>
        <v>130424</v>
      </c>
      <c r="Q52" s="45">
        <f t="shared" si="2"/>
        <v>37409</v>
      </c>
      <c r="R52" s="45">
        <f t="shared" si="78"/>
        <v>93015</v>
      </c>
      <c r="S52" s="44">
        <f t="shared" si="83"/>
        <v>9233</v>
      </c>
      <c r="T52" s="46">
        <f t="shared" si="79"/>
        <v>12926</v>
      </c>
      <c r="U52" s="47">
        <f t="shared" si="3"/>
        <v>22159</v>
      </c>
      <c r="V52" s="43">
        <v>15000</v>
      </c>
      <c r="W52" s="43">
        <v>250</v>
      </c>
      <c r="X52" s="44">
        <v>0</v>
      </c>
      <c r="Y52" s="43">
        <v>0</v>
      </c>
      <c r="Z52" s="43">
        <v>0</v>
      </c>
      <c r="AA52" s="43">
        <v>0</v>
      </c>
      <c r="AB52" s="43">
        <f t="shared" si="80"/>
        <v>37409</v>
      </c>
    </row>
    <row r="53" spans="1:28" ht="46.8" x14ac:dyDescent="0.3">
      <c r="A53" s="8">
        <v>30</v>
      </c>
      <c r="B53" s="69" t="s">
        <v>128</v>
      </c>
      <c r="C53" s="68" t="s">
        <v>129</v>
      </c>
      <c r="D53" s="40">
        <v>68900</v>
      </c>
      <c r="E53" s="41" t="s">
        <v>71</v>
      </c>
      <c r="F53" s="42">
        <v>30</v>
      </c>
      <c r="G53" s="43">
        <f t="shared" si="84"/>
        <v>68900</v>
      </c>
      <c r="H53" s="44">
        <f t="shared" si="77"/>
        <v>23426</v>
      </c>
      <c r="I53" s="46">
        <f t="shared" si="85"/>
        <v>6400</v>
      </c>
      <c r="J53" s="43">
        <f t="shared" si="88"/>
        <v>12992</v>
      </c>
      <c r="K53" s="43">
        <f t="shared" si="86"/>
        <v>500.00000000000006</v>
      </c>
      <c r="L53" s="43">
        <v>0</v>
      </c>
      <c r="M53" s="44">
        <f t="shared" si="87"/>
        <v>4000.0000000000005</v>
      </c>
      <c r="N53" s="44">
        <f t="shared" si="81"/>
        <v>12926</v>
      </c>
      <c r="O53" s="44">
        <v>0</v>
      </c>
      <c r="P53" s="45">
        <f t="shared" si="82"/>
        <v>129144</v>
      </c>
      <c r="Q53" s="45">
        <f t="shared" si="2"/>
        <v>38909</v>
      </c>
      <c r="R53" s="45">
        <f t="shared" si="78"/>
        <v>90235</v>
      </c>
      <c r="S53" s="44">
        <f t="shared" si="83"/>
        <v>9233</v>
      </c>
      <c r="T53" s="46">
        <f t="shared" si="79"/>
        <v>12926</v>
      </c>
      <c r="U53" s="47">
        <f t="shared" si="3"/>
        <v>22159</v>
      </c>
      <c r="V53" s="43">
        <v>15000</v>
      </c>
      <c r="W53" s="43">
        <v>250</v>
      </c>
      <c r="X53" s="44">
        <v>1500</v>
      </c>
      <c r="Y53" s="43">
        <v>0</v>
      </c>
      <c r="Z53" s="43">
        <v>0</v>
      </c>
      <c r="AA53" s="43">
        <v>0</v>
      </c>
      <c r="AB53" s="43">
        <f t="shared" si="80"/>
        <v>38909</v>
      </c>
    </row>
    <row r="54" spans="1:28" ht="46.8" x14ac:dyDescent="0.3">
      <c r="A54" s="8">
        <v>31</v>
      </c>
      <c r="B54" s="19" t="s">
        <v>130</v>
      </c>
      <c r="C54" s="48" t="s">
        <v>131</v>
      </c>
      <c r="D54" s="40">
        <v>68900</v>
      </c>
      <c r="E54" s="41" t="s">
        <v>71</v>
      </c>
      <c r="F54" s="42">
        <v>30</v>
      </c>
      <c r="G54" s="43">
        <f t="shared" si="84"/>
        <v>68900</v>
      </c>
      <c r="H54" s="44">
        <f t="shared" si="77"/>
        <v>23426</v>
      </c>
      <c r="I54" s="44">
        <v>0</v>
      </c>
      <c r="J54" s="43">
        <v>0</v>
      </c>
      <c r="K54" s="43">
        <f t="shared" si="86"/>
        <v>500.00000000000006</v>
      </c>
      <c r="L54" s="43">
        <v>0</v>
      </c>
      <c r="M54" s="44">
        <f t="shared" si="87"/>
        <v>4000.0000000000005</v>
      </c>
      <c r="N54" s="44">
        <f t="shared" si="81"/>
        <v>12926</v>
      </c>
      <c r="O54" s="44">
        <v>0</v>
      </c>
      <c r="P54" s="45">
        <f t="shared" si="82"/>
        <v>109752</v>
      </c>
      <c r="Q54" s="45">
        <f t="shared" si="2"/>
        <v>33909</v>
      </c>
      <c r="R54" s="45">
        <f t="shared" si="78"/>
        <v>75843</v>
      </c>
      <c r="S54" s="44">
        <f t="shared" si="83"/>
        <v>9233</v>
      </c>
      <c r="T54" s="46">
        <f t="shared" si="79"/>
        <v>12926</v>
      </c>
      <c r="U54" s="47">
        <f t="shared" si="3"/>
        <v>22159</v>
      </c>
      <c r="V54" s="43">
        <v>10000</v>
      </c>
      <c r="W54" s="43">
        <v>250</v>
      </c>
      <c r="X54" s="44">
        <v>1500</v>
      </c>
      <c r="Y54" s="43">
        <v>0</v>
      </c>
      <c r="Z54" s="43">
        <v>0</v>
      </c>
      <c r="AA54" s="43">
        <v>0</v>
      </c>
      <c r="AB54" s="43">
        <f t="shared" si="80"/>
        <v>33909</v>
      </c>
    </row>
    <row r="55" spans="1:28" ht="46.8" x14ac:dyDescent="0.3">
      <c r="A55" s="8">
        <v>32</v>
      </c>
      <c r="B55" s="19" t="s">
        <v>132</v>
      </c>
      <c r="C55" s="50" t="s">
        <v>133</v>
      </c>
      <c r="D55" s="40">
        <v>68900</v>
      </c>
      <c r="E55" s="41" t="s">
        <v>71</v>
      </c>
      <c r="F55" s="42">
        <v>31</v>
      </c>
      <c r="G55" s="43">
        <f t="shared" ref="G55" si="89">68900/31*F55</f>
        <v>68900</v>
      </c>
      <c r="H55" s="44">
        <f t="shared" ref="H55" si="90">ROUND((G55)*38%,0)</f>
        <v>26182</v>
      </c>
      <c r="I55" s="49">
        <f>6400/31*F55</f>
        <v>6400</v>
      </c>
      <c r="J55" s="43">
        <f>ROUND((I55)*203%,0)</f>
        <v>12992</v>
      </c>
      <c r="K55" s="43">
        <f t="shared" ref="K55" si="91">((500/31)*F55)</f>
        <v>500</v>
      </c>
      <c r="L55" s="43">
        <v>0</v>
      </c>
      <c r="M55" s="44">
        <f t="shared" ref="M55" si="92">((4000/31)*F55)</f>
        <v>4000</v>
      </c>
      <c r="N55" s="44">
        <f t="shared" si="81"/>
        <v>13311</v>
      </c>
      <c r="O55" s="44">
        <v>0</v>
      </c>
      <c r="P55" s="45">
        <f t="shared" si="82"/>
        <v>132285</v>
      </c>
      <c r="Q55" s="45">
        <f t="shared" si="2"/>
        <v>37819</v>
      </c>
      <c r="R55" s="45">
        <f t="shared" si="78"/>
        <v>94466</v>
      </c>
      <c r="S55" s="44">
        <f t="shared" si="83"/>
        <v>9508</v>
      </c>
      <c r="T55" s="46">
        <f t="shared" si="79"/>
        <v>13311</v>
      </c>
      <c r="U55" s="47">
        <f t="shared" si="3"/>
        <v>22819</v>
      </c>
      <c r="V55" s="43">
        <v>15000</v>
      </c>
      <c r="W55" s="43">
        <v>0</v>
      </c>
      <c r="X55" s="44">
        <v>0</v>
      </c>
      <c r="Y55" s="43">
        <v>0</v>
      </c>
      <c r="Z55" s="43">
        <v>0</v>
      </c>
      <c r="AA55" s="43">
        <v>0</v>
      </c>
      <c r="AB55" s="43">
        <f t="shared" si="80"/>
        <v>37819</v>
      </c>
    </row>
    <row r="56" spans="1:28" ht="78" x14ac:dyDescent="0.3">
      <c r="A56" s="8">
        <v>33</v>
      </c>
      <c r="B56" s="19" t="s">
        <v>134</v>
      </c>
      <c r="C56" s="50" t="s">
        <v>135</v>
      </c>
      <c r="D56" s="40">
        <v>68900</v>
      </c>
      <c r="E56" s="41" t="s">
        <v>71</v>
      </c>
      <c r="F56" s="42">
        <v>30</v>
      </c>
      <c r="G56" s="43">
        <f t="shared" si="84"/>
        <v>68900</v>
      </c>
      <c r="H56" s="44">
        <f t="shared" si="77"/>
        <v>23426</v>
      </c>
      <c r="I56" s="44">
        <v>0</v>
      </c>
      <c r="J56" s="43">
        <v>0</v>
      </c>
      <c r="K56" s="43">
        <f t="shared" si="86"/>
        <v>500.00000000000006</v>
      </c>
      <c r="L56" s="43">
        <f t="shared" ref="L56:L60" si="93">1280/30*F56</f>
        <v>1280</v>
      </c>
      <c r="M56" s="44">
        <f t="shared" si="87"/>
        <v>4000.0000000000005</v>
      </c>
      <c r="N56" s="44">
        <f t="shared" si="81"/>
        <v>12926</v>
      </c>
      <c r="O56" s="44">
        <v>0</v>
      </c>
      <c r="P56" s="45">
        <f t="shared" si="82"/>
        <v>111032</v>
      </c>
      <c r="Q56" s="45">
        <f t="shared" si="2"/>
        <v>28409</v>
      </c>
      <c r="R56" s="45">
        <f t="shared" si="78"/>
        <v>82623</v>
      </c>
      <c r="S56" s="44">
        <f t="shared" si="83"/>
        <v>9233</v>
      </c>
      <c r="T56" s="46">
        <f t="shared" si="79"/>
        <v>12926</v>
      </c>
      <c r="U56" s="47">
        <f t="shared" si="3"/>
        <v>22159</v>
      </c>
      <c r="V56" s="43">
        <v>6000</v>
      </c>
      <c r="W56" s="43">
        <v>250</v>
      </c>
      <c r="X56" s="44">
        <v>0</v>
      </c>
      <c r="Y56" s="43">
        <v>0</v>
      </c>
      <c r="Z56" s="43">
        <v>0</v>
      </c>
      <c r="AA56" s="43">
        <v>0</v>
      </c>
      <c r="AB56" s="43">
        <f t="shared" si="80"/>
        <v>28409</v>
      </c>
    </row>
    <row r="57" spans="1:28" ht="93.6" x14ac:dyDescent="0.3">
      <c r="A57" s="8">
        <v>34</v>
      </c>
      <c r="B57" s="19"/>
      <c r="C57" s="70" t="s">
        <v>136</v>
      </c>
      <c r="D57" s="40">
        <v>68900</v>
      </c>
      <c r="E57" s="41" t="s">
        <v>71</v>
      </c>
      <c r="F57" s="42">
        <v>30</v>
      </c>
      <c r="G57" s="43">
        <f t="shared" si="84"/>
        <v>68900</v>
      </c>
      <c r="H57" s="44">
        <f t="shared" si="77"/>
        <v>23426</v>
      </c>
      <c r="I57" s="46">
        <f>6400/30*F57</f>
        <v>6400</v>
      </c>
      <c r="J57" s="43">
        <f>ROUND((I57)*203%,0)</f>
        <v>12992</v>
      </c>
      <c r="K57" s="43">
        <f t="shared" si="86"/>
        <v>500.00000000000006</v>
      </c>
      <c r="L57" s="43">
        <f t="shared" si="93"/>
        <v>1280</v>
      </c>
      <c r="M57" s="44">
        <f t="shared" si="87"/>
        <v>4000.0000000000005</v>
      </c>
      <c r="N57" s="44">
        <f t="shared" si="81"/>
        <v>12926</v>
      </c>
      <c r="O57" s="44">
        <v>0</v>
      </c>
      <c r="P57" s="45">
        <f t="shared" si="82"/>
        <v>130424</v>
      </c>
      <c r="Q57" s="45">
        <f t="shared" si="2"/>
        <v>37409</v>
      </c>
      <c r="R57" s="45">
        <f t="shared" si="78"/>
        <v>93015</v>
      </c>
      <c r="S57" s="44">
        <f t="shared" si="83"/>
        <v>9233</v>
      </c>
      <c r="T57" s="46">
        <f t="shared" si="79"/>
        <v>12926</v>
      </c>
      <c r="U57" s="47">
        <f t="shared" si="3"/>
        <v>22159</v>
      </c>
      <c r="V57" s="43">
        <v>15000</v>
      </c>
      <c r="W57" s="43">
        <v>250</v>
      </c>
      <c r="X57" s="44">
        <v>0</v>
      </c>
      <c r="Y57" s="43">
        <v>0</v>
      </c>
      <c r="Z57" s="43">
        <v>0</v>
      </c>
      <c r="AA57" s="43">
        <v>0</v>
      </c>
      <c r="AB57" s="43">
        <f t="shared" si="80"/>
        <v>37409</v>
      </c>
    </row>
    <row r="58" spans="1:28" ht="46.8" x14ac:dyDescent="0.3">
      <c r="A58" s="8">
        <v>35</v>
      </c>
      <c r="B58" s="71"/>
      <c r="C58" s="70" t="s">
        <v>137</v>
      </c>
      <c r="D58" s="40">
        <v>68900</v>
      </c>
      <c r="E58" s="41" t="s">
        <v>71</v>
      </c>
      <c r="F58" s="42">
        <v>30</v>
      </c>
      <c r="G58" s="43">
        <f t="shared" si="84"/>
        <v>68900</v>
      </c>
      <c r="H58" s="44">
        <f t="shared" si="77"/>
        <v>23426</v>
      </c>
      <c r="I58" s="44">
        <v>0</v>
      </c>
      <c r="J58" s="43">
        <v>0</v>
      </c>
      <c r="K58" s="43">
        <f t="shared" si="86"/>
        <v>500.00000000000006</v>
      </c>
      <c r="L58" s="43">
        <f t="shared" si="93"/>
        <v>1280</v>
      </c>
      <c r="M58" s="44">
        <f t="shared" si="87"/>
        <v>4000.0000000000005</v>
      </c>
      <c r="N58" s="44">
        <f t="shared" si="81"/>
        <v>12926</v>
      </c>
      <c r="O58" s="44"/>
      <c r="P58" s="45">
        <f t="shared" si="82"/>
        <v>111032</v>
      </c>
      <c r="Q58" s="45">
        <f t="shared" si="2"/>
        <v>37409</v>
      </c>
      <c r="R58" s="45">
        <f t="shared" si="78"/>
        <v>73623</v>
      </c>
      <c r="S58" s="44">
        <f t="shared" si="83"/>
        <v>9233</v>
      </c>
      <c r="T58" s="46">
        <f t="shared" si="79"/>
        <v>12926</v>
      </c>
      <c r="U58" s="47">
        <f t="shared" si="3"/>
        <v>22159</v>
      </c>
      <c r="V58" s="43">
        <v>15000</v>
      </c>
      <c r="W58" s="43">
        <v>250</v>
      </c>
      <c r="X58" s="44">
        <v>0</v>
      </c>
      <c r="Y58" s="43">
        <v>0</v>
      </c>
      <c r="Z58" s="43">
        <v>0</v>
      </c>
      <c r="AA58" s="43">
        <v>0</v>
      </c>
      <c r="AB58" s="43">
        <f t="shared" si="80"/>
        <v>37409</v>
      </c>
    </row>
    <row r="59" spans="1:28" ht="46.8" x14ac:dyDescent="0.3">
      <c r="A59" s="8">
        <v>36</v>
      </c>
      <c r="B59" s="72" t="s">
        <v>138</v>
      </c>
      <c r="C59" s="70" t="s">
        <v>139</v>
      </c>
      <c r="D59" s="40">
        <v>68900</v>
      </c>
      <c r="E59" s="41" t="s">
        <v>71</v>
      </c>
      <c r="F59" s="42">
        <v>30</v>
      </c>
      <c r="G59" s="43">
        <f t="shared" si="84"/>
        <v>68900</v>
      </c>
      <c r="H59" s="44">
        <f t="shared" si="77"/>
        <v>23426</v>
      </c>
      <c r="I59" s="44">
        <v>0</v>
      </c>
      <c r="J59" s="43">
        <v>0</v>
      </c>
      <c r="K59" s="43">
        <f t="shared" si="86"/>
        <v>500.00000000000006</v>
      </c>
      <c r="L59" s="43">
        <f t="shared" si="93"/>
        <v>1280</v>
      </c>
      <c r="M59" s="44">
        <f t="shared" si="87"/>
        <v>4000.0000000000005</v>
      </c>
      <c r="N59" s="44">
        <f t="shared" si="81"/>
        <v>12926</v>
      </c>
      <c r="O59" s="44"/>
      <c r="P59" s="45">
        <f t="shared" si="82"/>
        <v>111032</v>
      </c>
      <c r="Q59" s="45">
        <f t="shared" si="2"/>
        <v>37409</v>
      </c>
      <c r="R59" s="45">
        <f t="shared" si="78"/>
        <v>73623</v>
      </c>
      <c r="S59" s="44">
        <f t="shared" si="83"/>
        <v>9233</v>
      </c>
      <c r="T59" s="46">
        <f t="shared" si="79"/>
        <v>12926</v>
      </c>
      <c r="U59" s="47">
        <f t="shared" si="3"/>
        <v>22159</v>
      </c>
      <c r="V59" s="43">
        <v>15000</v>
      </c>
      <c r="W59" s="43">
        <v>250</v>
      </c>
      <c r="X59" s="44">
        <v>0</v>
      </c>
      <c r="Y59" s="43">
        <v>0</v>
      </c>
      <c r="Z59" s="43">
        <v>0</v>
      </c>
      <c r="AA59" s="43">
        <v>0</v>
      </c>
      <c r="AB59" s="43">
        <f t="shared" si="80"/>
        <v>37409</v>
      </c>
    </row>
    <row r="60" spans="1:28" ht="62.4" x14ac:dyDescent="0.3">
      <c r="A60" s="8">
        <v>37</v>
      </c>
      <c r="B60" s="73" t="s">
        <v>140</v>
      </c>
      <c r="C60" s="70" t="s">
        <v>141</v>
      </c>
      <c r="D60" s="40">
        <v>68900</v>
      </c>
      <c r="E60" s="41" t="s">
        <v>71</v>
      </c>
      <c r="F60" s="42">
        <v>30</v>
      </c>
      <c r="G60" s="43">
        <f t="shared" si="84"/>
        <v>68900</v>
      </c>
      <c r="H60" s="44">
        <f t="shared" si="77"/>
        <v>23426</v>
      </c>
      <c r="I60" s="44">
        <v>0</v>
      </c>
      <c r="J60" s="43">
        <v>0</v>
      </c>
      <c r="K60" s="43">
        <f t="shared" si="86"/>
        <v>500.00000000000006</v>
      </c>
      <c r="L60" s="43">
        <f t="shared" si="93"/>
        <v>1280</v>
      </c>
      <c r="M60" s="44">
        <f t="shared" si="87"/>
        <v>4000.0000000000005</v>
      </c>
      <c r="N60" s="44">
        <f t="shared" si="81"/>
        <v>12926</v>
      </c>
      <c r="O60" s="44"/>
      <c r="P60" s="45">
        <f t="shared" si="82"/>
        <v>111032</v>
      </c>
      <c r="Q60" s="45">
        <f t="shared" si="2"/>
        <v>37409</v>
      </c>
      <c r="R60" s="45">
        <f t="shared" si="78"/>
        <v>73623</v>
      </c>
      <c r="S60" s="44">
        <f t="shared" si="83"/>
        <v>9233</v>
      </c>
      <c r="T60" s="46">
        <f t="shared" si="79"/>
        <v>12926</v>
      </c>
      <c r="U60" s="47">
        <f t="shared" si="3"/>
        <v>22159</v>
      </c>
      <c r="V60" s="43">
        <v>15000</v>
      </c>
      <c r="W60" s="43">
        <v>250</v>
      </c>
      <c r="X60" s="44">
        <v>0</v>
      </c>
      <c r="Y60" s="43">
        <v>0</v>
      </c>
      <c r="Z60" s="43">
        <v>0</v>
      </c>
      <c r="AA60" s="43">
        <v>0</v>
      </c>
      <c r="AB60" s="43">
        <f t="shared" si="80"/>
        <v>37409</v>
      </c>
    </row>
    <row r="61" spans="1:28" ht="78" x14ac:dyDescent="0.3">
      <c r="A61" s="74">
        <v>1</v>
      </c>
      <c r="B61" s="69" t="s">
        <v>142</v>
      </c>
      <c r="C61" s="75" t="s">
        <v>143</v>
      </c>
      <c r="D61" s="76">
        <v>57700</v>
      </c>
      <c r="E61" s="77" t="s">
        <v>144</v>
      </c>
      <c r="F61" s="78">
        <v>0</v>
      </c>
      <c r="G61" s="79">
        <f>61200/31*F61</f>
        <v>0</v>
      </c>
      <c r="H61" s="79">
        <f>ROUND((G61)*12%,0)</f>
        <v>0</v>
      </c>
      <c r="I61" s="79">
        <f>5400/31*F61</f>
        <v>0</v>
      </c>
      <c r="J61" s="79">
        <f>ROUND((I61)*154%,0)</f>
        <v>0</v>
      </c>
      <c r="K61" s="79">
        <f>((500/31)*F61)</f>
        <v>0</v>
      </c>
      <c r="L61" s="79">
        <f>1080/30*F61</f>
        <v>0</v>
      </c>
      <c r="M61" s="79">
        <f>((3000/31)*F61)</f>
        <v>0</v>
      </c>
      <c r="N61" s="79">
        <f>ROUND((G61+H61)*14%,0)</f>
        <v>0</v>
      </c>
      <c r="O61" s="79">
        <v>0</v>
      </c>
      <c r="P61" s="80">
        <f>SUM(G61:O61)</f>
        <v>0</v>
      </c>
      <c r="Q61" s="80">
        <f t="shared" si="2"/>
        <v>0</v>
      </c>
      <c r="R61" s="80">
        <f>P61-Q61</f>
        <v>0</v>
      </c>
      <c r="S61" s="79">
        <f>ROUND((G61+H61)*10%,0)</f>
        <v>0</v>
      </c>
      <c r="T61" s="79">
        <f>N61</f>
        <v>0</v>
      </c>
      <c r="U61" s="79">
        <f>+T61+S61</f>
        <v>0</v>
      </c>
      <c r="V61" s="79">
        <v>0</v>
      </c>
      <c r="W61" s="79">
        <v>0</v>
      </c>
      <c r="X61" s="79">
        <v>0</v>
      </c>
      <c r="Y61" s="79">
        <v>0</v>
      </c>
      <c r="Z61" s="79">
        <v>0</v>
      </c>
      <c r="AA61" s="79">
        <v>0</v>
      </c>
      <c r="AB61" s="79">
        <f>ROUND((U61+V61+W61+X61+Y61+Z61+AA61),0)</f>
        <v>0</v>
      </c>
    </row>
    <row r="62" spans="1:28" ht="93.6" x14ac:dyDescent="0.3">
      <c r="A62" s="8">
        <v>2</v>
      </c>
      <c r="B62" s="19" t="s">
        <v>145</v>
      </c>
      <c r="C62" s="81" t="s">
        <v>146</v>
      </c>
      <c r="D62" s="40">
        <v>57700</v>
      </c>
      <c r="E62" s="12" t="s">
        <v>144</v>
      </c>
      <c r="F62" s="82">
        <v>30</v>
      </c>
      <c r="G62" s="43">
        <f>64900/30*F62</f>
        <v>64900.000000000007</v>
      </c>
      <c r="H62" s="43">
        <f>ROUND((G62)*34%,0)</f>
        <v>22066</v>
      </c>
      <c r="I62" s="46">
        <f>5400/30*F62</f>
        <v>5400</v>
      </c>
      <c r="J62" s="43">
        <f>ROUND((I62)*203%,0)</f>
        <v>10962</v>
      </c>
      <c r="K62" s="43">
        <f>((500/30)*F62)</f>
        <v>500.00000000000006</v>
      </c>
      <c r="L62" s="43">
        <f>1080/30*F62</f>
        <v>1080</v>
      </c>
      <c r="M62" s="44">
        <f>((3000/30)*F62)</f>
        <v>3000</v>
      </c>
      <c r="N62" s="44">
        <f t="shared" ref="N62:N71" si="94">ROUND((G62+H62)*14%,0)</f>
        <v>12175</v>
      </c>
      <c r="O62" s="44">
        <v>0</v>
      </c>
      <c r="P62" s="45">
        <f>SUM(G62:O62)</f>
        <v>120083</v>
      </c>
      <c r="Q62" s="45">
        <f t="shared" si="2"/>
        <v>31122</v>
      </c>
      <c r="R62" s="45">
        <f t="shared" ref="R62:R76" si="95">P62-Q62</f>
        <v>88961</v>
      </c>
      <c r="S62" s="44">
        <f t="shared" ref="S62:S76" si="96">ROUND((G62+H62)*10%,0)</f>
        <v>8697</v>
      </c>
      <c r="T62" s="43">
        <f t="shared" ref="T62:T71" si="97">N62</f>
        <v>12175</v>
      </c>
      <c r="U62" s="43">
        <f t="shared" ref="U62:U70" si="98">+T62+S62</f>
        <v>20872</v>
      </c>
      <c r="V62" s="46">
        <v>10000</v>
      </c>
      <c r="W62" s="43">
        <v>250</v>
      </c>
      <c r="X62" s="43">
        <v>0</v>
      </c>
      <c r="Y62" s="43">
        <v>0</v>
      </c>
      <c r="Z62" s="43">
        <v>0</v>
      </c>
      <c r="AA62" s="43">
        <v>0</v>
      </c>
      <c r="AB62" s="43">
        <f t="shared" ref="AB62:AB76" si="99">ROUND((U62+V62+W62+X62+Y62+Z62+AA62),0)</f>
        <v>31122</v>
      </c>
    </row>
    <row r="63" spans="1:28" ht="46.8" x14ac:dyDescent="0.3">
      <c r="A63" s="74">
        <v>3</v>
      </c>
      <c r="B63" s="69" t="s">
        <v>147</v>
      </c>
      <c r="C63" s="83" t="s">
        <v>148</v>
      </c>
      <c r="D63" s="76">
        <v>57700</v>
      </c>
      <c r="E63" s="77" t="s">
        <v>144</v>
      </c>
      <c r="F63" s="78">
        <v>0</v>
      </c>
      <c r="G63" s="79">
        <f t="shared" ref="G63:G65" si="100">64900/30*F63</f>
        <v>0</v>
      </c>
      <c r="H63" s="79">
        <f t="shared" ref="H63:H65" si="101">ROUND((G63)*34%,0)</f>
        <v>0</v>
      </c>
      <c r="I63" s="79">
        <v>0</v>
      </c>
      <c r="J63" s="79">
        <f t="shared" ref="J63:J66" si="102">ROUND((I63)*154%,0)</f>
        <v>0</v>
      </c>
      <c r="K63" s="79">
        <f t="shared" ref="K63" si="103">((500/31)*F63)</f>
        <v>0</v>
      </c>
      <c r="L63" s="79">
        <f>1080/30*F63</f>
        <v>0</v>
      </c>
      <c r="M63" s="79">
        <f t="shared" ref="M63:M65" si="104">((3000/30)*F63)</f>
        <v>0</v>
      </c>
      <c r="N63" s="79">
        <f t="shared" si="94"/>
        <v>0</v>
      </c>
      <c r="O63" s="79">
        <v>0</v>
      </c>
      <c r="P63" s="80">
        <f t="shared" ref="P63:P65" si="105">SUM(G63:O63)</f>
        <v>0</v>
      </c>
      <c r="Q63" s="80">
        <f t="shared" si="2"/>
        <v>0</v>
      </c>
      <c r="R63" s="80">
        <f t="shared" si="95"/>
        <v>0</v>
      </c>
      <c r="S63" s="79">
        <f t="shared" si="96"/>
        <v>0</v>
      </c>
      <c r="T63" s="79">
        <f t="shared" si="97"/>
        <v>0</v>
      </c>
      <c r="U63" s="79">
        <f t="shared" si="98"/>
        <v>0</v>
      </c>
      <c r="V63" s="79">
        <v>0</v>
      </c>
      <c r="W63" s="79">
        <v>0</v>
      </c>
      <c r="X63" s="79">
        <v>0</v>
      </c>
      <c r="Y63" s="79">
        <v>0</v>
      </c>
      <c r="Z63" s="79">
        <v>0</v>
      </c>
      <c r="AA63" s="79">
        <v>0</v>
      </c>
      <c r="AB63" s="79">
        <f t="shared" si="99"/>
        <v>0</v>
      </c>
    </row>
    <row r="64" spans="1:28" ht="78" x14ac:dyDescent="0.3">
      <c r="A64" s="8">
        <v>4</v>
      </c>
      <c r="B64" s="19" t="s">
        <v>149</v>
      </c>
      <c r="C64" s="51" t="s">
        <v>150</v>
      </c>
      <c r="D64" s="40">
        <v>57700</v>
      </c>
      <c r="E64" s="12" t="s">
        <v>144</v>
      </c>
      <c r="F64" s="82">
        <v>28</v>
      </c>
      <c r="G64" s="43">
        <f t="shared" ref="G64" si="106">66800/28*F64</f>
        <v>66800</v>
      </c>
      <c r="H64" s="43">
        <f t="shared" ref="H64" si="107">ROUND((G64)*38%,0)</f>
        <v>25384</v>
      </c>
      <c r="I64" s="49">
        <f>5400/28*F64</f>
        <v>5400</v>
      </c>
      <c r="J64" s="43">
        <f t="shared" ref="J64:J65" si="108">ROUND((I64)*203%,0)</f>
        <v>10962</v>
      </c>
      <c r="K64" s="43">
        <f t="shared" ref="K64" si="109">((500/28)*F64)</f>
        <v>500</v>
      </c>
      <c r="L64" s="43">
        <v>0</v>
      </c>
      <c r="M64" s="44">
        <f t="shared" ref="M64" si="110">((3000/28)*F64)</f>
        <v>3000</v>
      </c>
      <c r="N64" s="44">
        <f t="shared" si="94"/>
        <v>12906</v>
      </c>
      <c r="O64" s="44">
        <v>0</v>
      </c>
      <c r="P64" s="45">
        <f t="shared" si="105"/>
        <v>124952</v>
      </c>
      <c r="Q64" s="45">
        <f t="shared" si="2"/>
        <v>55024</v>
      </c>
      <c r="R64" s="45">
        <f t="shared" si="95"/>
        <v>69928</v>
      </c>
      <c r="S64" s="44">
        <f t="shared" si="96"/>
        <v>9218</v>
      </c>
      <c r="T64" s="43">
        <f t="shared" si="97"/>
        <v>12906</v>
      </c>
      <c r="U64" s="43">
        <f t="shared" si="98"/>
        <v>22124</v>
      </c>
      <c r="V64" s="46">
        <v>32000</v>
      </c>
      <c r="W64" s="44">
        <v>0</v>
      </c>
      <c r="X64" s="43">
        <v>900</v>
      </c>
      <c r="Y64" s="43">
        <v>0</v>
      </c>
      <c r="Z64" s="43">
        <v>0</v>
      </c>
      <c r="AA64" s="43">
        <v>0</v>
      </c>
      <c r="AB64" s="43">
        <f t="shared" si="99"/>
        <v>55024</v>
      </c>
    </row>
    <row r="65" spans="1:28" ht="62.4" x14ac:dyDescent="0.3">
      <c r="A65" s="8">
        <v>5</v>
      </c>
      <c r="B65" s="19" t="s">
        <v>151</v>
      </c>
      <c r="C65" s="50" t="s">
        <v>152</v>
      </c>
      <c r="D65" s="40">
        <v>57700</v>
      </c>
      <c r="E65" s="12" t="s">
        <v>144</v>
      </c>
      <c r="F65" s="82">
        <v>30</v>
      </c>
      <c r="G65" s="43">
        <f t="shared" si="100"/>
        <v>64900.000000000007</v>
      </c>
      <c r="H65" s="43">
        <f t="shared" si="101"/>
        <v>22066</v>
      </c>
      <c r="I65" s="46">
        <f t="shared" ref="I65" si="111">5400/30*F65</f>
        <v>5400</v>
      </c>
      <c r="J65" s="43">
        <f t="shared" si="108"/>
        <v>10962</v>
      </c>
      <c r="K65" s="43">
        <f t="shared" ref="K65" si="112">((500/30)*F65)</f>
        <v>500.00000000000006</v>
      </c>
      <c r="L65" s="43">
        <v>0</v>
      </c>
      <c r="M65" s="44">
        <f t="shared" si="104"/>
        <v>3000</v>
      </c>
      <c r="N65" s="44">
        <f t="shared" si="94"/>
        <v>12175</v>
      </c>
      <c r="O65" s="44">
        <v>0</v>
      </c>
      <c r="P65" s="45">
        <f t="shared" si="105"/>
        <v>119003</v>
      </c>
      <c r="Q65" s="45">
        <f t="shared" si="2"/>
        <v>31122</v>
      </c>
      <c r="R65" s="45">
        <f t="shared" si="95"/>
        <v>87881</v>
      </c>
      <c r="S65" s="44">
        <f t="shared" si="96"/>
        <v>8697</v>
      </c>
      <c r="T65" s="43">
        <f t="shared" si="97"/>
        <v>12175</v>
      </c>
      <c r="U65" s="43">
        <f t="shared" si="98"/>
        <v>20872</v>
      </c>
      <c r="V65" s="46">
        <v>10000</v>
      </c>
      <c r="W65" s="44">
        <v>250</v>
      </c>
      <c r="X65" s="43">
        <v>0</v>
      </c>
      <c r="Y65" s="43">
        <v>0</v>
      </c>
      <c r="Z65" s="43">
        <v>0</v>
      </c>
      <c r="AA65" s="43">
        <v>0</v>
      </c>
      <c r="AB65" s="43">
        <f t="shared" si="99"/>
        <v>31122</v>
      </c>
    </row>
    <row r="66" spans="1:28" ht="62.4" x14ac:dyDescent="0.3">
      <c r="A66" s="8">
        <v>6</v>
      </c>
      <c r="B66" s="69" t="s">
        <v>153</v>
      </c>
      <c r="C66" s="75" t="s">
        <v>154</v>
      </c>
      <c r="D66" s="76">
        <v>57700</v>
      </c>
      <c r="E66" s="77" t="s">
        <v>144</v>
      </c>
      <c r="F66" s="78">
        <v>0</v>
      </c>
      <c r="G66" s="79">
        <f>61200/31*F66</f>
        <v>0</v>
      </c>
      <c r="H66" s="79">
        <f t="shared" ref="H66" si="113">ROUND((G66)*12%,0)</f>
        <v>0</v>
      </c>
      <c r="I66" s="79">
        <f>5400/30*F66</f>
        <v>0</v>
      </c>
      <c r="J66" s="79">
        <f t="shared" si="102"/>
        <v>0</v>
      </c>
      <c r="K66" s="79">
        <f>((500/31)*F66)</f>
        <v>0</v>
      </c>
      <c r="L66" s="79">
        <v>0</v>
      </c>
      <c r="M66" s="79">
        <f t="shared" ref="M66" si="114">((3000/31)*F66)</f>
        <v>0</v>
      </c>
      <c r="N66" s="79">
        <f>ROUND((G66+H66)*14%,0)</f>
        <v>0</v>
      </c>
      <c r="O66" s="79">
        <v>0</v>
      </c>
      <c r="P66" s="80">
        <f t="shared" ref="P66" si="115">SUM(G66:O66)</f>
        <v>0</v>
      </c>
      <c r="Q66" s="80">
        <f t="shared" si="2"/>
        <v>0</v>
      </c>
      <c r="R66" s="80">
        <f t="shared" si="95"/>
        <v>0</v>
      </c>
      <c r="S66" s="79">
        <f t="shared" si="96"/>
        <v>0</v>
      </c>
      <c r="T66" s="79">
        <f>N66</f>
        <v>0</v>
      </c>
      <c r="U66" s="79">
        <f t="shared" si="98"/>
        <v>0</v>
      </c>
      <c r="V66" s="79">
        <v>0</v>
      </c>
      <c r="W66" s="79">
        <v>0</v>
      </c>
      <c r="X66" s="79">
        <v>0</v>
      </c>
      <c r="Y66" s="79">
        <v>0</v>
      </c>
      <c r="Z66" s="79">
        <v>0</v>
      </c>
      <c r="AA66" s="79">
        <v>0</v>
      </c>
      <c r="AB66" s="79">
        <f t="shared" si="99"/>
        <v>0</v>
      </c>
    </row>
    <row r="67" spans="1:28" ht="78" x14ac:dyDescent="0.3">
      <c r="A67" s="8">
        <v>7</v>
      </c>
      <c r="B67" s="19" t="s">
        <v>155</v>
      </c>
      <c r="C67" s="51" t="s">
        <v>156</v>
      </c>
      <c r="D67" s="40">
        <v>57700</v>
      </c>
      <c r="E67" s="12" t="s">
        <v>144</v>
      </c>
      <c r="F67" s="82">
        <v>30</v>
      </c>
      <c r="G67" s="43">
        <f t="shared" ref="G67:G71" si="116">64900/30*F67</f>
        <v>64900.000000000007</v>
      </c>
      <c r="H67" s="43">
        <f>ROUND((G67)*34%,0)</f>
        <v>22066</v>
      </c>
      <c r="I67" s="46">
        <f t="shared" ref="I67:I70" si="117">5400/30*F67</f>
        <v>5400</v>
      </c>
      <c r="J67" s="43">
        <f t="shared" ref="J67:J70" si="118">ROUND((I67)*203%,0)</f>
        <v>10962</v>
      </c>
      <c r="K67" s="43">
        <f t="shared" ref="K67:K71" si="119">((500/30)*F67)</f>
        <v>500.00000000000006</v>
      </c>
      <c r="L67" s="43">
        <v>0</v>
      </c>
      <c r="M67" s="44">
        <f t="shared" ref="M67:M71" si="120">((3000/30)*F67)</f>
        <v>3000</v>
      </c>
      <c r="N67" s="44">
        <f t="shared" si="94"/>
        <v>12175</v>
      </c>
      <c r="O67" s="44">
        <v>0</v>
      </c>
      <c r="P67" s="45">
        <f>SUM(G67:O67)</f>
        <v>119003</v>
      </c>
      <c r="Q67" s="45">
        <f t="shared" si="2"/>
        <v>32022</v>
      </c>
      <c r="R67" s="45">
        <f t="shared" si="95"/>
        <v>86981</v>
      </c>
      <c r="S67" s="44">
        <f t="shared" si="96"/>
        <v>8697</v>
      </c>
      <c r="T67" s="43">
        <f t="shared" si="97"/>
        <v>12175</v>
      </c>
      <c r="U67" s="43">
        <f t="shared" si="98"/>
        <v>20872</v>
      </c>
      <c r="V67" s="46">
        <v>10000</v>
      </c>
      <c r="W67" s="44">
        <v>250</v>
      </c>
      <c r="X67" s="43">
        <v>900</v>
      </c>
      <c r="Y67" s="43">
        <v>0</v>
      </c>
      <c r="Z67" s="43">
        <v>0</v>
      </c>
      <c r="AA67" s="43">
        <v>0</v>
      </c>
      <c r="AB67" s="43">
        <f t="shared" si="99"/>
        <v>32022</v>
      </c>
    </row>
    <row r="68" spans="1:28" ht="62.4" x14ac:dyDescent="0.3">
      <c r="A68" s="8">
        <v>8</v>
      </c>
      <c r="B68" s="19" t="s">
        <v>157</v>
      </c>
      <c r="C68" s="50" t="s">
        <v>158</v>
      </c>
      <c r="D68" s="40">
        <v>57700</v>
      </c>
      <c r="E68" s="84" t="s">
        <v>144</v>
      </c>
      <c r="F68" s="82">
        <v>28</v>
      </c>
      <c r="G68" s="43">
        <f t="shared" ref="G68" si="121">66800/28*F68</f>
        <v>66800</v>
      </c>
      <c r="H68" s="43">
        <f t="shared" ref="H68" si="122">ROUND((G68)*38%,0)</f>
        <v>25384</v>
      </c>
      <c r="I68" s="49">
        <f t="shared" ref="I68" si="123">5400/28*F68</f>
        <v>5400</v>
      </c>
      <c r="J68" s="43">
        <f t="shared" si="118"/>
        <v>10962</v>
      </c>
      <c r="K68" s="43">
        <f t="shared" ref="K68" si="124">((500/28)*F68)</f>
        <v>500</v>
      </c>
      <c r="L68" s="43">
        <f>1080/28*F68</f>
        <v>1080</v>
      </c>
      <c r="M68" s="44">
        <f t="shared" ref="M68" si="125">((3000/28)*F68)</f>
        <v>3000</v>
      </c>
      <c r="N68" s="44">
        <f t="shared" si="94"/>
        <v>12906</v>
      </c>
      <c r="O68" s="44">
        <v>0</v>
      </c>
      <c r="P68" s="45">
        <f t="shared" ref="P68" si="126">SUM(G68:O68)</f>
        <v>126032</v>
      </c>
      <c r="Q68" s="58">
        <f t="shared" si="2"/>
        <v>57124</v>
      </c>
      <c r="R68" s="58">
        <f t="shared" si="95"/>
        <v>68908</v>
      </c>
      <c r="S68" s="44">
        <f t="shared" si="96"/>
        <v>9218</v>
      </c>
      <c r="T68" s="43">
        <f t="shared" si="97"/>
        <v>12906</v>
      </c>
      <c r="U68" s="44">
        <f t="shared" si="98"/>
        <v>22124</v>
      </c>
      <c r="V68" s="46">
        <v>35000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f t="shared" si="99"/>
        <v>57124</v>
      </c>
    </row>
    <row r="69" spans="1:28" ht="62.4" x14ac:dyDescent="0.3">
      <c r="A69" s="8">
        <v>9</v>
      </c>
      <c r="B69" s="19" t="s">
        <v>159</v>
      </c>
      <c r="C69" s="85" t="s">
        <v>160</v>
      </c>
      <c r="D69" s="86">
        <v>57700</v>
      </c>
      <c r="E69" s="12" t="s">
        <v>144</v>
      </c>
      <c r="F69" s="82">
        <v>30</v>
      </c>
      <c r="G69" s="43">
        <f t="shared" si="116"/>
        <v>64900.000000000007</v>
      </c>
      <c r="H69" s="43">
        <f t="shared" ref="H69:H71" si="127">ROUND((G69)*34%,0)</f>
        <v>22066</v>
      </c>
      <c r="I69" s="46">
        <f t="shared" si="117"/>
        <v>5400</v>
      </c>
      <c r="J69" s="43">
        <f t="shared" si="118"/>
        <v>10962</v>
      </c>
      <c r="K69" s="43">
        <f t="shared" si="119"/>
        <v>500.00000000000006</v>
      </c>
      <c r="L69" s="43">
        <v>0</v>
      </c>
      <c r="M69" s="44">
        <f t="shared" si="120"/>
        <v>3000</v>
      </c>
      <c r="N69" s="44">
        <f t="shared" si="94"/>
        <v>12175</v>
      </c>
      <c r="O69" s="44">
        <v>0</v>
      </c>
      <c r="P69" s="45">
        <f t="shared" ref="P69:P71" si="128">SUM(G69:O69)</f>
        <v>119003</v>
      </c>
      <c r="Q69" s="45">
        <f t="shared" ref="Q69:Q82" si="129">AB69</f>
        <v>31122</v>
      </c>
      <c r="R69" s="45">
        <f t="shared" si="95"/>
        <v>87881</v>
      </c>
      <c r="S69" s="44">
        <f t="shared" si="96"/>
        <v>8697</v>
      </c>
      <c r="T69" s="43">
        <f t="shared" si="97"/>
        <v>12175</v>
      </c>
      <c r="U69" s="43">
        <f t="shared" si="98"/>
        <v>20872</v>
      </c>
      <c r="V69" s="46">
        <v>10000</v>
      </c>
      <c r="W69" s="44">
        <v>250</v>
      </c>
      <c r="X69" s="43">
        <v>0</v>
      </c>
      <c r="Y69" s="43">
        <v>0</v>
      </c>
      <c r="Z69" s="43">
        <v>0</v>
      </c>
      <c r="AA69" s="43">
        <v>0</v>
      </c>
      <c r="AB69" s="43">
        <f>ROUND((U69+V69+W69+X69+Y69+Z69+AA69),0)</f>
        <v>31122</v>
      </c>
    </row>
    <row r="70" spans="1:28" ht="46.8" x14ac:dyDescent="0.3">
      <c r="A70" s="8">
        <v>10</v>
      </c>
      <c r="B70" s="19" t="s">
        <v>161</v>
      </c>
      <c r="C70" s="50" t="s">
        <v>162</v>
      </c>
      <c r="D70" s="86">
        <v>57700</v>
      </c>
      <c r="E70" s="12" t="s">
        <v>144</v>
      </c>
      <c r="F70" s="82">
        <v>30</v>
      </c>
      <c r="G70" s="43">
        <f t="shared" si="116"/>
        <v>64900.000000000007</v>
      </c>
      <c r="H70" s="43">
        <f t="shared" si="127"/>
        <v>22066</v>
      </c>
      <c r="I70" s="46">
        <f t="shared" si="117"/>
        <v>5400</v>
      </c>
      <c r="J70" s="43">
        <f t="shared" si="118"/>
        <v>10962</v>
      </c>
      <c r="K70" s="43">
        <f t="shared" si="119"/>
        <v>500.00000000000006</v>
      </c>
      <c r="L70" s="43">
        <v>0</v>
      </c>
      <c r="M70" s="44">
        <f t="shared" si="120"/>
        <v>3000</v>
      </c>
      <c r="N70" s="44">
        <f t="shared" si="94"/>
        <v>12175</v>
      </c>
      <c r="O70" s="44">
        <v>0</v>
      </c>
      <c r="P70" s="45">
        <f t="shared" si="128"/>
        <v>119003</v>
      </c>
      <c r="Q70" s="45">
        <f t="shared" si="129"/>
        <v>32022</v>
      </c>
      <c r="R70" s="45">
        <f t="shared" si="95"/>
        <v>86981</v>
      </c>
      <c r="S70" s="44">
        <f t="shared" si="96"/>
        <v>8697</v>
      </c>
      <c r="T70" s="43">
        <f t="shared" si="97"/>
        <v>12175</v>
      </c>
      <c r="U70" s="43">
        <f t="shared" si="98"/>
        <v>20872</v>
      </c>
      <c r="V70" s="46">
        <v>10000</v>
      </c>
      <c r="W70" s="44">
        <v>250</v>
      </c>
      <c r="X70" s="43">
        <v>900</v>
      </c>
      <c r="Y70" s="43">
        <v>0</v>
      </c>
      <c r="Z70" s="43">
        <v>0</v>
      </c>
      <c r="AA70" s="43">
        <v>0</v>
      </c>
      <c r="AB70" s="43">
        <f t="shared" ref="AB70:AB71" si="130">ROUND((U70+V70+W70+X70+Y70+Z70+AA70),0)</f>
        <v>32022</v>
      </c>
    </row>
    <row r="71" spans="1:28" ht="62.4" x14ac:dyDescent="0.3">
      <c r="A71" s="8">
        <v>11</v>
      </c>
      <c r="B71" s="19" t="s">
        <v>163</v>
      </c>
      <c r="C71" s="51" t="s">
        <v>164</v>
      </c>
      <c r="D71" s="86">
        <v>57700</v>
      </c>
      <c r="E71" s="12" t="s">
        <v>144</v>
      </c>
      <c r="F71" s="82">
        <v>30</v>
      </c>
      <c r="G71" s="43">
        <f t="shared" si="116"/>
        <v>64900.000000000007</v>
      </c>
      <c r="H71" s="43">
        <f t="shared" si="127"/>
        <v>22066</v>
      </c>
      <c r="I71" s="43">
        <v>0</v>
      </c>
      <c r="J71" s="43">
        <v>0</v>
      </c>
      <c r="K71" s="43">
        <f t="shared" si="119"/>
        <v>500.00000000000006</v>
      </c>
      <c r="L71" s="43">
        <v>0</v>
      </c>
      <c r="M71" s="44">
        <f t="shared" si="120"/>
        <v>3000</v>
      </c>
      <c r="N71" s="44">
        <f t="shared" si="94"/>
        <v>12175</v>
      </c>
      <c r="O71" s="44">
        <v>0</v>
      </c>
      <c r="P71" s="45">
        <f t="shared" si="128"/>
        <v>102641</v>
      </c>
      <c r="Q71" s="45">
        <f t="shared" si="129"/>
        <v>28522</v>
      </c>
      <c r="R71" s="45">
        <f>P71-Q71</f>
        <v>74119</v>
      </c>
      <c r="S71" s="44">
        <f t="shared" si="96"/>
        <v>8697</v>
      </c>
      <c r="T71" s="43">
        <f t="shared" si="97"/>
        <v>12175</v>
      </c>
      <c r="U71" s="43">
        <f>+T71+S71</f>
        <v>20872</v>
      </c>
      <c r="V71" s="46">
        <v>6500</v>
      </c>
      <c r="W71" s="44">
        <v>250</v>
      </c>
      <c r="X71" s="43">
        <v>900</v>
      </c>
      <c r="Y71" s="43">
        <v>0</v>
      </c>
      <c r="Z71" s="43">
        <v>0</v>
      </c>
      <c r="AA71" s="43">
        <v>0</v>
      </c>
      <c r="AB71" s="43">
        <f t="shared" si="130"/>
        <v>28522</v>
      </c>
    </row>
    <row r="72" spans="1:28" ht="46.8" x14ac:dyDescent="0.3">
      <c r="A72" s="8">
        <v>12</v>
      </c>
      <c r="B72" s="19" t="s">
        <v>165</v>
      </c>
      <c r="C72" s="52" t="s">
        <v>166</v>
      </c>
      <c r="D72" s="53">
        <v>57700</v>
      </c>
      <c r="E72" s="23" t="s">
        <v>144</v>
      </c>
      <c r="F72" s="87">
        <v>30</v>
      </c>
      <c r="G72" s="56">
        <f>64900/30*F72</f>
        <v>64900.000000000007</v>
      </c>
      <c r="H72" s="56">
        <f>ROUND((G72)*34%,0)</f>
        <v>22066</v>
      </c>
      <c r="I72" s="46">
        <f>5400/30*F72</f>
        <v>5400</v>
      </c>
      <c r="J72" s="56">
        <f>ROUND((I72)*203%,0)</f>
        <v>10962</v>
      </c>
      <c r="K72" s="56">
        <f>((500/30)*F72)</f>
        <v>500.00000000000006</v>
      </c>
      <c r="L72" s="56">
        <v>0</v>
      </c>
      <c r="M72" s="56">
        <f>((3000/30)*F72)</f>
        <v>3000</v>
      </c>
      <c r="N72" s="56">
        <f>ROUND((G72+H72)*14%,0)</f>
        <v>12175</v>
      </c>
      <c r="O72" s="56">
        <v>0</v>
      </c>
      <c r="P72" s="57">
        <f>SUM(G72:O72)</f>
        <v>119003</v>
      </c>
      <c r="Q72" s="57">
        <f t="shared" si="129"/>
        <v>32022</v>
      </c>
      <c r="R72" s="57">
        <f>P72-Q72</f>
        <v>86981</v>
      </c>
      <c r="S72" s="56">
        <f t="shared" si="96"/>
        <v>8697</v>
      </c>
      <c r="T72" s="56">
        <f>N72</f>
        <v>12175</v>
      </c>
      <c r="U72" s="56">
        <f>+T72+S72</f>
        <v>20872</v>
      </c>
      <c r="V72" s="46">
        <v>10000</v>
      </c>
      <c r="W72" s="56">
        <v>250</v>
      </c>
      <c r="X72" s="56">
        <v>900</v>
      </c>
      <c r="Y72" s="56">
        <v>0</v>
      </c>
      <c r="Z72" s="56">
        <v>0</v>
      </c>
      <c r="AA72" s="56">
        <v>0</v>
      </c>
      <c r="AB72" s="56">
        <f t="shared" si="99"/>
        <v>32022</v>
      </c>
    </row>
    <row r="73" spans="1:28" ht="62.4" x14ac:dyDescent="0.3">
      <c r="A73" s="8">
        <v>13</v>
      </c>
      <c r="B73" s="19" t="s">
        <v>167</v>
      </c>
      <c r="C73" s="52" t="s">
        <v>168</v>
      </c>
      <c r="D73" s="53">
        <v>57700</v>
      </c>
      <c r="E73" s="23" t="s">
        <v>144</v>
      </c>
      <c r="F73" s="87">
        <v>30</v>
      </c>
      <c r="G73" s="56">
        <f t="shared" ref="G73:G74" si="131">64900/30*F73</f>
        <v>64900.000000000007</v>
      </c>
      <c r="H73" s="56">
        <f t="shared" ref="H73:H74" si="132">ROUND((G73)*34%,0)</f>
        <v>22066</v>
      </c>
      <c r="I73" s="56">
        <v>0</v>
      </c>
      <c r="J73" s="56">
        <v>0</v>
      </c>
      <c r="K73" s="56">
        <f t="shared" ref="K73:K74" si="133">((500/30)*F73)</f>
        <v>500.00000000000006</v>
      </c>
      <c r="L73" s="56">
        <f>1080/30*F73</f>
        <v>1080</v>
      </c>
      <c r="M73" s="56">
        <f t="shared" ref="M73:M74" si="134">((3000/30)*F73)</f>
        <v>3000</v>
      </c>
      <c r="N73" s="56">
        <f t="shared" ref="N73:N76" si="135">ROUND((G73+H73)*14%,0)</f>
        <v>12175</v>
      </c>
      <c r="O73" s="56">
        <v>0</v>
      </c>
      <c r="P73" s="57">
        <f t="shared" ref="P73:P74" si="136">SUM(G73:O73)</f>
        <v>103721</v>
      </c>
      <c r="Q73" s="57">
        <f t="shared" si="129"/>
        <v>27622</v>
      </c>
      <c r="R73" s="57">
        <f>P73-Q73</f>
        <v>76099</v>
      </c>
      <c r="S73" s="56">
        <f t="shared" si="96"/>
        <v>8697</v>
      </c>
      <c r="T73" s="56">
        <f t="shared" ref="T73:T76" si="137">N73</f>
        <v>12175</v>
      </c>
      <c r="U73" s="56">
        <f>+T73+S73</f>
        <v>20872</v>
      </c>
      <c r="V73" s="46">
        <v>6500</v>
      </c>
      <c r="W73" s="56">
        <v>250</v>
      </c>
      <c r="X73" s="56">
        <v>0</v>
      </c>
      <c r="Y73" s="56">
        <v>0</v>
      </c>
      <c r="Z73" s="56">
        <v>0</v>
      </c>
      <c r="AA73" s="56">
        <v>0</v>
      </c>
      <c r="AB73" s="56">
        <f t="shared" si="99"/>
        <v>27622</v>
      </c>
    </row>
    <row r="74" spans="1:28" ht="46.8" x14ac:dyDescent="0.3">
      <c r="A74" s="8">
        <v>14</v>
      </c>
      <c r="B74" s="19" t="s">
        <v>169</v>
      </c>
      <c r="C74" s="52" t="s">
        <v>170</v>
      </c>
      <c r="D74" s="53">
        <v>57700</v>
      </c>
      <c r="E74" s="23" t="s">
        <v>144</v>
      </c>
      <c r="F74" s="87">
        <v>30</v>
      </c>
      <c r="G74" s="56">
        <f t="shared" si="131"/>
        <v>64900.000000000007</v>
      </c>
      <c r="H74" s="56">
        <f t="shared" si="132"/>
        <v>22066</v>
      </c>
      <c r="I74" s="46">
        <f t="shared" ref="I74:I81" si="138">5400/30*F74</f>
        <v>5400</v>
      </c>
      <c r="J74" s="56">
        <f>ROUND((I74)*203%,0)</f>
        <v>10962</v>
      </c>
      <c r="K74" s="56">
        <f t="shared" si="133"/>
        <v>500.00000000000006</v>
      </c>
      <c r="L74" s="56">
        <v>0</v>
      </c>
      <c r="M74" s="56">
        <f t="shared" si="134"/>
        <v>3000</v>
      </c>
      <c r="N74" s="56">
        <f t="shared" si="135"/>
        <v>12175</v>
      </c>
      <c r="O74" s="56">
        <v>0</v>
      </c>
      <c r="P74" s="57">
        <f t="shared" si="136"/>
        <v>119003</v>
      </c>
      <c r="Q74" s="57">
        <f t="shared" si="129"/>
        <v>31122</v>
      </c>
      <c r="R74" s="57">
        <f>P74-Q74</f>
        <v>87881</v>
      </c>
      <c r="S74" s="56">
        <f t="shared" si="96"/>
        <v>8697</v>
      </c>
      <c r="T74" s="56">
        <f t="shared" si="137"/>
        <v>12175</v>
      </c>
      <c r="U74" s="56">
        <f>+T74+S74</f>
        <v>20872</v>
      </c>
      <c r="V74" s="46">
        <v>10000</v>
      </c>
      <c r="W74" s="56">
        <v>250</v>
      </c>
      <c r="X74" s="56">
        <v>0</v>
      </c>
      <c r="Y74" s="56">
        <v>0</v>
      </c>
      <c r="Z74" s="56">
        <v>0</v>
      </c>
      <c r="AA74" s="56">
        <v>0</v>
      </c>
      <c r="AB74" s="56">
        <f t="shared" si="99"/>
        <v>31122</v>
      </c>
    </row>
    <row r="75" spans="1:28" ht="62.4" x14ac:dyDescent="0.3">
      <c r="A75" s="8">
        <v>15</v>
      </c>
      <c r="B75" s="19" t="s">
        <v>171</v>
      </c>
      <c r="C75" s="50" t="s">
        <v>172</v>
      </c>
      <c r="D75" s="40">
        <v>57700</v>
      </c>
      <c r="E75" s="84" t="s">
        <v>144</v>
      </c>
      <c r="F75" s="82">
        <v>30</v>
      </c>
      <c r="G75" s="44">
        <f>63000/30*F75</f>
        <v>63000</v>
      </c>
      <c r="H75" s="44">
        <f>ROUND((G75)*34%,0)</f>
        <v>21420</v>
      </c>
      <c r="I75" s="46">
        <f t="shared" si="138"/>
        <v>5400</v>
      </c>
      <c r="J75" s="43">
        <f>ROUND((I75)*203%,0)</f>
        <v>10962</v>
      </c>
      <c r="K75" s="43">
        <f>((500/30)*F75)</f>
        <v>500.00000000000006</v>
      </c>
      <c r="L75" s="44">
        <v>0</v>
      </c>
      <c r="M75" s="44">
        <f>((3000/30)*F75)</f>
        <v>3000</v>
      </c>
      <c r="N75" s="44">
        <f t="shared" si="135"/>
        <v>11819</v>
      </c>
      <c r="O75" s="44">
        <v>0</v>
      </c>
      <c r="P75" s="58">
        <f t="shared" ref="P75:P80" si="139">SUM(G75:O75)</f>
        <v>116101</v>
      </c>
      <c r="Q75" s="58">
        <f t="shared" si="129"/>
        <v>31411</v>
      </c>
      <c r="R75" s="58">
        <f t="shared" si="95"/>
        <v>84690</v>
      </c>
      <c r="S75" s="44">
        <f t="shared" si="96"/>
        <v>8442</v>
      </c>
      <c r="T75" s="44">
        <f t="shared" si="137"/>
        <v>11819</v>
      </c>
      <c r="U75" s="44">
        <f>+T75+S75</f>
        <v>20261</v>
      </c>
      <c r="V75" s="46">
        <v>10000</v>
      </c>
      <c r="W75" s="44">
        <v>250</v>
      </c>
      <c r="X75" s="44">
        <v>900</v>
      </c>
      <c r="Y75" s="44">
        <v>0</v>
      </c>
      <c r="Z75" s="44">
        <v>0</v>
      </c>
      <c r="AA75" s="44">
        <v>0</v>
      </c>
      <c r="AB75" s="44">
        <f t="shared" si="99"/>
        <v>31411</v>
      </c>
    </row>
    <row r="76" spans="1:28" ht="46.8" x14ac:dyDescent="0.3">
      <c r="A76" s="8">
        <v>16</v>
      </c>
      <c r="B76" s="88" t="s">
        <v>173</v>
      </c>
      <c r="C76" s="50" t="s">
        <v>174</v>
      </c>
      <c r="D76" s="40">
        <v>57700</v>
      </c>
      <c r="E76" s="84" t="s">
        <v>144</v>
      </c>
      <c r="F76" s="82">
        <v>30</v>
      </c>
      <c r="G76" s="44">
        <f>63000/30*F76</f>
        <v>63000</v>
      </c>
      <c r="H76" s="44">
        <f t="shared" ref="H76:H81" si="140">ROUND((G76)*34%,0)</f>
        <v>21420</v>
      </c>
      <c r="I76" s="46">
        <f t="shared" si="138"/>
        <v>5400</v>
      </c>
      <c r="J76" s="43">
        <f t="shared" ref="J76:J82" si="141">ROUND((I76)*203%,0)</f>
        <v>10962</v>
      </c>
      <c r="K76" s="43">
        <f t="shared" ref="K76:K81" si="142">((500/30)*F76)</f>
        <v>500.00000000000006</v>
      </c>
      <c r="L76" s="44">
        <v>0</v>
      </c>
      <c r="M76" s="44">
        <f t="shared" ref="M76:M81" si="143">((3000/30)*F76)</f>
        <v>3000</v>
      </c>
      <c r="N76" s="44">
        <f t="shared" si="135"/>
        <v>11819</v>
      </c>
      <c r="O76" s="44">
        <v>0</v>
      </c>
      <c r="P76" s="58">
        <f t="shared" si="139"/>
        <v>116101</v>
      </c>
      <c r="Q76" s="58">
        <f t="shared" si="129"/>
        <v>31411</v>
      </c>
      <c r="R76" s="58">
        <f t="shared" si="95"/>
        <v>84690</v>
      </c>
      <c r="S76" s="44">
        <f t="shared" si="96"/>
        <v>8442</v>
      </c>
      <c r="T76" s="44">
        <f t="shared" si="137"/>
        <v>11819</v>
      </c>
      <c r="U76" s="44">
        <f t="shared" ref="U76" si="144">+T76+S76</f>
        <v>20261</v>
      </c>
      <c r="V76" s="46">
        <v>10000</v>
      </c>
      <c r="W76" s="44">
        <v>250</v>
      </c>
      <c r="X76" s="44">
        <v>900</v>
      </c>
      <c r="Y76" s="44">
        <v>0</v>
      </c>
      <c r="Z76" s="44">
        <v>0</v>
      </c>
      <c r="AA76" s="44">
        <v>0</v>
      </c>
      <c r="AB76" s="44">
        <f t="shared" si="99"/>
        <v>31411</v>
      </c>
    </row>
    <row r="77" spans="1:28" ht="46.8" x14ac:dyDescent="0.3">
      <c r="A77" s="8">
        <v>17</v>
      </c>
      <c r="B77" s="66" t="s">
        <v>175</v>
      </c>
      <c r="C77" s="68" t="s">
        <v>176</v>
      </c>
      <c r="D77" s="40">
        <v>57700</v>
      </c>
      <c r="E77" s="84" t="s">
        <v>144</v>
      </c>
      <c r="F77" s="82">
        <v>30</v>
      </c>
      <c r="G77" s="44">
        <f>59400/30*F77</f>
        <v>59400</v>
      </c>
      <c r="H77" s="44">
        <f t="shared" si="140"/>
        <v>20196</v>
      </c>
      <c r="I77" s="46">
        <f t="shared" si="138"/>
        <v>5400</v>
      </c>
      <c r="J77" s="43">
        <f t="shared" si="141"/>
        <v>10962</v>
      </c>
      <c r="K77" s="43">
        <f t="shared" si="142"/>
        <v>500.00000000000006</v>
      </c>
      <c r="L77" s="43">
        <v>0</v>
      </c>
      <c r="M77" s="44">
        <f t="shared" si="143"/>
        <v>3000</v>
      </c>
      <c r="N77" s="44">
        <f>ROUND((G77+H77)*14%,0)</f>
        <v>11143</v>
      </c>
      <c r="O77" s="44">
        <v>0</v>
      </c>
      <c r="P77" s="58">
        <f t="shared" si="139"/>
        <v>110601</v>
      </c>
      <c r="Q77" s="58">
        <f t="shared" si="129"/>
        <v>29253</v>
      </c>
      <c r="R77" s="58">
        <f>P77-Q77</f>
        <v>81348</v>
      </c>
      <c r="S77" s="44">
        <f>ROUND((G77+H77)*10%,0)</f>
        <v>7960</v>
      </c>
      <c r="T77" s="44">
        <f>N77</f>
        <v>11143</v>
      </c>
      <c r="U77" s="44">
        <f>+T77+S77</f>
        <v>19103</v>
      </c>
      <c r="V77" s="46">
        <v>9000</v>
      </c>
      <c r="W77" s="44">
        <v>250</v>
      </c>
      <c r="X77" s="44">
        <v>900</v>
      </c>
      <c r="Y77" s="44">
        <v>0</v>
      </c>
      <c r="Z77" s="44">
        <v>0</v>
      </c>
      <c r="AA77" s="44">
        <v>0</v>
      </c>
      <c r="AB77" s="44">
        <f>ROUND((U77+V77+W77+X77+Y77+Z77+AA77),0)</f>
        <v>29253</v>
      </c>
    </row>
    <row r="78" spans="1:28" ht="78" x14ac:dyDescent="0.3">
      <c r="A78" s="8">
        <v>18</v>
      </c>
      <c r="B78" s="59" t="s">
        <v>177</v>
      </c>
      <c r="C78" s="67" t="s">
        <v>178</v>
      </c>
      <c r="D78" s="40">
        <v>57700</v>
      </c>
      <c r="E78" s="84" t="s">
        <v>144</v>
      </c>
      <c r="F78" s="82">
        <v>30</v>
      </c>
      <c r="G78" s="44">
        <f t="shared" ref="G78:G81" si="145">59400/30*F78</f>
        <v>59400</v>
      </c>
      <c r="H78" s="44">
        <f t="shared" si="140"/>
        <v>20196</v>
      </c>
      <c r="I78" s="46">
        <f t="shared" si="138"/>
        <v>5400</v>
      </c>
      <c r="J78" s="43">
        <f t="shared" si="141"/>
        <v>10962</v>
      </c>
      <c r="K78" s="43">
        <f t="shared" si="142"/>
        <v>500.00000000000006</v>
      </c>
      <c r="L78" s="44">
        <v>0</v>
      </c>
      <c r="M78" s="44">
        <f t="shared" si="143"/>
        <v>3000</v>
      </c>
      <c r="N78" s="44">
        <f>ROUND((G78+H78)*14%,0)</f>
        <v>11143</v>
      </c>
      <c r="O78" s="44">
        <v>0</v>
      </c>
      <c r="P78" s="58">
        <f t="shared" si="139"/>
        <v>110601</v>
      </c>
      <c r="Q78" s="58">
        <f t="shared" si="129"/>
        <v>29253</v>
      </c>
      <c r="R78" s="58">
        <f t="shared" ref="R78:R82" si="146">P78-Q78</f>
        <v>81348</v>
      </c>
      <c r="S78" s="44">
        <f t="shared" ref="S78:S82" si="147">ROUND((G78+H78)*10%,0)</f>
        <v>7960</v>
      </c>
      <c r="T78" s="44">
        <f>N78</f>
        <v>11143</v>
      </c>
      <c r="U78" s="44">
        <f t="shared" ref="U78:U82" si="148">+T78+S78</f>
        <v>19103</v>
      </c>
      <c r="V78" s="46">
        <v>9000</v>
      </c>
      <c r="W78" s="44">
        <v>250</v>
      </c>
      <c r="X78" s="44">
        <v>900</v>
      </c>
      <c r="Y78" s="44">
        <v>0</v>
      </c>
      <c r="Z78" s="44">
        <v>0</v>
      </c>
      <c r="AA78" s="44">
        <v>0</v>
      </c>
      <c r="AB78" s="44">
        <f t="shared" ref="AB78:AB82" si="149">ROUND((U78+V78+W78+X78+Y78+Z78+AA78),0)</f>
        <v>29253</v>
      </c>
    </row>
    <row r="79" spans="1:28" ht="46.8" x14ac:dyDescent="0.3">
      <c r="A79" s="8">
        <v>19</v>
      </c>
      <c r="B79" s="66" t="s">
        <v>179</v>
      </c>
      <c r="C79" s="89" t="s">
        <v>180</v>
      </c>
      <c r="D79" s="40">
        <v>57700</v>
      </c>
      <c r="E79" s="84" t="s">
        <v>144</v>
      </c>
      <c r="F79" s="82">
        <v>30</v>
      </c>
      <c r="G79" s="44">
        <f t="shared" si="145"/>
        <v>59400</v>
      </c>
      <c r="H79" s="44">
        <f t="shared" si="140"/>
        <v>20196</v>
      </c>
      <c r="I79" s="46">
        <f t="shared" si="138"/>
        <v>5400</v>
      </c>
      <c r="J79" s="43">
        <f t="shared" si="141"/>
        <v>10962</v>
      </c>
      <c r="K79" s="43">
        <f t="shared" si="142"/>
        <v>500.00000000000006</v>
      </c>
      <c r="L79" s="43">
        <f t="shared" ref="L79:L81" si="150">1080/30*F79</f>
        <v>1080</v>
      </c>
      <c r="M79" s="44">
        <f t="shared" si="143"/>
        <v>3000</v>
      </c>
      <c r="N79" s="44">
        <f t="shared" ref="N79:N82" si="151">ROUND((G79+H79)*14%,0)</f>
        <v>11143</v>
      </c>
      <c r="O79" s="44">
        <v>0</v>
      </c>
      <c r="P79" s="58">
        <f t="shared" si="139"/>
        <v>111681</v>
      </c>
      <c r="Q79" s="58">
        <f t="shared" si="129"/>
        <v>28353</v>
      </c>
      <c r="R79" s="58">
        <f t="shared" si="146"/>
        <v>83328</v>
      </c>
      <c r="S79" s="44">
        <f t="shared" si="147"/>
        <v>7960</v>
      </c>
      <c r="T79" s="44">
        <f t="shared" ref="T79:T82" si="152">N79</f>
        <v>11143</v>
      </c>
      <c r="U79" s="44">
        <f t="shared" si="148"/>
        <v>19103</v>
      </c>
      <c r="V79" s="46">
        <v>9000</v>
      </c>
      <c r="W79" s="44">
        <v>250</v>
      </c>
      <c r="X79" s="44">
        <v>0</v>
      </c>
      <c r="Y79" s="44">
        <v>0</v>
      </c>
      <c r="Z79" s="44">
        <v>0</v>
      </c>
      <c r="AA79" s="44">
        <v>0</v>
      </c>
      <c r="AB79" s="44">
        <f t="shared" si="149"/>
        <v>28353</v>
      </c>
    </row>
    <row r="80" spans="1:28" ht="62.4" x14ac:dyDescent="0.3">
      <c r="A80" s="8">
        <v>20</v>
      </c>
      <c r="B80" s="66" t="s">
        <v>181</v>
      </c>
      <c r="C80" s="89" t="s">
        <v>182</v>
      </c>
      <c r="D80" s="40">
        <v>57700</v>
      </c>
      <c r="E80" s="84" t="s">
        <v>144</v>
      </c>
      <c r="F80" s="82">
        <v>30</v>
      </c>
      <c r="G80" s="44">
        <f t="shared" si="145"/>
        <v>59400</v>
      </c>
      <c r="H80" s="44">
        <f t="shared" si="140"/>
        <v>20196</v>
      </c>
      <c r="I80" s="46">
        <f t="shared" si="138"/>
        <v>5400</v>
      </c>
      <c r="J80" s="43">
        <f t="shared" si="141"/>
        <v>10962</v>
      </c>
      <c r="K80" s="43">
        <f t="shared" si="142"/>
        <v>500.00000000000006</v>
      </c>
      <c r="L80" s="43">
        <f t="shared" si="150"/>
        <v>1080</v>
      </c>
      <c r="M80" s="44">
        <f t="shared" si="143"/>
        <v>3000</v>
      </c>
      <c r="N80" s="44">
        <f t="shared" si="151"/>
        <v>11143</v>
      </c>
      <c r="O80" s="44">
        <v>0</v>
      </c>
      <c r="P80" s="58">
        <f t="shared" si="139"/>
        <v>111681</v>
      </c>
      <c r="Q80" s="58">
        <f t="shared" si="129"/>
        <v>28353</v>
      </c>
      <c r="R80" s="58">
        <f t="shared" si="146"/>
        <v>83328</v>
      </c>
      <c r="S80" s="44">
        <f t="shared" si="147"/>
        <v>7960</v>
      </c>
      <c r="T80" s="44">
        <f t="shared" si="152"/>
        <v>11143</v>
      </c>
      <c r="U80" s="44">
        <f t="shared" si="148"/>
        <v>19103</v>
      </c>
      <c r="V80" s="46">
        <v>9000</v>
      </c>
      <c r="W80" s="44">
        <v>250</v>
      </c>
      <c r="X80" s="44">
        <v>0</v>
      </c>
      <c r="Y80" s="44">
        <v>0</v>
      </c>
      <c r="Z80" s="44">
        <v>0</v>
      </c>
      <c r="AA80" s="44">
        <v>0</v>
      </c>
      <c r="AB80" s="44">
        <f t="shared" si="149"/>
        <v>28353</v>
      </c>
    </row>
    <row r="81" spans="1:28" ht="78" x14ac:dyDescent="0.3">
      <c r="A81" s="8">
        <v>21</v>
      </c>
      <c r="B81" s="66" t="s">
        <v>183</v>
      </c>
      <c r="C81" s="89" t="s">
        <v>184</v>
      </c>
      <c r="D81" s="40">
        <v>57700</v>
      </c>
      <c r="E81" s="84" t="s">
        <v>144</v>
      </c>
      <c r="F81" s="82">
        <v>30</v>
      </c>
      <c r="G81" s="44">
        <f t="shared" si="145"/>
        <v>59400</v>
      </c>
      <c r="H81" s="44">
        <f t="shared" si="140"/>
        <v>20196</v>
      </c>
      <c r="I81" s="46">
        <f t="shared" si="138"/>
        <v>5400</v>
      </c>
      <c r="J81" s="43">
        <f t="shared" si="141"/>
        <v>10962</v>
      </c>
      <c r="K81" s="43">
        <f t="shared" si="142"/>
        <v>500.00000000000006</v>
      </c>
      <c r="L81" s="43">
        <f t="shared" si="150"/>
        <v>1080</v>
      </c>
      <c r="M81" s="44">
        <f t="shared" si="143"/>
        <v>3000</v>
      </c>
      <c r="N81" s="44">
        <f t="shared" si="151"/>
        <v>11143</v>
      </c>
      <c r="O81" s="44">
        <v>0</v>
      </c>
      <c r="P81" s="58">
        <f t="shared" ref="P81:P82" si="153">SUM(G81:O81)</f>
        <v>111681</v>
      </c>
      <c r="Q81" s="58">
        <f t="shared" si="129"/>
        <v>28353</v>
      </c>
      <c r="R81" s="58">
        <f t="shared" si="146"/>
        <v>83328</v>
      </c>
      <c r="S81" s="44">
        <f t="shared" si="147"/>
        <v>7960</v>
      </c>
      <c r="T81" s="44">
        <f t="shared" si="152"/>
        <v>11143</v>
      </c>
      <c r="U81" s="44">
        <f t="shared" si="148"/>
        <v>19103</v>
      </c>
      <c r="V81" s="46">
        <v>9000</v>
      </c>
      <c r="W81" s="44">
        <v>250</v>
      </c>
      <c r="X81" s="44">
        <v>0</v>
      </c>
      <c r="Y81" s="44">
        <v>0</v>
      </c>
      <c r="Z81" s="44">
        <v>0</v>
      </c>
      <c r="AA81" s="44">
        <v>0</v>
      </c>
      <c r="AB81" s="44">
        <f t="shared" si="149"/>
        <v>28353</v>
      </c>
    </row>
    <row r="82" spans="1:28" ht="46.8" x14ac:dyDescent="0.3">
      <c r="A82" s="8">
        <v>21</v>
      </c>
      <c r="B82" s="90" t="s">
        <v>185</v>
      </c>
      <c r="C82" s="89" t="s">
        <v>186</v>
      </c>
      <c r="D82" s="40">
        <v>57700</v>
      </c>
      <c r="E82" s="84" t="s">
        <v>144</v>
      </c>
      <c r="F82" s="82">
        <v>28</v>
      </c>
      <c r="G82" s="44">
        <f>57700/28*F82</f>
        <v>57700</v>
      </c>
      <c r="H82" s="44">
        <f>ROUND((G82)*38%,0)</f>
        <v>21926</v>
      </c>
      <c r="I82" s="44">
        <v>0</v>
      </c>
      <c r="J82" s="43">
        <f t="shared" si="141"/>
        <v>0</v>
      </c>
      <c r="K82" s="43">
        <f t="shared" ref="K82" si="154">((500/28)*F82)</f>
        <v>500</v>
      </c>
      <c r="L82" s="43">
        <v>0</v>
      </c>
      <c r="M82" s="44">
        <f t="shared" ref="M82" si="155">((3000/28)*F82)</f>
        <v>3000</v>
      </c>
      <c r="N82" s="44">
        <f t="shared" si="151"/>
        <v>11148</v>
      </c>
      <c r="O82" s="44">
        <v>0</v>
      </c>
      <c r="P82" s="58">
        <f t="shared" si="153"/>
        <v>94274</v>
      </c>
      <c r="Q82" s="58">
        <f t="shared" si="129"/>
        <v>19111</v>
      </c>
      <c r="R82" s="58">
        <f t="shared" si="146"/>
        <v>75163</v>
      </c>
      <c r="S82" s="44">
        <f t="shared" si="147"/>
        <v>7963</v>
      </c>
      <c r="T82" s="44">
        <f t="shared" si="152"/>
        <v>11148</v>
      </c>
      <c r="U82" s="44">
        <f t="shared" si="148"/>
        <v>19111</v>
      </c>
      <c r="V82" s="46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f t="shared" si="149"/>
        <v>19111</v>
      </c>
    </row>
  </sheetData>
  <mergeCells count="2">
    <mergeCell ref="A1:AB1"/>
    <mergeCell ref="A2:AB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91934</dc:creator>
  <cp:lastModifiedBy>91934</cp:lastModifiedBy>
  <dcterms:created xsi:type="dcterms:W3CDTF">2023-05-05T13:25:23Z</dcterms:created>
  <dcterms:modified xsi:type="dcterms:W3CDTF">2023-05-05T13:25:43Z</dcterms:modified>
</cp:coreProperties>
</file>