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153181a97b68af/Desktop/MTN ACE/presenations/"/>
    </mc:Choice>
  </mc:AlternateContent>
  <xr:revisionPtr revIDLastSave="117" documentId="8_{86CE5F5F-FFA5-4091-883C-C6B50B780F78}" xr6:coauthVersionLast="47" xr6:coauthVersionMax="47" xr10:uidLastSave="{F203819E-63DE-4B2B-A64B-650729EE25C5}"/>
  <bookViews>
    <workbookView xWindow="-98" yWindow="-98" windowWidth="19396" windowHeight="10276" xr2:uid="{00000000-000D-0000-FFFF-FFFF00000000}"/>
  </bookViews>
  <sheets>
    <sheet name="FTTH" sheetId="1" r:id="rId1"/>
  </sheets>
  <definedNames>
    <definedName name="_xlnm._FilterDatabase" localSheetId="0" hidden="1">FTTH!$A$1:$U$299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9" i="1" l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J270" i="1"/>
  <c r="I270" i="1"/>
  <c r="M269" i="1"/>
  <c r="J269" i="1"/>
  <c r="I269" i="1"/>
  <c r="M268" i="1"/>
  <c r="J268" i="1"/>
  <c r="I268" i="1"/>
  <c r="M267" i="1"/>
  <c r="J267" i="1"/>
  <c r="I267" i="1"/>
  <c r="M266" i="1"/>
  <c r="J266" i="1"/>
  <c r="I266" i="1"/>
  <c r="M265" i="1"/>
  <c r="M264" i="1"/>
  <c r="M263" i="1"/>
  <c r="M262" i="1"/>
  <c r="J262" i="1"/>
  <c r="I262" i="1"/>
  <c r="M261" i="1"/>
  <c r="J261" i="1"/>
  <c r="I261" i="1"/>
  <c r="M260" i="1"/>
  <c r="M259" i="1"/>
  <c r="Q258" i="1"/>
  <c r="P258" i="1"/>
  <c r="M258" i="1"/>
  <c r="Q257" i="1"/>
  <c r="P257" i="1"/>
  <c r="M257" i="1"/>
  <c r="Q256" i="1"/>
  <c r="P256" i="1"/>
  <c r="M256" i="1"/>
  <c r="Q255" i="1"/>
  <c r="P255" i="1"/>
  <c r="M255" i="1"/>
  <c r="M254" i="1"/>
  <c r="Q253" i="1"/>
  <c r="P253" i="1"/>
  <c r="M253" i="1"/>
  <c r="Q252" i="1"/>
  <c r="P252" i="1"/>
  <c r="M252" i="1"/>
  <c r="Q251" i="1"/>
  <c r="P251" i="1"/>
  <c r="M251" i="1"/>
  <c r="Q250" i="1"/>
  <c r="P250" i="1"/>
  <c r="M250" i="1"/>
  <c r="Q249" i="1"/>
  <c r="P249" i="1"/>
  <c r="M249" i="1"/>
  <c r="Q248" i="1"/>
  <c r="P248" i="1"/>
  <c r="M248" i="1"/>
  <c r="Q247" i="1"/>
  <c r="P247" i="1"/>
  <c r="M247" i="1"/>
  <c r="Q246" i="1"/>
  <c r="P246" i="1"/>
  <c r="M246" i="1"/>
  <c r="J246" i="1"/>
  <c r="I246" i="1"/>
  <c r="Q245" i="1"/>
  <c r="P245" i="1"/>
  <c r="M245" i="1"/>
  <c r="Q244" i="1"/>
  <c r="P244" i="1"/>
  <c r="M244" i="1"/>
  <c r="Q243" i="1"/>
  <c r="P243" i="1"/>
  <c r="M243" i="1"/>
  <c r="Q242" i="1"/>
  <c r="P242" i="1"/>
  <c r="M242" i="1"/>
  <c r="Q241" i="1"/>
  <c r="P241" i="1"/>
  <c r="M241" i="1"/>
  <c r="J241" i="1"/>
  <c r="I241" i="1"/>
  <c r="H241" i="1"/>
  <c r="G241" i="1"/>
  <c r="Q240" i="1"/>
  <c r="P240" i="1"/>
  <c r="M240" i="1"/>
  <c r="Q239" i="1"/>
  <c r="P239" i="1"/>
  <c r="M239" i="1"/>
  <c r="Q238" i="1"/>
  <c r="P238" i="1"/>
  <c r="M238" i="1"/>
  <c r="Q237" i="1"/>
  <c r="P237" i="1"/>
  <c r="M237" i="1"/>
  <c r="Q236" i="1"/>
  <c r="P236" i="1"/>
  <c r="M236" i="1"/>
  <c r="Q235" i="1"/>
  <c r="P235" i="1"/>
  <c r="M235" i="1"/>
  <c r="Q234" i="1"/>
  <c r="P234" i="1"/>
  <c r="M234" i="1"/>
  <c r="Q233" i="1"/>
  <c r="P233" i="1"/>
  <c r="M233" i="1"/>
  <c r="J233" i="1"/>
  <c r="I233" i="1"/>
  <c r="H233" i="1"/>
  <c r="G233" i="1"/>
  <c r="Q232" i="1"/>
  <c r="P232" i="1"/>
  <c r="M232" i="1"/>
  <c r="Q231" i="1"/>
  <c r="P231" i="1"/>
  <c r="M231" i="1"/>
  <c r="Q230" i="1"/>
  <c r="P230" i="1"/>
  <c r="M230" i="1"/>
  <c r="Q229" i="1"/>
  <c r="P229" i="1"/>
  <c r="M229" i="1"/>
  <c r="Q228" i="1"/>
  <c r="P228" i="1"/>
  <c r="M228" i="1"/>
  <c r="Q227" i="1"/>
  <c r="P227" i="1"/>
  <c r="M227" i="1"/>
  <c r="Q226" i="1"/>
  <c r="P226" i="1"/>
  <c r="M226" i="1"/>
  <c r="Q225" i="1"/>
  <c r="P225" i="1"/>
  <c r="M225" i="1"/>
  <c r="J225" i="1"/>
  <c r="I225" i="1"/>
  <c r="H225" i="1"/>
  <c r="G225" i="1"/>
  <c r="Q224" i="1"/>
  <c r="P224" i="1"/>
  <c r="M224" i="1"/>
  <c r="Q223" i="1"/>
  <c r="P223" i="1"/>
  <c r="M223" i="1"/>
  <c r="Q222" i="1"/>
  <c r="P222" i="1"/>
  <c r="M222" i="1"/>
  <c r="J222" i="1"/>
  <c r="I222" i="1"/>
  <c r="H222" i="1"/>
  <c r="G222" i="1"/>
  <c r="Q221" i="1"/>
  <c r="P221" i="1"/>
  <c r="M221" i="1"/>
  <c r="Q220" i="1"/>
  <c r="P220" i="1"/>
  <c r="M220" i="1"/>
  <c r="Q219" i="1"/>
  <c r="P219" i="1"/>
  <c r="M219" i="1"/>
  <c r="J219" i="1"/>
  <c r="I219" i="1"/>
  <c r="H219" i="1"/>
  <c r="G219" i="1"/>
  <c r="Q218" i="1"/>
  <c r="P218" i="1"/>
  <c r="M218" i="1"/>
  <c r="Q217" i="1"/>
  <c r="P217" i="1"/>
  <c r="M217" i="1"/>
  <c r="Q216" i="1"/>
  <c r="P216" i="1"/>
  <c r="M216" i="1"/>
  <c r="Q215" i="1"/>
  <c r="P215" i="1"/>
  <c r="M215" i="1"/>
  <c r="Q214" i="1"/>
  <c r="P214" i="1"/>
  <c r="M214" i="1"/>
  <c r="Q213" i="1"/>
  <c r="P213" i="1"/>
  <c r="M213" i="1"/>
  <c r="Q212" i="1"/>
  <c r="P212" i="1"/>
  <c r="M212" i="1"/>
  <c r="Q211" i="1"/>
  <c r="P211" i="1"/>
  <c r="M211" i="1"/>
  <c r="Q210" i="1"/>
  <c r="P210" i="1"/>
  <c r="M210" i="1"/>
  <c r="Q209" i="1"/>
  <c r="P209" i="1"/>
  <c r="M209" i="1"/>
  <c r="Q208" i="1"/>
  <c r="P208" i="1"/>
  <c r="M208" i="1"/>
  <c r="Q207" i="1"/>
  <c r="P207" i="1"/>
  <c r="M207" i="1"/>
  <c r="Q206" i="1"/>
  <c r="P206" i="1"/>
  <c r="M206" i="1"/>
  <c r="Q205" i="1"/>
  <c r="P205" i="1"/>
  <c r="M205" i="1"/>
  <c r="Q204" i="1"/>
  <c r="P204" i="1"/>
  <c r="M204" i="1"/>
  <c r="Q203" i="1"/>
  <c r="P203" i="1"/>
  <c r="M203" i="1"/>
  <c r="Q202" i="1"/>
  <c r="P202" i="1"/>
  <c r="M202" i="1"/>
  <c r="J202" i="1"/>
  <c r="Q201" i="1"/>
  <c r="P201" i="1"/>
  <c r="M201" i="1"/>
  <c r="Q200" i="1"/>
  <c r="P200" i="1"/>
  <c r="M200" i="1"/>
  <c r="Q199" i="1"/>
  <c r="P199" i="1"/>
  <c r="M199" i="1"/>
  <c r="Q198" i="1"/>
  <c r="P198" i="1"/>
  <c r="M198" i="1"/>
  <c r="Q197" i="1"/>
  <c r="P197" i="1"/>
  <c r="M197" i="1"/>
  <c r="Q196" i="1"/>
  <c r="P196" i="1"/>
  <c r="M196" i="1"/>
  <c r="Q195" i="1"/>
  <c r="P195" i="1"/>
  <c r="M195" i="1"/>
  <c r="J195" i="1"/>
  <c r="I195" i="1"/>
  <c r="H195" i="1"/>
  <c r="G195" i="1"/>
  <c r="Q194" i="1"/>
  <c r="P194" i="1"/>
  <c r="M194" i="1"/>
  <c r="Q193" i="1"/>
  <c r="P193" i="1"/>
  <c r="M193" i="1"/>
  <c r="Q192" i="1"/>
  <c r="P192" i="1"/>
  <c r="M192" i="1"/>
  <c r="Q191" i="1"/>
  <c r="P191" i="1"/>
  <c r="M191" i="1"/>
  <c r="Q190" i="1"/>
  <c r="P190" i="1"/>
  <c r="M190" i="1"/>
  <c r="J190" i="1"/>
  <c r="I190" i="1"/>
  <c r="H190" i="1"/>
  <c r="G190" i="1"/>
  <c r="Q189" i="1"/>
  <c r="P189" i="1"/>
  <c r="M189" i="1"/>
  <c r="J189" i="1"/>
  <c r="I189" i="1"/>
  <c r="H189" i="1"/>
  <c r="G189" i="1"/>
  <c r="Q188" i="1"/>
  <c r="P188" i="1"/>
  <c r="M188" i="1"/>
  <c r="J188" i="1"/>
  <c r="I188" i="1"/>
  <c r="H188" i="1"/>
  <c r="Q187" i="1"/>
  <c r="P187" i="1"/>
  <c r="M187" i="1"/>
  <c r="J187" i="1"/>
  <c r="I187" i="1"/>
  <c r="H187" i="1"/>
  <c r="G187" i="1"/>
  <c r="Q186" i="1"/>
  <c r="P186" i="1"/>
  <c r="M186" i="1"/>
  <c r="J186" i="1"/>
  <c r="I186" i="1"/>
  <c r="H186" i="1"/>
  <c r="G186" i="1"/>
  <c r="Q185" i="1"/>
  <c r="P185" i="1"/>
  <c r="M185" i="1"/>
  <c r="Q184" i="1"/>
  <c r="P184" i="1"/>
  <c r="M184" i="1"/>
  <c r="Q183" i="1"/>
  <c r="P183" i="1"/>
  <c r="M183" i="1"/>
  <c r="Q182" i="1"/>
  <c r="P182" i="1"/>
  <c r="M182" i="1"/>
  <c r="Q181" i="1"/>
  <c r="P181" i="1"/>
  <c r="M181" i="1"/>
  <c r="Q180" i="1"/>
  <c r="P180" i="1"/>
  <c r="M180" i="1"/>
  <c r="Q179" i="1"/>
  <c r="P179" i="1"/>
  <c r="M179" i="1"/>
  <c r="Q178" i="1"/>
  <c r="P178" i="1"/>
  <c r="M178" i="1"/>
  <c r="Q177" i="1"/>
  <c r="P177" i="1"/>
  <c r="M177" i="1"/>
  <c r="Q176" i="1"/>
  <c r="P176" i="1"/>
  <c r="M176" i="1"/>
  <c r="Q175" i="1"/>
  <c r="P175" i="1"/>
  <c r="M175" i="1"/>
  <c r="Q174" i="1"/>
  <c r="P174" i="1"/>
  <c r="M174" i="1"/>
  <c r="Q173" i="1"/>
  <c r="P173" i="1"/>
  <c r="M173" i="1"/>
  <c r="Q172" i="1"/>
  <c r="P172" i="1"/>
  <c r="M172" i="1"/>
  <c r="Q171" i="1"/>
  <c r="P171" i="1"/>
  <c r="M171" i="1"/>
  <c r="Q170" i="1"/>
  <c r="P170" i="1"/>
  <c r="M170" i="1"/>
  <c r="Q169" i="1"/>
  <c r="P169" i="1"/>
  <c r="M169" i="1"/>
  <c r="Q168" i="1"/>
  <c r="P168" i="1"/>
  <c r="M168" i="1"/>
  <c r="Q167" i="1"/>
  <c r="P167" i="1"/>
  <c r="M167" i="1"/>
  <c r="Q166" i="1"/>
  <c r="P166" i="1"/>
  <c r="M166" i="1"/>
  <c r="Q165" i="1"/>
  <c r="P165" i="1"/>
  <c r="M165" i="1"/>
  <c r="Q164" i="1"/>
  <c r="P164" i="1"/>
  <c r="M164" i="1"/>
  <c r="Q163" i="1"/>
  <c r="P163" i="1"/>
  <c r="M163" i="1"/>
  <c r="Q162" i="1"/>
  <c r="P162" i="1"/>
  <c r="M162" i="1"/>
  <c r="Q161" i="1"/>
  <c r="P161" i="1"/>
  <c r="M161" i="1"/>
  <c r="Q160" i="1"/>
  <c r="P160" i="1"/>
  <c r="M160" i="1"/>
  <c r="Q159" i="1"/>
  <c r="P159" i="1"/>
  <c r="M159" i="1"/>
  <c r="Q158" i="1"/>
  <c r="P158" i="1"/>
  <c r="M158" i="1"/>
  <c r="Q157" i="1"/>
  <c r="P157" i="1"/>
  <c r="M157" i="1"/>
  <c r="Q156" i="1"/>
  <c r="P156" i="1"/>
  <c r="M156" i="1"/>
  <c r="Q155" i="1"/>
  <c r="P155" i="1"/>
  <c r="M155" i="1"/>
  <c r="Q154" i="1"/>
  <c r="P154" i="1"/>
  <c r="M154" i="1"/>
  <c r="Q153" i="1"/>
  <c r="P153" i="1"/>
  <c r="M153" i="1"/>
  <c r="Q152" i="1"/>
  <c r="P152" i="1"/>
  <c r="M152" i="1"/>
  <c r="Q151" i="1"/>
  <c r="P151" i="1"/>
  <c r="M151" i="1"/>
  <c r="Q150" i="1"/>
  <c r="P150" i="1"/>
  <c r="M150" i="1"/>
  <c r="Q149" i="1"/>
  <c r="P149" i="1"/>
  <c r="M149" i="1"/>
  <c r="Q148" i="1"/>
  <c r="P148" i="1"/>
  <c r="M148" i="1"/>
  <c r="Q147" i="1"/>
  <c r="P147" i="1"/>
  <c r="M147" i="1"/>
  <c r="Q146" i="1"/>
  <c r="P146" i="1"/>
  <c r="M146" i="1"/>
  <c r="Q145" i="1"/>
  <c r="P145" i="1"/>
  <c r="M145" i="1"/>
  <c r="Q144" i="1"/>
  <c r="P144" i="1"/>
  <c r="M144" i="1"/>
  <c r="Q143" i="1"/>
  <c r="P143" i="1"/>
  <c r="M143" i="1"/>
  <c r="Q142" i="1"/>
  <c r="P142" i="1"/>
  <c r="M142" i="1"/>
  <c r="Q141" i="1"/>
  <c r="P141" i="1"/>
  <c r="M141" i="1"/>
  <c r="Q140" i="1"/>
  <c r="P140" i="1"/>
  <c r="M140" i="1"/>
  <c r="Q139" i="1"/>
  <c r="P139" i="1"/>
  <c r="M139" i="1"/>
  <c r="Q138" i="1"/>
  <c r="P138" i="1"/>
  <c r="M138" i="1"/>
  <c r="Q137" i="1"/>
  <c r="P137" i="1"/>
  <c r="M137" i="1"/>
  <c r="Q136" i="1"/>
  <c r="P136" i="1"/>
  <c r="M136" i="1"/>
  <c r="Q135" i="1"/>
  <c r="P135" i="1"/>
  <c r="M135" i="1"/>
  <c r="Q134" i="1"/>
  <c r="P134" i="1"/>
  <c r="M134" i="1"/>
  <c r="Q133" i="1"/>
  <c r="P133" i="1"/>
  <c r="M133" i="1"/>
  <c r="Q132" i="1"/>
  <c r="P132" i="1"/>
  <c r="M132" i="1"/>
  <c r="Q131" i="1"/>
  <c r="P131" i="1"/>
  <c r="M131" i="1"/>
  <c r="Q130" i="1"/>
  <c r="P130" i="1"/>
  <c r="M130" i="1"/>
  <c r="Q129" i="1"/>
  <c r="P129" i="1"/>
  <c r="M129" i="1"/>
  <c r="Q128" i="1"/>
  <c r="P128" i="1"/>
  <c r="M128" i="1"/>
  <c r="J128" i="1"/>
  <c r="I128" i="1"/>
  <c r="H128" i="1"/>
  <c r="G128" i="1"/>
  <c r="Q127" i="1"/>
  <c r="P127" i="1"/>
  <c r="M127" i="1"/>
  <c r="J127" i="1"/>
  <c r="I127" i="1"/>
  <c r="H127" i="1"/>
  <c r="G127" i="1"/>
  <c r="Q126" i="1"/>
  <c r="P126" i="1"/>
  <c r="M126" i="1"/>
  <c r="J126" i="1"/>
  <c r="I126" i="1"/>
  <c r="H126" i="1"/>
  <c r="G126" i="1"/>
  <c r="Q125" i="1"/>
  <c r="P125" i="1"/>
  <c r="M125" i="1"/>
  <c r="J125" i="1"/>
  <c r="I125" i="1"/>
  <c r="H125" i="1"/>
  <c r="G125" i="1"/>
  <c r="Q124" i="1"/>
  <c r="P124" i="1"/>
  <c r="M124" i="1"/>
  <c r="J124" i="1"/>
  <c r="I124" i="1"/>
  <c r="H124" i="1"/>
  <c r="G124" i="1"/>
  <c r="Q123" i="1"/>
  <c r="P123" i="1"/>
  <c r="M123" i="1"/>
  <c r="J123" i="1"/>
  <c r="I123" i="1"/>
  <c r="H123" i="1"/>
  <c r="G123" i="1"/>
  <c r="Q122" i="1"/>
  <c r="P122" i="1"/>
  <c r="M122" i="1"/>
  <c r="J122" i="1"/>
  <c r="I122" i="1"/>
  <c r="H122" i="1"/>
  <c r="G122" i="1"/>
  <c r="Q121" i="1"/>
  <c r="P121" i="1"/>
  <c r="M121" i="1"/>
  <c r="J121" i="1"/>
  <c r="I121" i="1"/>
  <c r="H121" i="1"/>
  <c r="G121" i="1"/>
  <c r="Q120" i="1"/>
  <c r="P120" i="1"/>
  <c r="M120" i="1"/>
  <c r="Q119" i="1"/>
  <c r="P119" i="1"/>
  <c r="M119" i="1"/>
  <c r="Q118" i="1"/>
  <c r="P118" i="1"/>
  <c r="M118" i="1"/>
  <c r="Q117" i="1"/>
  <c r="P117" i="1"/>
  <c r="M117" i="1"/>
  <c r="Q116" i="1"/>
  <c r="P116" i="1"/>
  <c r="M116" i="1"/>
  <c r="Q115" i="1"/>
  <c r="P115" i="1"/>
  <c r="M115" i="1"/>
  <c r="Q114" i="1"/>
  <c r="P114" i="1"/>
  <c r="M114" i="1"/>
  <c r="Q113" i="1"/>
  <c r="P113" i="1"/>
  <c r="M113" i="1"/>
  <c r="Q112" i="1"/>
  <c r="P112" i="1"/>
  <c r="M112" i="1"/>
  <c r="Q111" i="1"/>
  <c r="P111" i="1"/>
  <c r="M111" i="1"/>
  <c r="Q110" i="1"/>
  <c r="P110" i="1"/>
  <c r="M110" i="1"/>
  <c r="Q109" i="1"/>
  <c r="P109" i="1"/>
  <c r="M109" i="1"/>
  <c r="Q108" i="1"/>
  <c r="P108" i="1"/>
  <c r="M108" i="1"/>
  <c r="Q107" i="1"/>
  <c r="P107" i="1"/>
  <c r="M107" i="1"/>
  <c r="Q106" i="1"/>
  <c r="P106" i="1"/>
  <c r="M106" i="1"/>
  <c r="Q105" i="1"/>
  <c r="P105" i="1"/>
  <c r="M105" i="1"/>
  <c r="Q104" i="1"/>
  <c r="P104" i="1"/>
  <c r="M104" i="1"/>
  <c r="Q103" i="1"/>
  <c r="P103" i="1"/>
  <c r="M103" i="1"/>
  <c r="Q102" i="1"/>
  <c r="P102" i="1"/>
  <c r="M102" i="1"/>
  <c r="Q101" i="1"/>
  <c r="P101" i="1"/>
  <c r="M101" i="1"/>
  <c r="Q100" i="1"/>
  <c r="P100" i="1"/>
  <c r="M100" i="1"/>
  <c r="Q99" i="1"/>
  <c r="P99" i="1"/>
  <c r="M99" i="1"/>
  <c r="Q98" i="1"/>
  <c r="P98" i="1"/>
  <c r="M98" i="1"/>
  <c r="Q97" i="1"/>
  <c r="P97" i="1"/>
  <c r="M97" i="1"/>
  <c r="Q96" i="1"/>
  <c r="P96" i="1"/>
  <c r="M96" i="1"/>
  <c r="Q95" i="1"/>
  <c r="P95" i="1"/>
  <c r="M95" i="1"/>
  <c r="Q94" i="1"/>
  <c r="P94" i="1"/>
  <c r="M94" i="1"/>
  <c r="Q93" i="1"/>
  <c r="P93" i="1"/>
  <c r="M93" i="1"/>
  <c r="Q92" i="1"/>
  <c r="P92" i="1"/>
  <c r="M92" i="1"/>
  <c r="Q91" i="1"/>
  <c r="P91" i="1"/>
  <c r="M91" i="1"/>
  <c r="Q90" i="1"/>
  <c r="P90" i="1"/>
  <c r="M90" i="1"/>
  <c r="Q89" i="1"/>
  <c r="P89" i="1"/>
  <c r="M89" i="1"/>
  <c r="Q88" i="1"/>
  <c r="P88" i="1"/>
  <c r="M88" i="1"/>
  <c r="Q87" i="1"/>
  <c r="P87" i="1"/>
  <c r="M87" i="1"/>
  <c r="Q86" i="1"/>
  <c r="P86" i="1"/>
  <c r="M86" i="1"/>
  <c r="P85" i="1"/>
  <c r="M85" i="1"/>
  <c r="Q85" i="1" s="1"/>
  <c r="Q84" i="1"/>
  <c r="P84" i="1"/>
  <c r="M84" i="1"/>
  <c r="Q83" i="1"/>
  <c r="P83" i="1"/>
  <c r="M83" i="1"/>
  <c r="Q82" i="1"/>
  <c r="P82" i="1"/>
  <c r="M82" i="1"/>
  <c r="Q81" i="1"/>
  <c r="P81" i="1"/>
  <c r="M81" i="1"/>
  <c r="Q80" i="1"/>
  <c r="P80" i="1"/>
  <c r="M80" i="1"/>
  <c r="Q79" i="1"/>
  <c r="P79" i="1"/>
  <c r="M79" i="1"/>
  <c r="Q78" i="1"/>
  <c r="P78" i="1"/>
  <c r="M78" i="1"/>
  <c r="J78" i="1"/>
  <c r="I78" i="1"/>
  <c r="H78" i="1"/>
  <c r="G78" i="1"/>
  <c r="Q77" i="1"/>
  <c r="P77" i="1"/>
  <c r="M77" i="1"/>
  <c r="Q76" i="1"/>
  <c r="P76" i="1"/>
  <c r="M76" i="1"/>
  <c r="J76" i="1"/>
  <c r="I76" i="1"/>
  <c r="Q75" i="1"/>
  <c r="P75" i="1"/>
  <c r="M75" i="1"/>
  <c r="Q74" i="1"/>
  <c r="P74" i="1"/>
  <c r="M74" i="1"/>
  <c r="Q73" i="1"/>
  <c r="P73" i="1"/>
  <c r="M73" i="1"/>
  <c r="Q72" i="1"/>
  <c r="P72" i="1"/>
  <c r="M72" i="1"/>
  <c r="Q71" i="1"/>
  <c r="P71" i="1"/>
  <c r="M71" i="1"/>
  <c r="Q70" i="1"/>
  <c r="P70" i="1"/>
  <c r="M70" i="1"/>
  <c r="Q69" i="1"/>
  <c r="P69" i="1"/>
  <c r="M69" i="1"/>
  <c r="Q68" i="1"/>
  <c r="P68" i="1"/>
  <c r="M68" i="1"/>
  <c r="Q67" i="1"/>
  <c r="P67" i="1"/>
  <c r="M67" i="1"/>
  <c r="J67" i="1"/>
  <c r="I67" i="1"/>
  <c r="H67" i="1"/>
  <c r="G67" i="1"/>
  <c r="Q66" i="1"/>
  <c r="P66" i="1"/>
  <c r="M66" i="1"/>
  <c r="Q65" i="1"/>
  <c r="P65" i="1"/>
  <c r="M65" i="1"/>
  <c r="Q64" i="1"/>
  <c r="P64" i="1"/>
  <c r="M64" i="1"/>
  <c r="J64" i="1"/>
  <c r="I64" i="1"/>
  <c r="Q63" i="1"/>
  <c r="P63" i="1"/>
  <c r="M63" i="1"/>
  <c r="J63" i="1"/>
  <c r="I63" i="1"/>
  <c r="H63" i="1"/>
  <c r="G63" i="1"/>
  <c r="Q62" i="1"/>
  <c r="P62" i="1"/>
  <c r="M62" i="1"/>
  <c r="J62" i="1"/>
  <c r="I62" i="1"/>
  <c r="H62" i="1"/>
  <c r="G62" i="1"/>
  <c r="Q61" i="1"/>
  <c r="P61" i="1"/>
  <c r="M61" i="1"/>
  <c r="Q60" i="1"/>
  <c r="P60" i="1"/>
  <c r="M60" i="1"/>
  <c r="Q59" i="1"/>
  <c r="P59" i="1"/>
  <c r="M59" i="1"/>
  <c r="Q58" i="1"/>
  <c r="P58" i="1"/>
  <c r="M58" i="1"/>
  <c r="Q57" i="1"/>
  <c r="P57" i="1"/>
  <c r="M57" i="1"/>
  <c r="J57" i="1"/>
  <c r="I57" i="1"/>
  <c r="H57" i="1"/>
  <c r="G57" i="1"/>
  <c r="Q56" i="1"/>
  <c r="P56" i="1"/>
  <c r="M56" i="1"/>
  <c r="Q55" i="1"/>
  <c r="P55" i="1"/>
  <c r="M55" i="1"/>
  <c r="Q54" i="1"/>
  <c r="P54" i="1"/>
  <c r="M54" i="1"/>
  <c r="J54" i="1"/>
  <c r="I54" i="1"/>
  <c r="H54" i="1"/>
  <c r="G54" i="1"/>
  <c r="Q53" i="1"/>
  <c r="P53" i="1"/>
  <c r="M53" i="1"/>
  <c r="Q52" i="1"/>
  <c r="P52" i="1"/>
  <c r="M52" i="1"/>
  <c r="J52" i="1"/>
  <c r="I52" i="1"/>
  <c r="H52" i="1"/>
  <c r="G52" i="1"/>
  <c r="Q51" i="1"/>
  <c r="P51" i="1"/>
  <c r="M51" i="1"/>
  <c r="Q50" i="1"/>
  <c r="P50" i="1"/>
  <c r="M50" i="1"/>
  <c r="Q49" i="1"/>
  <c r="P49" i="1"/>
  <c r="M49" i="1"/>
  <c r="Q48" i="1"/>
  <c r="P48" i="1"/>
  <c r="M48" i="1"/>
  <c r="Q47" i="1"/>
  <c r="P47" i="1"/>
  <c r="M47" i="1"/>
  <c r="Q46" i="1"/>
  <c r="P46" i="1"/>
  <c r="M46" i="1"/>
  <c r="Q45" i="1"/>
  <c r="P45" i="1"/>
  <c r="M45" i="1"/>
  <c r="Q44" i="1"/>
  <c r="P44" i="1"/>
  <c r="M44" i="1"/>
  <c r="Q43" i="1"/>
  <c r="P43" i="1"/>
  <c r="M43" i="1"/>
  <c r="Q42" i="1"/>
  <c r="P42" i="1"/>
  <c r="M42" i="1"/>
  <c r="Q41" i="1"/>
  <c r="P41" i="1"/>
  <c r="M41" i="1"/>
  <c r="Q40" i="1"/>
  <c r="P40" i="1"/>
  <c r="M40" i="1"/>
  <c r="Q39" i="1"/>
  <c r="P39" i="1"/>
  <c r="M39" i="1"/>
  <c r="Q38" i="1"/>
  <c r="P38" i="1"/>
  <c r="M38" i="1"/>
  <c r="Q37" i="1"/>
  <c r="P37" i="1"/>
  <c r="M37" i="1"/>
  <c r="Q36" i="1"/>
  <c r="P36" i="1"/>
  <c r="M36" i="1"/>
  <c r="Q35" i="1"/>
  <c r="P35" i="1"/>
  <c r="M35" i="1"/>
  <c r="Q34" i="1"/>
  <c r="P34" i="1"/>
  <c r="M34" i="1"/>
  <c r="Q33" i="1"/>
  <c r="P33" i="1"/>
  <c r="M33" i="1"/>
  <c r="J33" i="1"/>
  <c r="I33" i="1"/>
  <c r="H33" i="1"/>
  <c r="G33" i="1"/>
  <c r="Q32" i="1"/>
  <c r="P32" i="1"/>
  <c r="M32" i="1"/>
  <c r="Q31" i="1"/>
  <c r="P31" i="1"/>
  <c r="M31" i="1"/>
  <c r="Q30" i="1"/>
  <c r="P30" i="1"/>
  <c r="M30" i="1"/>
  <c r="Q29" i="1"/>
  <c r="P29" i="1"/>
  <c r="M29" i="1"/>
  <c r="Q28" i="1"/>
  <c r="P28" i="1"/>
  <c r="M28" i="1"/>
  <c r="Q27" i="1"/>
  <c r="P27" i="1"/>
  <c r="M27" i="1"/>
  <c r="Q26" i="1"/>
  <c r="P26" i="1"/>
  <c r="M26" i="1"/>
  <c r="Q25" i="1"/>
  <c r="P25" i="1"/>
  <c r="M25" i="1"/>
  <c r="J25" i="1"/>
  <c r="I25" i="1"/>
  <c r="H25" i="1"/>
  <c r="Q24" i="1"/>
  <c r="P24" i="1"/>
  <c r="M24" i="1"/>
  <c r="J24" i="1"/>
  <c r="I24" i="1"/>
  <c r="H24" i="1"/>
  <c r="G24" i="1"/>
  <c r="Q23" i="1"/>
  <c r="P23" i="1"/>
  <c r="M23" i="1"/>
  <c r="J23" i="1"/>
  <c r="I23" i="1"/>
  <c r="H23" i="1"/>
  <c r="Q22" i="1"/>
  <c r="P22" i="1"/>
  <c r="M22" i="1"/>
  <c r="Q21" i="1"/>
  <c r="P21" i="1"/>
  <c r="M21" i="1"/>
  <c r="J21" i="1"/>
  <c r="I21" i="1"/>
  <c r="H21" i="1"/>
  <c r="G21" i="1"/>
  <c r="Q20" i="1"/>
  <c r="P20" i="1"/>
  <c r="M20" i="1"/>
  <c r="J20" i="1"/>
  <c r="I20" i="1"/>
  <c r="H20" i="1"/>
  <c r="G20" i="1"/>
  <c r="Q19" i="1"/>
  <c r="P19" i="1"/>
  <c r="M19" i="1"/>
  <c r="J19" i="1"/>
  <c r="I19" i="1"/>
  <c r="H19" i="1"/>
  <c r="G19" i="1"/>
  <c r="Q18" i="1"/>
  <c r="P18" i="1"/>
  <c r="M18" i="1"/>
  <c r="Q17" i="1"/>
  <c r="P17" i="1"/>
  <c r="M17" i="1"/>
  <c r="Q16" i="1"/>
  <c r="P16" i="1"/>
  <c r="M16" i="1"/>
  <c r="Q15" i="1"/>
  <c r="P15" i="1"/>
  <c r="M15" i="1"/>
  <c r="J15" i="1"/>
  <c r="I15" i="1"/>
  <c r="H15" i="1"/>
  <c r="G15" i="1"/>
  <c r="Q14" i="1"/>
  <c r="P14" i="1"/>
  <c r="M14" i="1"/>
  <c r="J14" i="1"/>
  <c r="I14" i="1"/>
  <c r="H14" i="1"/>
  <c r="G14" i="1"/>
  <c r="Q13" i="1"/>
  <c r="P13" i="1"/>
  <c r="M13" i="1"/>
  <c r="Q12" i="1"/>
  <c r="P12" i="1"/>
  <c r="M12" i="1"/>
  <c r="Q11" i="1"/>
  <c r="P11" i="1"/>
  <c r="M11" i="1"/>
  <c r="Q10" i="1"/>
  <c r="P10" i="1"/>
  <c r="M10" i="1"/>
  <c r="Q9" i="1"/>
  <c r="P9" i="1"/>
  <c r="M9" i="1"/>
  <c r="J9" i="1"/>
  <c r="I9" i="1"/>
  <c r="Q8" i="1"/>
  <c r="P8" i="1"/>
  <c r="M8" i="1"/>
  <c r="Q7" i="1"/>
  <c r="P7" i="1"/>
  <c r="M7" i="1"/>
  <c r="Q6" i="1"/>
  <c r="P6" i="1"/>
  <c r="M6" i="1"/>
  <c r="Q5" i="1"/>
  <c r="P5" i="1"/>
  <c r="M5" i="1"/>
  <c r="Q4" i="1"/>
  <c r="P4" i="1"/>
  <c r="M4" i="1"/>
  <c r="Q3" i="1"/>
  <c r="P3" i="1"/>
  <c r="M3" i="1"/>
  <c r="Q2" i="1"/>
  <c r="P2" i="1"/>
  <c r="M2" i="1"/>
</calcChain>
</file>

<file path=xl/sharedStrings.xml><?xml version="1.0" encoding="utf-8"?>
<sst xmlns="http://schemas.openxmlformats.org/spreadsheetml/2006/main" count="1923" uniqueCount="778">
  <si>
    <t>Customer Details</t>
  </si>
  <si>
    <t>Cluster</t>
  </si>
  <si>
    <t>Work Order ID</t>
  </si>
  <si>
    <t>Contractor</t>
  </si>
  <si>
    <t>Date logged</t>
  </si>
  <si>
    <t>Date of payment/Start Date</t>
  </si>
  <si>
    <t>HP Cost 
( Services + MTN Materials)</t>
  </si>
  <si>
    <t>HC cost 
( Services+ MTN Materials)</t>
  </si>
  <si>
    <t>Service Costs Ugx 
(HP Services + HC Services)</t>
  </si>
  <si>
    <t>Total Costs Ugx</t>
  </si>
  <si>
    <t>Installation Delay ( Days)</t>
  </si>
  <si>
    <t>Installation Status</t>
  </si>
  <si>
    <t>Planned End Date</t>
  </si>
  <si>
    <t>Activation status</t>
  </si>
  <si>
    <t>Actual End Date</t>
  </si>
  <si>
    <t xml:space="preserve">Total MTTi </t>
  </si>
  <si>
    <t>MTTi After Payment</t>
  </si>
  <si>
    <t>Issues ( Remarks)</t>
  </si>
  <si>
    <t>Snags</t>
  </si>
  <si>
    <t>Homes Passed</t>
  </si>
  <si>
    <t>null null.  256772649913. OLD KAMPALA.0.37371232.660769. FTTH_10_M</t>
  </si>
  <si>
    <t>Bweyogerere</t>
  </si>
  <si>
    <t>MTNFTTH75128522</t>
  </si>
  <si>
    <t>Enetworks</t>
  </si>
  <si>
    <t>Done</t>
  </si>
  <si>
    <t>On air</t>
  </si>
  <si>
    <t>null null.  256772121452. Kulambiro Ring Road.0.37367532.606814. FTTH_10_M</t>
  </si>
  <si>
    <t>Kisaasi</t>
  </si>
  <si>
    <t>MTNFTTH67168145</t>
  </si>
  <si>
    <t>On Air</t>
  </si>
  <si>
    <t>null null.  256771432154. Mbalwa.0.36518232.653176. FTTH_10_M</t>
  </si>
  <si>
    <t>MTNFTTH84862451</t>
  </si>
  <si>
    <t>null null . 256772122095. Kyanja Ring Road. 0.388722 32.596013. FTTH_10_M</t>
  </si>
  <si>
    <t>MTNFTTH66035684</t>
  </si>
  <si>
    <t>MICHAEL TWINOKWESIGA.  256787311412. OLD KAMPALA.0.37718732.604425. FTTH_10_M</t>
  </si>
  <si>
    <t>MTNFTTH77585252</t>
  </si>
  <si>
    <t>WINNIE KARUNGI. 256762333844. Akright Estate bwebajja. 0.157488,32.544707. FTTH_10_M</t>
  </si>
  <si>
    <t>Bwebajja</t>
  </si>
  <si>
    <t>MTNFTTH24010127</t>
  </si>
  <si>
    <t>Chrif</t>
  </si>
  <si>
    <t>ABDU SSEKALALA. 256779154759. 0.387362,32.598603. FTTH_40_M</t>
  </si>
  <si>
    <t>MTNFTTH46346240</t>
  </si>
  <si>
    <t>null null.  256772642435. Makerere Kikoni.0.34271432.561313. FTTH_10_M</t>
  </si>
  <si>
    <t>Makerere</t>
  </si>
  <si>
    <t>MTNFTTH54260688</t>
  </si>
  <si>
    <t>null null.  256777717920. Ebony Villas.0.175932.517883. FTTH_10_M</t>
  </si>
  <si>
    <t>MTNFTTH80432574</t>
  </si>
  <si>
    <t>null null.  256763430154. OLD KAMPALA.0.31103232.644218. FTTH_10_M</t>
  </si>
  <si>
    <t>Luzira</t>
  </si>
  <si>
    <t>MTNFTTH74130714</t>
  </si>
  <si>
    <t>null null.  256772449928. Eseri Complex Ntinda.0.35801932.614396. FTTH_10_M</t>
  </si>
  <si>
    <t>Ntinda Kiwatule</t>
  </si>
  <si>
    <t>MTNFTTH03633004</t>
  </si>
  <si>
    <t>null null.  256788343186. OLD KAMPALA.0.24570232.614958. FTTH_10_M</t>
  </si>
  <si>
    <t>Ggaba</t>
  </si>
  <si>
    <t>MTNFTTH27316162</t>
  </si>
  <si>
    <t>Rontech</t>
  </si>
  <si>
    <t>null null.  256784041012. OLD KAMPALA.0.31159632.557911. FTTH_20_M</t>
  </si>
  <si>
    <t>Rubaga</t>
  </si>
  <si>
    <t>MTNFTTH17051604</t>
  </si>
  <si>
    <t>null null.  256774178190. Bunga.0.2727832.622696. FTTH_20_M</t>
  </si>
  <si>
    <t>MTNFTTH31787602</t>
  </si>
  <si>
    <t>null null.  256762929398. Namugera Drive.0.38934232.602031. FTTH_10_M</t>
  </si>
  <si>
    <t>MTNFTTH68157676</t>
  </si>
  <si>
    <t>null null.  256776747882. KITGUM.0.358913,32.637857. FTTH_20_M_O</t>
  </si>
  <si>
    <t>MTNFTTH82778188</t>
  </si>
  <si>
    <t>null null.  256777588113. Ndere Cultural Centre.0.363351,32.605806. FTTH_10_M</t>
  </si>
  <si>
    <t>MTNFTTH65051234</t>
  </si>
  <si>
    <t>null null.  256787175726. Florida Apartments.0.402616,32.652336. FTTH_10_M</t>
  </si>
  <si>
    <t>Kira</t>
  </si>
  <si>
    <t>MTNFTTH15875071</t>
  </si>
  <si>
    <t>Rose Sente.  256772408718. OLD KAMPALA.0.405838,32.655798. FTTH_20_M</t>
  </si>
  <si>
    <t>MTNFTTH07002006</t>
  </si>
  <si>
    <t>null null.  256772200932. Florida Apartments.0.402616,32.652336. FTTH_20_M</t>
  </si>
  <si>
    <t>MTNFTTH76533058</t>
  </si>
  <si>
    <t>null null.  256770899096. Namugongo.0.388827,32.654827. FTTH_10_M</t>
  </si>
  <si>
    <t>Sonde</t>
  </si>
  <si>
    <t>MTNFTTH26282262</t>
  </si>
  <si>
    <t>GODFREY OMUNO.  256772000892. Mpererwe.0.381891,32.576158. FTTH_10_M</t>
  </si>
  <si>
    <t>Gayaza</t>
  </si>
  <si>
    <t>MTNFTTH61672760</t>
  </si>
  <si>
    <t>JOHNSON NATUHWERA.  256779104995. Kira Town.0.397225,32.638695. FTTH_20_M</t>
  </si>
  <si>
    <t>MTNFTTH24075826</t>
  </si>
  <si>
    <t>GRACE DAVIS WAMPA.  256780259023. OLD KAMPALA.0.387718,32.640524. FTTH_20_M</t>
  </si>
  <si>
    <t>MTNFTTH62102365</t>
  </si>
  <si>
    <t>CATHERINe NINSIIMA.  256779494473. OLD KAMPALA.0.365502,32.626671. FTTH_10_M</t>
  </si>
  <si>
    <t>MTNFTTH64508374</t>
  </si>
  <si>
    <t>null null.  256775425140. OLD KAMPALA.0.287824,32.625449. FTTH_20_M</t>
  </si>
  <si>
    <t>MTNFTTH62142734</t>
  </si>
  <si>
    <t>ABDULLAHI OSMAN MOHAMOUD.  256786258600. Security 2000 Ltd..0.30602632.604837. FTTH_10_M</t>
  </si>
  <si>
    <t>Namuwongo</t>
  </si>
  <si>
    <t>MTNFTTH08647227</t>
  </si>
  <si>
    <t>ROW issue</t>
  </si>
  <si>
    <t>null null.  256776222939. Lweza Kampala - Entebbe Rd.0.22586532.553603. FTTH_20_M</t>
  </si>
  <si>
    <t>Najjanankumbi</t>
  </si>
  <si>
    <t>MTNFTTH12733575</t>
  </si>
  <si>
    <t>null null.  256777221773. KITGUM.0.32074832.563257. FTTH_10_M</t>
  </si>
  <si>
    <t>MTNFTTH14331700</t>
  </si>
  <si>
    <t>Located at Najjanakumbi - Chrif handling</t>
  </si>
  <si>
    <t>Mohamed Ibrahim.  256789789717. Nakulabye Pride microfinance.0.318932.5981. FTTH_10_M</t>
  </si>
  <si>
    <t>MTNFTTH06380155</t>
  </si>
  <si>
    <t>null null.  256779635803. MTN Mutundwe Data Center.0.28669232.534207. FTTH_10_M</t>
  </si>
  <si>
    <t>MTNFTTH45854712</t>
  </si>
  <si>
    <t>Delayed Access to Mutundwe</t>
  </si>
  <si>
    <t>null null.  256784294795. Mbalwa Police Post.0.36312232.654505. FTTH_20_M</t>
  </si>
  <si>
    <t>MTNFTTH87751775</t>
  </si>
  <si>
    <t>null null.  256770539653. Buwate.0.40505932.619267. FTTH_20_M</t>
  </si>
  <si>
    <t>Buwate</t>
  </si>
  <si>
    <t>MTNFTTH84510788</t>
  </si>
  <si>
    <t>SYSTEM ISSUE</t>
  </si>
  <si>
    <t>null null.  256770524975. Salama road lekana stage.0.265004,32.595753. FTTH_10_M</t>
  </si>
  <si>
    <t>MTNFTTH47632885</t>
  </si>
  <si>
    <t>null null.  256761055015. Rubis Kansanga Service Station.0.291152,32.605721. FTTH_20_M</t>
  </si>
  <si>
    <t>MTNFTTH56672364</t>
  </si>
  <si>
    <t>JOSEPH SSEMBATYA.  256772123178. OLD KAMPALA.0.37507,32.603729. FTTH_10_M</t>
  </si>
  <si>
    <t>MTNFTTH26717548</t>
  </si>
  <si>
    <t>ANNA IYOGIL.  256784415831. SB Homes Bukasa-Muyenga.0.285281,32.627278. FTTH_10_M</t>
  </si>
  <si>
    <t>Muyenga</t>
  </si>
  <si>
    <t>MTNFTTH01165606</t>
  </si>
  <si>
    <t>JOEL WACHA.  256788141349. Kyanja Ring Road.0.388722,32.596013. FTTH_10_M</t>
  </si>
  <si>
    <t>MTNFTTH27620772</t>
  </si>
  <si>
    <t>TIMOTHY KASAGA.  256772123312. Pentagon Apartments.0.318144,32.641735. FTTH_10_M</t>
  </si>
  <si>
    <t>MTNFTTH24836631</t>
  </si>
  <si>
    <t>OTIM APIO.  256785304654. ABJA ESTATES LTD.0.364338,32.59569. FTTH_20_M</t>
  </si>
  <si>
    <t>MTNFTTH24478040</t>
  </si>
  <si>
    <t>REBECCA SENOGA.  256772468282. Nican Resort Hotel.0.229229,32.54397. FTTH_10_M</t>
  </si>
  <si>
    <t>MTNFTTH10628486</t>
  </si>
  <si>
    <t>MAXWELL AKORA.  256788075447. OLD KAMPALA.0.079846,32.471008. FTTH_20_M</t>
  </si>
  <si>
    <t>Entebbe</t>
  </si>
  <si>
    <t>MTNFTTH26717847</t>
  </si>
  <si>
    <t>JUSTINE NAMUGULA.  256778117924. OLD KAMPALA.0.248513,32.612025. FTTH_10_M</t>
  </si>
  <si>
    <t>MTNFTTH51121261</t>
  </si>
  <si>
    <t>Chris Kimera.  256773119430. 5a Kisota 001, Kampala, Uganda.0.365736,32.598909. FTTH_10_M</t>
  </si>
  <si>
    <t>MTNFTTH14375131</t>
  </si>
  <si>
    <t>FLORENCE NAMUGANZA.  256777699969. Kisaasi.0.361441,32.596655. FTTH_10_M</t>
  </si>
  <si>
    <t>MTNFTTH88510638</t>
  </si>
  <si>
    <t>null null.  256761404684. OLD KAMPALA.0.380072,32.598195. FTTH_10_M</t>
  </si>
  <si>
    <t>MTNFTTH84241477</t>
  </si>
  <si>
    <t>SANDRA PATRICIA ANENA.  256788658353. OLD KAMPALA.0.311953,32.653081. FTTH_20_M</t>
  </si>
  <si>
    <t>MTNFTTH42810101</t>
  </si>
  <si>
    <t>Akech Ngong.  256778511772. OLD KAMPALA.0.371549,32.70349. FTTH_20_M</t>
  </si>
  <si>
    <t>Seeta</t>
  </si>
  <si>
    <t>MTNFTTH57265713</t>
  </si>
  <si>
    <t>Ngonzi Henry. 256775894282. Kisaasi:Kyanja Ring Road. 0.38717,32.603768. FTTH_10_M</t>
  </si>
  <si>
    <t>MTNFTTH34755333</t>
  </si>
  <si>
    <t>Saron. 256762017530. 20a Pope Paul Rd, Kampala, Uganda Kabusu Kabusu round about. 0.297098,32.556856.FTTH_20_M</t>
  </si>
  <si>
    <t>Ndeeba</t>
  </si>
  <si>
    <t>MTNFTTH58152357</t>
  </si>
  <si>
    <t>null null.  256775207420. Kitende.0.232.533333. FTTH_10_M</t>
  </si>
  <si>
    <t>Kajjansi</t>
  </si>
  <si>
    <t>MTNFTTH50101553</t>
  </si>
  <si>
    <t>Consolidation WIP</t>
  </si>
  <si>
    <t>DIANA ONDOGA. 256776878918. Mutongo. 0.32225532.642623. FTTH_10_M</t>
  </si>
  <si>
    <t>MTNFTTH11153132</t>
  </si>
  <si>
    <t>null null.  256772959645. OLD KAMPALA.0.27651,32.601072. FTTH_10_M</t>
  </si>
  <si>
    <t>MTNFTTH86488338</t>
  </si>
  <si>
    <t>Contact unavailable</t>
  </si>
  <si>
    <t>NANCY MUSISI. 256771860834. Kisaasi:Kulambiro. 0.391366,32.6122. FTTH_10_M</t>
  </si>
  <si>
    <t>MTNFTTH60157180</t>
  </si>
  <si>
    <t>null null.  256772479796. 5a Rock Cl.0.36839332.607828. FTTH_20_M</t>
  </si>
  <si>
    <t>MTNFTTH82102786</t>
  </si>
  <si>
    <t>null null.  256776911119. Katale Seguku.0.233668,32.545845. FTTH_10_M</t>
  </si>
  <si>
    <t>MTNFTTH32873385</t>
  </si>
  <si>
    <t xml:space="preserve">The client had ROW issuess (Among the consolidated clients)
</t>
  </si>
  <si>
    <t>SHEILA TEKITENDWA.  256771339872. Kabowa Church of Uganda Primary School.0.283439,32.556667. FTTH_10_M</t>
  </si>
  <si>
    <t>MTNFTTH02751647</t>
  </si>
  <si>
    <t>CHARLES  DOMINIC ONGOM.  256771257724. Luzira Prison.0.300157,32.640285. FTTH_10_M</t>
  </si>
  <si>
    <t>MTNFTTH07813256</t>
  </si>
  <si>
    <t>KAY ADOCH.  256762228828. OLD KAMPALA.0.255707,32.630867. FTTH_10_M</t>
  </si>
  <si>
    <t>MTNFTTH54770372</t>
  </si>
  <si>
    <t>ROW with neighbours</t>
  </si>
  <si>
    <t>HOPE BABIRYE.  256774566590. Tirupati Mazima Mall.0.299592,32.596384. FTTH_10_M</t>
  </si>
  <si>
    <t>MTNFTTH12442856</t>
  </si>
  <si>
    <t>Delayedby HLS</t>
  </si>
  <si>
    <t>MUSTAFA BAHTIYAR.  256762738375. JINJA.0.439819,33.218456. FTTH_10_M</t>
  </si>
  <si>
    <t>Jinja</t>
  </si>
  <si>
    <t>MTNFTTH72668312</t>
  </si>
  <si>
    <t>HighBOQ, looking for a consolidation</t>
  </si>
  <si>
    <t>GODFREY OMUNO.  256773661319. Kitende.0.2,32.533333. FTTH_10_M</t>
  </si>
  <si>
    <t>MTNFTTH80284234</t>
  </si>
  <si>
    <t>SIMON OJENGO.  256778112717. Nile International Hospital.0.439952,33.218515. FTTH_10_M</t>
  </si>
  <si>
    <t>MTNFTTH16706660</t>
  </si>
  <si>
    <t>High BOQ, looking for a consolidation</t>
  </si>
  <si>
    <t>SIMON MUGOYA.  256762895821. Kironde Road.0.297216,32.614705. FTTH_10_M</t>
  </si>
  <si>
    <t>MTNFTTH76172207</t>
  </si>
  <si>
    <t xml:space="preserve">The custodian's approval was required.
</t>
  </si>
  <si>
    <t>MUSA MAKYA KYAMPA.  256761076635. Step By Step P/S.0.383743,32.594464. FTTH_10_M</t>
  </si>
  <si>
    <t>MTNFTTH77221707</t>
  </si>
  <si>
    <t xml:space="preserve">On hold. Waiting for caretaker's support
</t>
  </si>
  <si>
    <t>DAVID OMUGETHUM.  256770414746. Seguku.0.237516,32.541173. FTTH_10_M</t>
  </si>
  <si>
    <t>MTNFTTH08072435</t>
  </si>
  <si>
    <t>Delayed due to Customer unavailability</t>
  </si>
  <si>
    <t>ENOCK ATWEBEMBEIRE.  256780162396. OLD KAMPALA.0.341003,32.656778. FTTH_10_M</t>
  </si>
  <si>
    <t>MTNFTTH35828424</t>
  </si>
  <si>
    <t>SAMUEL NSUBUGA.  256783558333. Bulabira Road.0.379962,32.622687. FTTH_20_M</t>
  </si>
  <si>
    <t>Ntinda kiwatule</t>
  </si>
  <si>
    <t>MTNFTTH44678533</t>
  </si>
  <si>
    <t>AHMED MOHAMED ELMUNIR AHMED SAFIELDIN M A AWA.  256787372249. 8a York Terrace.0.329103,32.59756. FTTH_40_M</t>
  </si>
  <si>
    <t>Kololo</t>
  </si>
  <si>
    <t>MTNFTTH28423274</t>
  </si>
  <si>
    <t>LILIAN MPINGA.  256772499307. OLD KAMPALA.0.399987,32.682404. FTTH_20_M</t>
  </si>
  <si>
    <t>MTNFTTH74812616</t>
  </si>
  <si>
    <t>AUGUSTINE OCHIENG.  256789529867. Spire Road.0.425299,33.211912. FTTH_10_M</t>
  </si>
  <si>
    <t>MTNFTTH87506271</t>
  </si>
  <si>
    <t>PAUL KABAGAMBE.  256772887165. Naalya Estate.0.367685,32.638646. FTTH_10_M</t>
  </si>
  <si>
    <t>MTNFTTH45217781</t>
  </si>
  <si>
    <t>IMMACULATE KAGAMBO MUTESI.  256777918230. Mutungo Ring Road.0.315531,32.646261. FTTH_10_M</t>
  </si>
  <si>
    <t>MTNFTTH41303318</t>
  </si>
  <si>
    <t>ALFRED RUTAASYA IBINGIRA.  256772460274. OLD KAMPALA.0.316405,32.645869. FTTH_20_M</t>
  </si>
  <si>
    <t>MTNFTTH28838773</t>
  </si>
  <si>
    <t>null null. 256775181988. null. 0.364005,32.607078. FTTH_10_M</t>
  </si>
  <si>
    <t>MTNFTTH34638558</t>
  </si>
  <si>
    <t>MICHAEL KAWUMA.  256773174054. Lungujja Community Health Caring Organisation (LUCOHECO).0.309698,32.541288. FTTH_10_M</t>
  </si>
  <si>
    <t>MTNFTTH28130322</t>
  </si>
  <si>
    <t>ISAAC KAMYA.  256760750681. JINJA.0.439893,33.218478. FTTH_10_M</t>
  </si>
  <si>
    <t>MTNFTTH50170502</t>
  </si>
  <si>
    <t>ANGEL AYEBARE.  256782083131. Kireka.0.337484,32.646896. FTTH_10_M</t>
  </si>
  <si>
    <t>MTNFTTH87704548</t>
  </si>
  <si>
    <t>PETER KATUNDA.  256782206303. Najjera Hospital.0.375081,32.625199. FTTH_10_M</t>
  </si>
  <si>
    <t>MTNFTTH14000760</t>
  </si>
  <si>
    <t>FRED YIGA.  256394715475. OLD KAMPALA.0.3839,32.593892. FTTH_10_M</t>
  </si>
  <si>
    <t>MTNFTTH02460376</t>
  </si>
  <si>
    <t>GERALD TOOKEMA.  256781608893. OLD KAMPALA.0.304173,32.546299. FTTH_20_M</t>
  </si>
  <si>
    <t>MTNFTTH58145536</t>
  </si>
  <si>
    <t>KIRABO SSEGUJJA.  256760820466. OLD KAMPALA.0.387105,32.603841. FTTH_20_M</t>
  </si>
  <si>
    <t>MTNFTTH55638222</t>
  </si>
  <si>
    <t xml:space="preserve">null null  256784219921 Bukoto  Bukoto 0.350525 ,32.595242 FTTH_20_M    </t>
  </si>
  <si>
    <t>Ntinda bukoto</t>
  </si>
  <si>
    <t>MTNFTTH81763404</t>
  </si>
  <si>
    <t>null null. 256774095142. Prime General Supply Ntinda. 0.341292,32.621121. FTTH_20_M</t>
  </si>
  <si>
    <t>Ntinda Bukoto</t>
  </si>
  <si>
    <t>MTNFTTH74012524</t>
  </si>
  <si>
    <t>JONATHAN NKOOLA.  256773410868. Kyanja.0.395861,32.593671. FTTH_40_M</t>
  </si>
  <si>
    <t>MTNFTTH27645285</t>
  </si>
  <si>
    <t>Kelvin Mubanga Musana.  256777431812. OLD KAMPALA.0.309598,32.625124. FTTH_40_M</t>
  </si>
  <si>
    <t>Bugolobi</t>
  </si>
  <si>
    <t>MTNFTTH70556688</t>
  </si>
  <si>
    <t>GABRIEL KWEBA. 256777997326. Salaama Road. 0.264957,32.595752. FTTH_10_M</t>
  </si>
  <si>
    <t>MTNFTTH75871707</t>
  </si>
  <si>
    <t>ROntech</t>
  </si>
  <si>
    <t>ADAN HEYDAAR SULEBAN. 256783915716. 0.279903,32.545092. FTTH_40_M</t>
  </si>
  <si>
    <t>MTNFTTH77715578</t>
  </si>
  <si>
    <t>null null. 256760722388. null. 0.385682,32.60279.FTTH_10_M</t>
  </si>
  <si>
    <t>MTNFTTH48846652</t>
  </si>
  <si>
    <t>null null.  256787498060. OLD KAMPALA.0.32049532.546112. FTTH_40_M</t>
  </si>
  <si>
    <t>MTNFTTH28874644</t>
  </si>
  <si>
    <t>Customer not ready for commissioning</t>
  </si>
  <si>
    <t>null null.  256789464969. Muyenga Stage.0.29073,32.621418. FTTH_20_M</t>
  </si>
  <si>
    <t>MTNFTTH16446450</t>
  </si>
  <si>
    <t>Scheduled installation on 14th April</t>
  </si>
  <si>
    <t>MARK BBOSA.  256776802287. Amazon Guest House.0.28657,32.561957. FTTH_10_M</t>
  </si>
  <si>
    <t>MTNFTTH36461030</t>
  </si>
  <si>
    <t>Delayed HLS</t>
  </si>
  <si>
    <t>BAKHET ELSADIG.  256761379395. Busiga.0.25,32.616667. FTTH_10_M</t>
  </si>
  <si>
    <t>MTNFTTH74645671</t>
  </si>
  <si>
    <t>PATRICK BYEKWASO.  256774638220. OLD KAMPALA.0.327578,32.604478. FTTH_10_M</t>
  </si>
  <si>
    <t>MTNFTTH23362708</t>
  </si>
  <si>
    <t>ROW with Forest Mall mgt</t>
  </si>
  <si>
    <t>DAPHINE SENTONGO.  256784716836. Kalema houses.0.369538,32.679484. FTTH_10_M</t>
  </si>
  <si>
    <t>MTNFTTH27603838</t>
  </si>
  <si>
    <t>OLIVIA GANKUBA  AYESIGA.  256783939117. Canon Road.0.359258,32.620362. FTTH_10_M</t>
  </si>
  <si>
    <t>MTNFTTH28440288</t>
  </si>
  <si>
    <t>SATISH THITTAYAL AYYAR.  256776067553. OLD KAMPALA.0.236107,32.565298. FTTH_40_M</t>
  </si>
  <si>
    <t>MTNFTTH85288261</t>
  </si>
  <si>
    <t>ALLAN SEWALU.  256785457763. OLD KAMPALA.0.254659,32.538511. FTTH_10_M</t>
  </si>
  <si>
    <t>MTNFTTH70801081</t>
  </si>
  <si>
    <t>ROW with neighbour</t>
  </si>
  <si>
    <t>ISSA MOITI.  256771611355. Kyaliwajjala - Naalya Road.0.365371,32.637602. FTTH_10_M</t>
  </si>
  <si>
    <t>MTNFTTH82417361</t>
  </si>
  <si>
    <t>PAUL MUSAAZI.  256782027689. OLD KAMPALA.0.256884,32.626156. FTTH_10_M</t>
  </si>
  <si>
    <t>MTNFTTH27471221</t>
  </si>
  <si>
    <t>FRED KAWUKI.  256778385953. Kyaliwajjala Trading Center.0.380597,32.646819. FTTH_10_M</t>
  </si>
  <si>
    <t>MTNFTTH18226883</t>
  </si>
  <si>
    <t>Onesimas Mukane.  256779728077. Ndawula Road.0.361001,32.630797. FTTH_20_M</t>
  </si>
  <si>
    <t>MTNFTTH24363475</t>
  </si>
  <si>
    <t>MUWONGE SADATI.  256772878593. Buwate.0.405059,32.619267. FTTH_10_M</t>
  </si>
  <si>
    <t>buwate</t>
  </si>
  <si>
    <t>MTNFTTH57577307</t>
  </si>
  <si>
    <t>CHRISTINE JOY TUSIIME.  256774773350. Bukasa Close.0.300549,32.611328. FTTH_10_M</t>
  </si>
  <si>
    <t>MTNFTTH14387136</t>
  </si>
  <si>
    <t>ROW with the Landlord</t>
  </si>
  <si>
    <t>AARON ERON KABASEKE.  256775931445. Kirabo Complex.0.353465,32.597825. FTTH_10_M</t>
  </si>
  <si>
    <t>MTNFTTH37458522</t>
  </si>
  <si>
    <t>NSUBUGA GAKUWA.  256788737821. Kampala City View Guest House (Child Welfare Guest House).0.338399,32.583935. FTTH_10_M</t>
  </si>
  <si>
    <t>MTNFTTH45827222</t>
  </si>
  <si>
    <t>BAKER MUNTU.  256780599008. OLD KAMPALA.0.388221,32.594461. FTTH_10_M</t>
  </si>
  <si>
    <t>MTNFTTH83251384</t>
  </si>
  <si>
    <t>FRANK KAMANZI.  256780652228. OLD KAMPALA.0.311051,32.641698. FTTH_10_M</t>
  </si>
  <si>
    <t>MTNFTTH37054263</t>
  </si>
  <si>
    <t>JOSHUA BUSINGE.  256786293950. OLD KAMPALA.0.348313,32.615074. FTTH_20_M</t>
  </si>
  <si>
    <t>MTNFTTH22515468</t>
  </si>
  <si>
    <t>ISAAC NOEL APITTA.  256777111279. OLD KAMPALA.0.322866,32.62506. FTTH_10_M</t>
  </si>
  <si>
    <t>MTNFTTH42107700</t>
  </si>
  <si>
    <t>ALFRED KIBUKA MUSOKE. 256785544530. Luzira:Port Bell road. 0.307089,32.641345. FTTH_40_M</t>
  </si>
  <si>
    <t>MTNFTTH77758372</t>
  </si>
  <si>
    <t>System issue</t>
  </si>
  <si>
    <t>ANTHONY MUKAMBYA  256782931380 Kungu Trading Center 0.394644, 32.61349</t>
  </si>
  <si>
    <t xml:space="preserve"> MTNFTTH43471461</t>
  </si>
  <si>
    <t>.  256772247439. Mbarara Municipality.-0.60716,30.654502. FTTH_20_M</t>
  </si>
  <si>
    <t>Mbarara</t>
  </si>
  <si>
    <t>MTNFTTH30230478</t>
  </si>
  <si>
    <t>VENICE OWACGIU.  256772286418. China Star Construction (Africa) Co., Ltd.0.366385,32.707215. FTTH_10_M</t>
  </si>
  <si>
    <t>MTNFTTH01184827</t>
  </si>
  <si>
    <t>HILDA AKOTH.  256780332639. Buwate.0.405059,32.619267. FTTH_20_M</t>
  </si>
  <si>
    <t>MTNFTTH67211208</t>
  </si>
  <si>
    <t>SHEILLA TAYEBWA.  256777459899. Kisaasi - Kyanja Road.0.383743,32.594464. FTTH_10_M</t>
  </si>
  <si>
    <t>MTNFTTH44767526</t>
  </si>
  <si>
    <t>ERIAS SABITI.  256781229838. Sayuuni Complex.0.35822,32.611215. FTTH_20_M</t>
  </si>
  <si>
    <t>MTNFTTH62322178</t>
  </si>
  <si>
    <t>Charlotte Luzuka.  256762928541. 8JXV 524, Kamuli Rd, Kampala, Uganda.0.347724,32.64201. FTTH_20_M</t>
  </si>
  <si>
    <t>MTNFTTH60070807</t>
  </si>
  <si>
    <t xml:space="preserve">1,289,919
</t>
  </si>
  <si>
    <t xml:space="preserve">1,638,463.60
</t>
  </si>
  <si>
    <t>null null. 256775216460. Dashen Heights Residential Apartments. 0.297216,32.585227. FTTH_10_M</t>
  </si>
  <si>
    <t>Nsambya</t>
  </si>
  <si>
    <t>MTNFTTH08603667</t>
  </si>
  <si>
    <t>PATIENCE AUMA.256775720015.Akright Estate bwebajja.0.157488,32.544707.FTTH_20_M</t>
  </si>
  <si>
    <t>MTNFTTH65740548</t>
  </si>
  <si>
    <t>HARRIET NALUTAAYA.256763673493.Akright City.0.167522.32.523131.FTTH_20_M</t>
  </si>
  <si>
    <t>MTNFTTH13011521</t>
  </si>
  <si>
    <t>ISAAC KAGOBE.256775071686.Akright City.0.167522.32.523131.FTTH_20_M</t>
  </si>
  <si>
    <t>MTNFTTH35260402</t>
  </si>
  <si>
    <t>PATRICK KINTU.256779711793.Akright City.0.167522,32.523131.FTTH_20_M</t>
  </si>
  <si>
    <t>MTNFTTH56771163</t>
  </si>
  <si>
    <t>HARRIET AKOT.256783738994.Akright City.0.167522,32.523131.FTTH_20_M</t>
  </si>
  <si>
    <t>MTNFTTH16850778</t>
  </si>
  <si>
    <t>MERCY NAMULONDO.256775614622.Akright City.0.167522,32.523131.FTTH_20_M</t>
  </si>
  <si>
    <t>MTNFTTH68141607</t>
  </si>
  <si>
    <t>KATHRINE ADONGO.256772848459.Akright City.0.167522,32.523131.FTTH_20_M</t>
  </si>
  <si>
    <t>MTNFTTH02843528</t>
  </si>
  <si>
    <t>INNOCENT KILAMA.256774297003.Akright City.0.167522,32.523131.FTTH_20_M</t>
  </si>
  <si>
    <t>MTNFTTH81211776</t>
  </si>
  <si>
    <t>ASAD KASAJJA.256785626465.Kyanja Supermarket.0.396528,32.593531.FTTH_10_M</t>
  </si>
  <si>
    <t>MTNFTTH02560040</t>
  </si>
  <si>
    <t>HUDSON BARIGYE.256772121868.Kisaasi:Bahai Road.0.359815,32.599658.FTTH_10_M</t>
  </si>
  <si>
    <t>MTNFTTH28321822</t>
  </si>
  <si>
    <t>ROW  with one Pole</t>
  </si>
  <si>
    <t>JOSEPHAT WEFAFA.  256761914440. OLD KAMPALA.0.344065,32.59282. FTTH_10_M</t>
  </si>
  <si>
    <t>MTNFTTH50667083</t>
  </si>
  <si>
    <t> </t>
  </si>
  <si>
    <t>Client wasn’t in my cluster (bukoto), I just picked him up after delay in system</t>
  </si>
  <si>
    <t>NELSON KYAMBOGO.  256782709103. Kiwatule.0.365298,32.624919. FTTH_10_M</t>
  </si>
  <si>
    <t>MTNFTTH60751570</t>
  </si>
  <si>
    <t>ROW with Apartment Management</t>
  </si>
  <si>
    <t>.  256760616797. Bukasa Close.0.300549,32.611328. FTTH_10_M</t>
  </si>
  <si>
    <t xml:space="preserve">MTNFTTH74520488
</t>
  </si>
  <si>
    <t>Delayed by customer unavailability</t>
  </si>
  <si>
    <t>ROBINAH NTEGE NALUMANSI.  256772402564. Zana.0.262405,32.557071. FTTH_20_M</t>
  </si>
  <si>
    <t>MTNFTTH50214634</t>
  </si>
  <si>
    <t>ROW issues</t>
  </si>
  <si>
    <t>IMMACULATE KAMBABAZI.  256783674460. Ndere Cultural Centre.0.363351,32.605806. FTTH_10_M</t>
  </si>
  <si>
    <t>MTNFTTH02016288</t>
  </si>
  <si>
    <t>Delayed by Customer|| they had a patient</t>
  </si>
  <si>
    <t>NAMAWENJJE CATHERINE.  256784874503. Nicodemus Pork Joint.0.337374,32.563271. FTTH_20_M</t>
  </si>
  <si>
    <t>MTNFTTH38622336</t>
  </si>
  <si>
    <t>Reassignment</t>
  </si>
  <si>
    <t>ASRAPH BUSULWA.  256775454247. OLD KAMPALA.0.351294,32.605266. FTTH_10_M</t>
  </si>
  <si>
    <t>MTNFTTH41681858</t>
  </si>
  <si>
    <t>Client wasn’t in my cluster (kitante), I just picked him up.</t>
  </si>
  <si>
    <t>MOSES SERUNJOGI.  256770726598. OLD KAMPALA.0.239818,32.558112. FTTH_10_M</t>
  </si>
  <si>
    <t>MTNFTTH28740010</t>
  </si>
  <si>
    <t>Pius Muhumuza.  256783657011. Alternative Care Initiatives.0.287333,32.630628. FTTH_10_M</t>
  </si>
  <si>
    <t>MTNFTTH37052133</t>
  </si>
  <si>
    <t>PAUL MAURICE GGOWA.  256781067408. KITGUM.0.395165,32.580929. FTTH_20_M</t>
  </si>
  <si>
    <t>MTNFTTH35554788</t>
  </si>
  <si>
    <t>Cluster reallocation</t>
  </si>
  <si>
    <t>EVA BIRUNGI.  256786460439. OLD KAMPALA.0.32118,32.555187. FTTH_10_M</t>
  </si>
  <si>
    <t>MTNFTTH55271607</t>
  </si>
  <si>
    <t>CHURCHHILL ADETI.  256776429351. OLIVE APARTMENTS MUYENGA.0.287509,32.620775. FTTH_20_M</t>
  </si>
  <si>
    <t>MTNFTTH84442268</t>
  </si>
  <si>
    <t>Isaac KISASI.  256776128778. 8b Muwanga Rd, Kampala, Uganda Kisaasi.0.372475,32.605012. FTTH_10_M</t>
  </si>
  <si>
    <t>MTNFTTH16334671</t>
  </si>
  <si>
    <t>CLINTON AGABA.  256772753530. Kyanja Estates.0.391083,32.59178. FTTH_10_M</t>
  </si>
  <si>
    <t>MTNFTTH66250515</t>
  </si>
  <si>
    <t>EBOKU COLIN.  256780322993. OLD KAMPALA.0.391741,32.625096. FTTH_10_M</t>
  </si>
  <si>
    <t>MTNFTTH74101034</t>
  </si>
  <si>
    <t xml:space="preserve">567,175
</t>
  </si>
  <si>
    <t>MAGAMBO ROSETTE.  256774400177. OLD KAMPALA.0.382923,32.612659. FTTH_10_M</t>
  </si>
  <si>
    <t>MTNFTTH61805273</t>
  </si>
  <si>
    <t>Yarmah M Abraham.  256772441528. Kyeyune Exhaust Ltd.0.324234,32.562876. FTTH_10_M</t>
  </si>
  <si>
    <t>MTNFTTH65004224</t>
  </si>
  <si>
    <t>NORBERT OTOK.  256777808686. OLD KAMPALA.0.287123,32.621603. FTTH_20_M</t>
  </si>
  <si>
    <t>MTNFTTH46148836</t>
  </si>
  <si>
    <t>OSCAR TIBIGAMBWA.  256778097935. OLD KAMPALA.0.342925,32.661368. FTTH_10_M</t>
  </si>
  <si>
    <t>MTNFTTH64742577</t>
  </si>
  <si>
    <t>LAWRENCE TUMUSIIME.  256772589338. OLD KAMPALA.0.375899,32.643693. FTTH_10_M</t>
  </si>
  <si>
    <t>MTNFTTH80457156</t>
  </si>
  <si>
    <t>JOSEPHINE BATENGA.  256762987920. Lungujja.0.309657,32.540489. FTTH_20_M</t>
  </si>
  <si>
    <t>RUBAGA</t>
  </si>
  <si>
    <t>MTNFTTH78365735</t>
  </si>
  <si>
    <t>Pavicon</t>
  </si>
  <si>
    <t>Re-assigned to Pavicon on 23-APRIL</t>
  </si>
  <si>
    <t>Kosmas Malinga.  256779060176. Liquids Betina.0.433811,33.205624. FTTH_10_M</t>
  </si>
  <si>
    <t>MTNFTTH62848524</t>
  </si>
  <si>
    <t>Faced challenges on manhole constructions where we had to engage the concerned people</t>
  </si>
  <si>
    <t>MAHADEV SOPAN MANDHARE.  256760954870. Tungo Courts.0.317869,32.642497. FTTH_10_M</t>
  </si>
  <si>
    <t>MTNFTTH31610464</t>
  </si>
  <si>
    <t xml:space="preserve">478,555
</t>
  </si>
  <si>
    <t xml:space="preserve">701,023.60
</t>
  </si>
  <si>
    <t>Bob Ssebuliba.  256773302885. Nsamizi Road.0.066489,32.467086. FTTH_10_M</t>
  </si>
  <si>
    <t>MTNFTTH11013518</t>
  </si>
  <si>
    <t>GEORGE WAMALA.  256778045620. Mutundwe.0.280748,32.540416. FTTH_10_M</t>
  </si>
  <si>
    <t>MTNFTTH51304036</t>
  </si>
  <si>
    <t>Delayed Access to Mutundwe Switch</t>
  </si>
  <si>
    <t>FRANCIS   BITATURE KISEMBO.  256782619561. Kisaasi.0.361441,32.596655. FTTH_10_M</t>
  </si>
  <si>
    <t>MTNFTTH03254847</t>
  </si>
  <si>
    <t>Soliton</t>
  </si>
  <si>
    <t>DERICK YAWE  DDUMBA.  256785444804. OLD KAMPALA.0.36364,32.643721. FTTH_10_M</t>
  </si>
  <si>
    <t>MTNFTTH34043012</t>
  </si>
  <si>
    <t>TEDDY FLORENCE NALWANGA.  256774522619. OLD KAMPALA.0.314737,32.57775. FTTH_20_M</t>
  </si>
  <si>
    <t>Old Park</t>
  </si>
  <si>
    <t>MTNFTTH68641202</t>
  </si>
  <si>
    <t>Client wasn’t in my cluster (Downtown), I just picked him up after raising his complain</t>
  </si>
  <si>
    <t>Seghani Lalji Jitendra.  256771454054. OLD KAMPALA.0.36506,32.6015. FTTH_10_M</t>
  </si>
  <si>
    <t>MTNFTTH87037670</t>
  </si>
  <si>
    <t>ANITAH AMPURIRE.  256772691659. Kololo Hospital.0.334182,32.588881. FTTH_20_M</t>
  </si>
  <si>
    <t>MTNFTTH24651637</t>
  </si>
  <si>
    <t>Rak</t>
  </si>
  <si>
    <t>JULIET NYAKUZA.  256770953370. Entebbe.0.051184,32.463708. FTTH_10_M</t>
  </si>
  <si>
    <t>MTNFTTH35361031</t>
  </si>
  <si>
    <t>EVERLYNE AKOT.256784880375.OLD KAMPALA.0.34832,32.615049.FTTH_10_M</t>
  </si>
  <si>
    <t>MTNFTTH51175687</t>
  </si>
  <si>
    <t>High BOQ</t>
  </si>
  <si>
    <t>EDDY KASIRYE.256782935561.OLD KAMPALA.0.365842,32.60219. FTTH_10_M</t>
  </si>
  <si>
    <t>MTNFTTH66376007</t>
  </si>
  <si>
    <t xml:space="preserve"> 572.988.8 </t>
  </si>
  <si>
    <t>EVA NANGOKA.256788618414.Najjera Progressive Primary School.0.382794,32.626509. FTTH_20_M</t>
  </si>
  <si>
    <t>MTNFTTH77474101</t>
  </si>
  <si>
    <t>NATHAN EPUDU.256773230699.OLD KAMPALA.0.371235,32.659709.FTTH_10_M</t>
  </si>
  <si>
    <t>MTNFTTH80176702</t>
  </si>
  <si>
    <t>JOSEPH ASIIMWE.  256785666139. Lweza Estate.0.221346,32.549294. FTTH_10_M</t>
  </si>
  <si>
    <t>MTNFTTH25541283</t>
  </si>
  <si>
    <t>IVY KEMIGISHA.  256777968985. OLD KAMPALA.0.371974,32.60555. FTTH_10_M</t>
  </si>
  <si>
    <t>MTNFTTH67876605</t>
  </si>
  <si>
    <t>VICTOR IMMANUEL OLOO.  256786126308. OLD KAMPALA.0.355505,32.642645. FTTH_10_M</t>
  </si>
  <si>
    <t>MTNFTTH26428512</t>
  </si>
  <si>
    <t>SHALLOTE NAYEBARE.  256774332377. OLD KAMPALA.0.378875,32.59163. FTTH_10_M</t>
  </si>
  <si>
    <t>MTNFTTH77075463</t>
  </si>
  <si>
    <t>FATUMA MOHAMED AHMED.  256777221765. OLD KAMPALA.0.373703,32.601656. FTTH_10_M</t>
  </si>
  <si>
    <t>MTNFTTH07225744</t>
  </si>
  <si>
    <t>ALI LALIAOUI.  256762712407. OLD KAMPALA.0.311862,32.646941. FTTH_10_M</t>
  </si>
  <si>
    <t>MTNFTTH06534565</t>
  </si>
  <si>
    <t>JEMIMA KARIUKI.  256772123355. Lubowa Terrace.0.237438,32.564759. FTTH_20_M</t>
  </si>
  <si>
    <t>MTNFTTH57015682</t>
  </si>
  <si>
    <t>Approved by Carol</t>
  </si>
  <si>
    <t>Arnold Tingu.  256777175752. OLD KAMPALA.0.332016,32.668891. FTTH_20_M</t>
  </si>
  <si>
    <t>MTNFTTH23814465</t>
  </si>
  <si>
    <t>Jude Kigozi.  256783893650. Kitetika gayaza Road,uganda.0.344219,32.582511. FTTH_20_M</t>
  </si>
  <si>
    <t>MTNFTTH52118342</t>
  </si>
  <si>
    <t>KENNETH OTUKOL.  256772624742. FezaTel ltd.0.349641,32.61829. FTTH_10_M</t>
  </si>
  <si>
    <t>Ntinda Kyambogo</t>
  </si>
  <si>
    <t>MTNFTTH40015521</t>
  </si>
  <si>
    <t>Margaret Nyanjura.  256773267578. 0°23\\\'02.5\\.0.384,32.6251. FTTH_10_M</t>
  </si>
  <si>
    <t>MTNFTTH60685177</t>
  </si>
  <si>
    <t>JUDE HERBIE SSENYONJO.  256778084078. OLD KAMPALA.0.231132,32.543461. FTTH_20_M</t>
  </si>
  <si>
    <t>Nalumunye</t>
  </si>
  <si>
    <t>MTNFTTH18348330</t>
  </si>
  <si>
    <t>Not in que</t>
  </si>
  <si>
    <t>CAROL NAKATO.  256787251229. Luwafu, makindye.0.269742,32.592372. FTTH_10_M</t>
  </si>
  <si>
    <t>MAKINDYE</t>
  </si>
  <si>
    <t>MTNFTTH14724435</t>
  </si>
  <si>
    <t xml:space="preserve"> 131,650 
</t>
  </si>
  <si>
    <t xml:space="preserve"> 1,590,586 
</t>
  </si>
  <si>
    <t xml:space="preserve"> 2,333,351 
</t>
  </si>
  <si>
    <t>ROW to Access Luwafu site</t>
  </si>
  <si>
    <t>Chris Mukuru.  256775783056. KITGUM.0.343807,32.621317. FTTH_20_M</t>
  </si>
  <si>
    <t>MTNFTTH22844552</t>
  </si>
  <si>
    <t>Patrick Winyi.  256773125633. OLD KAMPALA.0.385439,32.602797. FTTH_10_M</t>
  </si>
  <si>
    <t>MTNFTTH86787011</t>
  </si>
  <si>
    <t>DONNIE BYARUHANGA.  256775690138. Kisaasi.0.361441,32.596655. FTTH_10_M</t>
  </si>
  <si>
    <t>MTNFTTH50428361</t>
  </si>
  <si>
    <t>JOHN ZZIWA.  256781282573. JINJA.0.432779,33.21193. FTTH_10_M</t>
  </si>
  <si>
    <t>MTNFTTH08378462</t>
  </si>
  <si>
    <t>null null.256778942153.Lubowa Terrace.0.237438,32.564759.FTTH_10_M</t>
  </si>
  <si>
    <t>MTNFTTH82540637</t>
  </si>
  <si>
    <t>Delayed by customer - had existing service</t>
  </si>
  <si>
    <t>BALISANYUKA PETER.256782942972.ican Resort Hotel.0.229229,32.54397.FTTH_40_M</t>
  </si>
  <si>
    <t>MTNFTTH03381273</t>
  </si>
  <si>
    <t>EMMANUEL MUGISHA  774774042 Kisaasi:Bahai Road 0.37247,0.37247   FTTH_20_M</t>
  </si>
  <si>
    <t xml:space="preserve"> MTNFTTH27178676</t>
  </si>
  <si>
    <t>JOSELYNE AYEBALE.  256774102692. Katale Seguku.0.233668,32.545845. FTTH_10_M</t>
  </si>
  <si>
    <t>MTNFTTH41447737</t>
  </si>
  <si>
    <t>BENARD WAKYAYA.  256785229880. OLD KAMPALA.0.24584,32.538307. FTTH_10_M</t>
  </si>
  <si>
    <t>MTNFTTH74613053</t>
  </si>
  <si>
    <t>ROW not resolved</t>
  </si>
  <si>
    <t>EMMANUEL PETIT.  256782041452. OLD KAMPALA.0.387718,32.640524. FTTH_10_M</t>
  </si>
  <si>
    <t>MTNFTTH54535633</t>
  </si>
  <si>
    <t>To be commissioned in May</t>
  </si>
  <si>
    <t>Fredrick Ndiwalana.  256777767693. Seguku.0.237516,32.541173. FTTH_10_M</t>
  </si>
  <si>
    <t>MTNFTTH16287342</t>
  </si>
  <si>
    <t xml:space="preserve">Fredrick Ndiwalana. 256777767693. Seguku. (0.237516,32.541173). FTTH_10_M.
</t>
  </si>
  <si>
    <t>Kifude Isma.  256772924318. Seguku.0.237516,32.541173. FTTH_10_M</t>
  </si>
  <si>
    <t>MTNFTTH62877153</t>
  </si>
  <si>
    <t>SIMON OKANYA.  256762900506. OLD KAMPALA.0.363241,32.647513. FTTH_10_M</t>
  </si>
  <si>
    <t>MTNFTTH33365680</t>
  </si>
  <si>
    <t>Above DOA , 5 poles</t>
  </si>
  <si>
    <t>ANDEMARIAM YEHDEGO.  256761992532. OLD KAMPALA.0.29722,32.585229. FTTH_20_M</t>
  </si>
  <si>
    <t>NSAMBYA</t>
  </si>
  <si>
    <t>MTNFTTH04153371</t>
  </si>
  <si>
    <t>not feasible</t>
  </si>
  <si>
    <t>BADIRIA NASSAZI.  256779808402. Lugala.0.31351,32.54081. FTTH_10_M</t>
  </si>
  <si>
    <t>MTNFTTH78053075</t>
  </si>
  <si>
    <t>Quotation Approved on 24-Apr, He paid before we started MTN works</t>
  </si>
  <si>
    <t>Elizabeth Nakayima.  256772693778. OLD KAMPALA.0.314206,32.581651. FTTH_20_M</t>
  </si>
  <si>
    <t>MTNFTTH83018583</t>
  </si>
  <si>
    <t>Cluster reassignment</t>
  </si>
  <si>
    <t>.  256775317008. OLD KAMPALA.0.194049,32.539572. FTTH_10_M</t>
  </si>
  <si>
    <t>MTNFTTH28055134</t>
  </si>
  <si>
    <t>LODU ANTHONY.  256776517420. Buwate Masjid.0.399006,32.621158. FTTH_10_M</t>
  </si>
  <si>
    <t>MTNFTTH18006433</t>
  </si>
  <si>
    <t>ROW challenges, client fully participated in the resolutions</t>
  </si>
  <si>
    <t>DAISY MASEMBE.  256788107728. Mbalwa.0.365182,32.653176. FTTH_10_M</t>
  </si>
  <si>
    <t>MTNFTTH05217706</t>
  </si>
  <si>
    <t>Pending Council Permit</t>
  </si>
  <si>
    <t>Godfrey Kakembo Mukasa.  256777810655. OLD KAMPALA.0.175037,32.533146. FTTH_20_M</t>
  </si>
  <si>
    <t>MTNFTTH47866536</t>
  </si>
  <si>
    <t xml:space="preserve">255,150
</t>
  </si>
  <si>
    <t>ALEX NTAMBI.  256788840171. Shell.0.33873,32.56347. FTTH_20_M_O</t>
  </si>
  <si>
    <t>MTNFTTH30844663</t>
  </si>
  <si>
    <t>.  256789967784. OLD KAMPALA.0.290592,32.611671. FTTH_20_M</t>
  </si>
  <si>
    <t>MTNFTTH10734663</t>
  </si>
  <si>
    <t>VANESSA BASALWA.  256788704141. Mukono.0.354866,32.752014. FTTH_10_M</t>
  </si>
  <si>
    <t>Mukono</t>
  </si>
  <si>
    <t>MTNFTTH35101042</t>
  </si>
  <si>
    <t>MINORITA TUMWEBAZE.  256778866306. OLD KAMPALA.0.175443,32.538055. FTTH_10_M</t>
  </si>
  <si>
    <t>MTNFTTH36481327</t>
  </si>
  <si>
    <t>Client on Voice mall, r.ow from  mgt was concluded as of 25.4.2023, tobe commissioned toaday.</t>
  </si>
  <si>
    <t>.  256778973162. OLD KAMPALA.0.351019,32.593887. FTTH_10_M</t>
  </si>
  <si>
    <t>MTNFTTH21463065</t>
  </si>
  <si>
    <t>Customer had civil works and there was ROW issues with the Landlords</t>
  </si>
  <si>
    <t>PETER ODONGHO.  256762309189. Kyambogo.0.346537,32.628731. FTTH_10_M</t>
  </si>
  <si>
    <t>MTNFTTH37461666</t>
  </si>
  <si>
    <t>ERON KWAGALA.  256777075940. Nabe Road.0.366421,32.630475. FTTH_10_M</t>
  </si>
  <si>
    <t>MTNFTTH70644725</t>
  </si>
  <si>
    <t>TONNY NANGOSHA.  256787713506. Rubis Ntinda Service Station.0.359061,32.617412. FTTH_20_M</t>
  </si>
  <si>
    <t>MTNFTTH85053256</t>
  </si>
  <si>
    <t>DEOGRATIAS NTAGANIRA.  256776136049. Station Road.0.057091,32.47465. FTTH_10_M</t>
  </si>
  <si>
    <t>MTNFTTH76130685</t>
  </si>
  <si>
    <t>JUSTUS MUCHUNGUZI.  256785933023. OLD KAMPALA.0.381427,32.597538. FTTH_10_M</t>
  </si>
  <si>
    <t>MTNFTTH73386116</t>
  </si>
  <si>
    <t>System isue</t>
  </si>
  <si>
    <t>KENETH ISABIRYE.  256772384031. OLD KAMPALA.0.35732,32.648787. FTTH_20_M</t>
  </si>
  <si>
    <t>MTNFTTH34637218</t>
  </si>
  <si>
    <t>SHARLOT  NALUBOWA.  256772876252. Kisaasi - Kyanja Road.0.383743,32.594464. FTTH_10_M</t>
  </si>
  <si>
    <t>MTNFTTH68048062</t>
  </si>
  <si>
    <t>NZIZA RURANGIRWA.  256779915620. Mutungo Hill.0.319589,32.6447. FTTH_20_M</t>
  </si>
  <si>
    <t>MTNFTTH72004547</t>
  </si>
  <si>
    <t>FRANCIS KASUJJA.256773397908. 0.305162,32.559526.FTTH_10_M</t>
  </si>
  <si>
    <t>MTNFTTH13628774</t>
  </si>
  <si>
    <t>EVA ALIGAWEESA.256788008143.Butikiro Road.0.310608,32.564316.FTTH_10_M_O</t>
  </si>
  <si>
    <t>MTNFTTO43157037</t>
  </si>
  <si>
    <t>null null.256774115480.Zana Community Church.0.252712,32.562844.FTTH_10_M</t>
  </si>
  <si>
    <t>MTNFTTH64333324</t>
  </si>
  <si>
    <t>DANIEL LUMONYA.256772501793.OLD KAMPALA.0.083231,32.468889.FTTH_40_M</t>
  </si>
  <si>
    <t>MTNFTTH70178666</t>
  </si>
  <si>
    <t>BW issues</t>
  </si>
  <si>
    <t>TIMOTHY BAREIRE AINE.  256780230910. Buwate Police Post.0.406821,32.619745. FTTH_10_M</t>
  </si>
  <si>
    <t>MTNFTTH71646864</t>
  </si>
  <si>
    <t>GRACE NANNYONGA.  256782245447. Buwate.0.405059,32.619267. FTTH_10_M</t>
  </si>
  <si>
    <t>MTNFTTH36470805</t>
  </si>
  <si>
    <t>Galiwango Florence. 256788591026. Ojogoi Lane.0.385655,32.645688.FTTH_10_M</t>
  </si>
  <si>
    <t>MTNFTTH85644083</t>
  </si>
  <si>
    <t>CHARLIE ATEENYI SEKAKONI.256772845007.Seguku.0.237516,32.541173.FTTH_10_M</t>
  </si>
  <si>
    <t>MTNFTTH85742418</t>
  </si>
  <si>
    <t>SYLVIA NANSIMBI JAGWE.  256778697071. Muyenga.0.296898,32.615028. FTTH_20_M</t>
  </si>
  <si>
    <t>MTNFTTH77581888</t>
  </si>
  <si>
    <t>To be activated at tne end of the month</t>
  </si>
  <si>
    <t>FOUM ASMAHAN.  256788006888. Lugala.0.31351,32.54081. FTTH_10_M</t>
  </si>
  <si>
    <t>MTNFTTH74480536</t>
  </si>
  <si>
    <t xml:space="preserve">Client has been upcountry, survey confirmed for tomorrow.
</t>
  </si>
  <si>
    <t>.  256770837382. OLD KAMPALA.0.098334,32.504918. FTTH_40_M</t>
  </si>
  <si>
    <t>Kitala</t>
  </si>
  <si>
    <t>MTNFTTH74017851</t>
  </si>
  <si>
    <t>Customer is shifting</t>
  </si>
  <si>
    <t>ANITA BALIKOBAKU.  256773308355. OLD KAMPALA.0.189074,32.540132. FTTH_40_M</t>
  </si>
  <si>
    <t>ENTEBBE</t>
  </si>
  <si>
    <t>MTNFTTH83478834</t>
  </si>
  <si>
    <t>Re-assigned to Pavicon on 26-APRIL from Chrif Group</t>
  </si>
  <si>
    <t>JOLLY KAWEESI.  256760689594. 8a Nganda Ln.0.316399,32.647156. FTTH_10_M</t>
  </si>
  <si>
    <t>MTNFTTH84557253</t>
  </si>
  <si>
    <t>JACKLINE NAMATOVU.  256774535258. OLD KAMPALA.0.098826,32.505979. FTTH_10_M</t>
  </si>
  <si>
    <t>MTNFTTH62035031</t>
  </si>
  <si>
    <t>ROW</t>
  </si>
  <si>
    <t>Masereka Nuhaimu.  256787421129. Sahara Primary School.0.25402,32.606338. FTTH_10_M</t>
  </si>
  <si>
    <t>MTNFTTH87847208</t>
  </si>
  <si>
    <t>ANNET NAMPIIMA.  256771651683. Mutundwe.0.280748,32.540416. FTTH_10_M</t>
  </si>
  <si>
    <t>MTNFTTH05707770</t>
  </si>
  <si>
    <t>MTN UGANDA LTD null.  256772123321. Wash Masters Najjera.0.380308,32.625985. FTTH_10_M</t>
  </si>
  <si>
    <t>MTNFTTH31220507</t>
  </si>
  <si>
    <t>MUKUNDANE MICHAEL KYAKAMARA.  256772415358. Seguku.0.237516,32.541173. FTTH_20_M</t>
  </si>
  <si>
    <t>MTNFTTH68383352</t>
  </si>
  <si>
    <t>LUCIA ANIENDE.  256775108919. OLD KAMPALA.0.355407,32.648277. FTTH_20_M</t>
  </si>
  <si>
    <t>MTNFTTH45036616</t>
  </si>
  <si>
    <t>BRENDA NASSALI.  256760170397. OLD KAMPALA.0.338179,32.596747. FTTH_10_M</t>
  </si>
  <si>
    <t>MTNFTTH11417144</t>
  </si>
  <si>
    <t>GEORGE WAIBALE WANDERA.  256762063075. Kamuli Road.0.35479,32.644415. FTTH_10_M</t>
  </si>
  <si>
    <t>MTNFTTH47620535</t>
  </si>
  <si>
    <t>ELIJAH WAISANKA.  256784851148. JINJA.0.424655,33.2107. FTTH_10_M</t>
  </si>
  <si>
    <t>MTNFTTH57015272</t>
  </si>
  <si>
    <t>ACHAALI ISRAEL TINKASIMIIRE.  256774123888. OLD KAMPALA.0.370048,32.647122. FTTH_20_M</t>
  </si>
  <si>
    <t>MTNFTTH62143171</t>
  </si>
  <si>
    <t>Brian Seremba.  256776075354. OLD KAMPALA.0.362043,32.601072. FTTH_10_M</t>
  </si>
  <si>
    <t>MTNFTTH87686736</t>
  </si>
  <si>
    <t>Owen Paul.  256763475339. 9J5Q H26, Kampala, Uganda Next to wamala girls hostel Kabaka farm.0.3585,32.6371. FTTH_20_M</t>
  </si>
  <si>
    <t>MTNFTTH28121877</t>
  </si>
  <si>
    <t>2,391,689.0_x000D_</t>
  </si>
  <si>
    <t>MUWANGA MARVIN.256782363433.Mutundwe.0.280748,32.540416.FTTH_10_M</t>
  </si>
  <si>
    <t>MTNFTTH83516581</t>
  </si>
  <si>
    <t>YAHYE SHARIF HAMOD.256773284552.Lubiri Secondary School.0.304802,32.548941.FTTH_10_M</t>
  </si>
  <si>
    <t>MTNFTTH46537884</t>
  </si>
  <si>
    <t>SAMUEL OBACI.256760851054.ndeeba road uganda.0.299245,32.575208. FTTH_10_M</t>
  </si>
  <si>
    <t>MTNFTTH36313258</t>
  </si>
  <si>
    <t xml:space="preserve">ZURAH NANTONGO.256772247355.OLD KAMPALA.0.392081,32.660769.FTTH_10_M
</t>
  </si>
  <si>
    <t>MTNFTTH86033852</t>
  </si>
  <si>
    <t xml:space="preserve">MARK TUSUBIRA.256780433195.Kagoma Holdings Company limited.0.424767,33.21064.FTTH_20_M
</t>
  </si>
  <si>
    <t>MTNFTTH53766745</t>
  </si>
  <si>
    <t>Sushil Sharma.256782419161.dfcu BANK Entebbe Town Branch, Entebbe, Uganda entebbe town dfcu bank.0.0604,32.4719.FTTH_10_M</t>
  </si>
  <si>
    <t>MTNFTTH06286174</t>
  </si>
  <si>
    <t>STEPHEN MUGISA.256782885759.Kisaasi:Komamboga Road.0.377237,32.589764.FTTH_10_M</t>
  </si>
  <si>
    <t>MTNFTTH80800675</t>
  </si>
  <si>
    <t>ADAIR KANZIRA.  256772122653. CARGEN.0.318982,32.598145. FTTH_10_M</t>
  </si>
  <si>
    <t>MTNFTTH04261723</t>
  </si>
  <si>
    <t>NAWIIRA NAKIRANDA.256763810930.Location.0.353511,32.620643. FTTH_10_M</t>
  </si>
  <si>
    <t>MTNFTTH17437670</t>
  </si>
  <si>
    <t>SUZAN MWEBE NDWADEWAZIBWA.  256789222634. Mpererwe,Namere.0.383356,32.57661. FTTH_10_M</t>
  </si>
  <si>
    <t>MTNFTTH48572186</t>
  </si>
  <si>
    <t>Requested to be commissioned at the end of month</t>
  </si>
  <si>
    <t>DEBORAH NANSUBUGA.  256782729549. Lukuli Water Pump.0.282059,32.593541. FTTH_10_M</t>
  </si>
  <si>
    <t>MTNFTTH23158236</t>
  </si>
  <si>
    <t>Pending consolidation</t>
  </si>
  <si>
    <t>NABBANJA RITAH.  256785236222. OLD KAMPALA.0.364251,32.636107. FTTH_10_M</t>
  </si>
  <si>
    <t>MTNFTTH38327553</t>
  </si>
  <si>
    <t>ISAAC SSEGAWA.  256782186538. OLD KAMPALA.0.316493,32.574214. FTTH_20_M</t>
  </si>
  <si>
    <t>MTNFTTH42535770</t>
  </si>
  <si>
    <t>PAUL KAHERU.  256776500656. OLD KAMPALA.0.367528,32.635595. FTTH_20_M</t>
  </si>
  <si>
    <t>MTNFTTH40440805</t>
  </si>
  <si>
    <t>KYEMBA HENRY.  256772324744. OLD KAMPALA.0.250483,32.615204. FTTH_10_M</t>
  </si>
  <si>
    <t>MTNFTTH01161874</t>
  </si>
  <si>
    <t>SHIFAH NAMATA.  256777136668. Bwaise roundabout.0.350182,32.562908. FTTH_10_M</t>
  </si>
  <si>
    <t>MAKERERE</t>
  </si>
  <si>
    <t>MTNFTTH25172850</t>
  </si>
  <si>
    <t>SYDNEY TENDO.  256778664523. Ntinda.0.350605,32.615769. FTTH_10_M</t>
  </si>
  <si>
    <t>MTNFTTH53156427</t>
  </si>
  <si>
    <t>Customer undecided where he wants the service</t>
  </si>
  <si>
    <t>Harriet Nattabi.  256783212124. Lungujja Kitunzi.0.310005,32.540332. FTTH_10_M</t>
  </si>
  <si>
    <t>MTNFTTH28412407</t>
  </si>
  <si>
    <t>Not On Air</t>
  </si>
  <si>
    <t>GEORGE GUMISIRIZA.256788742973.Najjanankumbi:Lweza.0.220727,32.548955.FTTH_10_M</t>
  </si>
  <si>
    <t>MTNFTTH24763623</t>
  </si>
  <si>
    <t>PETER CLAVER MBIDDE.256772856485.Location.0.418311.32.61694. FTTH_20_M</t>
  </si>
  <si>
    <t>MTNFTTH88037011</t>
  </si>
  <si>
    <t>ANTHONY BUSULWA.256775530345.OLD KAMPALA.0.286729,32.630654.FTTH_10_M</t>
  </si>
  <si>
    <t>MTNFTTH05506558</t>
  </si>
  <si>
    <t>Ndugwa Ukasha.256789416335.Kampala Muyenga Bukasa.0.3189,32.5981.FTTH_10_M</t>
  </si>
  <si>
    <t>MTNFTTH58524820</t>
  </si>
  <si>
    <t>null null.  256783007198. UMA multi purpose hall.0.32904232.609918. FTTH_20_M</t>
  </si>
  <si>
    <t>MTNFTTH30650716</t>
  </si>
  <si>
    <t>ROW delay</t>
  </si>
  <si>
    <t>Not on air</t>
  </si>
  <si>
    <t>ROW from UMA</t>
  </si>
  <si>
    <t>null null.  256772623151. Kasubi Market.0.33293232.555834. FTTH_10_M</t>
  </si>
  <si>
    <t>MTNFTTH42624621</t>
  </si>
  <si>
    <t>Customer Delay</t>
  </si>
  <si>
    <t xml:space="preserve">Not aware of the service </t>
  </si>
  <si>
    <t>null null.  256779574052. OLD KAMPALA.0.360956,32.653666. FTTH_20_M</t>
  </si>
  <si>
    <t>MTNFTTH84503127</t>
  </si>
  <si>
    <t>SHAMIM NAKANJAKO.  256789860887. OLD KAMPALA.0.238015,32.539745. FTTH_10_M</t>
  </si>
  <si>
    <t>MTNFTTH16423004</t>
  </si>
  <si>
    <t>Customer delay</t>
  </si>
  <si>
    <t xml:space="preserve"> Alternative number got. Contractor is in touch with the client</t>
  </si>
  <si>
    <t>NASIIBAH NAKAJUBI.  256773426018. OLD KAMPALA.0.377486,32.589764. FTTH_20_M</t>
  </si>
  <si>
    <t>MTNFTTH03064411</t>
  </si>
  <si>
    <t>Jane Kasubo.  256772380505. OLD KAMPALA.0.210373,32.536037. FTTH_10_M</t>
  </si>
  <si>
    <t>MTNFTTH84237385</t>
  </si>
  <si>
    <t>Doesnt pick up calls</t>
  </si>
  <si>
    <t>JOSHUA KISOZI.  256781778716. Kajjansi.0.207025,32.540103. FTTH_20_M</t>
  </si>
  <si>
    <t>MTNFTTH01202420</t>
  </si>
  <si>
    <t>Not picking</t>
  </si>
  <si>
    <t>LILLIAN AKOYO.  256779208956. Canon Road.0.359258,32.620362. FTTH_20_M</t>
  </si>
  <si>
    <t>MTNFTTH62648327</t>
  </si>
  <si>
    <t>Requested to be commissioned at the end of the month</t>
  </si>
  <si>
    <t>JOAN KANYUNYUZI.  256784357127. Makindye Division.0.272835,32.617492. FTTH_10_M</t>
  </si>
  <si>
    <t>MTNFTTH12724485</t>
  </si>
  <si>
    <t>On Hold</t>
  </si>
  <si>
    <t xml:space="preserve">client consolidated but BOQ is still High.
</t>
  </si>
  <si>
    <t>DIANA ABAA.  256789676392. Buziga Waterpump.0.267611,32.614307. FTTH_10_M</t>
  </si>
  <si>
    <t>MTNFTTH48680207</t>
  </si>
  <si>
    <t xml:space="preserve">Consolidation, but high BOQ.
</t>
  </si>
  <si>
    <t>KASENGE FLAVIA ELEANOR.  256772212176. Buziga Waterpump.0.267611,32.614307. FTTH_20_M</t>
  </si>
  <si>
    <t>MTNFTTH51655332</t>
  </si>
  <si>
    <t>ELIJAH BEESIGOMWE.  256775656227. OLD KAMPALA.0.287448,32.577613. FTTH_10_M</t>
  </si>
  <si>
    <t>MTNFTTH36145374</t>
  </si>
  <si>
    <t>SUMAYYA NANYANZI.  256778078645. KITGUM.0.31942,32.599046. FTTH_10_M</t>
  </si>
  <si>
    <t>Mbale</t>
  </si>
  <si>
    <t>MTNFTTH73082235</t>
  </si>
  <si>
    <t>WIP</t>
  </si>
  <si>
    <t>Mobilizing to start Civil works</t>
  </si>
  <si>
    <t>CATHERINE NAKIBONEKA.  256772122979. OLD KAMPALA.0.373713,32.660416. FTTH_10_M</t>
  </si>
  <si>
    <t>MTNFTTH65468760</t>
  </si>
  <si>
    <t>Mobilizing to start Civil works, High BOQ</t>
  </si>
  <si>
    <t>KIRABO DERRICK.  256772066847. OLD KAMPALA.0.322231,32.574971. FTTH_10_M</t>
  </si>
  <si>
    <t>MTNFTTH54084315</t>
  </si>
  <si>
    <t>Delayed by client(Not picking calls).</t>
  </si>
  <si>
    <t>KORYOM AWET ALOR KUOL.  256782000121. Bukasa.0.29886,32.62068. FTTH_10_M</t>
  </si>
  <si>
    <t>MTNFTTH88633713</t>
  </si>
  <si>
    <t>Contact not available</t>
  </si>
  <si>
    <t>Clarke Means.  256771046678. 5b Lukuli 8105, Kampala, Uganda.0.278393,32.593113. FTTH_10_M</t>
  </si>
  <si>
    <t>MTNFTTH43556460</t>
  </si>
  <si>
    <t>He needs 4 Poles - Looking for consolidation</t>
  </si>
  <si>
    <t>JOSEPH MAKAWA.  256784185800. Kawaala Health Center 3.0.340881,32.553713. FTTH_10_M_O</t>
  </si>
  <si>
    <t>MTNFTTH62787108</t>
  </si>
  <si>
    <t>Assigned to pavicon</t>
  </si>
  <si>
    <t>.  256777515585. OLD KAMPALA.0.099566,32.505626. FTTH_10_M</t>
  </si>
  <si>
    <t>MTNFTTH26564258</t>
  </si>
  <si>
    <t>Consolidation done.Delayed by client as they are not ready for activation.</t>
  </si>
  <si>
    <t>.  256760805523. Najjanankumbi Stella Stage.0.283561,32.569361. FTTH_10_M</t>
  </si>
  <si>
    <t>MTNFTTH54571815</t>
  </si>
  <si>
    <t>(On Air)</t>
  </si>
  <si>
    <t>Client unavailable</t>
  </si>
  <si>
    <t>SOPHIA ELIZABETH NAKIGANDA SONKO.  256786843080. Bwebajja Dundu.0.164019,32.54788. FTTH_10_M</t>
  </si>
  <si>
    <t>MTNFTTH87817381</t>
  </si>
  <si>
    <t>Third person paid, WIP.</t>
  </si>
  <si>
    <t>BARBRA NAMUYIGA.  256777132868. Salaama Road.0.264957,32.595752. FTTH_20_M</t>
  </si>
  <si>
    <t>MTNFTTH22553585</t>
  </si>
  <si>
    <t>JASBIR SINGH GHATAURA.256772684070.Bugolobi:Mbuya Road.0.310649,32.622283.FTTH_40_M</t>
  </si>
  <si>
    <t>MTNFTTH02853530</t>
  </si>
  <si>
    <t>Burried Manhole - ZTE team supporting</t>
  </si>
  <si>
    <t>CAROL KHARONO.  256784078332. OLD KAMPALA.0.232107,32.533479. FTTH_20_M</t>
  </si>
  <si>
    <t>MTNFTTH28138770</t>
  </si>
  <si>
    <t>consolidated with other two clients</t>
  </si>
  <si>
    <t>DESMOND KOPIO.  256772943165. HOTEL LA VENA.0.225834,32.536923. FTTH_20_M</t>
  </si>
  <si>
    <t>MTNFTTH07688407</t>
  </si>
  <si>
    <t>RONALD ATWINE.  256779073615. Mulawa Mall.0.406403,32.641768. FTTH_10_M</t>
  </si>
  <si>
    <t>Bulindo</t>
  </si>
  <si>
    <t>MTNFTTH76136458</t>
  </si>
  <si>
    <t>Refund</t>
  </si>
  <si>
    <t>Due to ROW issue with Landlord, the client requests for a refund.</t>
  </si>
  <si>
    <t>Brian  Kikonyogo.  256772950713. Lubowa Terrace.0.237438,32.564759. FTTH_20_M</t>
  </si>
  <si>
    <t>MTNFTTH38773523</t>
  </si>
  <si>
    <t>ATANASIO OMONY.  256783970418. Gulu Town Primary School.2.784314,32.309013. FTTH_40_M</t>
  </si>
  <si>
    <t>MTNFTTH77888126</t>
  </si>
  <si>
    <t>Not responding to appointments</t>
  </si>
  <si>
    <t>EUNICE ACHIRO.  256779228534. TotalEnergies Najjera Service Station.0.385521,32.625953. FTTH_10_M</t>
  </si>
  <si>
    <t>Kiwatule</t>
  </si>
  <si>
    <t>MTNFTTH80211204</t>
  </si>
  <si>
    <t>On hold</t>
  </si>
  <si>
    <t>The site is out of DOA range, pending consolidation.</t>
  </si>
  <si>
    <t>.  256786681015. MBALE.1.075127,34.176149. FTTH_10_M</t>
  </si>
  <si>
    <t>MBALE.</t>
  </si>
  <si>
    <t>MTNFTTH17364262</t>
  </si>
  <si>
    <t>ZTE for support</t>
  </si>
  <si>
    <t>AISHA NAMUTEBI.  256772444883. Mile 8 Masjid, Gayaza Road.0.419642,32.596998. FTTH_20_M</t>
  </si>
  <si>
    <t>MTNFTTH24354483</t>
  </si>
  <si>
    <t>The site is out of DOA range(1km about 12 poles)</t>
  </si>
  <si>
    <t>ROBERT DEAN WESTMORELAND.  256778445254. OLD KAMPALA.0.258417,32.630429. FTTH_10_M</t>
  </si>
  <si>
    <t>MTNFTTH74304223</t>
  </si>
  <si>
    <t>PHIONA KAMPIRE.  256779945553. Muyenga Tank Hill.0.292953,32.609375. FTTH_20_M</t>
  </si>
  <si>
    <t>MTNFTTH80000257</t>
  </si>
  <si>
    <t>ANTHONY BUSULWA.  256775530345. OLD KAMPALA.0.286729,32.630654. FTTH_10_M</t>
  </si>
  <si>
    <t>Delayed by contractor</t>
  </si>
  <si>
    <t>SIMON NYONJO.  256783070779. OLD KAMPALA.0.29223,32.608673. FTTH_20_M</t>
  </si>
  <si>
    <t>MTNFTTH46745770</t>
  </si>
  <si>
    <t>Not picking calls</t>
  </si>
  <si>
    <t>FARIDAH       NALUTAYA.  256788694179. Noble wigs and Hair Pieces Kampala.0.254192,32.626498. FTTH_10_M</t>
  </si>
  <si>
    <t>MTNFTTH78805028</t>
  </si>
  <si>
    <t>Client will let contractor know when to install service</t>
  </si>
  <si>
    <t>GOMEZ HAJARA NAZIRI.  256778636213. Entebbe Road.0.310404,32.580304. FTTH_10_M</t>
  </si>
  <si>
    <t>MTNFTTH35678773</t>
  </si>
  <si>
    <t>BRIAN WALUSIMBI.256774409697.tinda (Kiwatule - Naalya):Naalya Road.0.365544,32.645383. FTTH_10_M</t>
  </si>
  <si>
    <t>MTNFTTH81160061</t>
  </si>
  <si>
    <t>Magala Charles.256774921728.null.0.316055,32.652236.FTTH_10_M</t>
  </si>
  <si>
    <t>MTNFTTH78416062</t>
  </si>
  <si>
    <t>Refunded</t>
  </si>
  <si>
    <t>Not on Air</t>
  </si>
  <si>
    <t>Phoebe Nalubiri.256788522435.munyonyo.0.3189.32.5981. FTTH_10_M</t>
  </si>
  <si>
    <t>MTNFTTH54715322</t>
  </si>
  <si>
    <t>NEEMA MARIANA MBONIGABA.256780637600.Ggaba:Wavamuno Road.0.248949,32.622962.FTTH_20_M</t>
  </si>
  <si>
    <t>MTNFTTH07253602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</si>
</sst>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b/>
      <sz val="10"/>
      <color rgb="FF000000"/>
      <name val="Book Antiqua"/>
    </font>
    <font>
      <sz val="11"/>
      <color theme="1"/>
      <name val="Book Antiqua"/>
      <family val="1"/>
    </font>
    <font>
      <sz val="10"/>
      <color rgb="FF000000"/>
      <name val="Book Antiqua"/>
    </font>
    <font>
      <sz val="11"/>
      <name val="Book Antiqua"/>
    </font>
    <font>
      <sz val="9"/>
      <color rgb="FF000000"/>
      <name val="Book Antiqua"/>
    </font>
    <font>
      <sz val="10"/>
      <color rgb="FF000000"/>
      <name val="Book Antiqua"/>
      <family val="1"/>
    </font>
    <font>
      <sz val="11"/>
      <color rgb="FF000000"/>
      <name val="Book Antiqua"/>
    </font>
    <font>
      <sz val="11"/>
      <color theme="1"/>
      <name val="Book Antiqua"/>
    </font>
    <font>
      <sz val="10"/>
      <color theme="1"/>
      <name val="Book Antiqua"/>
    </font>
    <font>
      <sz val="11"/>
      <color rgb="FF000000"/>
      <name val="Book Antiqua"/>
      <family val="1"/>
    </font>
    <font>
      <sz val="10"/>
      <color rgb="FF000000"/>
      <name val="Times New Roman"/>
    </font>
    <font>
      <sz val="11"/>
      <color rgb="FF031938"/>
      <name val="Book Antiqua"/>
    </font>
    <font>
      <sz val="9"/>
      <color rgb="FF000000"/>
      <name val="Book Antiqua"/>
      <family val="1"/>
    </font>
    <font>
      <sz val="11"/>
      <color rgb="FF000000"/>
      <name val="Calibri"/>
      <charset val="1"/>
    </font>
    <font>
      <sz val="8"/>
      <color rgb="FF000000"/>
      <name val="Book Antiqua"/>
      <family val="1"/>
    </font>
    <font>
      <sz val="11"/>
      <color rgb="FF000000"/>
      <name val="Book Antiqu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6" fillId="3" borderId="7" xfId="0" applyFont="1" applyFill="1" applyBorder="1"/>
    <xf numFmtId="0" fontId="7" fillId="3" borderId="3" xfId="0" applyFont="1" applyFill="1" applyBorder="1" applyAlignment="1">
      <alignment horizontal="left"/>
    </xf>
    <xf numFmtId="0" fontId="6" fillId="3" borderId="4" xfId="0" applyFont="1" applyFill="1" applyBorder="1"/>
    <xf numFmtId="0" fontId="8" fillId="3" borderId="4" xfId="0" applyFont="1" applyFill="1" applyBorder="1" applyAlignment="1">
      <alignment horizontal="left"/>
    </xf>
    <xf numFmtId="15" fontId="6" fillId="3" borderId="6" xfId="0" applyNumberFormat="1" applyFont="1" applyFill="1" applyBorder="1"/>
    <xf numFmtId="15" fontId="6" fillId="3" borderId="8" xfId="0" applyNumberFormat="1" applyFont="1" applyFill="1" applyBorder="1" applyAlignment="1">
      <alignment horizontal="left" vertical="top"/>
    </xf>
    <xf numFmtId="2" fontId="9" fillId="4" borderId="6" xfId="0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15" fontId="8" fillId="3" borderId="6" xfId="0" applyNumberFormat="1" applyFont="1" applyFill="1" applyBorder="1" applyAlignment="1">
      <alignment horizontal="left"/>
    </xf>
    <xf numFmtId="15" fontId="10" fillId="3" borderId="6" xfId="0" applyNumberFormat="1" applyFont="1" applyFill="1" applyBorder="1"/>
    <xf numFmtId="0" fontId="8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left"/>
    </xf>
    <xf numFmtId="0" fontId="10" fillId="3" borderId="6" xfId="0" applyFont="1" applyFill="1" applyBorder="1"/>
    <xf numFmtId="0" fontId="6" fillId="3" borderId="9" xfId="0" applyFont="1" applyFill="1" applyBorder="1"/>
    <xf numFmtId="15" fontId="6" fillId="3" borderId="3" xfId="0" applyNumberFormat="1" applyFont="1" applyFill="1" applyBorder="1"/>
    <xf numFmtId="15" fontId="6" fillId="3" borderId="10" xfId="0" applyNumberFormat="1" applyFont="1" applyFill="1" applyBorder="1" applyAlignment="1">
      <alignment horizontal="left" vertical="top"/>
    </xf>
    <xf numFmtId="2" fontId="9" fillId="4" borderId="3" xfId="0" applyNumberFormat="1" applyFont="1" applyFill="1" applyBorder="1" applyAlignment="1">
      <alignment horizontal="right"/>
    </xf>
    <xf numFmtId="0" fontId="10" fillId="3" borderId="3" xfId="0" applyFont="1" applyFill="1" applyBorder="1" applyAlignment="1">
      <alignment horizontal="left"/>
    </xf>
    <xf numFmtId="164" fontId="10" fillId="3" borderId="3" xfId="0" applyNumberFormat="1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15" fontId="8" fillId="3" borderId="3" xfId="0" applyNumberFormat="1" applyFont="1" applyFill="1" applyBorder="1" applyAlignment="1">
      <alignment horizontal="left"/>
    </xf>
    <xf numFmtId="15" fontId="10" fillId="3" borderId="3" xfId="0" applyNumberFormat="1" applyFont="1" applyFill="1" applyBorder="1"/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left"/>
    </xf>
    <xf numFmtId="0" fontId="10" fillId="3" borderId="3" xfId="0" applyFont="1" applyFill="1" applyBorder="1"/>
    <xf numFmtId="15" fontId="6" fillId="3" borderId="3" xfId="0" applyNumberFormat="1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3" fontId="12" fillId="5" borderId="11" xfId="0" applyNumberFormat="1" applyFont="1" applyFill="1" applyBorder="1"/>
    <xf numFmtId="3" fontId="8" fillId="5" borderId="13" xfId="0" applyNumberFormat="1" applyFont="1" applyFill="1" applyBorder="1"/>
    <xf numFmtId="0" fontId="11" fillId="3" borderId="3" xfId="0" applyFont="1" applyFill="1" applyBorder="1"/>
    <xf numFmtId="15" fontId="6" fillId="3" borderId="6" xfId="0" applyNumberFormat="1" applyFont="1" applyFill="1" applyBorder="1" applyAlignment="1">
      <alignment horizontal="left" vertical="top"/>
    </xf>
    <xf numFmtId="0" fontId="0" fillId="3" borderId="6" xfId="0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0" fillId="3" borderId="6" xfId="0" applyFill="1" applyBorder="1"/>
    <xf numFmtId="0" fontId="6" fillId="3" borderId="10" xfId="0" applyFont="1" applyFill="1" applyBorder="1"/>
    <xf numFmtId="0" fontId="12" fillId="5" borderId="11" xfId="0" applyFont="1" applyFill="1" applyBorder="1"/>
    <xf numFmtId="0" fontId="12" fillId="5" borderId="12" xfId="0" applyFont="1" applyFill="1" applyBorder="1"/>
    <xf numFmtId="3" fontId="10" fillId="3" borderId="3" xfId="0" applyNumberFormat="1" applyFont="1" applyFill="1" applyBorder="1" applyAlignment="1">
      <alignment horizontal="left"/>
    </xf>
    <xf numFmtId="15" fontId="10" fillId="3" borderId="3" xfId="0" applyNumberFormat="1" applyFont="1" applyFill="1" applyBorder="1" applyAlignment="1">
      <alignment horizontal="right"/>
    </xf>
    <xf numFmtId="3" fontId="8" fillId="5" borderId="11" xfId="0" applyNumberFormat="1" applyFont="1" applyFill="1" applyBorder="1" applyAlignment="1">
      <alignment wrapText="1"/>
    </xf>
    <xf numFmtId="2" fontId="9" fillId="4" borderId="14" xfId="0" applyNumberFormat="1" applyFont="1" applyFill="1" applyBorder="1" applyAlignment="1">
      <alignment horizontal="right"/>
    </xf>
    <xf numFmtId="0" fontId="10" fillId="3" borderId="14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3" fontId="9" fillId="4" borderId="3" xfId="0" applyNumberFormat="1" applyFont="1" applyFill="1" applyBorder="1" applyAlignment="1">
      <alignment horizontal="right"/>
    </xf>
    <xf numFmtId="3" fontId="9" fillId="4" borderId="3" xfId="0" applyNumberFormat="1" applyFont="1" applyFill="1" applyBorder="1"/>
    <xf numFmtId="15" fontId="6" fillId="3" borderId="14" xfId="0" applyNumberFormat="1" applyFont="1" applyFill="1" applyBorder="1"/>
    <xf numFmtId="15" fontId="6" fillId="3" borderId="9" xfId="0" applyNumberFormat="1" applyFont="1" applyFill="1" applyBorder="1" applyAlignment="1">
      <alignment horizontal="left" vertical="top"/>
    </xf>
    <xf numFmtId="3" fontId="9" fillId="4" borderId="14" xfId="0" applyNumberFormat="1" applyFont="1" applyFill="1" applyBorder="1" applyAlignment="1">
      <alignment horizontal="right"/>
    </xf>
    <xf numFmtId="3" fontId="9" fillId="4" borderId="14" xfId="0" applyNumberFormat="1" applyFont="1" applyFill="1" applyBorder="1"/>
    <xf numFmtId="0" fontId="10" fillId="3" borderId="15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15" fontId="8" fillId="3" borderId="14" xfId="0" applyNumberFormat="1" applyFont="1" applyFill="1" applyBorder="1" applyAlignment="1">
      <alignment horizontal="left"/>
    </xf>
    <xf numFmtId="15" fontId="10" fillId="3" borderId="14" xfId="0" applyNumberFormat="1" applyFont="1" applyFill="1" applyBorder="1"/>
    <xf numFmtId="0" fontId="8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left"/>
    </xf>
    <xf numFmtId="0" fontId="10" fillId="3" borderId="14" xfId="0" applyFont="1" applyFill="1" applyBorder="1"/>
    <xf numFmtId="3" fontId="8" fillId="5" borderId="11" xfId="0" applyNumberFormat="1" applyFont="1" applyFill="1" applyBorder="1"/>
    <xf numFmtId="4" fontId="8" fillId="5" borderId="11" xfId="0" applyNumberFormat="1" applyFont="1" applyFill="1" applyBorder="1"/>
    <xf numFmtId="0" fontId="6" fillId="3" borderId="8" xfId="0" applyFont="1" applyFill="1" applyBorder="1"/>
    <xf numFmtId="3" fontId="9" fillId="4" borderId="6" xfId="0" applyNumberFormat="1" applyFont="1" applyFill="1" applyBorder="1" applyAlignment="1">
      <alignment horizontal="right"/>
    </xf>
    <xf numFmtId="3" fontId="9" fillId="4" borderId="6" xfId="0" applyNumberFormat="1" applyFont="1" applyFill="1" applyBorder="1"/>
    <xf numFmtId="0" fontId="10" fillId="3" borderId="16" xfId="0" applyFont="1" applyFill="1" applyBorder="1" applyAlignment="1">
      <alignment horizontal="left"/>
    </xf>
    <xf numFmtId="2" fontId="9" fillId="4" borderId="17" xfId="0" applyNumberFormat="1" applyFont="1" applyFill="1" applyBorder="1" applyAlignment="1">
      <alignment horizontal="right"/>
    </xf>
    <xf numFmtId="0" fontId="10" fillId="3" borderId="17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3" xfId="0" applyFill="1" applyBorder="1"/>
    <xf numFmtId="0" fontId="6" fillId="3" borderId="15" xfId="0" applyFont="1" applyFill="1" applyBorder="1"/>
    <xf numFmtId="0" fontId="8" fillId="3" borderId="15" xfId="0" applyFont="1" applyFill="1" applyBorder="1" applyAlignment="1">
      <alignment horizontal="left"/>
    </xf>
    <xf numFmtId="15" fontId="6" fillId="3" borderId="14" xfId="0" applyNumberFormat="1" applyFont="1" applyFill="1" applyBorder="1" applyAlignment="1">
      <alignment horizontal="left" vertical="top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0" fontId="10" fillId="3" borderId="7" xfId="0" applyFont="1" applyFill="1" applyBorder="1" applyAlignment="1">
      <alignment horizontal="left"/>
    </xf>
    <xf numFmtId="0" fontId="10" fillId="3" borderId="18" xfId="0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15" fontId="6" fillId="3" borderId="17" xfId="0" applyNumberFormat="1" applyFont="1" applyFill="1" applyBorder="1"/>
    <xf numFmtId="15" fontId="6" fillId="3" borderId="7" xfId="0" applyNumberFormat="1" applyFont="1" applyFill="1" applyBorder="1" applyAlignment="1">
      <alignment horizontal="left" vertical="top"/>
    </xf>
    <xf numFmtId="3" fontId="9" fillId="4" borderId="17" xfId="0" applyNumberFormat="1" applyFont="1" applyFill="1" applyBorder="1" applyAlignment="1">
      <alignment horizontal="right"/>
    </xf>
    <xf numFmtId="3" fontId="9" fillId="4" borderId="17" xfId="0" applyNumberFormat="1" applyFont="1" applyFill="1" applyBorder="1"/>
    <xf numFmtId="0" fontId="8" fillId="3" borderId="17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15" fontId="8" fillId="3" borderId="17" xfId="0" applyNumberFormat="1" applyFont="1" applyFill="1" applyBorder="1" applyAlignment="1">
      <alignment horizontal="left"/>
    </xf>
    <xf numFmtId="15" fontId="10" fillId="3" borderId="17" xfId="0" applyNumberFormat="1" applyFont="1" applyFill="1" applyBorder="1"/>
    <xf numFmtId="0" fontId="8" fillId="3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vertical="center"/>
    </xf>
    <xf numFmtId="0" fontId="11" fillId="3" borderId="17" xfId="0" applyFont="1" applyFill="1" applyBorder="1" applyAlignment="1">
      <alignment horizontal="left"/>
    </xf>
    <xf numFmtId="0" fontId="10" fillId="3" borderId="17" xfId="0" applyFont="1" applyFill="1" applyBorder="1"/>
    <xf numFmtId="3" fontId="12" fillId="5" borderId="19" xfId="0" applyNumberFormat="1" applyFont="1" applyFill="1" applyBorder="1"/>
    <xf numFmtId="3" fontId="10" fillId="3" borderId="14" xfId="0" applyNumberFormat="1" applyFont="1" applyFill="1" applyBorder="1" applyAlignment="1">
      <alignment horizontal="left"/>
    </xf>
    <xf numFmtId="15" fontId="11" fillId="3" borderId="14" xfId="0" applyNumberFormat="1" applyFont="1" applyFill="1" applyBorder="1" applyAlignment="1">
      <alignment horizontal="right"/>
    </xf>
    <xf numFmtId="0" fontId="6" fillId="3" borderId="16" xfId="0" applyFont="1" applyFill="1" applyBorder="1"/>
    <xf numFmtId="0" fontId="8" fillId="3" borderId="16" xfId="0" applyFont="1" applyFill="1" applyBorder="1" applyAlignment="1">
      <alignment horizontal="left"/>
    </xf>
    <xf numFmtId="15" fontId="11" fillId="3" borderId="6" xfId="0" applyNumberFormat="1" applyFont="1" applyFill="1" applyBorder="1" applyAlignment="1">
      <alignment horizontal="right"/>
    </xf>
    <xf numFmtId="3" fontId="13" fillId="3" borderId="6" xfId="0" applyNumberFormat="1" applyFont="1" applyFill="1" applyBorder="1" applyAlignment="1">
      <alignment horizontal="right"/>
    </xf>
    <xf numFmtId="15" fontId="10" fillId="3" borderId="14" xfId="0" applyNumberFormat="1" applyFont="1" applyFill="1" applyBorder="1" applyAlignment="1">
      <alignment horizontal="right"/>
    </xf>
    <xf numFmtId="15" fontId="5" fillId="3" borderId="14" xfId="0" applyNumberFormat="1" applyFont="1" applyFill="1" applyBorder="1"/>
    <xf numFmtId="15" fontId="5" fillId="3" borderId="3" xfId="0" applyNumberFormat="1" applyFont="1" applyFill="1" applyBorder="1"/>
    <xf numFmtId="0" fontId="5" fillId="3" borderId="3" xfId="0" applyFont="1" applyFill="1" applyBorder="1" applyAlignment="1">
      <alignment horizontal="left" wrapText="1"/>
    </xf>
    <xf numFmtId="0" fontId="11" fillId="3" borderId="7" xfId="0" applyFont="1" applyFill="1" applyBorder="1" applyAlignment="1">
      <alignment horizontal="left"/>
    </xf>
    <xf numFmtId="0" fontId="6" fillId="3" borderId="18" xfId="0" applyFont="1" applyFill="1" applyBorder="1"/>
    <xf numFmtId="15" fontId="6" fillId="3" borderId="17" xfId="0" applyNumberFormat="1" applyFont="1" applyFill="1" applyBorder="1" applyAlignment="1">
      <alignment horizontal="left" vertical="top"/>
    </xf>
    <xf numFmtId="4" fontId="12" fillId="5" borderId="21" xfId="0" applyNumberFormat="1" applyFont="1" applyFill="1" applyBorder="1"/>
    <xf numFmtId="3" fontId="10" fillId="3" borderId="17" xfId="0" applyNumberFormat="1" applyFont="1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164" fontId="9" fillId="3" borderId="3" xfId="0" applyNumberFormat="1" applyFont="1" applyFill="1" applyBorder="1" applyAlignment="1">
      <alignment horizontal="right"/>
    </xf>
    <xf numFmtId="3" fontId="9" fillId="3" borderId="17" xfId="0" applyNumberFormat="1" applyFont="1" applyFill="1" applyBorder="1" applyAlignment="1">
      <alignment horizontal="right"/>
    </xf>
    <xf numFmtId="0" fontId="11" fillId="3" borderId="17" xfId="0" applyFont="1" applyFill="1" applyBorder="1" applyAlignment="1">
      <alignment horizontal="left" wrapText="1"/>
    </xf>
    <xf numFmtId="2" fontId="9" fillId="3" borderId="3" xfId="0" applyNumberFormat="1" applyFont="1" applyFill="1" applyBorder="1" applyAlignment="1">
      <alignment horizontal="right"/>
    </xf>
    <xf numFmtId="2" fontId="9" fillId="3" borderId="17" xfId="0" applyNumberFormat="1" applyFont="1" applyFill="1" applyBorder="1" applyAlignment="1">
      <alignment horizontal="right"/>
    </xf>
    <xf numFmtId="0" fontId="5" fillId="3" borderId="17" xfId="0" applyFont="1" applyFill="1" applyBorder="1" applyAlignment="1">
      <alignment horizontal="left" wrapText="1"/>
    </xf>
    <xf numFmtId="2" fontId="9" fillId="3" borderId="6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left" wrapText="1"/>
    </xf>
    <xf numFmtId="2" fontId="9" fillId="3" borderId="14" xfId="0" applyNumberFormat="1" applyFont="1" applyFill="1" applyBorder="1" applyAlignment="1">
      <alignment horizontal="right"/>
    </xf>
    <xf numFmtId="0" fontId="5" fillId="3" borderId="14" xfId="0" applyFont="1" applyFill="1" applyBorder="1" applyAlignment="1">
      <alignment horizontal="left" wrapText="1"/>
    </xf>
    <xf numFmtId="164" fontId="10" fillId="3" borderId="17" xfId="0" applyNumberFormat="1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3" fontId="9" fillId="3" borderId="14" xfId="0" applyNumberFormat="1" applyFont="1" applyFill="1" applyBorder="1" applyAlignment="1">
      <alignment horizontal="right"/>
    </xf>
    <xf numFmtId="3" fontId="9" fillId="3" borderId="3" xfId="0" applyNumberFormat="1" applyFont="1" applyFill="1" applyBorder="1" applyAlignment="1">
      <alignment horizontal="right"/>
    </xf>
    <xf numFmtId="3" fontId="9" fillId="3" borderId="3" xfId="0" applyNumberFormat="1" applyFont="1" applyFill="1" applyBorder="1"/>
    <xf numFmtId="3" fontId="13" fillId="3" borderId="3" xfId="0" applyNumberFormat="1" applyFont="1" applyFill="1" applyBorder="1" applyAlignment="1">
      <alignment horizontal="right"/>
    </xf>
    <xf numFmtId="3" fontId="13" fillId="3" borderId="3" xfId="0" applyNumberFormat="1" applyFont="1" applyFill="1" applyBorder="1"/>
    <xf numFmtId="0" fontId="14" fillId="3" borderId="4" xfId="0" applyFont="1" applyFill="1" applyBorder="1"/>
    <xf numFmtId="3" fontId="5" fillId="3" borderId="3" xfId="0" applyNumberFormat="1" applyFont="1" applyFill="1" applyBorder="1"/>
    <xf numFmtId="3" fontId="9" fillId="3" borderId="4" xfId="0" applyNumberFormat="1" applyFont="1" applyFill="1" applyBorder="1"/>
    <xf numFmtId="0" fontId="12" fillId="5" borderId="11" xfId="0" applyFont="1" applyFill="1" applyBorder="1" applyAlignment="1">
      <alignment wrapText="1"/>
    </xf>
    <xf numFmtId="3" fontId="12" fillId="5" borderId="11" xfId="0" applyNumberFormat="1" applyFont="1" applyFill="1" applyBorder="1" applyAlignment="1">
      <alignment horizontal="right"/>
    </xf>
    <xf numFmtId="4" fontId="15" fillId="5" borderId="23" xfId="0" applyNumberFormat="1" applyFont="1" applyFill="1" applyBorder="1" applyAlignment="1">
      <alignment horizontal="right"/>
    </xf>
    <xf numFmtId="4" fontId="15" fillId="5" borderId="24" xfId="0" applyNumberFormat="1" applyFont="1" applyFill="1" applyBorder="1" applyAlignment="1">
      <alignment horizontal="right"/>
    </xf>
    <xf numFmtId="4" fontId="15" fillId="4" borderId="24" xfId="0" applyNumberFormat="1" applyFont="1" applyFill="1" applyBorder="1" applyAlignment="1">
      <alignment horizontal="right"/>
    </xf>
    <xf numFmtId="43" fontId="10" fillId="3" borderId="3" xfId="0" applyNumberFormat="1" applyFont="1" applyFill="1" applyBorder="1" applyAlignment="1">
      <alignment horizontal="right" vertical="top"/>
    </xf>
    <xf numFmtId="0" fontId="15" fillId="4" borderId="3" xfId="0" applyFont="1" applyFill="1" applyBorder="1"/>
    <xf numFmtId="4" fontId="15" fillId="4" borderId="3" xfId="0" applyNumberFormat="1" applyFont="1" applyFill="1" applyBorder="1"/>
    <xf numFmtId="4" fontId="15" fillId="4" borderId="4" xfId="0" applyNumberFormat="1" applyFont="1" applyFill="1" applyBorder="1"/>
    <xf numFmtId="43" fontId="10" fillId="3" borderId="14" xfId="0" applyNumberFormat="1" applyFont="1" applyFill="1" applyBorder="1" applyAlignment="1">
      <alignment horizontal="right" vertical="top" wrapText="1"/>
    </xf>
    <xf numFmtId="43" fontId="10" fillId="3" borderId="14" xfId="0" applyNumberFormat="1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right"/>
    </xf>
    <xf numFmtId="43" fontId="10" fillId="3" borderId="3" xfId="0" applyNumberFormat="1" applyFont="1" applyFill="1" applyBorder="1" applyAlignment="1">
      <alignment horizontal="left" vertical="top"/>
    </xf>
    <xf numFmtId="0" fontId="6" fillId="6" borderId="10" xfId="0" applyFont="1" applyFill="1" applyBorder="1"/>
    <xf numFmtId="0" fontId="6" fillId="6" borderId="4" xfId="0" applyFont="1" applyFill="1" applyBorder="1"/>
    <xf numFmtId="0" fontId="10" fillId="6" borderId="3" xfId="0" applyFont="1" applyFill="1" applyBorder="1" applyAlignment="1">
      <alignment horizontal="left"/>
    </xf>
    <xf numFmtId="0" fontId="10" fillId="6" borderId="3" xfId="0" applyFont="1" applyFill="1" applyBorder="1"/>
    <xf numFmtId="4" fontId="15" fillId="4" borderId="12" xfId="0" applyNumberFormat="1" applyFont="1" applyFill="1" applyBorder="1" applyAlignment="1">
      <alignment horizontal="right"/>
    </xf>
    <xf numFmtId="15" fontId="6" fillId="6" borderId="3" xfId="0" applyNumberFormat="1" applyFont="1" applyFill="1" applyBorder="1"/>
    <xf numFmtId="4" fontId="15" fillId="5" borderId="11" xfId="0" applyNumberFormat="1" applyFont="1" applyFill="1" applyBorder="1" applyAlignment="1">
      <alignment horizontal="right"/>
    </xf>
    <xf numFmtId="4" fontId="8" fillId="4" borderId="12" xfId="0" applyNumberFormat="1" applyFont="1" applyFill="1" applyBorder="1"/>
    <xf numFmtId="3" fontId="10" fillId="3" borderId="3" xfId="0" applyNumberFormat="1" applyFont="1" applyFill="1" applyBorder="1" applyAlignment="1">
      <alignment horizontal="left" vertical="top"/>
    </xf>
    <xf numFmtId="43" fontId="10" fillId="3" borderId="3" xfId="0" applyNumberFormat="1" applyFont="1" applyFill="1" applyBorder="1" applyAlignment="1">
      <alignment horizontal="right" vertical="top" wrapText="1"/>
    </xf>
    <xf numFmtId="0" fontId="16" fillId="3" borderId="0" xfId="0" applyFont="1" applyFill="1"/>
    <xf numFmtId="0" fontId="15" fillId="4" borderId="14" xfId="0" applyFont="1" applyFill="1" applyBorder="1"/>
    <xf numFmtId="4" fontId="15" fillId="4" borderId="20" xfId="0" applyNumberFormat="1" applyFont="1" applyFill="1" applyBorder="1" applyAlignment="1">
      <alignment horizontal="right"/>
    </xf>
    <xf numFmtId="15" fontId="6" fillId="3" borderId="10" xfId="0" applyNumberFormat="1" applyFont="1" applyFill="1" applyBorder="1"/>
    <xf numFmtId="0" fontId="10" fillId="3" borderId="3" xfId="0" applyFont="1" applyFill="1" applyBorder="1" applyAlignment="1">
      <alignment horizontal="right" vertical="top"/>
    </xf>
    <xf numFmtId="15" fontId="5" fillId="3" borderId="14" xfId="0" applyNumberFormat="1" applyFont="1" applyFill="1" applyBorder="1" applyAlignment="1">
      <alignment horizontal="right"/>
    </xf>
    <xf numFmtId="15" fontId="5" fillId="3" borderId="17" xfId="0" applyNumberFormat="1" applyFont="1" applyFill="1" applyBorder="1" applyAlignment="1">
      <alignment horizontal="right"/>
    </xf>
    <xf numFmtId="0" fontId="5" fillId="6" borderId="3" xfId="0" applyFont="1" applyFill="1" applyBorder="1" applyAlignment="1">
      <alignment horizontal="left"/>
    </xf>
    <xf numFmtId="15" fontId="10" fillId="6" borderId="3" xfId="0" applyNumberFormat="1" applyFont="1" applyFill="1" applyBorder="1"/>
    <xf numFmtId="43" fontId="10" fillId="3" borderId="17" xfId="0" applyNumberFormat="1" applyFont="1" applyFill="1" applyBorder="1" applyAlignment="1">
      <alignment horizontal="left" vertical="top"/>
    </xf>
    <xf numFmtId="15" fontId="6" fillId="6" borderId="6" xfId="0" applyNumberFormat="1" applyFont="1" applyFill="1" applyBorder="1"/>
    <xf numFmtId="43" fontId="10" fillId="3" borderId="6" xfId="0" applyNumberFormat="1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/>
    </xf>
    <xf numFmtId="3" fontId="10" fillId="3" borderId="14" xfId="0" applyNumberFormat="1" applyFont="1" applyFill="1" applyBorder="1" applyAlignment="1">
      <alignment horizontal="left" vertical="top"/>
    </xf>
    <xf numFmtId="15" fontId="10" fillId="3" borderId="14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right"/>
    </xf>
    <xf numFmtId="15" fontId="7" fillId="3" borderId="6" xfId="0" applyNumberFormat="1" applyFont="1" applyFill="1" applyBorder="1" applyAlignment="1">
      <alignment horizontal="left"/>
    </xf>
    <xf numFmtId="15" fontId="7" fillId="3" borderId="17" xfId="0" applyNumberFormat="1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center" vertical="center"/>
    </xf>
    <xf numFmtId="0" fontId="0" fillId="3" borderId="15" xfId="0" applyFill="1" applyBorder="1"/>
    <xf numFmtId="15" fontId="7" fillId="3" borderId="3" xfId="0" applyNumberFormat="1" applyFont="1" applyFill="1" applyBorder="1" applyAlignment="1">
      <alignment horizontal="left"/>
    </xf>
    <xf numFmtId="3" fontId="10" fillId="3" borderId="3" xfId="0" applyNumberFormat="1" applyFont="1" applyFill="1" applyBorder="1" applyAlignment="1">
      <alignment horizontal="right"/>
    </xf>
    <xf numFmtId="3" fontId="9" fillId="3" borderId="17" xfId="0" applyNumberFormat="1" applyFont="1" applyFill="1" applyBorder="1"/>
    <xf numFmtId="4" fontId="9" fillId="3" borderId="18" xfId="0" applyNumberFormat="1" applyFont="1" applyFill="1" applyBorder="1"/>
    <xf numFmtId="0" fontId="8" fillId="3" borderId="18" xfId="0" applyFont="1" applyFill="1" applyBorder="1" applyAlignment="1">
      <alignment horizontal="center" vertical="center"/>
    </xf>
    <xf numFmtId="0" fontId="10" fillId="3" borderId="18" xfId="0" applyFont="1" applyFill="1" applyBorder="1"/>
    <xf numFmtId="15" fontId="6" fillId="3" borderId="8" xfId="0" applyNumberFormat="1" applyFont="1" applyFill="1" applyBorder="1"/>
    <xf numFmtId="3" fontId="10" fillId="3" borderId="6" xfId="0" applyNumberFormat="1" applyFont="1" applyFill="1" applyBorder="1" applyAlignment="1">
      <alignment horizontal="left" vertical="top"/>
    </xf>
    <xf numFmtId="43" fontId="10" fillId="3" borderId="6" xfId="0" applyNumberFormat="1" applyFont="1" applyFill="1" applyBorder="1" applyAlignment="1">
      <alignment horizontal="right" vertical="top" wrapText="1"/>
    </xf>
    <xf numFmtId="43" fontId="10" fillId="3" borderId="14" xfId="0" applyNumberFormat="1" applyFont="1" applyFill="1" applyBorder="1" applyAlignment="1">
      <alignment horizontal="left" vertical="top"/>
    </xf>
    <xf numFmtId="4" fontId="10" fillId="3" borderId="3" xfId="0" applyNumberFormat="1" applyFont="1" applyFill="1" applyBorder="1" applyAlignment="1">
      <alignment horizontal="right"/>
    </xf>
    <xf numFmtId="41" fontId="0" fillId="3" borderId="11" xfId="1" applyFont="1" applyFill="1" applyBorder="1"/>
    <xf numFmtId="15" fontId="10" fillId="3" borderId="17" xfId="0" applyNumberFormat="1" applyFont="1" applyFill="1" applyBorder="1" applyAlignment="1">
      <alignment horizontal="left" vertical="top"/>
    </xf>
    <xf numFmtId="4" fontId="15" fillId="4" borderId="3" xfId="0" applyNumberFormat="1" applyFont="1" applyFill="1" applyBorder="1" applyAlignment="1">
      <alignment horizontal="right"/>
    </xf>
    <xf numFmtId="15" fontId="10" fillId="3" borderId="14" xfId="0" applyNumberFormat="1" applyFont="1" applyFill="1" applyBorder="1" applyAlignment="1">
      <alignment horizontal="left" vertical="top"/>
    </xf>
    <xf numFmtId="0" fontId="10" fillId="3" borderId="14" xfId="0" applyFont="1" applyFill="1" applyBorder="1" applyAlignment="1">
      <alignment horizontal="right" vertical="top"/>
    </xf>
    <xf numFmtId="43" fontId="10" fillId="3" borderId="14" xfId="0" applyNumberFormat="1" applyFont="1" applyFill="1" applyBorder="1" applyAlignment="1">
      <alignment horizontal="right" vertical="top"/>
    </xf>
    <xf numFmtId="0" fontId="8" fillId="3" borderId="4" xfId="0" applyFont="1" applyFill="1" applyBorder="1" applyAlignment="1">
      <alignment horizontal="center" vertical="center"/>
    </xf>
    <xf numFmtId="4" fontId="17" fillId="3" borderId="4" xfId="0" applyNumberFormat="1" applyFont="1" applyFill="1" applyBorder="1"/>
    <xf numFmtId="0" fontId="6" fillId="2" borderId="10" xfId="0" applyFont="1" applyFill="1" applyBorder="1"/>
    <xf numFmtId="0" fontId="7" fillId="2" borderId="3" xfId="0" applyFont="1" applyFill="1" applyBorder="1" applyAlignment="1">
      <alignment horizontal="left"/>
    </xf>
    <xf numFmtId="0" fontId="6" fillId="2" borderId="4" xfId="0" applyFont="1" applyFill="1" applyBorder="1"/>
    <xf numFmtId="0" fontId="8" fillId="2" borderId="4" xfId="0" applyFont="1" applyFill="1" applyBorder="1" applyAlignment="1">
      <alignment horizontal="left"/>
    </xf>
    <xf numFmtId="15" fontId="6" fillId="2" borderId="3" xfId="0" applyNumberFormat="1" applyFont="1" applyFill="1" applyBorder="1"/>
    <xf numFmtId="0" fontId="9" fillId="2" borderId="3" xfId="0" applyFont="1" applyFill="1" applyBorder="1"/>
    <xf numFmtId="0" fontId="10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5" fontId="7" fillId="2" borderId="6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15" fontId="10" fillId="2" borderId="14" xfId="0" applyNumberFormat="1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/>
    </xf>
    <xf numFmtId="0" fontId="10" fillId="2" borderId="3" xfId="0" applyFont="1" applyFill="1" applyBorder="1"/>
    <xf numFmtId="15" fontId="10" fillId="3" borderId="3" xfId="0" applyNumberFormat="1" applyFont="1" applyFill="1" applyBorder="1" applyAlignment="1">
      <alignment horizontal="center"/>
    </xf>
    <xf numFmtId="15" fontId="7" fillId="3" borderId="14" xfId="0" applyNumberFormat="1" applyFont="1" applyFill="1" applyBorder="1" applyAlignment="1">
      <alignment horizontal="left"/>
    </xf>
    <xf numFmtId="15" fontId="6" fillId="2" borderId="14" xfId="0" applyNumberFormat="1" applyFont="1" applyFill="1" applyBorder="1"/>
    <xf numFmtId="43" fontId="10" fillId="2" borderId="3" xfId="0" applyNumberFormat="1" applyFont="1" applyFill="1" applyBorder="1" applyAlignment="1">
      <alignment horizontal="left" vertical="top"/>
    </xf>
    <xf numFmtId="4" fontId="9" fillId="2" borderId="4" xfId="0" applyNumberFormat="1" applyFont="1" applyFill="1" applyBorder="1"/>
    <xf numFmtId="0" fontId="5" fillId="2" borderId="6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right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43" fontId="10" fillId="2" borderId="3" xfId="0" applyNumberFormat="1" applyFont="1" applyFill="1" applyBorder="1" applyAlignment="1">
      <alignment horizontal="right" vertical="top"/>
    </xf>
    <xf numFmtId="0" fontId="10" fillId="3" borderId="3" xfId="0" applyFont="1" applyFill="1" applyBorder="1" applyAlignment="1">
      <alignment horizontal="center" vertical="center"/>
    </xf>
    <xf numFmtId="43" fontId="10" fillId="2" borderId="14" xfId="0" applyNumberFormat="1" applyFont="1" applyFill="1" applyBorder="1" applyAlignment="1">
      <alignment horizontal="right" vertical="top"/>
    </xf>
    <xf numFmtId="0" fontId="11" fillId="2" borderId="10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3" xfId="0" applyFill="1" applyBorder="1"/>
    <xf numFmtId="0" fontId="10" fillId="2" borderId="9" xfId="0" applyFont="1" applyFill="1" applyBorder="1" applyAlignment="1">
      <alignment horizontal="left"/>
    </xf>
    <xf numFmtId="0" fontId="10" fillId="2" borderId="14" xfId="0" applyFont="1" applyFill="1" applyBorder="1"/>
    <xf numFmtId="43" fontId="10" fillId="2" borderId="14" xfId="0" applyNumberFormat="1" applyFont="1" applyFill="1" applyBorder="1" applyAlignment="1">
      <alignment horizontal="left" vertical="top"/>
    </xf>
    <xf numFmtId="0" fontId="10" fillId="2" borderId="14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10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/>
    </xf>
    <xf numFmtId="0" fontId="0" fillId="2" borderId="14" xfId="0" applyFill="1" applyBorder="1"/>
    <xf numFmtId="0" fontId="0" fillId="2" borderId="14" xfId="0" applyFill="1" applyBorder="1" applyAlignment="1">
      <alignment horizontal="center" vertical="center"/>
    </xf>
    <xf numFmtId="0" fontId="9" fillId="6" borderId="10" xfId="0" applyFont="1" applyFill="1" applyBorder="1"/>
    <xf numFmtId="0" fontId="18" fillId="6" borderId="0" xfId="0" applyFont="1" applyFill="1"/>
    <xf numFmtId="0" fontId="9" fillId="6" borderId="4" xfId="0" applyFont="1" applyFill="1" applyBorder="1"/>
    <xf numFmtId="0" fontId="8" fillId="6" borderId="4" xfId="0" applyFont="1" applyFill="1" applyBorder="1" applyAlignment="1">
      <alignment horizontal="left"/>
    </xf>
    <xf numFmtId="15" fontId="9" fillId="6" borderId="14" xfId="0" applyNumberFormat="1" applyFont="1" applyFill="1" applyBorder="1"/>
    <xf numFmtId="15" fontId="9" fillId="6" borderId="3" xfId="0" applyNumberFormat="1" applyFont="1" applyFill="1" applyBorder="1"/>
    <xf numFmtId="43" fontId="9" fillId="6" borderId="3" xfId="0" applyNumberFormat="1" applyFont="1" applyFill="1" applyBorder="1" applyAlignment="1">
      <alignment horizontal="left" vertical="top"/>
    </xf>
    <xf numFmtId="0" fontId="9" fillId="6" borderId="3" xfId="0" applyFont="1" applyFill="1" applyBorder="1"/>
    <xf numFmtId="0" fontId="9" fillId="6" borderId="3" xfId="0" applyFont="1" applyFill="1" applyBorder="1" applyAlignment="1">
      <alignment horizontal="left"/>
    </xf>
    <xf numFmtId="15" fontId="7" fillId="6" borderId="6" xfId="0" applyNumberFormat="1" applyFont="1" applyFill="1" applyBorder="1" applyAlignment="1">
      <alignment horizontal="left"/>
    </xf>
    <xf numFmtId="0" fontId="5" fillId="6" borderId="14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vertical="center"/>
    </xf>
    <xf numFmtId="4" fontId="9" fillId="3" borderId="4" xfId="0" applyNumberFormat="1" applyFont="1" applyFill="1" applyBorder="1"/>
    <xf numFmtId="0" fontId="10" fillId="3" borderId="14" xfId="0" applyFont="1" applyFill="1" applyBorder="1" applyAlignment="1">
      <alignment horizontal="center" vertical="center"/>
    </xf>
    <xf numFmtId="0" fontId="18" fillId="2" borderId="0" xfId="0" applyFont="1" applyFill="1"/>
    <xf numFmtId="0" fontId="11" fillId="3" borderId="3" xfId="0" applyFont="1" applyFill="1" applyBorder="1" applyAlignment="1">
      <alignment horizontal="left" wrapText="1"/>
    </xf>
    <xf numFmtId="15" fontId="6" fillId="6" borderId="14" xfId="0" applyNumberFormat="1" applyFont="1" applyFill="1" applyBorder="1"/>
    <xf numFmtId="43" fontId="10" fillId="6" borderId="3" xfId="0" applyNumberFormat="1" applyFont="1" applyFill="1" applyBorder="1" applyAlignment="1">
      <alignment horizontal="left" vertical="top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/>
    </xf>
    <xf numFmtId="0" fontId="6" fillId="2" borderId="9" xfId="0" applyFont="1" applyFill="1" applyBorder="1"/>
    <xf numFmtId="0" fontId="11" fillId="2" borderId="14" xfId="0" applyFont="1" applyFill="1" applyBorder="1" applyAlignment="1">
      <alignment horizontal="left" wrapText="1"/>
    </xf>
    <xf numFmtId="0" fontId="7" fillId="6" borderId="3" xfId="0" applyFont="1" applyFill="1" applyBorder="1" applyAlignment="1">
      <alignment horizontal="left"/>
    </xf>
    <xf numFmtId="15" fontId="7" fillId="2" borderId="14" xfId="0" applyNumberFormat="1" applyFont="1" applyFill="1" applyBorder="1" applyAlignment="1">
      <alignment horizontal="left"/>
    </xf>
    <xf numFmtId="0" fontId="14" fillId="3" borderId="3" xfId="0" applyFont="1" applyFill="1" applyBorder="1"/>
    <xf numFmtId="15" fontId="10" fillId="3" borderId="3" xfId="0" applyNumberFormat="1" applyFont="1" applyFill="1" applyBorder="1" applyAlignment="1">
      <alignment horizontal="left" vertical="top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2" fontId="10" fillId="2" borderId="3" xfId="0" applyNumberFormat="1" applyFont="1" applyFill="1" applyBorder="1" applyAlignment="1">
      <alignment horizontal="left" vertical="top"/>
    </xf>
    <xf numFmtId="2" fontId="10" fillId="3" borderId="3" xfId="0" applyNumberFormat="1" applyFont="1" applyFill="1" applyBorder="1" applyAlignment="1">
      <alignment horizontal="left" vertical="top"/>
    </xf>
    <xf numFmtId="2" fontId="10" fillId="3" borderId="14" xfId="0" applyNumberFormat="1" applyFont="1" applyFill="1" applyBorder="1"/>
    <xf numFmtId="2" fontId="10" fillId="2" borderId="14" xfId="0" applyNumberFormat="1" applyFont="1" applyFill="1" applyBorder="1"/>
    <xf numFmtId="2" fontId="0" fillId="0" borderId="0" xfId="0" applyNumberFormat="1"/>
    <xf numFmtId="0" fontId="3" fillId="2" borderId="1" xfId="0" applyNumberFormat="1" applyFont="1" applyFill="1" applyBorder="1" applyAlignment="1">
      <alignment horizontal="center" vertical="center" wrapText="1"/>
    </xf>
    <xf numFmtId="0" fontId="9" fillId="4" borderId="6" xfId="0" applyNumberFormat="1" applyFont="1" applyFill="1" applyBorder="1" applyAlignment="1">
      <alignment horizontal="right"/>
    </xf>
    <xf numFmtId="0" fontId="10" fillId="3" borderId="3" xfId="0" applyNumberFormat="1" applyFont="1" applyFill="1" applyBorder="1" applyAlignment="1">
      <alignment horizontal="left"/>
    </xf>
    <xf numFmtId="0" fontId="9" fillId="4" borderId="3" xfId="0" applyNumberFormat="1" applyFont="1" applyFill="1" applyBorder="1" applyAlignment="1">
      <alignment horizontal="right"/>
    </xf>
    <xf numFmtId="0" fontId="12" fillId="5" borderId="12" xfId="0" applyNumberFormat="1" applyFont="1" applyFill="1" applyBorder="1"/>
    <xf numFmtId="0" fontId="8" fillId="5" borderId="12" xfId="0" applyNumberFormat="1" applyFont="1" applyFill="1" applyBorder="1" applyAlignment="1">
      <alignment wrapText="1"/>
    </xf>
    <xf numFmtId="0" fontId="9" fillId="4" borderId="14" xfId="0" applyNumberFormat="1" applyFont="1" applyFill="1" applyBorder="1" applyAlignment="1">
      <alignment horizontal="right"/>
    </xf>
    <xf numFmtId="0" fontId="8" fillId="5" borderId="12" xfId="0" applyNumberFormat="1" applyFont="1" applyFill="1" applyBorder="1"/>
    <xf numFmtId="0" fontId="9" fillId="4" borderId="17" xfId="0" applyNumberFormat="1" applyFont="1" applyFill="1" applyBorder="1" applyAlignment="1">
      <alignment horizontal="right"/>
    </xf>
    <xf numFmtId="0" fontId="12" fillId="5" borderId="20" xfId="0" applyNumberFormat="1" applyFont="1" applyFill="1" applyBorder="1"/>
    <xf numFmtId="0" fontId="13" fillId="3" borderId="6" xfId="0" applyNumberFormat="1" applyFont="1" applyFill="1" applyBorder="1" applyAlignment="1">
      <alignment horizontal="right"/>
    </xf>
    <xf numFmtId="0" fontId="12" fillId="5" borderId="22" xfId="0" applyNumberFormat="1" applyFont="1" applyFill="1" applyBorder="1"/>
    <xf numFmtId="0" fontId="9" fillId="3" borderId="3" xfId="0" applyNumberFormat="1" applyFont="1" applyFill="1" applyBorder="1" applyAlignment="1">
      <alignment horizontal="right"/>
    </xf>
    <xf numFmtId="0" fontId="9" fillId="3" borderId="17" xfId="0" applyNumberFormat="1" applyFont="1" applyFill="1" applyBorder="1" applyAlignment="1">
      <alignment horizontal="right"/>
    </xf>
    <xf numFmtId="0" fontId="8" fillId="5" borderId="11" xfId="0" applyNumberFormat="1" applyFont="1" applyFill="1" applyBorder="1"/>
    <xf numFmtId="0" fontId="9" fillId="3" borderId="6" xfId="0" applyNumberFormat="1" applyFont="1" applyFill="1" applyBorder="1" applyAlignment="1">
      <alignment horizontal="right"/>
    </xf>
    <xf numFmtId="0" fontId="9" fillId="3" borderId="14" xfId="0" applyNumberFormat="1" applyFont="1" applyFill="1" applyBorder="1" applyAlignment="1">
      <alignment horizontal="right"/>
    </xf>
    <xf numFmtId="0" fontId="12" fillId="5" borderId="11" xfId="0" applyNumberFormat="1" applyFont="1" applyFill="1" applyBorder="1"/>
    <xf numFmtId="0" fontId="13" fillId="3" borderId="3" xfId="0" applyNumberFormat="1" applyFont="1" applyFill="1" applyBorder="1" applyAlignment="1">
      <alignment horizontal="right"/>
    </xf>
    <xf numFmtId="0" fontId="5" fillId="3" borderId="4" xfId="0" applyNumberFormat="1" applyFont="1" applyFill="1" applyBorder="1"/>
    <xf numFmtId="0" fontId="15" fillId="5" borderId="12" xfId="0" applyNumberFormat="1" applyFont="1" applyFill="1" applyBorder="1" applyAlignment="1">
      <alignment wrapText="1"/>
    </xf>
    <xf numFmtId="0" fontId="15" fillId="5" borderId="24" xfId="0" applyNumberFormat="1" applyFont="1" applyFill="1" applyBorder="1"/>
    <xf numFmtId="0" fontId="6" fillId="3" borderId="3" xfId="0" applyNumberFormat="1" applyFont="1" applyFill="1" applyBorder="1"/>
    <xf numFmtId="0" fontId="15" fillId="4" borderId="3" xfId="0" applyNumberFormat="1" applyFont="1" applyFill="1" applyBorder="1"/>
    <xf numFmtId="0" fontId="10" fillId="3" borderId="14" xfId="0" applyNumberFormat="1" applyFont="1" applyFill="1" applyBorder="1" applyAlignment="1">
      <alignment horizontal="right" vertical="top" wrapText="1"/>
    </xf>
    <xf numFmtId="0" fontId="15" fillId="5" borderId="23" xfId="0" applyNumberFormat="1" applyFont="1" applyFill="1" applyBorder="1" applyAlignment="1">
      <alignment horizontal="right"/>
    </xf>
    <xf numFmtId="0" fontId="15" fillId="5" borderId="23" xfId="0" applyNumberFormat="1" applyFont="1" applyFill="1" applyBorder="1"/>
    <xf numFmtId="0" fontId="15" fillId="5" borderId="11" xfId="0" applyNumberFormat="1" applyFont="1" applyFill="1" applyBorder="1"/>
    <xf numFmtId="0" fontId="15" fillId="5" borderId="12" xfId="0" applyNumberFormat="1" applyFont="1" applyFill="1" applyBorder="1"/>
    <xf numFmtId="0" fontId="8" fillId="4" borderId="12" xfId="0" applyNumberFormat="1" applyFont="1" applyFill="1" applyBorder="1" applyAlignment="1">
      <alignment horizontal="right"/>
    </xf>
    <xf numFmtId="0" fontId="12" fillId="3" borderId="11" xfId="0" applyNumberFormat="1" applyFont="1" applyFill="1" applyBorder="1" applyAlignment="1">
      <alignment horizontal="right"/>
    </xf>
    <xf numFmtId="0" fontId="15" fillId="5" borderId="19" xfId="0" applyNumberFormat="1" applyFont="1" applyFill="1" applyBorder="1"/>
    <xf numFmtId="0" fontId="10" fillId="3" borderId="3" xfId="0" applyNumberFormat="1" applyFont="1" applyFill="1" applyBorder="1" applyAlignment="1">
      <alignment horizontal="left" vertical="top"/>
    </xf>
    <xf numFmtId="0" fontId="10" fillId="3" borderId="17" xfId="0" applyNumberFormat="1" applyFont="1" applyFill="1" applyBorder="1" applyAlignment="1">
      <alignment horizontal="right" vertical="top"/>
    </xf>
    <xf numFmtId="0" fontId="10" fillId="3" borderId="6" xfId="0" applyNumberFormat="1" applyFont="1" applyFill="1" applyBorder="1" applyAlignment="1">
      <alignment horizontal="right" vertical="top"/>
    </xf>
    <xf numFmtId="0" fontId="15" fillId="4" borderId="4" xfId="0" applyNumberFormat="1" applyFont="1" applyFill="1" applyBorder="1"/>
    <xf numFmtId="0" fontId="5" fillId="3" borderId="3" xfId="0" applyNumberFormat="1" applyFont="1" applyFill="1" applyBorder="1" applyAlignment="1">
      <alignment horizontal="right"/>
    </xf>
    <xf numFmtId="0" fontId="9" fillId="3" borderId="18" xfId="0" applyNumberFormat="1" applyFont="1" applyFill="1" applyBorder="1"/>
    <xf numFmtId="0" fontId="10" fillId="3" borderId="14" xfId="0" applyNumberFormat="1" applyFont="1" applyFill="1" applyBorder="1" applyAlignment="1">
      <alignment horizontal="left" vertical="top"/>
    </xf>
    <xf numFmtId="0" fontId="10" fillId="3" borderId="3" xfId="0" applyNumberFormat="1" applyFont="1" applyFill="1" applyBorder="1" applyAlignment="1">
      <alignment horizontal="right" vertical="top"/>
    </xf>
    <xf numFmtId="0" fontId="0" fillId="3" borderId="11" xfId="1" applyNumberFormat="1" applyFont="1" applyFill="1" applyBorder="1"/>
    <xf numFmtId="0" fontId="15" fillId="4" borderId="3" xfId="0" applyNumberFormat="1" applyFont="1" applyFill="1" applyBorder="1" applyAlignment="1">
      <alignment horizontal="right"/>
    </xf>
    <xf numFmtId="0" fontId="10" fillId="3" borderId="14" xfId="0" applyNumberFormat="1" applyFont="1" applyFill="1" applyBorder="1" applyAlignment="1">
      <alignment horizontal="right" vertical="top"/>
    </xf>
    <xf numFmtId="0" fontId="15" fillId="3" borderId="3" xfId="0" applyNumberFormat="1" applyFont="1" applyFill="1" applyBorder="1"/>
    <xf numFmtId="0" fontId="9" fillId="2" borderId="3" xfId="0" applyNumberFormat="1" applyFont="1" applyFill="1" applyBorder="1"/>
    <xf numFmtId="0" fontId="9" fillId="2" borderId="4" xfId="0" applyNumberFormat="1" applyFont="1" applyFill="1" applyBorder="1"/>
    <xf numFmtId="0" fontId="10" fillId="2" borderId="3" xfId="0" applyNumberFormat="1" applyFont="1" applyFill="1" applyBorder="1" applyAlignment="1">
      <alignment horizontal="left" vertical="top"/>
    </xf>
    <xf numFmtId="0" fontId="9" fillId="6" borderId="3" xfId="0" applyNumberFormat="1" applyFont="1" applyFill="1" applyBorder="1" applyAlignment="1">
      <alignment horizontal="left" vertical="top"/>
    </xf>
    <xf numFmtId="0" fontId="10" fillId="6" borderId="3" xfId="0" applyNumberFormat="1" applyFont="1" applyFill="1" applyBorder="1" applyAlignment="1">
      <alignment horizontal="left" vertical="top"/>
    </xf>
    <xf numFmtId="0" fontId="10" fillId="2" borderId="14" xfId="0" applyNumberFormat="1" applyFont="1" applyFill="1" applyBorder="1" applyAlignment="1">
      <alignment horizontal="left" vertical="top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/>
    </xf>
    <xf numFmtId="0" fontId="10" fillId="3" borderId="14" xfId="0" applyNumberFormat="1" applyFont="1" applyFill="1" applyBorder="1" applyAlignment="1">
      <alignment horizontal="left"/>
    </xf>
    <xf numFmtId="0" fontId="7" fillId="3" borderId="3" xfId="0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right" vertical="top"/>
    </xf>
    <xf numFmtId="0" fontId="7" fillId="3" borderId="6" xfId="0" applyNumberFormat="1" applyFont="1" applyFill="1" applyBorder="1" applyAlignment="1">
      <alignment horizontal="right" vertical="top"/>
    </xf>
    <xf numFmtId="0" fontId="10" fillId="3" borderId="17" xfId="0" applyNumberFormat="1" applyFont="1" applyFill="1" applyBorder="1" applyAlignment="1">
      <alignment horizontal="left"/>
    </xf>
    <xf numFmtId="0" fontId="7" fillId="3" borderId="17" xfId="0" applyNumberFormat="1" applyFont="1" applyFill="1" applyBorder="1" applyAlignment="1">
      <alignment horizontal="right" vertical="top"/>
    </xf>
    <xf numFmtId="0" fontId="13" fillId="3" borderId="6" xfId="0" applyNumberFormat="1" applyFont="1" applyFill="1" applyBorder="1"/>
    <xf numFmtId="0" fontId="13" fillId="3" borderId="3" xfId="0" applyNumberFormat="1" applyFont="1" applyFill="1" applyBorder="1"/>
    <xf numFmtId="0" fontId="12" fillId="5" borderId="11" xfId="0" applyNumberFormat="1" applyFont="1" applyFill="1" applyBorder="1" applyAlignment="1">
      <alignment horizontal="right"/>
    </xf>
    <xf numFmtId="0" fontId="15" fillId="5" borderId="24" xfId="0" applyNumberFormat="1" applyFont="1" applyFill="1" applyBorder="1" applyAlignment="1">
      <alignment horizontal="right"/>
    </xf>
    <xf numFmtId="0" fontId="10" fillId="3" borderId="3" xfId="0" applyNumberFormat="1" applyFont="1" applyFill="1" applyBorder="1" applyAlignment="1">
      <alignment horizontal="right"/>
    </xf>
    <xf numFmtId="0" fontId="10" fillId="3" borderId="14" xfId="0" applyNumberFormat="1" applyFont="1" applyFill="1" applyBorder="1" applyAlignment="1">
      <alignment horizontal="left" vertical="top" wrapText="1"/>
    </xf>
    <xf numFmtId="0" fontId="15" fillId="5" borderId="12" xfId="0" applyNumberFormat="1" applyFont="1" applyFill="1" applyBorder="1" applyAlignment="1">
      <alignment horizontal="right"/>
    </xf>
    <xf numFmtId="0" fontId="8" fillId="4" borderId="12" xfId="0" applyNumberFormat="1" applyFont="1" applyFill="1" applyBorder="1"/>
    <xf numFmtId="0" fontId="15" fillId="5" borderId="20" xfId="0" applyNumberFormat="1" applyFont="1" applyFill="1" applyBorder="1" applyAlignment="1">
      <alignment horizontal="right"/>
    </xf>
    <xf numFmtId="0" fontId="10" fillId="3" borderId="17" xfId="0" applyNumberFormat="1" applyFont="1" applyFill="1" applyBorder="1"/>
    <xf numFmtId="0" fontId="10" fillId="3" borderId="6" xfId="0" applyNumberFormat="1" applyFont="1" applyFill="1" applyBorder="1"/>
    <xf numFmtId="0" fontId="10" fillId="3" borderId="14" xfId="0" applyNumberFormat="1" applyFont="1" applyFill="1" applyBorder="1"/>
    <xf numFmtId="0" fontId="10" fillId="3" borderId="3" xfId="0" applyNumberFormat="1" applyFont="1" applyFill="1" applyBorder="1"/>
    <xf numFmtId="0" fontId="15" fillId="3" borderId="4" xfId="0" applyNumberFormat="1" applyFont="1" applyFill="1" applyBorder="1"/>
    <xf numFmtId="0" fontId="10" fillId="2" borderId="3" xfId="0" applyNumberFormat="1" applyFont="1" applyFill="1" applyBorder="1" applyAlignment="1">
      <alignment horizontal="right"/>
    </xf>
    <xf numFmtId="0" fontId="10" fillId="2" borderId="14" xfId="0" applyNumberFormat="1" applyFont="1" applyFill="1" applyBorder="1" applyAlignment="1">
      <alignment horizontal="right"/>
    </xf>
    <xf numFmtId="0" fontId="10" fillId="2" borderId="3" xfId="0" applyNumberFormat="1" applyFont="1" applyFill="1" applyBorder="1" applyAlignment="1">
      <alignment horizontal="left"/>
    </xf>
    <xf numFmtId="0" fontId="9" fillId="3" borderId="4" xfId="0" applyNumberFormat="1" applyFont="1" applyFill="1" applyBorder="1"/>
    <xf numFmtId="0" fontId="10" fillId="2" borderId="3" xfId="0" applyNumberFormat="1" applyFont="1" applyFill="1" applyBorder="1"/>
    <xf numFmtId="0" fontId="10" fillId="2" borderId="14" xfId="0" applyNumberFormat="1" applyFont="1" applyFill="1" applyBorder="1"/>
  </cellXfs>
  <cellStyles count="2">
    <cellStyle name="Comma [0]" xfId="1" builtinId="6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9"/>
  <sheetViews>
    <sheetView tabSelected="1" topLeftCell="C1" workbookViewId="0">
      <selection activeCell="J5" sqref="J5"/>
    </sheetView>
  </sheetViews>
  <sheetFormatPr defaultRowHeight="14.25" x14ac:dyDescent="0.45"/>
  <cols>
    <col min="1" max="1" width="27.3984375" customWidth="1"/>
    <col min="2" max="2" width="10.86328125" customWidth="1"/>
    <col min="3" max="3" width="16.1328125" customWidth="1"/>
    <col min="4" max="4" width="11.265625" customWidth="1"/>
    <col min="5" max="5" width="11.73046875" customWidth="1"/>
    <col min="6" max="6" width="14.86328125" customWidth="1"/>
    <col min="7" max="7" width="13.3984375" style="289" customWidth="1"/>
    <col min="8" max="8" width="12.73046875" style="340" customWidth="1"/>
    <col min="9" max="9" width="12.06640625" style="340" customWidth="1"/>
    <col min="10" max="10" width="13" customWidth="1"/>
    <col min="12" max="12" width="12.3984375" customWidth="1"/>
    <col min="15" max="15" width="12.3984375" customWidth="1"/>
  </cols>
  <sheetData>
    <row r="1" spans="1:21" ht="66" thickTop="1" x14ac:dyDescent="0.45">
      <c r="A1" s="2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6" t="s">
        <v>5</v>
      </c>
      <c r="G1" s="7" t="s">
        <v>6</v>
      </c>
      <c r="H1" s="290" t="s">
        <v>7</v>
      </c>
      <c r="I1" s="341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1" t="s">
        <v>15</v>
      </c>
      <c r="Q1" s="10" t="s">
        <v>16</v>
      </c>
      <c r="R1" s="9" t="s">
        <v>17</v>
      </c>
      <c r="S1" s="9" t="s">
        <v>18</v>
      </c>
      <c r="T1" s="11" t="s">
        <v>19</v>
      </c>
      <c r="U1" s="12"/>
    </row>
    <row r="2" spans="1:21" x14ac:dyDescent="0.45">
      <c r="A2" s="13" t="s">
        <v>20</v>
      </c>
      <c r="B2" s="14" t="s">
        <v>21</v>
      </c>
      <c r="C2" s="15" t="s">
        <v>22</v>
      </c>
      <c r="D2" s="16" t="s">
        <v>23</v>
      </c>
      <c r="E2" s="17">
        <v>45018</v>
      </c>
      <c r="F2" s="18">
        <v>45018</v>
      </c>
      <c r="G2" s="19">
        <v>0</v>
      </c>
      <c r="H2" s="291">
        <v>698345.6</v>
      </c>
      <c r="I2" s="342">
        <v>480275</v>
      </c>
      <c r="J2" s="20">
        <v>698345.6</v>
      </c>
      <c r="K2" s="21">
        <v>0</v>
      </c>
      <c r="L2" s="22" t="s">
        <v>24</v>
      </c>
      <c r="M2" s="23">
        <f t="shared" ref="M2:M65" si="0">F2+2</f>
        <v>45020</v>
      </c>
      <c r="N2" s="22" t="s">
        <v>25</v>
      </c>
      <c r="O2" s="24">
        <v>45020</v>
      </c>
      <c r="P2" s="25">
        <f t="shared" ref="P2:P65" si="1">O2-E2</f>
        <v>2</v>
      </c>
      <c r="Q2" s="26">
        <f t="shared" ref="Q2:Q33" si="2">O2-F2-K2</f>
        <v>2</v>
      </c>
      <c r="R2" s="27"/>
      <c r="S2" s="20"/>
      <c r="T2" s="28">
        <v>10</v>
      </c>
      <c r="U2" s="28"/>
    </row>
    <row r="3" spans="1:21" x14ac:dyDescent="0.45">
      <c r="A3" s="29" t="s">
        <v>26</v>
      </c>
      <c r="B3" s="14" t="s">
        <v>27</v>
      </c>
      <c r="C3" s="15" t="s">
        <v>28</v>
      </c>
      <c r="D3" s="16" t="s">
        <v>23</v>
      </c>
      <c r="E3" s="30">
        <v>45018</v>
      </c>
      <c r="F3" s="31">
        <v>45018</v>
      </c>
      <c r="G3" s="32">
        <v>0</v>
      </c>
      <c r="H3" s="292">
        <v>698345.6</v>
      </c>
      <c r="I3" s="292">
        <v>480275</v>
      </c>
      <c r="J3" s="33">
        <v>698345.6</v>
      </c>
      <c r="K3" s="35">
        <v>0</v>
      </c>
      <c r="L3" s="36" t="s">
        <v>24</v>
      </c>
      <c r="M3" s="37">
        <f t="shared" si="0"/>
        <v>45020</v>
      </c>
      <c r="N3" s="36" t="s">
        <v>29</v>
      </c>
      <c r="O3" s="38">
        <v>45020</v>
      </c>
      <c r="P3" s="39">
        <f t="shared" si="1"/>
        <v>2</v>
      </c>
      <c r="Q3" s="40">
        <f t="shared" si="2"/>
        <v>2</v>
      </c>
      <c r="R3" s="41"/>
      <c r="S3" s="33"/>
      <c r="T3" s="42">
        <v>10</v>
      </c>
      <c r="U3" s="42"/>
    </row>
    <row r="4" spans="1:21" x14ac:dyDescent="0.45">
      <c r="A4" s="29" t="s">
        <v>30</v>
      </c>
      <c r="B4" s="14" t="s">
        <v>21</v>
      </c>
      <c r="C4" s="15" t="s">
        <v>31</v>
      </c>
      <c r="D4" s="16" t="s">
        <v>23</v>
      </c>
      <c r="E4" s="30">
        <v>45018</v>
      </c>
      <c r="F4" s="43">
        <v>45018</v>
      </c>
      <c r="G4" s="19">
        <v>0</v>
      </c>
      <c r="H4" s="291">
        <v>832424.6</v>
      </c>
      <c r="I4" s="342">
        <v>614354</v>
      </c>
      <c r="J4" s="20">
        <v>832424.6</v>
      </c>
      <c r="K4" s="35">
        <v>0</v>
      </c>
      <c r="L4" s="36" t="s">
        <v>24</v>
      </c>
      <c r="M4" s="37">
        <f t="shared" si="0"/>
        <v>45020</v>
      </c>
      <c r="N4" s="36" t="s">
        <v>29</v>
      </c>
      <c r="O4" s="38">
        <v>45019</v>
      </c>
      <c r="P4" s="39">
        <f t="shared" si="1"/>
        <v>1</v>
      </c>
      <c r="Q4" s="40">
        <f t="shared" si="2"/>
        <v>1</v>
      </c>
      <c r="R4" s="41"/>
      <c r="S4" s="33"/>
      <c r="T4" s="42">
        <v>4</v>
      </c>
      <c r="U4" s="42"/>
    </row>
    <row r="5" spans="1:21" x14ac:dyDescent="0.45">
      <c r="A5" s="29" t="s">
        <v>32</v>
      </c>
      <c r="B5" s="14" t="s">
        <v>27</v>
      </c>
      <c r="C5" s="44" t="s">
        <v>33</v>
      </c>
      <c r="D5" s="16" t="s">
        <v>23</v>
      </c>
      <c r="E5" s="30">
        <v>45000</v>
      </c>
      <c r="F5" s="43">
        <v>45017</v>
      </c>
      <c r="G5" s="19">
        <v>0</v>
      </c>
      <c r="H5" s="293">
        <v>660366</v>
      </c>
      <c r="I5" s="292">
        <v>442295</v>
      </c>
      <c r="J5" s="33">
        <v>660365.6</v>
      </c>
      <c r="K5" s="35">
        <v>0</v>
      </c>
      <c r="L5" s="36" t="s">
        <v>24</v>
      </c>
      <c r="M5" s="37">
        <f t="shared" si="0"/>
        <v>45019</v>
      </c>
      <c r="N5" s="36" t="s">
        <v>25</v>
      </c>
      <c r="O5" s="38">
        <v>45020</v>
      </c>
      <c r="P5" s="39">
        <f t="shared" si="1"/>
        <v>20</v>
      </c>
      <c r="Q5" s="40">
        <f t="shared" si="2"/>
        <v>3</v>
      </c>
      <c r="R5" s="41"/>
      <c r="S5" s="33"/>
      <c r="T5" s="42">
        <v>0</v>
      </c>
      <c r="U5" s="42"/>
    </row>
    <row r="6" spans="1:21" x14ac:dyDescent="0.45">
      <c r="A6" s="29" t="s">
        <v>34</v>
      </c>
      <c r="B6" s="14" t="s">
        <v>27</v>
      </c>
      <c r="C6" s="15" t="s">
        <v>35</v>
      </c>
      <c r="D6" s="16" t="s">
        <v>23</v>
      </c>
      <c r="E6" s="30">
        <v>45018</v>
      </c>
      <c r="F6" s="43">
        <v>45018</v>
      </c>
      <c r="G6" s="19">
        <v>0</v>
      </c>
      <c r="H6" s="293">
        <v>829763.6</v>
      </c>
      <c r="I6" s="293">
        <v>609494</v>
      </c>
      <c r="J6" s="32">
        <v>829763.6</v>
      </c>
      <c r="K6" s="35">
        <v>0</v>
      </c>
      <c r="L6" s="36" t="s">
        <v>24</v>
      </c>
      <c r="M6" s="37">
        <f t="shared" si="0"/>
        <v>45020</v>
      </c>
      <c r="N6" s="36" t="s">
        <v>25</v>
      </c>
      <c r="O6" s="38">
        <v>45020</v>
      </c>
      <c r="P6" s="39">
        <f t="shared" si="1"/>
        <v>2</v>
      </c>
      <c r="Q6" s="40">
        <f t="shared" si="2"/>
        <v>2</v>
      </c>
      <c r="R6" s="41"/>
      <c r="S6" s="33"/>
      <c r="T6" s="42">
        <v>0</v>
      </c>
      <c r="U6" s="42"/>
    </row>
    <row r="7" spans="1:21" x14ac:dyDescent="0.45">
      <c r="A7" s="45" t="s">
        <v>36</v>
      </c>
      <c r="B7" s="14" t="s">
        <v>37</v>
      </c>
      <c r="C7" s="46" t="s">
        <v>38</v>
      </c>
      <c r="D7" s="16" t="s">
        <v>39</v>
      </c>
      <c r="E7" s="30">
        <v>45021</v>
      </c>
      <c r="F7" s="43">
        <v>45021</v>
      </c>
      <c r="G7" s="47">
        <v>229065</v>
      </c>
      <c r="H7" s="294">
        <v>576956</v>
      </c>
      <c r="I7" s="297">
        <v>576956</v>
      </c>
      <c r="J7" s="48">
        <v>806022</v>
      </c>
      <c r="K7" s="35">
        <v>0</v>
      </c>
      <c r="L7" s="36" t="s">
        <v>24</v>
      </c>
      <c r="M7" s="37">
        <f t="shared" si="0"/>
        <v>45023</v>
      </c>
      <c r="N7" s="14" t="s">
        <v>29</v>
      </c>
      <c r="O7" s="38">
        <v>45021</v>
      </c>
      <c r="P7" s="39">
        <f t="shared" si="1"/>
        <v>0</v>
      </c>
      <c r="Q7" s="40">
        <f t="shared" si="2"/>
        <v>0</v>
      </c>
      <c r="R7" s="41"/>
      <c r="S7" s="41"/>
      <c r="T7" s="49">
        <v>2</v>
      </c>
      <c r="U7" s="49"/>
    </row>
    <row r="8" spans="1:21" x14ac:dyDescent="0.45">
      <c r="A8" s="13" t="s">
        <v>40</v>
      </c>
      <c r="B8" s="14" t="s">
        <v>27</v>
      </c>
      <c r="C8" s="44" t="s">
        <v>41</v>
      </c>
      <c r="D8" s="16" t="s">
        <v>23</v>
      </c>
      <c r="E8" s="17">
        <v>45020</v>
      </c>
      <c r="F8" s="50">
        <v>45020</v>
      </c>
      <c r="G8" s="19">
        <v>0</v>
      </c>
      <c r="H8" s="291">
        <v>859436.6</v>
      </c>
      <c r="I8" s="342">
        <v>623774</v>
      </c>
      <c r="J8" s="20">
        <v>859436.6</v>
      </c>
      <c r="K8" s="21">
        <v>0</v>
      </c>
      <c r="L8" s="22" t="s">
        <v>24</v>
      </c>
      <c r="M8" s="23">
        <f t="shared" si="0"/>
        <v>45022</v>
      </c>
      <c r="N8" s="52" t="s">
        <v>29</v>
      </c>
      <c r="O8" s="24">
        <v>45021</v>
      </c>
      <c r="P8" s="25">
        <f t="shared" si="1"/>
        <v>1</v>
      </c>
      <c r="Q8" s="26">
        <f t="shared" si="2"/>
        <v>1</v>
      </c>
      <c r="R8" s="51"/>
      <c r="S8" s="51"/>
      <c r="T8" s="53">
        <v>2</v>
      </c>
      <c r="U8" s="53"/>
    </row>
    <row r="9" spans="1:21" x14ac:dyDescent="0.45">
      <c r="A9" s="54" t="s">
        <v>42</v>
      </c>
      <c r="B9" s="14" t="s">
        <v>43</v>
      </c>
      <c r="C9" s="15" t="s">
        <v>44</v>
      </c>
      <c r="D9" s="16" t="s">
        <v>39</v>
      </c>
      <c r="E9" s="30">
        <v>45017</v>
      </c>
      <c r="F9" s="43">
        <v>45017</v>
      </c>
      <c r="G9" s="55">
        <v>0</v>
      </c>
      <c r="H9" s="294">
        <v>0</v>
      </c>
      <c r="I9" s="292">
        <f>3573750/2</f>
        <v>1786875</v>
      </c>
      <c r="J9" s="57">
        <f>4859589/2</f>
        <v>2429794.5</v>
      </c>
      <c r="K9" s="35">
        <v>0</v>
      </c>
      <c r="L9" s="36" t="s">
        <v>24</v>
      </c>
      <c r="M9" s="37">
        <f t="shared" si="0"/>
        <v>45019</v>
      </c>
      <c r="N9" s="14" t="s">
        <v>29</v>
      </c>
      <c r="O9" s="58">
        <v>45022</v>
      </c>
      <c r="P9" s="39">
        <f t="shared" si="1"/>
        <v>5</v>
      </c>
      <c r="Q9" s="40">
        <f t="shared" si="2"/>
        <v>5</v>
      </c>
      <c r="R9" s="41"/>
      <c r="S9" s="33"/>
      <c r="T9" s="42">
        <v>6</v>
      </c>
      <c r="U9" s="42"/>
    </row>
    <row r="10" spans="1:21" x14ac:dyDescent="0.45">
      <c r="A10" s="54" t="s">
        <v>45</v>
      </c>
      <c r="B10" s="14" t="s">
        <v>37</v>
      </c>
      <c r="C10" s="15" t="s">
        <v>46</v>
      </c>
      <c r="D10" s="16" t="s">
        <v>39</v>
      </c>
      <c r="E10" s="30">
        <v>45018</v>
      </c>
      <c r="F10" s="43">
        <v>45018</v>
      </c>
      <c r="G10" s="59">
        <v>2193550</v>
      </c>
      <c r="H10" s="295">
        <v>590131</v>
      </c>
      <c r="I10" s="297">
        <v>1939000</v>
      </c>
      <c r="J10" s="48">
        <v>2783681</v>
      </c>
      <c r="K10" s="35">
        <v>0</v>
      </c>
      <c r="L10" s="36" t="s">
        <v>24</v>
      </c>
      <c r="M10" s="37">
        <f t="shared" si="0"/>
        <v>45020</v>
      </c>
      <c r="N10" s="36" t="s">
        <v>29</v>
      </c>
      <c r="O10" s="58">
        <v>45022</v>
      </c>
      <c r="P10" s="39">
        <f t="shared" si="1"/>
        <v>4</v>
      </c>
      <c r="Q10" s="40">
        <f t="shared" si="2"/>
        <v>4</v>
      </c>
      <c r="R10" s="41"/>
      <c r="S10" s="33"/>
      <c r="T10" s="42">
        <v>2</v>
      </c>
      <c r="U10" s="42"/>
    </row>
    <row r="11" spans="1:21" x14ac:dyDescent="0.45">
      <c r="A11" s="13" t="s">
        <v>47</v>
      </c>
      <c r="B11" s="14" t="s">
        <v>48</v>
      </c>
      <c r="C11" s="15" t="s">
        <v>49</v>
      </c>
      <c r="D11" s="16" t="s">
        <v>23</v>
      </c>
      <c r="E11" s="17">
        <v>45018</v>
      </c>
      <c r="F11" s="50">
        <v>45018</v>
      </c>
      <c r="G11" s="19">
        <v>0</v>
      </c>
      <c r="H11" s="291">
        <v>808568.6</v>
      </c>
      <c r="I11" s="342">
        <v>599294</v>
      </c>
      <c r="J11" s="20">
        <v>808568.6</v>
      </c>
      <c r="K11" s="21">
        <v>0</v>
      </c>
      <c r="L11" s="22" t="s">
        <v>24</v>
      </c>
      <c r="M11" s="23">
        <f t="shared" si="0"/>
        <v>45020</v>
      </c>
      <c r="N11" s="22" t="s">
        <v>29</v>
      </c>
      <c r="O11" s="24">
        <v>45022</v>
      </c>
      <c r="P11" s="25">
        <f t="shared" si="1"/>
        <v>4</v>
      </c>
      <c r="Q11" s="26">
        <f t="shared" si="2"/>
        <v>4</v>
      </c>
      <c r="R11" s="27"/>
      <c r="S11" s="20"/>
      <c r="T11" s="28">
        <v>4</v>
      </c>
      <c r="U11" s="28"/>
    </row>
    <row r="12" spans="1:21" x14ac:dyDescent="0.45">
      <c r="A12" s="29" t="s">
        <v>50</v>
      </c>
      <c r="B12" s="14" t="s">
        <v>51</v>
      </c>
      <c r="C12" s="15" t="s">
        <v>52</v>
      </c>
      <c r="D12" s="16" t="s">
        <v>23</v>
      </c>
      <c r="E12" s="30">
        <v>45019</v>
      </c>
      <c r="F12" s="43">
        <v>45019</v>
      </c>
      <c r="G12" s="19">
        <v>0</v>
      </c>
      <c r="H12" s="296">
        <v>846719.6</v>
      </c>
      <c r="I12" s="343">
        <v>617654</v>
      </c>
      <c r="J12" s="61">
        <v>856719.6</v>
      </c>
      <c r="K12" s="35">
        <v>0</v>
      </c>
      <c r="L12" s="36" t="s">
        <v>24</v>
      </c>
      <c r="M12" s="37">
        <f t="shared" si="0"/>
        <v>45021</v>
      </c>
      <c r="N12" s="36" t="s">
        <v>29</v>
      </c>
      <c r="O12" s="58">
        <v>45023</v>
      </c>
      <c r="P12" s="39">
        <f t="shared" si="1"/>
        <v>4</v>
      </c>
      <c r="Q12" s="40">
        <f t="shared" si="2"/>
        <v>4</v>
      </c>
      <c r="R12" s="41"/>
      <c r="S12" s="33"/>
      <c r="T12" s="42">
        <v>4</v>
      </c>
      <c r="U12" s="42"/>
    </row>
    <row r="13" spans="1:21" x14ac:dyDescent="0.45">
      <c r="A13" s="62" t="s">
        <v>53</v>
      </c>
      <c r="B13" s="14" t="s">
        <v>54</v>
      </c>
      <c r="C13" s="15" t="s">
        <v>55</v>
      </c>
      <c r="D13" s="16" t="s">
        <v>56</v>
      </c>
      <c r="E13" s="30">
        <v>45019</v>
      </c>
      <c r="F13" s="31">
        <v>45019</v>
      </c>
      <c r="G13" s="63">
        <v>208750</v>
      </c>
      <c r="H13" s="293">
        <v>782695</v>
      </c>
      <c r="I13" s="344">
        <v>743670</v>
      </c>
      <c r="J13" s="64">
        <v>991445</v>
      </c>
      <c r="K13" s="35">
        <v>0</v>
      </c>
      <c r="L13" s="36" t="s">
        <v>24</v>
      </c>
      <c r="M13" s="37">
        <f t="shared" si="0"/>
        <v>45021</v>
      </c>
      <c r="N13" s="36" t="s">
        <v>29</v>
      </c>
      <c r="O13" s="38">
        <v>45022</v>
      </c>
      <c r="P13" s="39">
        <f t="shared" si="1"/>
        <v>3</v>
      </c>
      <c r="Q13" s="40">
        <f t="shared" si="2"/>
        <v>3</v>
      </c>
      <c r="R13" s="41"/>
      <c r="S13" s="33"/>
      <c r="T13" s="42">
        <v>0</v>
      </c>
      <c r="U13" s="42"/>
    </row>
    <row r="14" spans="1:21" x14ac:dyDescent="0.45">
      <c r="A14" s="62" t="s">
        <v>57</v>
      </c>
      <c r="B14" s="14" t="s">
        <v>58</v>
      </c>
      <c r="C14" s="15" t="s">
        <v>59</v>
      </c>
      <c r="D14" s="16" t="s">
        <v>56</v>
      </c>
      <c r="E14" s="30">
        <v>45019</v>
      </c>
      <c r="F14" s="31">
        <v>45019</v>
      </c>
      <c r="G14" s="63">
        <f>5018474/2</f>
        <v>2509237</v>
      </c>
      <c r="H14" s="293">
        <f>1418693/2</f>
        <v>709346.5</v>
      </c>
      <c r="I14" s="344">
        <f>5909557/2</f>
        <v>2954778.5</v>
      </c>
      <c r="J14" s="64">
        <f>6437167/2</f>
        <v>3218583.5</v>
      </c>
      <c r="K14" s="35">
        <v>0</v>
      </c>
      <c r="L14" s="36" t="s">
        <v>24</v>
      </c>
      <c r="M14" s="37">
        <f t="shared" si="0"/>
        <v>45021</v>
      </c>
      <c r="N14" s="36" t="s">
        <v>29</v>
      </c>
      <c r="O14" s="38">
        <v>45022</v>
      </c>
      <c r="P14" s="39">
        <f t="shared" si="1"/>
        <v>3</v>
      </c>
      <c r="Q14" s="40">
        <f t="shared" si="2"/>
        <v>3</v>
      </c>
      <c r="R14" s="41"/>
      <c r="S14" s="33"/>
      <c r="T14" s="42">
        <v>1</v>
      </c>
      <c r="U14" s="42"/>
    </row>
    <row r="15" spans="1:21" x14ac:dyDescent="0.45">
      <c r="A15" s="62" t="s">
        <v>60</v>
      </c>
      <c r="B15" s="14" t="s">
        <v>54</v>
      </c>
      <c r="C15" s="15" t="s">
        <v>61</v>
      </c>
      <c r="D15" s="16" t="s">
        <v>56</v>
      </c>
      <c r="E15" s="30">
        <v>45019</v>
      </c>
      <c r="F15" s="31">
        <v>45019</v>
      </c>
      <c r="G15" s="63">
        <f>5018474/2</f>
        <v>2509237</v>
      </c>
      <c r="H15" s="293">
        <f>1418693/2</f>
        <v>709346.5</v>
      </c>
      <c r="I15" s="344">
        <f>5909557/2</f>
        <v>2954778.5</v>
      </c>
      <c r="J15" s="64">
        <f>6437167/2</f>
        <v>3218583.5</v>
      </c>
      <c r="K15" s="35">
        <v>0</v>
      </c>
      <c r="L15" s="36" t="s">
        <v>24</v>
      </c>
      <c r="M15" s="37">
        <f t="shared" si="0"/>
        <v>45021</v>
      </c>
      <c r="N15" s="36" t="s">
        <v>29</v>
      </c>
      <c r="O15" s="58">
        <v>45022</v>
      </c>
      <c r="P15" s="39">
        <f t="shared" si="1"/>
        <v>3</v>
      </c>
      <c r="Q15" s="40">
        <f t="shared" si="2"/>
        <v>3</v>
      </c>
      <c r="R15" s="41"/>
      <c r="S15" s="33"/>
      <c r="T15" s="42">
        <v>7</v>
      </c>
      <c r="U15" s="42"/>
    </row>
    <row r="16" spans="1:21" x14ac:dyDescent="0.45">
      <c r="A16" s="29" t="s">
        <v>62</v>
      </c>
      <c r="B16" s="14" t="s">
        <v>27</v>
      </c>
      <c r="C16" s="15" t="s">
        <v>63</v>
      </c>
      <c r="D16" s="16" t="s">
        <v>23</v>
      </c>
      <c r="E16" s="30">
        <v>45019</v>
      </c>
      <c r="F16" s="43">
        <v>45019</v>
      </c>
      <c r="G16" s="19">
        <v>0</v>
      </c>
      <c r="H16" s="291">
        <v>754321.6</v>
      </c>
      <c r="I16" s="342">
        <v>424835</v>
      </c>
      <c r="J16" s="20">
        <v>754321.6</v>
      </c>
      <c r="K16" s="35">
        <v>0</v>
      </c>
      <c r="L16" s="36" t="s">
        <v>24</v>
      </c>
      <c r="M16" s="37">
        <f t="shared" si="0"/>
        <v>45021</v>
      </c>
      <c r="N16" s="36" t="s">
        <v>29</v>
      </c>
      <c r="O16" s="38">
        <v>45021</v>
      </c>
      <c r="P16" s="39">
        <f t="shared" si="1"/>
        <v>2</v>
      </c>
      <c r="Q16" s="40">
        <f t="shared" si="2"/>
        <v>2</v>
      </c>
      <c r="R16" s="41"/>
      <c r="S16" s="33"/>
      <c r="T16" s="42">
        <v>0</v>
      </c>
      <c r="U16" s="42"/>
    </row>
    <row r="17" spans="1:21" x14ac:dyDescent="0.45">
      <c r="A17" s="29" t="s">
        <v>64</v>
      </c>
      <c r="B17" s="14" t="s">
        <v>51</v>
      </c>
      <c r="C17" s="15" t="s">
        <v>65</v>
      </c>
      <c r="D17" s="16" t="s">
        <v>23</v>
      </c>
      <c r="E17" s="30">
        <v>45018</v>
      </c>
      <c r="F17" s="43">
        <v>45018</v>
      </c>
      <c r="G17" s="32">
        <v>1074438</v>
      </c>
      <c r="H17" s="293">
        <v>517230.6</v>
      </c>
      <c r="I17" s="292">
        <v>1107300</v>
      </c>
      <c r="J17" s="33">
        <v>1591668.6</v>
      </c>
      <c r="K17" s="35">
        <v>0</v>
      </c>
      <c r="L17" s="36" t="s">
        <v>24</v>
      </c>
      <c r="M17" s="37">
        <f t="shared" si="0"/>
        <v>45020</v>
      </c>
      <c r="N17" s="36" t="s">
        <v>29</v>
      </c>
      <c r="O17" s="38">
        <v>45022</v>
      </c>
      <c r="P17" s="39">
        <f t="shared" si="1"/>
        <v>4</v>
      </c>
      <c r="Q17" s="40">
        <f t="shared" si="2"/>
        <v>4</v>
      </c>
      <c r="R17" s="41"/>
      <c r="S17" s="33"/>
      <c r="T17" s="42">
        <v>6</v>
      </c>
      <c r="U17" s="42"/>
    </row>
    <row r="18" spans="1:21" x14ac:dyDescent="0.45">
      <c r="A18" s="29" t="s">
        <v>66</v>
      </c>
      <c r="B18" s="14" t="s">
        <v>51</v>
      </c>
      <c r="C18" s="15" t="s">
        <v>67</v>
      </c>
      <c r="D18" s="16" t="s">
        <v>23</v>
      </c>
      <c r="E18" s="30">
        <v>45019</v>
      </c>
      <c r="F18" s="43">
        <v>45019</v>
      </c>
      <c r="G18" s="19">
        <v>0</v>
      </c>
      <c r="H18" s="293">
        <v>956267.6</v>
      </c>
      <c r="I18" s="292">
        <v>742595</v>
      </c>
      <c r="J18" s="33">
        <v>956267.6</v>
      </c>
      <c r="K18" s="35">
        <v>0</v>
      </c>
      <c r="L18" s="36" t="s">
        <v>24</v>
      </c>
      <c r="M18" s="37">
        <f t="shared" si="0"/>
        <v>45021</v>
      </c>
      <c r="N18" s="36" t="s">
        <v>29</v>
      </c>
      <c r="O18" s="58">
        <v>45022</v>
      </c>
      <c r="P18" s="39">
        <f t="shared" si="1"/>
        <v>3</v>
      </c>
      <c r="Q18" s="40">
        <f t="shared" si="2"/>
        <v>3</v>
      </c>
      <c r="R18" s="41"/>
      <c r="S18" s="33"/>
      <c r="T18" s="42">
        <v>4</v>
      </c>
      <c r="U18" s="42"/>
    </row>
    <row r="19" spans="1:21" x14ac:dyDescent="0.45">
      <c r="A19" s="29" t="s">
        <v>68</v>
      </c>
      <c r="B19" s="14" t="s">
        <v>69</v>
      </c>
      <c r="C19" s="15" t="s">
        <v>70</v>
      </c>
      <c r="D19" s="16" t="s">
        <v>23</v>
      </c>
      <c r="E19" s="30">
        <v>45020</v>
      </c>
      <c r="F19" s="43">
        <v>45020</v>
      </c>
      <c r="G19" s="32">
        <f>8270984/4</f>
        <v>2067746</v>
      </c>
      <c r="H19" s="293">
        <f>2143365/4</f>
        <v>535841.25</v>
      </c>
      <c r="I19" s="292">
        <f>8301819/4</f>
        <v>2075454.75</v>
      </c>
      <c r="J19" s="33">
        <f>10414350/4</f>
        <v>2603587.5</v>
      </c>
      <c r="K19" s="35">
        <v>0</v>
      </c>
      <c r="L19" s="36" t="s">
        <v>24</v>
      </c>
      <c r="M19" s="37">
        <f t="shared" si="0"/>
        <v>45022</v>
      </c>
      <c r="N19" s="36" t="s">
        <v>29</v>
      </c>
      <c r="O19" s="58">
        <v>45023</v>
      </c>
      <c r="P19" s="39">
        <f t="shared" si="1"/>
        <v>3</v>
      </c>
      <c r="Q19" s="40">
        <f t="shared" si="2"/>
        <v>3</v>
      </c>
      <c r="R19" s="41"/>
      <c r="S19" s="33"/>
      <c r="T19" s="42">
        <v>3</v>
      </c>
      <c r="U19" s="42"/>
    </row>
    <row r="20" spans="1:21" x14ac:dyDescent="0.45">
      <c r="A20" s="29" t="s">
        <v>71</v>
      </c>
      <c r="B20" s="14" t="s">
        <v>69</v>
      </c>
      <c r="C20" s="15" t="s">
        <v>72</v>
      </c>
      <c r="D20" s="16" t="s">
        <v>23</v>
      </c>
      <c r="E20" s="30">
        <v>45020</v>
      </c>
      <c r="F20" s="43">
        <v>45020</v>
      </c>
      <c r="G20" s="32">
        <f t="shared" ref="G20:G21" si="3">8270984/4</f>
        <v>2067746</v>
      </c>
      <c r="H20" s="293">
        <f t="shared" ref="H20:H21" si="4">2143365/4</f>
        <v>535841.25</v>
      </c>
      <c r="I20" s="292">
        <f>8301819/4</f>
        <v>2075454.75</v>
      </c>
      <c r="J20" s="33">
        <f>10414350/4</f>
        <v>2603587.5</v>
      </c>
      <c r="K20" s="35">
        <v>0</v>
      </c>
      <c r="L20" s="36" t="s">
        <v>24</v>
      </c>
      <c r="M20" s="37">
        <f t="shared" si="0"/>
        <v>45022</v>
      </c>
      <c r="N20" s="36" t="s">
        <v>29</v>
      </c>
      <c r="O20" s="58">
        <v>45023</v>
      </c>
      <c r="P20" s="39">
        <f t="shared" si="1"/>
        <v>3</v>
      </c>
      <c r="Q20" s="40">
        <f t="shared" si="2"/>
        <v>3</v>
      </c>
      <c r="R20" s="41"/>
      <c r="S20" s="33"/>
      <c r="T20" s="42">
        <v>3</v>
      </c>
      <c r="U20" s="42"/>
    </row>
    <row r="21" spans="1:21" x14ac:dyDescent="0.45">
      <c r="A21" s="29" t="s">
        <v>73</v>
      </c>
      <c r="B21" s="14" t="s">
        <v>69</v>
      </c>
      <c r="C21" s="15" t="s">
        <v>74</v>
      </c>
      <c r="D21" s="16" t="s">
        <v>23</v>
      </c>
      <c r="E21" s="30">
        <v>45020</v>
      </c>
      <c r="F21" s="43">
        <v>45020</v>
      </c>
      <c r="G21" s="32">
        <f t="shared" si="3"/>
        <v>2067746</v>
      </c>
      <c r="H21" s="293">
        <f t="shared" si="4"/>
        <v>535841.25</v>
      </c>
      <c r="I21" s="292">
        <f>8301819/4</f>
        <v>2075454.75</v>
      </c>
      <c r="J21" s="33">
        <f>10414350/4</f>
        <v>2603587.5</v>
      </c>
      <c r="K21" s="35">
        <v>0</v>
      </c>
      <c r="L21" s="36" t="s">
        <v>24</v>
      </c>
      <c r="M21" s="37">
        <f t="shared" si="0"/>
        <v>45022</v>
      </c>
      <c r="N21" s="36" t="s">
        <v>29</v>
      </c>
      <c r="O21" s="58">
        <v>45023</v>
      </c>
      <c r="P21" s="39">
        <f t="shared" si="1"/>
        <v>3</v>
      </c>
      <c r="Q21" s="40">
        <f t="shared" si="2"/>
        <v>3</v>
      </c>
      <c r="R21" s="41"/>
      <c r="S21" s="33"/>
      <c r="T21" s="42">
        <v>3</v>
      </c>
      <c r="U21" s="42"/>
    </row>
    <row r="22" spans="1:21" x14ac:dyDescent="0.45">
      <c r="A22" s="29" t="s">
        <v>75</v>
      </c>
      <c r="B22" s="14" t="s">
        <v>76</v>
      </c>
      <c r="C22" s="15" t="s">
        <v>77</v>
      </c>
      <c r="D22" s="16" t="s">
        <v>23</v>
      </c>
      <c r="E22" s="30">
        <v>45020</v>
      </c>
      <c r="F22" s="43">
        <v>45020</v>
      </c>
      <c r="G22" s="19">
        <v>0</v>
      </c>
      <c r="H22" s="293">
        <v>638984.6</v>
      </c>
      <c r="I22" s="292">
        <v>418715</v>
      </c>
      <c r="J22" s="33">
        <v>638984.6</v>
      </c>
      <c r="K22" s="35">
        <v>0</v>
      </c>
      <c r="L22" s="36" t="s">
        <v>24</v>
      </c>
      <c r="M22" s="37">
        <f t="shared" si="0"/>
        <v>45022</v>
      </c>
      <c r="N22" s="36" t="s">
        <v>29</v>
      </c>
      <c r="O22" s="58">
        <v>45022</v>
      </c>
      <c r="P22" s="39">
        <f t="shared" si="1"/>
        <v>2</v>
      </c>
      <c r="Q22" s="40">
        <f t="shared" si="2"/>
        <v>2</v>
      </c>
      <c r="R22" s="41"/>
      <c r="S22" s="33"/>
      <c r="T22" s="42">
        <v>12</v>
      </c>
      <c r="U22" s="42"/>
    </row>
    <row r="23" spans="1:21" x14ac:dyDescent="0.45">
      <c r="A23" s="29" t="s">
        <v>78</v>
      </c>
      <c r="B23" s="14" t="s">
        <v>79</v>
      </c>
      <c r="C23" s="15" t="s">
        <v>80</v>
      </c>
      <c r="D23" s="16" t="s">
        <v>23</v>
      </c>
      <c r="E23" s="30">
        <v>45021</v>
      </c>
      <c r="F23" s="43">
        <v>45021</v>
      </c>
      <c r="G23" s="32">
        <v>4178566.8</v>
      </c>
      <c r="H23" s="293">
        <f>1077454/2</f>
        <v>538727</v>
      </c>
      <c r="I23" s="292">
        <f>441125/2</f>
        <v>220562.5</v>
      </c>
      <c r="J23" s="33">
        <f>2203425/2</f>
        <v>1101712.5</v>
      </c>
      <c r="K23" s="35">
        <v>0</v>
      </c>
      <c r="L23" s="36" t="s">
        <v>24</v>
      </c>
      <c r="M23" s="37">
        <f t="shared" si="0"/>
        <v>45023</v>
      </c>
      <c r="N23" s="36" t="s">
        <v>29</v>
      </c>
      <c r="O23" s="38">
        <v>45023</v>
      </c>
      <c r="P23" s="39">
        <f t="shared" si="1"/>
        <v>2</v>
      </c>
      <c r="Q23" s="40">
        <f t="shared" si="2"/>
        <v>2</v>
      </c>
      <c r="R23" s="41"/>
      <c r="S23" s="33"/>
      <c r="T23" s="42">
        <v>12</v>
      </c>
      <c r="U23" s="42"/>
    </row>
    <row r="24" spans="1:21" x14ac:dyDescent="0.45">
      <c r="A24" s="29" t="s">
        <v>81</v>
      </c>
      <c r="B24" s="14" t="s">
        <v>69</v>
      </c>
      <c r="C24" s="15" t="s">
        <v>82</v>
      </c>
      <c r="D24" s="16" t="s">
        <v>23</v>
      </c>
      <c r="E24" s="30">
        <v>45021</v>
      </c>
      <c r="F24" s="43">
        <v>45021</v>
      </c>
      <c r="G24" s="32">
        <f>8270984/4</f>
        <v>2067746</v>
      </c>
      <c r="H24" s="293">
        <f>2143365/4</f>
        <v>535841.25</v>
      </c>
      <c r="I24" s="292">
        <f>8301819/4</f>
        <v>2075454.75</v>
      </c>
      <c r="J24" s="33">
        <f>10414350/4</f>
        <v>2603587.5</v>
      </c>
      <c r="K24" s="35">
        <v>0</v>
      </c>
      <c r="L24" s="36" t="s">
        <v>24</v>
      </c>
      <c r="M24" s="37">
        <f t="shared" si="0"/>
        <v>45023</v>
      </c>
      <c r="N24" s="36" t="s">
        <v>29</v>
      </c>
      <c r="O24" s="58">
        <v>45023</v>
      </c>
      <c r="P24" s="39">
        <f t="shared" si="1"/>
        <v>2</v>
      </c>
      <c r="Q24" s="40">
        <f t="shared" si="2"/>
        <v>2</v>
      </c>
      <c r="R24" s="41"/>
      <c r="S24" s="33"/>
      <c r="T24" s="42">
        <v>3</v>
      </c>
      <c r="U24" s="42"/>
    </row>
    <row r="25" spans="1:21" x14ac:dyDescent="0.45">
      <c r="A25" s="29" t="s">
        <v>83</v>
      </c>
      <c r="B25" s="14" t="s">
        <v>69</v>
      </c>
      <c r="C25" s="15" t="s">
        <v>84</v>
      </c>
      <c r="D25" s="16" t="s">
        <v>23</v>
      </c>
      <c r="E25" s="30">
        <v>45021</v>
      </c>
      <c r="F25" s="43">
        <v>45021</v>
      </c>
      <c r="G25" s="19">
        <v>0</v>
      </c>
      <c r="H25" s="293">
        <f>864429/2</f>
        <v>432214.5</v>
      </c>
      <c r="I25" s="292">
        <f>231264/2</f>
        <v>115632</v>
      </c>
      <c r="J25" s="33">
        <f>864429/2</f>
        <v>432214.5</v>
      </c>
      <c r="K25" s="35">
        <v>0</v>
      </c>
      <c r="L25" s="36" t="s">
        <v>24</v>
      </c>
      <c r="M25" s="37">
        <f t="shared" si="0"/>
        <v>45023</v>
      </c>
      <c r="N25" s="14" t="s">
        <v>29</v>
      </c>
      <c r="O25" s="38">
        <v>45022</v>
      </c>
      <c r="P25" s="39">
        <f t="shared" si="1"/>
        <v>1</v>
      </c>
      <c r="Q25" s="40">
        <f t="shared" si="2"/>
        <v>1</v>
      </c>
      <c r="R25" s="41"/>
      <c r="S25" s="33"/>
      <c r="T25" s="42">
        <v>15</v>
      </c>
      <c r="U25" s="42"/>
    </row>
    <row r="26" spans="1:21" x14ac:dyDescent="0.45">
      <c r="A26" s="29" t="s">
        <v>85</v>
      </c>
      <c r="B26" s="14" t="s">
        <v>51</v>
      </c>
      <c r="C26" s="15" t="s">
        <v>86</v>
      </c>
      <c r="D26" s="16" t="s">
        <v>23</v>
      </c>
      <c r="E26" s="30">
        <v>45021</v>
      </c>
      <c r="F26" s="43">
        <v>45021</v>
      </c>
      <c r="G26" s="32">
        <v>704992</v>
      </c>
      <c r="H26" s="293">
        <v>517230.6</v>
      </c>
      <c r="I26" s="292">
        <v>737854</v>
      </c>
      <c r="J26" s="33">
        <v>1222222.6000000001</v>
      </c>
      <c r="K26" s="35">
        <v>0</v>
      </c>
      <c r="L26" s="36" t="s">
        <v>24</v>
      </c>
      <c r="M26" s="37">
        <f t="shared" si="0"/>
        <v>45023</v>
      </c>
      <c r="N26" s="36" t="s">
        <v>29</v>
      </c>
      <c r="O26" s="38">
        <v>45022</v>
      </c>
      <c r="P26" s="39">
        <f t="shared" si="1"/>
        <v>1</v>
      </c>
      <c r="Q26" s="40">
        <f t="shared" si="2"/>
        <v>1</v>
      </c>
      <c r="R26" s="41"/>
      <c r="S26" s="33"/>
      <c r="T26" s="42">
        <v>6</v>
      </c>
      <c r="U26" s="42"/>
    </row>
    <row r="27" spans="1:21" x14ac:dyDescent="0.45">
      <c r="A27" s="45" t="s">
        <v>87</v>
      </c>
      <c r="B27" s="14" t="s">
        <v>54</v>
      </c>
      <c r="C27" s="15" t="s">
        <v>88</v>
      </c>
      <c r="D27" s="16" t="s">
        <v>56</v>
      </c>
      <c r="E27" s="30">
        <v>45019</v>
      </c>
      <c r="F27" s="31">
        <v>45019</v>
      </c>
      <c r="G27" s="63">
        <v>789529</v>
      </c>
      <c r="H27" s="293">
        <v>977530</v>
      </c>
      <c r="I27" s="344">
        <v>1478237</v>
      </c>
      <c r="J27" s="64">
        <v>1767059</v>
      </c>
      <c r="K27" s="35">
        <v>0</v>
      </c>
      <c r="L27" s="36" t="s">
        <v>24</v>
      </c>
      <c r="M27" s="37">
        <f t="shared" si="0"/>
        <v>45021</v>
      </c>
      <c r="N27" s="36" t="s">
        <v>29</v>
      </c>
      <c r="O27" s="38">
        <v>45024</v>
      </c>
      <c r="P27" s="39">
        <f t="shared" si="1"/>
        <v>5</v>
      </c>
      <c r="Q27" s="40">
        <f t="shared" si="2"/>
        <v>5</v>
      </c>
      <c r="R27" s="41"/>
      <c r="S27" s="33"/>
      <c r="T27" s="42">
        <v>7</v>
      </c>
      <c r="U27" s="42"/>
    </row>
    <row r="28" spans="1:21" x14ac:dyDescent="0.45">
      <c r="A28" s="54" t="s">
        <v>89</v>
      </c>
      <c r="B28" s="14" t="s">
        <v>90</v>
      </c>
      <c r="C28" s="15" t="s">
        <v>91</v>
      </c>
      <c r="D28" s="16" t="s">
        <v>56</v>
      </c>
      <c r="E28" s="30">
        <v>45017</v>
      </c>
      <c r="F28" s="31">
        <v>45017</v>
      </c>
      <c r="G28" s="63">
        <v>1249783</v>
      </c>
      <c r="H28" s="293">
        <v>783328</v>
      </c>
      <c r="I28" s="344">
        <v>1718635</v>
      </c>
      <c r="J28" s="64">
        <v>2033111</v>
      </c>
      <c r="K28" s="35">
        <v>0</v>
      </c>
      <c r="L28" s="36" t="s">
        <v>24</v>
      </c>
      <c r="M28" s="37">
        <f t="shared" si="0"/>
        <v>45019</v>
      </c>
      <c r="N28" s="36" t="s">
        <v>29</v>
      </c>
      <c r="O28" s="38">
        <v>45024</v>
      </c>
      <c r="P28" s="39">
        <f t="shared" si="1"/>
        <v>7</v>
      </c>
      <c r="Q28" s="40">
        <f t="shared" si="2"/>
        <v>7</v>
      </c>
      <c r="R28" s="41" t="s">
        <v>92</v>
      </c>
      <c r="S28" s="33"/>
      <c r="T28" s="42">
        <v>2</v>
      </c>
      <c r="U28" s="42"/>
    </row>
    <row r="29" spans="1:21" x14ac:dyDescent="0.45">
      <c r="A29" s="29" t="s">
        <v>93</v>
      </c>
      <c r="B29" s="14" t="s">
        <v>94</v>
      </c>
      <c r="C29" s="15" t="s">
        <v>95</v>
      </c>
      <c r="D29" s="16" t="s">
        <v>56</v>
      </c>
      <c r="E29" s="65">
        <v>45017</v>
      </c>
      <c r="F29" s="66">
        <v>45017</v>
      </c>
      <c r="G29" s="67">
        <v>789529</v>
      </c>
      <c r="H29" s="296">
        <v>724609</v>
      </c>
      <c r="I29" s="345">
        <v>1278091</v>
      </c>
      <c r="J29" s="68">
        <v>1514138</v>
      </c>
      <c r="K29" s="70">
        <v>0</v>
      </c>
      <c r="L29" s="71" t="s">
        <v>24</v>
      </c>
      <c r="M29" s="72">
        <f t="shared" si="0"/>
        <v>45019</v>
      </c>
      <c r="N29" s="71" t="s">
        <v>29</v>
      </c>
      <c r="O29" s="73">
        <v>45027</v>
      </c>
      <c r="P29" s="74">
        <f t="shared" si="1"/>
        <v>10</v>
      </c>
      <c r="Q29" s="75">
        <f t="shared" si="2"/>
        <v>10</v>
      </c>
      <c r="R29" s="76" t="s">
        <v>92</v>
      </c>
      <c r="S29" s="61"/>
      <c r="T29" s="77">
        <v>2</v>
      </c>
      <c r="U29" s="77"/>
    </row>
    <row r="30" spans="1:21" x14ac:dyDescent="0.45">
      <c r="A30" s="54" t="s">
        <v>96</v>
      </c>
      <c r="B30" s="14" t="s">
        <v>58</v>
      </c>
      <c r="C30" s="15" t="s">
        <v>97</v>
      </c>
      <c r="D30" s="16" t="s">
        <v>39</v>
      </c>
      <c r="E30" s="30">
        <v>45018</v>
      </c>
      <c r="F30" s="43">
        <v>45018</v>
      </c>
      <c r="G30" s="78">
        <v>417176</v>
      </c>
      <c r="H30" s="297">
        <v>1553948</v>
      </c>
      <c r="I30" s="297">
        <v>1632108</v>
      </c>
      <c r="J30" s="48">
        <v>1971124</v>
      </c>
      <c r="K30" s="35">
        <v>0</v>
      </c>
      <c r="L30" s="36" t="s">
        <v>24</v>
      </c>
      <c r="M30" s="37">
        <f t="shared" si="0"/>
        <v>45020</v>
      </c>
      <c r="N30" s="36" t="s">
        <v>29</v>
      </c>
      <c r="O30" s="38">
        <v>45026</v>
      </c>
      <c r="P30" s="39">
        <f t="shared" si="1"/>
        <v>8</v>
      </c>
      <c r="Q30" s="40">
        <f t="shared" si="2"/>
        <v>8</v>
      </c>
      <c r="R30" s="41" t="s">
        <v>98</v>
      </c>
      <c r="S30" s="33"/>
      <c r="T30" s="42">
        <v>5</v>
      </c>
      <c r="U30" s="42"/>
    </row>
    <row r="31" spans="1:21" x14ac:dyDescent="0.45">
      <c r="A31" s="54" t="s">
        <v>99</v>
      </c>
      <c r="B31" s="14" t="s">
        <v>43</v>
      </c>
      <c r="C31" s="15" t="s">
        <v>100</v>
      </c>
      <c r="D31" s="16" t="s">
        <v>39</v>
      </c>
      <c r="E31" s="30">
        <v>45018</v>
      </c>
      <c r="F31" s="43">
        <v>45018</v>
      </c>
      <c r="G31" s="79">
        <v>218070.6</v>
      </c>
      <c r="H31" s="297">
        <v>474650</v>
      </c>
      <c r="I31" s="297">
        <v>474650</v>
      </c>
      <c r="J31" s="48">
        <v>692721</v>
      </c>
      <c r="K31" s="35">
        <v>0</v>
      </c>
      <c r="L31" s="36" t="s">
        <v>24</v>
      </c>
      <c r="M31" s="37">
        <f t="shared" si="0"/>
        <v>45020</v>
      </c>
      <c r="N31" s="36" t="s">
        <v>29</v>
      </c>
      <c r="O31" s="38">
        <v>45023</v>
      </c>
      <c r="P31" s="39">
        <f t="shared" si="1"/>
        <v>5</v>
      </c>
      <c r="Q31" s="40">
        <f t="shared" si="2"/>
        <v>5</v>
      </c>
      <c r="R31" s="41"/>
      <c r="S31" s="33"/>
      <c r="T31" s="42">
        <v>5</v>
      </c>
      <c r="U31" s="42"/>
    </row>
    <row r="32" spans="1:21" x14ac:dyDescent="0.45">
      <c r="A32" s="80" t="s">
        <v>101</v>
      </c>
      <c r="B32" s="14" t="s">
        <v>58</v>
      </c>
      <c r="C32" s="15" t="s">
        <v>102</v>
      </c>
      <c r="D32" s="16" t="s">
        <v>56</v>
      </c>
      <c r="E32" s="17">
        <v>45018</v>
      </c>
      <c r="F32" s="18">
        <v>45018</v>
      </c>
      <c r="G32" s="81">
        <v>841642</v>
      </c>
      <c r="H32" s="291">
        <v>673774</v>
      </c>
      <c r="I32" s="346">
        <v>1293295</v>
      </c>
      <c r="J32" s="82">
        <v>1515415</v>
      </c>
      <c r="K32" s="21">
        <v>0</v>
      </c>
      <c r="L32" s="22" t="s">
        <v>24</v>
      </c>
      <c r="M32" s="23">
        <f t="shared" si="0"/>
        <v>45020</v>
      </c>
      <c r="N32" s="22" t="s">
        <v>29</v>
      </c>
      <c r="O32" s="24">
        <v>45026</v>
      </c>
      <c r="P32" s="25">
        <f t="shared" si="1"/>
        <v>8</v>
      </c>
      <c r="Q32" s="26">
        <f t="shared" si="2"/>
        <v>8</v>
      </c>
      <c r="R32" s="27" t="s">
        <v>103</v>
      </c>
      <c r="S32" s="20"/>
      <c r="T32" s="28">
        <v>6</v>
      </c>
      <c r="U32" s="28"/>
    </row>
    <row r="33" spans="1:21" x14ac:dyDescent="0.45">
      <c r="A33" s="29" t="s">
        <v>104</v>
      </c>
      <c r="B33" s="14" t="s">
        <v>21</v>
      </c>
      <c r="C33" s="15" t="s">
        <v>105</v>
      </c>
      <c r="D33" s="16" t="s">
        <v>23</v>
      </c>
      <c r="E33" s="30">
        <v>45019</v>
      </c>
      <c r="F33" s="43">
        <v>45019</v>
      </c>
      <c r="G33" s="19">
        <f>7419115/3</f>
        <v>2473038.3333333335</v>
      </c>
      <c r="H33" s="291">
        <f>1735773/3</f>
        <v>578591</v>
      </c>
      <c r="I33" s="342">
        <f>7258598/3</f>
        <v>2419532.6666666665</v>
      </c>
      <c r="J33" s="20">
        <f>8915488/3</f>
        <v>2971829.3333333335</v>
      </c>
      <c r="K33" s="35">
        <v>0</v>
      </c>
      <c r="L33" s="36" t="s">
        <v>24</v>
      </c>
      <c r="M33" s="37">
        <f t="shared" si="0"/>
        <v>45021</v>
      </c>
      <c r="N33" s="36" t="s">
        <v>29</v>
      </c>
      <c r="O33" s="58">
        <v>45024</v>
      </c>
      <c r="P33" s="39">
        <f t="shared" si="1"/>
        <v>5</v>
      </c>
      <c r="Q33" s="40">
        <f t="shared" si="2"/>
        <v>5</v>
      </c>
      <c r="R33" s="41"/>
      <c r="S33" s="33"/>
      <c r="T33" s="42">
        <v>6</v>
      </c>
      <c r="U33" s="42"/>
    </row>
    <row r="34" spans="1:21" x14ac:dyDescent="0.45">
      <c r="A34" s="29" t="s">
        <v>106</v>
      </c>
      <c r="B34" s="14" t="s">
        <v>107</v>
      </c>
      <c r="C34" s="15" t="s">
        <v>108</v>
      </c>
      <c r="D34" s="16" t="s">
        <v>23</v>
      </c>
      <c r="E34" s="30">
        <v>45019</v>
      </c>
      <c r="F34" s="43">
        <v>45019</v>
      </c>
      <c r="G34" s="60">
        <v>1817240.8</v>
      </c>
      <c r="H34" s="296">
        <v>517230.6</v>
      </c>
      <c r="I34" s="343">
        <v>1677130</v>
      </c>
      <c r="J34" s="61">
        <v>2334471.4</v>
      </c>
      <c r="K34" s="35">
        <v>0</v>
      </c>
      <c r="L34" s="36" t="s">
        <v>24</v>
      </c>
      <c r="M34" s="37">
        <f t="shared" si="0"/>
        <v>45021</v>
      </c>
      <c r="N34" s="36" t="s">
        <v>29</v>
      </c>
      <c r="O34" s="58">
        <v>45025</v>
      </c>
      <c r="P34" s="39">
        <f t="shared" si="1"/>
        <v>6</v>
      </c>
      <c r="Q34" s="40">
        <f t="shared" ref="Q34:Q65" si="5">O34-F34-K34</f>
        <v>6</v>
      </c>
      <c r="R34" s="41" t="s">
        <v>109</v>
      </c>
      <c r="S34" s="33"/>
      <c r="T34" s="42">
        <v>24</v>
      </c>
      <c r="U34" s="42"/>
    </row>
    <row r="35" spans="1:21" x14ac:dyDescent="0.45">
      <c r="A35" s="54" t="s">
        <v>110</v>
      </c>
      <c r="B35" s="14" t="s">
        <v>54</v>
      </c>
      <c r="C35" s="15" t="s">
        <v>111</v>
      </c>
      <c r="D35" s="16" t="s">
        <v>56</v>
      </c>
      <c r="E35" s="30">
        <v>45019</v>
      </c>
      <c r="F35" s="31">
        <v>45019</v>
      </c>
      <c r="G35" s="63">
        <v>789529</v>
      </c>
      <c r="H35" s="293">
        <v>680408</v>
      </c>
      <c r="I35" s="344">
        <v>1222162</v>
      </c>
      <c r="J35" s="64">
        <v>1469937</v>
      </c>
      <c r="K35" s="35">
        <v>0</v>
      </c>
      <c r="L35" s="36" t="s">
        <v>24</v>
      </c>
      <c r="M35" s="37">
        <f t="shared" si="0"/>
        <v>45021</v>
      </c>
      <c r="N35" s="36" t="s">
        <v>29</v>
      </c>
      <c r="O35" s="38">
        <v>45024</v>
      </c>
      <c r="P35" s="39">
        <f t="shared" si="1"/>
        <v>5</v>
      </c>
      <c r="Q35" s="40">
        <f t="shared" si="5"/>
        <v>5</v>
      </c>
      <c r="R35" s="41"/>
      <c r="S35" s="33"/>
      <c r="T35" s="42">
        <v>1</v>
      </c>
      <c r="U35" s="42"/>
    </row>
    <row r="36" spans="1:21" x14ac:dyDescent="0.45">
      <c r="A36" s="54" t="s">
        <v>112</v>
      </c>
      <c r="B36" s="14" t="s">
        <v>54</v>
      </c>
      <c r="C36" s="15" t="s">
        <v>113</v>
      </c>
      <c r="D36" s="16" t="s">
        <v>56</v>
      </c>
      <c r="E36" s="30">
        <v>45020</v>
      </c>
      <c r="F36" s="31">
        <v>45020</v>
      </c>
      <c r="G36" s="63">
        <v>883969</v>
      </c>
      <c r="H36" s="293">
        <v>825801</v>
      </c>
      <c r="I36" s="344">
        <v>1433595</v>
      </c>
      <c r="J36" s="64">
        <v>1709770</v>
      </c>
      <c r="K36" s="35">
        <v>0</v>
      </c>
      <c r="L36" s="36" t="s">
        <v>24</v>
      </c>
      <c r="M36" s="37">
        <f t="shared" si="0"/>
        <v>45022</v>
      </c>
      <c r="N36" s="36" t="s">
        <v>29</v>
      </c>
      <c r="O36" s="38">
        <v>45024</v>
      </c>
      <c r="P36" s="39">
        <f t="shared" si="1"/>
        <v>4</v>
      </c>
      <c r="Q36" s="40">
        <f t="shared" si="5"/>
        <v>4</v>
      </c>
      <c r="R36" s="41"/>
      <c r="S36" s="33"/>
      <c r="T36" s="42">
        <v>1</v>
      </c>
      <c r="U36" s="42"/>
    </row>
    <row r="37" spans="1:21" x14ac:dyDescent="0.45">
      <c r="A37" s="29" t="s">
        <v>114</v>
      </c>
      <c r="B37" s="14" t="s">
        <v>27</v>
      </c>
      <c r="C37" s="15" t="s">
        <v>115</v>
      </c>
      <c r="D37" s="16" t="s">
        <v>23</v>
      </c>
      <c r="E37" s="30">
        <v>45021</v>
      </c>
      <c r="F37" s="43">
        <v>45021</v>
      </c>
      <c r="G37" s="19">
        <v>0</v>
      </c>
      <c r="H37" s="298">
        <v>973180.6</v>
      </c>
      <c r="I37" s="347">
        <v>746314</v>
      </c>
      <c r="J37" s="85">
        <v>973180.6</v>
      </c>
      <c r="K37" s="35">
        <v>0</v>
      </c>
      <c r="L37" s="36" t="s">
        <v>24</v>
      </c>
      <c r="M37" s="37">
        <f t="shared" si="0"/>
        <v>45023</v>
      </c>
      <c r="N37" s="36" t="s">
        <v>29</v>
      </c>
      <c r="O37" s="38">
        <v>45024</v>
      </c>
      <c r="P37" s="39">
        <f t="shared" si="1"/>
        <v>3</v>
      </c>
      <c r="Q37" s="40">
        <f t="shared" si="5"/>
        <v>3</v>
      </c>
      <c r="R37" s="41"/>
      <c r="S37" s="33"/>
      <c r="T37" s="42">
        <v>12</v>
      </c>
      <c r="U37" s="42"/>
    </row>
    <row r="38" spans="1:21" x14ac:dyDescent="0.45">
      <c r="A38" s="54" t="s">
        <v>116</v>
      </c>
      <c r="B38" s="14" t="s">
        <v>117</v>
      </c>
      <c r="C38" s="15" t="s">
        <v>118</v>
      </c>
      <c r="D38" s="16" t="s">
        <v>56</v>
      </c>
      <c r="E38" s="30">
        <v>45021</v>
      </c>
      <c r="F38" s="31">
        <v>45021</v>
      </c>
      <c r="G38" s="63">
        <v>789529</v>
      </c>
      <c r="H38" s="293">
        <v>936601</v>
      </c>
      <c r="I38" s="344">
        <v>1460767</v>
      </c>
      <c r="J38" s="64">
        <v>1726130</v>
      </c>
      <c r="K38" s="35">
        <v>0</v>
      </c>
      <c r="L38" s="36" t="s">
        <v>24</v>
      </c>
      <c r="M38" s="37">
        <f t="shared" si="0"/>
        <v>45023</v>
      </c>
      <c r="N38" s="36" t="s">
        <v>29</v>
      </c>
      <c r="O38" s="38">
        <v>45024</v>
      </c>
      <c r="P38" s="39">
        <f t="shared" si="1"/>
        <v>3</v>
      </c>
      <c r="Q38" s="40">
        <f t="shared" si="5"/>
        <v>3</v>
      </c>
      <c r="R38" s="41"/>
      <c r="S38" s="33"/>
      <c r="T38" s="42">
        <v>7</v>
      </c>
      <c r="U38" s="42"/>
    </row>
    <row r="39" spans="1:21" x14ac:dyDescent="0.45">
      <c r="A39" s="29" t="s">
        <v>119</v>
      </c>
      <c r="B39" s="14" t="s">
        <v>27</v>
      </c>
      <c r="C39" s="15" t="s">
        <v>120</v>
      </c>
      <c r="D39" s="16" t="s">
        <v>23</v>
      </c>
      <c r="E39" s="30">
        <v>45021</v>
      </c>
      <c r="F39" s="43">
        <v>45021</v>
      </c>
      <c r="G39" s="19">
        <v>0</v>
      </c>
      <c r="H39" s="291">
        <v>752187.1</v>
      </c>
      <c r="I39" s="342">
        <v>537415</v>
      </c>
      <c r="J39" s="20">
        <v>752187.1</v>
      </c>
      <c r="K39" s="35">
        <v>0</v>
      </c>
      <c r="L39" s="36" t="s">
        <v>24</v>
      </c>
      <c r="M39" s="37">
        <f t="shared" si="0"/>
        <v>45023</v>
      </c>
      <c r="N39" s="36" t="s">
        <v>29</v>
      </c>
      <c r="O39" s="38">
        <v>45024</v>
      </c>
      <c r="P39" s="39">
        <f t="shared" si="1"/>
        <v>3</v>
      </c>
      <c r="Q39" s="40">
        <f t="shared" si="5"/>
        <v>3</v>
      </c>
      <c r="R39" s="41"/>
      <c r="S39" s="33"/>
      <c r="T39" s="42">
        <v>7</v>
      </c>
      <c r="U39" s="42"/>
    </row>
    <row r="40" spans="1:21" x14ac:dyDescent="0.45">
      <c r="A40" s="29" t="s">
        <v>121</v>
      </c>
      <c r="B40" s="14" t="s">
        <v>48</v>
      </c>
      <c r="C40" s="15" t="s">
        <v>122</v>
      </c>
      <c r="D40" s="16" t="s">
        <v>23</v>
      </c>
      <c r="E40" s="30">
        <v>45021</v>
      </c>
      <c r="F40" s="43">
        <v>45021</v>
      </c>
      <c r="G40" s="32">
        <v>2811230</v>
      </c>
      <c r="H40" s="293">
        <v>580321</v>
      </c>
      <c r="I40" s="292">
        <v>2530548</v>
      </c>
      <c r="J40" s="33">
        <v>3181050.6</v>
      </c>
      <c r="K40" s="35">
        <v>0</v>
      </c>
      <c r="L40" s="36" t="s">
        <v>24</v>
      </c>
      <c r="M40" s="37">
        <f t="shared" si="0"/>
        <v>45023</v>
      </c>
      <c r="N40" s="36" t="s">
        <v>29</v>
      </c>
      <c r="O40" s="58">
        <v>45024</v>
      </c>
      <c r="P40" s="39">
        <f t="shared" si="1"/>
        <v>3</v>
      </c>
      <c r="Q40" s="40">
        <f t="shared" si="5"/>
        <v>3</v>
      </c>
      <c r="R40" s="41"/>
      <c r="S40" s="33"/>
      <c r="T40" s="42">
        <v>23</v>
      </c>
      <c r="U40" s="42"/>
    </row>
    <row r="41" spans="1:21" x14ac:dyDescent="0.45">
      <c r="A41" s="29" t="s">
        <v>123</v>
      </c>
      <c r="B41" s="14" t="s">
        <v>27</v>
      </c>
      <c r="C41" s="15" t="s">
        <v>124</v>
      </c>
      <c r="D41" s="16" t="s">
        <v>23</v>
      </c>
      <c r="E41" s="30">
        <v>45021</v>
      </c>
      <c r="F41" s="43">
        <v>45021</v>
      </c>
      <c r="G41" s="60">
        <v>791979</v>
      </c>
      <c r="H41" s="296">
        <v>531031</v>
      </c>
      <c r="I41" s="343">
        <v>1102740</v>
      </c>
      <c r="J41" s="61">
        <v>1323009.6000000001</v>
      </c>
      <c r="K41" s="35">
        <v>0</v>
      </c>
      <c r="L41" s="36" t="s">
        <v>24</v>
      </c>
      <c r="M41" s="37">
        <f t="shared" si="0"/>
        <v>45023</v>
      </c>
      <c r="N41" s="36" t="s">
        <v>29</v>
      </c>
      <c r="O41" s="38">
        <v>45023</v>
      </c>
      <c r="P41" s="39">
        <f t="shared" si="1"/>
        <v>2</v>
      </c>
      <c r="Q41" s="40">
        <f t="shared" si="5"/>
        <v>2</v>
      </c>
      <c r="R41" s="41"/>
      <c r="S41" s="33"/>
      <c r="T41" s="42">
        <v>4</v>
      </c>
      <c r="U41" s="42"/>
    </row>
    <row r="42" spans="1:21" x14ac:dyDescent="0.45">
      <c r="A42" s="29" t="s">
        <v>125</v>
      </c>
      <c r="B42" s="14" t="s">
        <v>94</v>
      </c>
      <c r="C42" s="15" t="s">
        <v>126</v>
      </c>
      <c r="D42" s="16" t="s">
        <v>56</v>
      </c>
      <c r="E42" s="65">
        <v>45021</v>
      </c>
      <c r="F42" s="66">
        <v>45021</v>
      </c>
      <c r="G42" s="67">
        <v>1114534</v>
      </c>
      <c r="H42" s="296">
        <v>863347</v>
      </c>
      <c r="I42" s="345">
        <v>1742392</v>
      </c>
      <c r="J42" s="68">
        <v>1977882</v>
      </c>
      <c r="K42" s="70">
        <v>0</v>
      </c>
      <c r="L42" s="71" t="s">
        <v>24</v>
      </c>
      <c r="M42" s="72">
        <f t="shared" si="0"/>
        <v>45023</v>
      </c>
      <c r="N42" s="71" t="s">
        <v>29</v>
      </c>
      <c r="O42" s="73">
        <v>45026</v>
      </c>
      <c r="P42" s="74">
        <f t="shared" si="1"/>
        <v>5</v>
      </c>
      <c r="Q42" s="75">
        <f t="shared" si="5"/>
        <v>5</v>
      </c>
      <c r="R42" s="76"/>
      <c r="S42" s="61"/>
      <c r="T42" s="77">
        <v>4</v>
      </c>
      <c r="U42" s="77"/>
    </row>
    <row r="43" spans="1:21" x14ac:dyDescent="0.45">
      <c r="A43" s="54" t="s">
        <v>127</v>
      </c>
      <c r="B43" s="14" t="s">
        <v>128</v>
      </c>
      <c r="C43" s="15" t="s">
        <v>129</v>
      </c>
      <c r="D43" s="16" t="s">
        <v>39</v>
      </c>
      <c r="E43" s="30">
        <v>45022</v>
      </c>
      <c r="F43" s="43">
        <v>45022</v>
      </c>
      <c r="G43" s="55">
        <v>0</v>
      </c>
      <c r="H43" s="292">
        <v>550692</v>
      </c>
      <c r="I43" s="292">
        <v>337020</v>
      </c>
      <c r="J43" s="57">
        <v>550692</v>
      </c>
      <c r="K43" s="35">
        <v>0</v>
      </c>
      <c r="L43" s="36" t="s">
        <v>24</v>
      </c>
      <c r="M43" s="37">
        <f t="shared" si="0"/>
        <v>45024</v>
      </c>
      <c r="N43" s="36" t="s">
        <v>29</v>
      </c>
      <c r="O43" s="58">
        <v>45024</v>
      </c>
      <c r="P43" s="39">
        <f t="shared" si="1"/>
        <v>2</v>
      </c>
      <c r="Q43" s="40">
        <f t="shared" si="5"/>
        <v>2</v>
      </c>
      <c r="R43" s="41"/>
      <c r="S43" s="33"/>
      <c r="T43" s="42">
        <v>3</v>
      </c>
      <c r="U43" s="42"/>
    </row>
    <row r="44" spans="1:21" x14ac:dyDescent="0.45">
      <c r="A44" s="86" t="s">
        <v>130</v>
      </c>
      <c r="B44" s="14" t="s">
        <v>54</v>
      </c>
      <c r="C44" s="15" t="s">
        <v>131</v>
      </c>
      <c r="D44" s="16" t="s">
        <v>56</v>
      </c>
      <c r="E44" s="17">
        <v>45022</v>
      </c>
      <c r="F44" s="18">
        <v>45022</v>
      </c>
      <c r="G44" s="81">
        <v>789529</v>
      </c>
      <c r="H44" s="291">
        <v>899283</v>
      </c>
      <c r="I44" s="346">
        <v>1423445</v>
      </c>
      <c r="J44" s="82">
        <v>1688812</v>
      </c>
      <c r="K44" s="21">
        <v>0</v>
      </c>
      <c r="L44" s="22" t="s">
        <v>24</v>
      </c>
      <c r="M44" s="23">
        <f t="shared" si="0"/>
        <v>45024</v>
      </c>
      <c r="N44" s="22" t="s">
        <v>29</v>
      </c>
      <c r="O44" s="24">
        <v>45024</v>
      </c>
      <c r="P44" s="25">
        <f t="shared" si="1"/>
        <v>2</v>
      </c>
      <c r="Q44" s="26">
        <f t="shared" si="5"/>
        <v>2</v>
      </c>
      <c r="R44" s="27"/>
      <c r="S44" s="51"/>
      <c r="T44" s="53">
        <v>8</v>
      </c>
      <c r="U44" s="53"/>
    </row>
    <row r="45" spans="1:21" x14ac:dyDescent="0.45">
      <c r="A45" s="29" t="s">
        <v>132</v>
      </c>
      <c r="B45" s="14" t="s">
        <v>27</v>
      </c>
      <c r="C45" s="15" t="s">
        <v>133</v>
      </c>
      <c r="D45" s="16" t="s">
        <v>23</v>
      </c>
      <c r="E45" s="30">
        <v>45022</v>
      </c>
      <c r="F45" s="43">
        <v>45022</v>
      </c>
      <c r="G45" s="19">
        <v>0</v>
      </c>
      <c r="H45" s="291">
        <v>890719.6</v>
      </c>
      <c r="I45" s="342">
        <v>661654</v>
      </c>
      <c r="J45" s="20">
        <v>890719.6</v>
      </c>
      <c r="K45" s="35">
        <v>0</v>
      </c>
      <c r="L45" s="36" t="s">
        <v>24</v>
      </c>
      <c r="M45" s="37">
        <f t="shared" si="0"/>
        <v>45024</v>
      </c>
      <c r="N45" s="36" t="s">
        <v>29</v>
      </c>
      <c r="O45" s="38">
        <v>45025</v>
      </c>
      <c r="P45" s="39">
        <f t="shared" si="1"/>
        <v>3</v>
      </c>
      <c r="Q45" s="40">
        <f t="shared" si="5"/>
        <v>3</v>
      </c>
      <c r="R45" s="41"/>
      <c r="S45" s="87"/>
      <c r="T45" s="88">
        <v>0</v>
      </c>
      <c r="U45" s="88"/>
    </row>
    <row r="46" spans="1:21" x14ac:dyDescent="0.45">
      <c r="A46" s="29" t="s">
        <v>134</v>
      </c>
      <c r="B46" s="14" t="s">
        <v>27</v>
      </c>
      <c r="C46" s="15" t="s">
        <v>135</v>
      </c>
      <c r="D46" s="16" t="s">
        <v>23</v>
      </c>
      <c r="E46" s="30">
        <v>45022</v>
      </c>
      <c r="F46" s="43">
        <v>45022</v>
      </c>
      <c r="G46" s="32">
        <v>1050945</v>
      </c>
      <c r="H46" s="293">
        <v>487031</v>
      </c>
      <c r="I46" s="292">
        <v>1125679</v>
      </c>
      <c r="J46" s="33">
        <v>1537975.6</v>
      </c>
      <c r="K46" s="35">
        <v>0</v>
      </c>
      <c r="L46" s="36" t="s">
        <v>24</v>
      </c>
      <c r="M46" s="37">
        <f t="shared" si="0"/>
        <v>45024</v>
      </c>
      <c r="N46" s="36" t="s">
        <v>29</v>
      </c>
      <c r="O46" s="38">
        <v>45025</v>
      </c>
      <c r="P46" s="39">
        <f t="shared" si="1"/>
        <v>3</v>
      </c>
      <c r="Q46" s="40">
        <f t="shared" si="5"/>
        <v>3</v>
      </c>
      <c r="R46" s="41"/>
      <c r="S46" s="87"/>
      <c r="T46" s="88">
        <v>3</v>
      </c>
      <c r="U46" s="88"/>
    </row>
    <row r="47" spans="1:21" x14ac:dyDescent="0.45">
      <c r="A47" s="29" t="s">
        <v>136</v>
      </c>
      <c r="B47" s="14" t="s">
        <v>27</v>
      </c>
      <c r="C47" s="15" t="s">
        <v>137</v>
      </c>
      <c r="D47" s="16" t="s">
        <v>23</v>
      </c>
      <c r="E47" s="30">
        <v>45022</v>
      </c>
      <c r="F47" s="43">
        <v>45022</v>
      </c>
      <c r="G47" s="19">
        <v>0</v>
      </c>
      <c r="H47" s="293">
        <v>948241.6</v>
      </c>
      <c r="I47" s="292">
        <v>723574</v>
      </c>
      <c r="J47" s="33">
        <v>948241.6</v>
      </c>
      <c r="K47" s="35">
        <v>0</v>
      </c>
      <c r="L47" s="36" t="s">
        <v>24</v>
      </c>
      <c r="M47" s="37">
        <f t="shared" si="0"/>
        <v>45024</v>
      </c>
      <c r="N47" s="36" t="s">
        <v>29</v>
      </c>
      <c r="O47" s="38">
        <v>45024</v>
      </c>
      <c r="P47" s="39">
        <f t="shared" si="1"/>
        <v>2</v>
      </c>
      <c r="Q47" s="40">
        <f t="shared" si="5"/>
        <v>2</v>
      </c>
      <c r="R47" s="41"/>
      <c r="S47" s="87"/>
      <c r="T47" s="88">
        <v>4</v>
      </c>
      <c r="U47" s="88"/>
    </row>
    <row r="48" spans="1:21" x14ac:dyDescent="0.45">
      <c r="A48" s="29" t="s">
        <v>138</v>
      </c>
      <c r="B48" s="14" t="s">
        <v>48</v>
      </c>
      <c r="C48" s="89" t="s">
        <v>139</v>
      </c>
      <c r="D48" s="90" t="s">
        <v>23</v>
      </c>
      <c r="E48" s="65">
        <v>45023</v>
      </c>
      <c r="F48" s="91">
        <v>45023</v>
      </c>
      <c r="G48" s="19">
        <v>0</v>
      </c>
      <c r="H48" s="296">
        <v>627091.6</v>
      </c>
      <c r="I48" s="343">
        <v>679574</v>
      </c>
      <c r="J48" s="61">
        <v>904241.6</v>
      </c>
      <c r="K48" s="70">
        <v>0</v>
      </c>
      <c r="L48" s="71" t="s">
        <v>24</v>
      </c>
      <c r="M48" s="72">
        <f t="shared" si="0"/>
        <v>45025</v>
      </c>
      <c r="N48" s="71" t="s">
        <v>29</v>
      </c>
      <c r="O48" s="73">
        <v>45024</v>
      </c>
      <c r="P48" s="74">
        <f t="shared" si="1"/>
        <v>1</v>
      </c>
      <c r="Q48" s="75">
        <f t="shared" si="5"/>
        <v>1</v>
      </c>
      <c r="R48" s="76"/>
      <c r="S48" s="92"/>
      <c r="T48" s="93">
        <v>0</v>
      </c>
      <c r="U48" s="93"/>
    </row>
    <row r="49" spans="1:21" x14ac:dyDescent="0.45">
      <c r="A49" s="54" t="s">
        <v>140</v>
      </c>
      <c r="B49" s="14" t="s">
        <v>141</v>
      </c>
      <c r="C49" s="15" t="s">
        <v>142</v>
      </c>
      <c r="D49" s="35" t="s">
        <v>23</v>
      </c>
      <c r="E49" s="30">
        <v>45023</v>
      </c>
      <c r="F49" s="43">
        <v>45023</v>
      </c>
      <c r="G49" s="32">
        <v>2044455.6</v>
      </c>
      <c r="H49" s="293">
        <v>531031</v>
      </c>
      <c r="I49" s="292">
        <v>2033460</v>
      </c>
      <c r="J49" s="33">
        <v>2575486.2000000002</v>
      </c>
      <c r="K49" s="35">
        <v>0</v>
      </c>
      <c r="L49" s="36" t="s">
        <v>24</v>
      </c>
      <c r="M49" s="37">
        <f t="shared" si="0"/>
        <v>45025</v>
      </c>
      <c r="N49" s="36" t="s">
        <v>29</v>
      </c>
      <c r="O49" s="58">
        <v>45024</v>
      </c>
      <c r="P49" s="39">
        <f t="shared" si="1"/>
        <v>1</v>
      </c>
      <c r="Q49" s="40">
        <f t="shared" si="5"/>
        <v>1</v>
      </c>
      <c r="R49" s="41"/>
      <c r="S49" s="87"/>
      <c r="T49" s="88">
        <v>2</v>
      </c>
      <c r="U49" s="88"/>
    </row>
    <row r="50" spans="1:21" x14ac:dyDescent="0.45">
      <c r="A50" s="54" t="s">
        <v>143</v>
      </c>
      <c r="B50" s="14" t="s">
        <v>27</v>
      </c>
      <c r="C50" s="44" t="s">
        <v>144</v>
      </c>
      <c r="D50" s="35" t="s">
        <v>23</v>
      </c>
      <c r="E50" s="30">
        <v>44610</v>
      </c>
      <c r="F50" s="43">
        <v>45025</v>
      </c>
      <c r="G50" s="32">
        <v>1513658.2</v>
      </c>
      <c r="H50" s="293">
        <v>487031</v>
      </c>
      <c r="I50" s="292">
        <v>1545149</v>
      </c>
      <c r="J50" s="33">
        <v>2000688.8</v>
      </c>
      <c r="K50" s="35">
        <v>0</v>
      </c>
      <c r="L50" s="36" t="s">
        <v>24</v>
      </c>
      <c r="M50" s="37">
        <f t="shared" si="0"/>
        <v>45027</v>
      </c>
      <c r="N50" s="36" t="s">
        <v>29</v>
      </c>
      <c r="O50" s="38">
        <v>45026</v>
      </c>
      <c r="P50" s="39">
        <f t="shared" si="1"/>
        <v>416</v>
      </c>
      <c r="Q50" s="40">
        <f t="shared" si="5"/>
        <v>1</v>
      </c>
      <c r="R50" s="41"/>
      <c r="S50" s="33"/>
      <c r="T50" s="42">
        <v>14</v>
      </c>
      <c r="U50" s="42"/>
    </row>
    <row r="51" spans="1:21" x14ac:dyDescent="0.45">
      <c r="A51" s="94" t="s">
        <v>145</v>
      </c>
      <c r="B51" s="14" t="s">
        <v>146</v>
      </c>
      <c r="C51" s="95" t="s">
        <v>147</v>
      </c>
      <c r="D51" s="96" t="s">
        <v>56</v>
      </c>
      <c r="E51" s="97">
        <v>45008</v>
      </c>
      <c r="F51" s="98">
        <v>45020</v>
      </c>
      <c r="G51" s="99">
        <v>2108663</v>
      </c>
      <c r="H51" s="298">
        <v>687189</v>
      </c>
      <c r="I51" s="348">
        <v>2554499</v>
      </c>
      <c r="J51" s="100">
        <v>2795853</v>
      </c>
      <c r="K51" s="101">
        <v>0</v>
      </c>
      <c r="L51" s="102" t="s">
        <v>24</v>
      </c>
      <c r="M51" s="103">
        <f t="shared" si="0"/>
        <v>45022</v>
      </c>
      <c r="N51" s="102" t="s">
        <v>29</v>
      </c>
      <c r="O51" s="104">
        <v>45026</v>
      </c>
      <c r="P51" s="105">
        <f t="shared" si="1"/>
        <v>18</v>
      </c>
      <c r="Q51" s="106">
        <f t="shared" si="5"/>
        <v>6</v>
      </c>
      <c r="R51" s="107"/>
      <c r="S51" s="85"/>
      <c r="T51" s="108">
        <v>7</v>
      </c>
      <c r="U51" s="108"/>
    </row>
    <row r="52" spans="1:21" x14ac:dyDescent="0.45">
      <c r="A52" s="29" t="s">
        <v>148</v>
      </c>
      <c r="B52" s="14" t="s">
        <v>149</v>
      </c>
      <c r="C52" s="89" t="s">
        <v>150</v>
      </c>
      <c r="D52" s="90" t="s">
        <v>39</v>
      </c>
      <c r="E52" s="65">
        <v>45018</v>
      </c>
      <c r="F52" s="91">
        <v>45018</v>
      </c>
      <c r="G52" s="109">
        <f t="shared" ref="G52" si="6">21782812/5</f>
        <v>4356562.4000000004</v>
      </c>
      <c r="H52" s="299">
        <f t="shared" ref="H52" si="7">7649601/5</f>
        <v>1529920.2</v>
      </c>
      <c r="I52" s="343">
        <f>22222449/7</f>
        <v>3174635.5714285714</v>
      </c>
      <c r="J52" s="110">
        <f>29432413/7</f>
        <v>4204630.4285714282</v>
      </c>
      <c r="K52" s="70">
        <v>0</v>
      </c>
      <c r="L52" s="71" t="s">
        <v>24</v>
      </c>
      <c r="M52" s="72">
        <f t="shared" si="0"/>
        <v>45020</v>
      </c>
      <c r="N52" s="71" t="s">
        <v>29</v>
      </c>
      <c r="O52" s="111">
        <v>45027</v>
      </c>
      <c r="P52" s="74">
        <f t="shared" si="1"/>
        <v>9</v>
      </c>
      <c r="Q52" s="75">
        <f t="shared" si="5"/>
        <v>9</v>
      </c>
      <c r="R52" s="76" t="s">
        <v>151</v>
      </c>
      <c r="S52" s="61"/>
      <c r="T52" s="77">
        <v>5</v>
      </c>
      <c r="U52" s="77"/>
    </row>
    <row r="53" spans="1:21" x14ac:dyDescent="0.45">
      <c r="A53" s="54" t="s">
        <v>152</v>
      </c>
      <c r="B53" s="14" t="s">
        <v>48</v>
      </c>
      <c r="C53" s="44" t="s">
        <v>153</v>
      </c>
      <c r="D53" s="35" t="s">
        <v>23</v>
      </c>
      <c r="E53" s="30">
        <v>45019</v>
      </c>
      <c r="F53" s="43">
        <v>45019</v>
      </c>
      <c r="G53" s="32">
        <v>3730418.2</v>
      </c>
      <c r="H53" s="293">
        <v>517231</v>
      </c>
      <c r="I53" s="292">
        <v>3431749</v>
      </c>
      <c r="J53" s="33">
        <v>4247648.8</v>
      </c>
      <c r="K53" s="35">
        <v>0</v>
      </c>
      <c r="L53" s="36" t="s">
        <v>24</v>
      </c>
      <c r="M53" s="37">
        <f t="shared" si="0"/>
        <v>45021</v>
      </c>
      <c r="N53" s="36" t="s">
        <v>29</v>
      </c>
      <c r="O53" s="58">
        <v>45026</v>
      </c>
      <c r="P53" s="39">
        <f t="shared" si="1"/>
        <v>7</v>
      </c>
      <c r="Q53" s="40">
        <f t="shared" si="5"/>
        <v>7</v>
      </c>
      <c r="R53" s="41" t="s">
        <v>92</v>
      </c>
      <c r="S53" s="33"/>
      <c r="T53" s="42">
        <v>14</v>
      </c>
      <c r="U53" s="42"/>
    </row>
    <row r="54" spans="1:21" x14ac:dyDescent="0.45">
      <c r="A54" s="80" t="s">
        <v>154</v>
      </c>
      <c r="B54" s="14" t="s">
        <v>54</v>
      </c>
      <c r="C54" s="112" t="s">
        <v>155</v>
      </c>
      <c r="D54" s="113" t="s">
        <v>56</v>
      </c>
      <c r="E54" s="17">
        <v>45020</v>
      </c>
      <c r="F54" s="18">
        <v>45020</v>
      </c>
      <c r="G54" s="81">
        <f>4119281/2</f>
        <v>2059640.5</v>
      </c>
      <c r="H54" s="291">
        <f>1222893/2</f>
        <v>611446.5</v>
      </c>
      <c r="I54" s="346">
        <f>4487466/2</f>
        <v>2243733</v>
      </c>
      <c r="J54" s="82">
        <f>5342174/2</f>
        <v>2671087</v>
      </c>
      <c r="K54" s="21">
        <v>0</v>
      </c>
      <c r="L54" s="22" t="s">
        <v>24</v>
      </c>
      <c r="M54" s="23">
        <f t="shared" si="0"/>
        <v>45022</v>
      </c>
      <c r="N54" s="22" t="s">
        <v>29</v>
      </c>
      <c r="O54" s="114">
        <v>45027</v>
      </c>
      <c r="P54" s="25">
        <f t="shared" si="1"/>
        <v>7</v>
      </c>
      <c r="Q54" s="26">
        <f t="shared" si="5"/>
        <v>7</v>
      </c>
      <c r="R54" s="107" t="s">
        <v>156</v>
      </c>
      <c r="S54" s="20"/>
      <c r="T54" s="28">
        <v>9</v>
      </c>
      <c r="U54" s="28"/>
    </row>
    <row r="55" spans="1:21" x14ac:dyDescent="0.45">
      <c r="A55" s="54" t="s">
        <v>157</v>
      </c>
      <c r="B55" s="14" t="s">
        <v>27</v>
      </c>
      <c r="C55" s="44" t="s">
        <v>158</v>
      </c>
      <c r="D55" s="35" t="s">
        <v>23</v>
      </c>
      <c r="E55" s="30">
        <v>44614</v>
      </c>
      <c r="F55" s="43">
        <v>45025</v>
      </c>
      <c r="G55" s="32">
        <v>589930.5</v>
      </c>
      <c r="H55" s="293">
        <v>429231</v>
      </c>
      <c r="I55" s="292">
        <v>646794</v>
      </c>
      <c r="J55" s="33">
        <v>1019161.1</v>
      </c>
      <c r="K55" s="35">
        <v>0</v>
      </c>
      <c r="L55" s="36" t="s">
        <v>24</v>
      </c>
      <c r="M55" s="37">
        <f t="shared" si="0"/>
        <v>45027</v>
      </c>
      <c r="N55" s="36" t="s">
        <v>29</v>
      </c>
      <c r="O55" s="38">
        <v>45027</v>
      </c>
      <c r="P55" s="39">
        <f t="shared" si="1"/>
        <v>413</v>
      </c>
      <c r="Q55" s="40">
        <f t="shared" si="5"/>
        <v>2</v>
      </c>
      <c r="R55" s="41"/>
      <c r="S55" s="33"/>
      <c r="T55" s="42">
        <v>2</v>
      </c>
      <c r="U55" s="42"/>
    </row>
    <row r="56" spans="1:21" x14ac:dyDescent="0.45">
      <c r="A56" s="54" t="s">
        <v>159</v>
      </c>
      <c r="B56" s="14" t="s">
        <v>27</v>
      </c>
      <c r="C56" s="15" t="s">
        <v>160</v>
      </c>
      <c r="D56" s="35" t="s">
        <v>23</v>
      </c>
      <c r="E56" s="30">
        <v>45019</v>
      </c>
      <c r="F56" s="43">
        <v>45019</v>
      </c>
      <c r="G56" s="19">
        <v>0</v>
      </c>
      <c r="H56" s="293">
        <v>1200524.1000000001</v>
      </c>
      <c r="I56" s="292">
        <v>968160</v>
      </c>
      <c r="J56" s="33">
        <v>1200524</v>
      </c>
      <c r="K56" s="35">
        <v>0</v>
      </c>
      <c r="L56" s="36" t="s">
        <v>24</v>
      </c>
      <c r="M56" s="37">
        <f t="shared" si="0"/>
        <v>45021</v>
      </c>
      <c r="N56" s="36" t="s">
        <v>29</v>
      </c>
      <c r="O56" s="38">
        <v>45027</v>
      </c>
      <c r="P56" s="39">
        <f t="shared" si="1"/>
        <v>8</v>
      </c>
      <c r="Q56" s="40">
        <f t="shared" si="5"/>
        <v>8</v>
      </c>
      <c r="R56" s="41" t="s">
        <v>92</v>
      </c>
      <c r="S56" s="33"/>
      <c r="T56" s="42">
        <v>4</v>
      </c>
      <c r="U56" s="42"/>
    </row>
    <row r="57" spans="1:21" x14ac:dyDescent="0.45">
      <c r="A57" s="80" t="s">
        <v>161</v>
      </c>
      <c r="B57" s="14" t="s">
        <v>94</v>
      </c>
      <c r="C57" s="112" t="s">
        <v>162</v>
      </c>
      <c r="D57" s="113" t="s">
        <v>56</v>
      </c>
      <c r="E57" s="17">
        <v>45020</v>
      </c>
      <c r="F57" s="18">
        <v>45020</v>
      </c>
      <c r="G57" s="115">
        <f>20254606/9</f>
        <v>2250511.777777778</v>
      </c>
      <c r="H57" s="300">
        <f>3566330/9</f>
        <v>396258.88888888888</v>
      </c>
      <c r="I57" s="349">
        <f>23155550/9</f>
        <v>2572838.888888889</v>
      </c>
      <c r="J57" s="115">
        <f>23820936/9</f>
        <v>2646770.6666666665</v>
      </c>
      <c r="K57" s="21">
        <v>0</v>
      </c>
      <c r="L57" s="22" t="s">
        <v>24</v>
      </c>
      <c r="M57" s="23">
        <f t="shared" si="0"/>
        <v>45022</v>
      </c>
      <c r="N57" s="22" t="s">
        <v>29</v>
      </c>
      <c r="O57" s="24">
        <v>45027</v>
      </c>
      <c r="P57" s="25">
        <f t="shared" si="1"/>
        <v>7</v>
      </c>
      <c r="Q57" s="26">
        <f t="shared" si="5"/>
        <v>7</v>
      </c>
      <c r="R57" s="107" t="s">
        <v>163</v>
      </c>
      <c r="S57" s="20"/>
      <c r="T57" s="28">
        <v>3</v>
      </c>
      <c r="U57" s="28"/>
    </row>
    <row r="58" spans="1:21" x14ac:dyDescent="0.45">
      <c r="A58" s="29" t="s">
        <v>164</v>
      </c>
      <c r="B58" s="14" t="s">
        <v>117</v>
      </c>
      <c r="C58" s="89" t="s">
        <v>165</v>
      </c>
      <c r="D58" s="90" t="s">
        <v>56</v>
      </c>
      <c r="E58" s="65">
        <v>45021</v>
      </c>
      <c r="F58" s="66">
        <v>45021</v>
      </c>
      <c r="G58" s="67">
        <v>2287763</v>
      </c>
      <c r="H58" s="296">
        <v>805349</v>
      </c>
      <c r="I58" s="345">
        <v>2857623</v>
      </c>
      <c r="J58" s="67">
        <v>3093113</v>
      </c>
      <c r="K58" s="70">
        <v>0</v>
      </c>
      <c r="L58" s="71" t="s">
        <v>24</v>
      </c>
      <c r="M58" s="72">
        <f t="shared" si="0"/>
        <v>45023</v>
      </c>
      <c r="N58" s="71" t="s">
        <v>29</v>
      </c>
      <c r="O58" s="116">
        <v>45029</v>
      </c>
      <c r="P58" s="74">
        <f t="shared" si="1"/>
        <v>8</v>
      </c>
      <c r="Q58" s="75">
        <f t="shared" si="5"/>
        <v>8</v>
      </c>
      <c r="R58" s="76"/>
      <c r="S58" s="61"/>
      <c r="T58" s="77">
        <v>11</v>
      </c>
      <c r="U58" s="77"/>
    </row>
    <row r="59" spans="1:21" x14ac:dyDescent="0.45">
      <c r="A59" s="54" t="s">
        <v>166</v>
      </c>
      <c r="B59" s="14" t="s">
        <v>48</v>
      </c>
      <c r="C59" s="15" t="s">
        <v>167</v>
      </c>
      <c r="D59" s="35" t="s">
        <v>23</v>
      </c>
      <c r="E59" s="30">
        <v>45021</v>
      </c>
      <c r="F59" s="43">
        <v>45021</v>
      </c>
      <c r="G59" s="32">
        <v>871953</v>
      </c>
      <c r="H59" s="293">
        <v>531031</v>
      </c>
      <c r="I59" s="292">
        <v>1171719</v>
      </c>
      <c r="J59" s="33">
        <v>1402983.6</v>
      </c>
      <c r="K59" s="35">
        <v>0</v>
      </c>
      <c r="L59" s="36" t="s">
        <v>24</v>
      </c>
      <c r="M59" s="37">
        <f t="shared" si="0"/>
        <v>45023</v>
      </c>
      <c r="N59" s="36" t="s">
        <v>29</v>
      </c>
      <c r="O59" s="38">
        <v>45030</v>
      </c>
      <c r="P59" s="39">
        <f t="shared" si="1"/>
        <v>9</v>
      </c>
      <c r="Q59" s="40">
        <f t="shared" si="5"/>
        <v>9</v>
      </c>
      <c r="R59" s="41" t="s">
        <v>92</v>
      </c>
      <c r="S59" s="33"/>
      <c r="T59" s="42">
        <v>21</v>
      </c>
      <c r="U59" s="42"/>
    </row>
    <row r="60" spans="1:21" x14ac:dyDescent="0.45">
      <c r="A60" s="80" t="s">
        <v>168</v>
      </c>
      <c r="B60" s="14" t="s">
        <v>54</v>
      </c>
      <c r="C60" s="112" t="s">
        <v>169</v>
      </c>
      <c r="D60" s="113" t="s">
        <v>56</v>
      </c>
      <c r="E60" s="17">
        <v>45021</v>
      </c>
      <c r="F60" s="18">
        <v>45021</v>
      </c>
      <c r="G60" s="81">
        <v>2541661</v>
      </c>
      <c r="H60" s="291">
        <v>900531</v>
      </c>
      <c r="I60" s="346">
        <v>3190386</v>
      </c>
      <c r="J60" s="81">
        <v>3442192</v>
      </c>
      <c r="K60" s="21">
        <v>0</v>
      </c>
      <c r="L60" s="22" t="s">
        <v>24</v>
      </c>
      <c r="M60" s="23">
        <f t="shared" si="0"/>
        <v>45023</v>
      </c>
      <c r="N60" s="22" t="s">
        <v>29</v>
      </c>
      <c r="O60" s="24">
        <v>45029</v>
      </c>
      <c r="P60" s="25">
        <f t="shared" si="1"/>
        <v>8</v>
      </c>
      <c r="Q60" s="26">
        <f t="shared" si="5"/>
        <v>8</v>
      </c>
      <c r="R60" s="27" t="s">
        <v>170</v>
      </c>
      <c r="S60" s="20"/>
      <c r="T60" s="28">
        <v>3</v>
      </c>
      <c r="U60" s="28"/>
    </row>
    <row r="61" spans="1:21" x14ac:dyDescent="0.45">
      <c r="A61" s="29" t="s">
        <v>171</v>
      </c>
      <c r="B61" s="14" t="s">
        <v>117</v>
      </c>
      <c r="C61" s="89" t="s">
        <v>172</v>
      </c>
      <c r="D61" s="90" t="s">
        <v>56</v>
      </c>
      <c r="E61" s="65">
        <v>45021</v>
      </c>
      <c r="F61" s="66">
        <v>45021</v>
      </c>
      <c r="G61" s="67">
        <v>894398</v>
      </c>
      <c r="H61" s="296">
        <v>740792</v>
      </c>
      <c r="I61" s="345">
        <v>1364393</v>
      </c>
      <c r="J61" s="67">
        <v>1635190</v>
      </c>
      <c r="K61" s="70">
        <v>0</v>
      </c>
      <c r="L61" s="71" t="s">
        <v>24</v>
      </c>
      <c r="M61" s="72">
        <f t="shared" si="0"/>
        <v>45023</v>
      </c>
      <c r="N61" s="71" t="s">
        <v>29</v>
      </c>
      <c r="O61" s="117">
        <v>45030</v>
      </c>
      <c r="P61" s="74">
        <f t="shared" si="1"/>
        <v>9</v>
      </c>
      <c r="Q61" s="75">
        <f t="shared" si="5"/>
        <v>9</v>
      </c>
      <c r="R61" s="76" t="s">
        <v>173</v>
      </c>
      <c r="S61" s="61"/>
      <c r="T61" s="77">
        <v>20</v>
      </c>
      <c r="U61" s="77"/>
    </row>
    <row r="62" spans="1:21" ht="66" x14ac:dyDescent="0.45">
      <c r="A62" s="54" t="s">
        <v>174</v>
      </c>
      <c r="B62" s="14" t="s">
        <v>175</v>
      </c>
      <c r="C62" s="15" t="s">
        <v>176</v>
      </c>
      <c r="D62" s="35" t="s">
        <v>23</v>
      </c>
      <c r="E62" s="30">
        <v>45022</v>
      </c>
      <c r="F62" s="43">
        <v>45022</v>
      </c>
      <c r="G62" s="32">
        <f>7682921/3</f>
        <v>2560973.6666666665</v>
      </c>
      <c r="H62" s="293">
        <f>1373142/3</f>
        <v>457714</v>
      </c>
      <c r="I62" s="292">
        <f>7368069/3</f>
        <v>2456023</v>
      </c>
      <c r="J62" s="33">
        <f>9056064/3</f>
        <v>3018688</v>
      </c>
      <c r="K62" s="35">
        <v>5</v>
      </c>
      <c r="L62" s="36" t="s">
        <v>24</v>
      </c>
      <c r="M62" s="37">
        <f t="shared" si="0"/>
        <v>45024</v>
      </c>
      <c r="N62" s="36" t="s">
        <v>29</v>
      </c>
      <c r="O62" s="118">
        <v>45030</v>
      </c>
      <c r="P62" s="39">
        <f t="shared" si="1"/>
        <v>8</v>
      </c>
      <c r="Q62" s="40">
        <f t="shared" si="5"/>
        <v>3</v>
      </c>
      <c r="R62" s="119" t="s">
        <v>177</v>
      </c>
      <c r="S62" s="33"/>
      <c r="T62" s="42">
        <v>12</v>
      </c>
      <c r="U62" s="42"/>
    </row>
    <row r="63" spans="1:21" x14ac:dyDescent="0.45">
      <c r="A63" s="120" t="s">
        <v>178</v>
      </c>
      <c r="B63" s="14" t="s">
        <v>149</v>
      </c>
      <c r="C63" s="121" t="s">
        <v>179</v>
      </c>
      <c r="D63" s="96" t="s">
        <v>39</v>
      </c>
      <c r="E63" s="97">
        <v>45022</v>
      </c>
      <c r="F63" s="122">
        <v>45022</v>
      </c>
      <c r="G63" s="123">
        <f>8495400/2</f>
        <v>4247700</v>
      </c>
      <c r="H63" s="301">
        <f>1120029/2</f>
        <v>560014.5</v>
      </c>
      <c r="I63" s="347">
        <f>4107443/2</f>
        <v>2053721.5</v>
      </c>
      <c r="J63" s="124">
        <f>4807715/2</f>
        <v>2403857.5</v>
      </c>
      <c r="K63" s="101">
        <v>0</v>
      </c>
      <c r="L63" s="102" t="s">
        <v>24</v>
      </c>
      <c r="M63" s="103">
        <f t="shared" si="0"/>
        <v>45024</v>
      </c>
      <c r="N63" s="102" t="s">
        <v>29</v>
      </c>
      <c r="O63" s="104">
        <v>45027</v>
      </c>
      <c r="P63" s="105">
        <f t="shared" si="1"/>
        <v>5</v>
      </c>
      <c r="Q63" s="106">
        <f t="shared" si="5"/>
        <v>5</v>
      </c>
      <c r="R63" s="107"/>
      <c r="S63" s="125"/>
      <c r="T63" s="126">
        <v>6</v>
      </c>
      <c r="U63" s="126"/>
    </row>
    <row r="64" spans="1:21" ht="79.150000000000006" x14ac:dyDescent="0.45">
      <c r="A64" s="54" t="s">
        <v>180</v>
      </c>
      <c r="B64" s="14" t="s">
        <v>175</v>
      </c>
      <c r="C64" s="15" t="s">
        <v>181</v>
      </c>
      <c r="D64" s="35" t="s">
        <v>23</v>
      </c>
      <c r="E64" s="30">
        <v>45022</v>
      </c>
      <c r="F64" s="43">
        <v>45022</v>
      </c>
      <c r="G64" s="127">
        <v>5609732</v>
      </c>
      <c r="H64" s="302">
        <v>457714</v>
      </c>
      <c r="I64" s="292">
        <f>1687995/3</f>
        <v>562665</v>
      </c>
      <c r="J64" s="34">
        <f>9056064/3</f>
        <v>3018688</v>
      </c>
      <c r="K64" s="35">
        <v>5</v>
      </c>
      <c r="L64" s="36" t="s">
        <v>24</v>
      </c>
      <c r="M64" s="37">
        <f t="shared" si="0"/>
        <v>45024</v>
      </c>
      <c r="N64" s="36" t="s">
        <v>29</v>
      </c>
      <c r="O64" s="118">
        <v>45030</v>
      </c>
      <c r="P64" s="39">
        <f t="shared" si="1"/>
        <v>8</v>
      </c>
      <c r="Q64" s="40">
        <f t="shared" si="5"/>
        <v>3</v>
      </c>
      <c r="R64" s="119" t="s">
        <v>182</v>
      </c>
      <c r="S64" s="87"/>
      <c r="T64" s="88">
        <v>13</v>
      </c>
      <c r="U64" s="88"/>
    </row>
    <row r="65" spans="1:21" ht="92.25" x14ac:dyDescent="0.45">
      <c r="A65" s="120" t="s">
        <v>183</v>
      </c>
      <c r="B65" s="14" t="s">
        <v>117</v>
      </c>
      <c r="C65" s="121" t="s">
        <v>184</v>
      </c>
      <c r="D65" s="96" t="s">
        <v>56</v>
      </c>
      <c r="E65" s="97">
        <v>45022</v>
      </c>
      <c r="F65" s="98">
        <v>45022</v>
      </c>
      <c r="G65" s="128">
        <v>1695313</v>
      </c>
      <c r="H65" s="303">
        <v>776420</v>
      </c>
      <c r="I65" s="348">
        <v>2265005</v>
      </c>
      <c r="J65" s="128">
        <v>2471733</v>
      </c>
      <c r="K65" s="101">
        <v>0</v>
      </c>
      <c r="L65" s="102" t="s">
        <v>24</v>
      </c>
      <c r="M65" s="103">
        <f t="shared" si="0"/>
        <v>45024</v>
      </c>
      <c r="N65" s="102" t="s">
        <v>29</v>
      </c>
      <c r="O65" s="104">
        <v>45029</v>
      </c>
      <c r="P65" s="105">
        <f t="shared" si="1"/>
        <v>7</v>
      </c>
      <c r="Q65" s="106">
        <f t="shared" si="5"/>
        <v>7</v>
      </c>
      <c r="R65" s="129" t="s">
        <v>185</v>
      </c>
      <c r="S65" s="125"/>
      <c r="T65" s="126">
        <v>4</v>
      </c>
      <c r="U65" s="126"/>
    </row>
    <row r="66" spans="1:21" ht="79.150000000000006" x14ac:dyDescent="0.45">
      <c r="A66" s="54" t="s">
        <v>186</v>
      </c>
      <c r="B66" s="14" t="s">
        <v>27</v>
      </c>
      <c r="C66" s="15" t="s">
        <v>187</v>
      </c>
      <c r="D66" s="35" t="s">
        <v>23</v>
      </c>
      <c r="E66" s="30">
        <v>45022</v>
      </c>
      <c r="F66" s="43">
        <v>45022</v>
      </c>
      <c r="G66" s="130">
        <v>672696</v>
      </c>
      <c r="H66" s="302">
        <v>531031</v>
      </c>
      <c r="I66" s="292">
        <v>976860</v>
      </c>
      <c r="J66" s="33">
        <v>1203726.6000000001</v>
      </c>
      <c r="K66" s="35">
        <v>4</v>
      </c>
      <c r="L66" s="36" t="s">
        <v>24</v>
      </c>
      <c r="M66" s="37">
        <f t="shared" ref="M66:M129" si="8">F66+2</f>
        <v>45024</v>
      </c>
      <c r="N66" s="36" t="s">
        <v>29</v>
      </c>
      <c r="O66" s="38">
        <v>45030</v>
      </c>
      <c r="P66" s="39">
        <f t="shared" ref="P66:P129" si="9">O66-E66</f>
        <v>8</v>
      </c>
      <c r="Q66" s="40">
        <f t="shared" ref="Q66:Q84" si="10">O66-F66-K66</f>
        <v>4</v>
      </c>
      <c r="R66" s="119" t="s">
        <v>188</v>
      </c>
      <c r="S66" s="87"/>
      <c r="T66" s="88">
        <v>5</v>
      </c>
      <c r="U66" s="88"/>
    </row>
    <row r="67" spans="1:21" x14ac:dyDescent="0.45">
      <c r="A67" s="120" t="s">
        <v>189</v>
      </c>
      <c r="B67" s="14" t="s">
        <v>94</v>
      </c>
      <c r="C67" s="121" t="s">
        <v>190</v>
      </c>
      <c r="D67" s="96" t="s">
        <v>56</v>
      </c>
      <c r="E67" s="97">
        <v>45023</v>
      </c>
      <c r="F67" s="98">
        <v>45023</v>
      </c>
      <c r="G67" s="128">
        <f>4589799/2</f>
        <v>2294899.5</v>
      </c>
      <c r="H67" s="303">
        <f>1095949/2</f>
        <v>547974.5</v>
      </c>
      <c r="I67" s="348">
        <f>4876511/2</f>
        <v>2438255.5</v>
      </c>
      <c r="J67" s="128">
        <f>5685748/2</f>
        <v>2842874</v>
      </c>
      <c r="K67" s="101">
        <v>0</v>
      </c>
      <c r="L67" s="102" t="s">
        <v>24</v>
      </c>
      <c r="M67" s="103">
        <f t="shared" si="8"/>
        <v>45025</v>
      </c>
      <c r="N67" s="102" t="s">
        <v>29</v>
      </c>
      <c r="O67" s="104">
        <v>45029</v>
      </c>
      <c r="P67" s="105">
        <f t="shared" si="9"/>
        <v>6</v>
      </c>
      <c r="Q67" s="106">
        <f t="shared" si="10"/>
        <v>6</v>
      </c>
      <c r="R67" s="107" t="s">
        <v>191</v>
      </c>
      <c r="S67" s="125"/>
      <c r="T67" s="126">
        <v>4</v>
      </c>
      <c r="U67" s="126"/>
    </row>
    <row r="68" spans="1:21" x14ac:dyDescent="0.45">
      <c r="A68" s="54" t="s">
        <v>192</v>
      </c>
      <c r="B68" s="14" t="s">
        <v>21</v>
      </c>
      <c r="C68" s="15" t="s">
        <v>193</v>
      </c>
      <c r="D68" s="35" t="s">
        <v>23</v>
      </c>
      <c r="E68" s="30">
        <v>45023</v>
      </c>
      <c r="F68" s="43">
        <v>45023</v>
      </c>
      <c r="G68" s="130">
        <v>2015954</v>
      </c>
      <c r="H68" s="302">
        <v>465031</v>
      </c>
      <c r="I68" s="292">
        <v>1780400</v>
      </c>
      <c r="J68" s="33">
        <v>2480984.6</v>
      </c>
      <c r="K68" s="35">
        <v>0</v>
      </c>
      <c r="L68" s="36" t="s">
        <v>24</v>
      </c>
      <c r="M68" s="37">
        <f t="shared" si="8"/>
        <v>45025</v>
      </c>
      <c r="N68" s="36" t="s">
        <v>29</v>
      </c>
      <c r="O68" s="38">
        <v>45027</v>
      </c>
      <c r="P68" s="39">
        <f t="shared" si="9"/>
        <v>4</v>
      </c>
      <c r="Q68" s="40">
        <f t="shared" si="10"/>
        <v>4</v>
      </c>
      <c r="R68" s="119"/>
      <c r="S68" s="87"/>
      <c r="T68" s="88">
        <v>8</v>
      </c>
      <c r="U68" s="88"/>
    </row>
    <row r="69" spans="1:21" x14ac:dyDescent="0.45">
      <c r="A69" s="13" t="s">
        <v>194</v>
      </c>
      <c r="B69" s="14" t="s">
        <v>195</v>
      </c>
      <c r="C69" s="112" t="s">
        <v>196</v>
      </c>
      <c r="D69" s="113" t="s">
        <v>23</v>
      </c>
      <c r="E69" s="97">
        <v>45023</v>
      </c>
      <c r="F69" s="122">
        <v>45023</v>
      </c>
      <c r="G69" s="131">
        <v>2161134.7999999998</v>
      </c>
      <c r="H69" s="303">
        <v>443031</v>
      </c>
      <c r="I69" s="347">
        <v>1802680</v>
      </c>
      <c r="J69" s="85">
        <v>2604165.4</v>
      </c>
      <c r="K69" s="101">
        <v>0</v>
      </c>
      <c r="L69" s="102" t="s">
        <v>24</v>
      </c>
      <c r="M69" s="103">
        <f t="shared" si="8"/>
        <v>45025</v>
      </c>
      <c r="N69" s="102" t="s">
        <v>29</v>
      </c>
      <c r="O69" s="104">
        <v>45028</v>
      </c>
      <c r="P69" s="105">
        <f t="shared" si="9"/>
        <v>5</v>
      </c>
      <c r="Q69" s="106">
        <f t="shared" si="10"/>
        <v>5</v>
      </c>
      <c r="R69" s="132"/>
      <c r="S69" s="125"/>
      <c r="T69" s="126">
        <v>12</v>
      </c>
      <c r="U69" s="126"/>
    </row>
    <row r="70" spans="1:21" x14ac:dyDescent="0.45">
      <c r="A70" s="62" t="s">
        <v>197</v>
      </c>
      <c r="B70" s="14" t="s">
        <v>198</v>
      </c>
      <c r="C70" s="15" t="s">
        <v>199</v>
      </c>
      <c r="D70" s="16" t="s">
        <v>39</v>
      </c>
      <c r="E70" s="30">
        <v>45024</v>
      </c>
      <c r="F70" s="43">
        <v>45024</v>
      </c>
      <c r="G70" s="55">
        <v>0</v>
      </c>
      <c r="H70" s="304">
        <v>574949</v>
      </c>
      <c r="I70" s="297">
        <v>352480</v>
      </c>
      <c r="J70" s="48">
        <v>574949</v>
      </c>
      <c r="K70" s="35">
        <v>8</v>
      </c>
      <c r="L70" s="36" t="s">
        <v>24</v>
      </c>
      <c r="M70" s="37">
        <f t="shared" si="8"/>
        <v>45026</v>
      </c>
      <c r="N70" s="36" t="s">
        <v>29</v>
      </c>
      <c r="O70" s="38">
        <v>45030</v>
      </c>
      <c r="P70" s="39">
        <f t="shared" si="9"/>
        <v>6</v>
      </c>
      <c r="Q70" s="40">
        <f t="shared" si="10"/>
        <v>-2</v>
      </c>
      <c r="R70" s="41"/>
      <c r="S70" s="33"/>
      <c r="T70" s="42">
        <v>5</v>
      </c>
      <c r="U70" s="42"/>
    </row>
    <row r="71" spans="1:21" x14ac:dyDescent="0.45">
      <c r="A71" s="13" t="s">
        <v>200</v>
      </c>
      <c r="B71" s="14" t="s">
        <v>76</v>
      </c>
      <c r="C71" s="15" t="s">
        <v>201</v>
      </c>
      <c r="D71" s="16" t="s">
        <v>23</v>
      </c>
      <c r="E71" s="17">
        <v>45025</v>
      </c>
      <c r="F71" s="50">
        <v>45025</v>
      </c>
      <c r="G71" s="133">
        <v>962957</v>
      </c>
      <c r="H71" s="305">
        <v>465031</v>
      </c>
      <c r="I71" s="342">
        <v>1117559</v>
      </c>
      <c r="J71" s="20">
        <v>1427987.6</v>
      </c>
      <c r="K71" s="21">
        <v>0</v>
      </c>
      <c r="L71" s="22" t="s">
        <v>24</v>
      </c>
      <c r="M71" s="23">
        <f t="shared" si="8"/>
        <v>45027</v>
      </c>
      <c r="N71" s="22" t="s">
        <v>29</v>
      </c>
      <c r="O71" s="24">
        <v>45028</v>
      </c>
      <c r="P71" s="25">
        <f t="shared" si="9"/>
        <v>3</v>
      </c>
      <c r="Q71" s="26">
        <f t="shared" si="10"/>
        <v>3</v>
      </c>
      <c r="R71" s="134"/>
      <c r="S71" s="20"/>
      <c r="T71" s="28">
        <v>2</v>
      </c>
      <c r="U71" s="28"/>
    </row>
    <row r="72" spans="1:21" x14ac:dyDescent="0.45">
      <c r="A72" s="29" t="s">
        <v>202</v>
      </c>
      <c r="B72" s="14" t="s">
        <v>175</v>
      </c>
      <c r="C72" s="15" t="s">
        <v>203</v>
      </c>
      <c r="D72" s="16" t="s">
        <v>23</v>
      </c>
      <c r="E72" s="30">
        <v>45026</v>
      </c>
      <c r="F72" s="43">
        <v>45026</v>
      </c>
      <c r="G72" s="19">
        <v>0</v>
      </c>
      <c r="H72" s="302">
        <v>1069181.6000000001</v>
      </c>
      <c r="I72" s="292">
        <v>853310</v>
      </c>
      <c r="J72" s="33">
        <v>1069181.6000000001</v>
      </c>
      <c r="K72" s="35">
        <v>0</v>
      </c>
      <c r="L72" s="36" t="s">
        <v>24</v>
      </c>
      <c r="M72" s="37">
        <f t="shared" si="8"/>
        <v>45028</v>
      </c>
      <c r="N72" s="36" t="s">
        <v>29</v>
      </c>
      <c r="O72" s="38">
        <v>45028</v>
      </c>
      <c r="P72" s="39">
        <f t="shared" si="9"/>
        <v>2</v>
      </c>
      <c r="Q72" s="40">
        <f t="shared" si="10"/>
        <v>2</v>
      </c>
      <c r="R72" s="119"/>
      <c r="S72" s="33"/>
      <c r="T72" s="42">
        <v>17</v>
      </c>
      <c r="U72" s="42"/>
    </row>
    <row r="73" spans="1:21" x14ac:dyDescent="0.45">
      <c r="A73" s="29" t="s">
        <v>204</v>
      </c>
      <c r="B73" s="14" t="s">
        <v>195</v>
      </c>
      <c r="C73" s="15" t="s">
        <v>205</v>
      </c>
      <c r="D73" s="16" t="s">
        <v>23</v>
      </c>
      <c r="E73" s="30">
        <v>45026</v>
      </c>
      <c r="F73" s="43">
        <v>45026</v>
      </c>
      <c r="G73" s="130">
        <v>1513658.2</v>
      </c>
      <c r="H73" s="302">
        <v>465031</v>
      </c>
      <c r="I73" s="292">
        <v>1523149</v>
      </c>
      <c r="J73" s="33">
        <v>1978688.8</v>
      </c>
      <c r="K73" s="35">
        <v>0</v>
      </c>
      <c r="L73" s="36" t="s">
        <v>24</v>
      </c>
      <c r="M73" s="37">
        <f t="shared" si="8"/>
        <v>45028</v>
      </c>
      <c r="N73" s="36" t="s">
        <v>29</v>
      </c>
      <c r="O73" s="38">
        <v>45030</v>
      </c>
      <c r="P73" s="39">
        <f t="shared" si="9"/>
        <v>4</v>
      </c>
      <c r="Q73" s="40">
        <f t="shared" si="10"/>
        <v>4</v>
      </c>
      <c r="R73" s="119"/>
      <c r="S73" s="33"/>
      <c r="T73" s="42">
        <v>15</v>
      </c>
      <c r="U73" s="42"/>
    </row>
    <row r="74" spans="1:21" x14ac:dyDescent="0.45">
      <c r="A74" s="29" t="s">
        <v>206</v>
      </c>
      <c r="B74" s="14" t="s">
        <v>48</v>
      </c>
      <c r="C74" s="15" t="s">
        <v>207</v>
      </c>
      <c r="D74" s="16" t="s">
        <v>23</v>
      </c>
      <c r="E74" s="30">
        <v>45027</v>
      </c>
      <c r="F74" s="43">
        <v>45027</v>
      </c>
      <c r="G74" s="19">
        <v>0</v>
      </c>
      <c r="H74" s="302">
        <v>705762.6</v>
      </c>
      <c r="I74" s="292">
        <v>481095</v>
      </c>
      <c r="J74" s="33">
        <v>705762.6</v>
      </c>
      <c r="K74" s="35">
        <v>0</v>
      </c>
      <c r="L74" s="36" t="s">
        <v>24</v>
      </c>
      <c r="M74" s="37">
        <f t="shared" si="8"/>
        <v>45029</v>
      </c>
      <c r="N74" s="36" t="s">
        <v>29</v>
      </c>
      <c r="O74" s="38">
        <v>45028</v>
      </c>
      <c r="P74" s="39">
        <f t="shared" si="9"/>
        <v>1</v>
      </c>
      <c r="Q74" s="40">
        <f t="shared" si="10"/>
        <v>1</v>
      </c>
      <c r="R74" s="119"/>
      <c r="S74" s="33"/>
      <c r="T74" s="42">
        <v>7</v>
      </c>
      <c r="U74" s="42"/>
    </row>
    <row r="75" spans="1:21" x14ac:dyDescent="0.45">
      <c r="A75" s="29" t="s">
        <v>208</v>
      </c>
      <c r="B75" s="14" t="s">
        <v>48</v>
      </c>
      <c r="C75" s="15" t="s">
        <v>209</v>
      </c>
      <c r="D75" s="16" t="s">
        <v>23</v>
      </c>
      <c r="E75" s="65">
        <v>45027</v>
      </c>
      <c r="F75" s="91">
        <v>45027</v>
      </c>
      <c r="G75" s="135">
        <v>1437290</v>
      </c>
      <c r="H75" s="306">
        <v>465031</v>
      </c>
      <c r="I75" s="343">
        <v>1525189</v>
      </c>
      <c r="J75" s="61">
        <v>1902320.6</v>
      </c>
      <c r="K75" s="70">
        <v>0</v>
      </c>
      <c r="L75" s="71" t="s">
        <v>24</v>
      </c>
      <c r="M75" s="72">
        <f t="shared" si="8"/>
        <v>45029</v>
      </c>
      <c r="N75" s="71" t="s">
        <v>29</v>
      </c>
      <c r="O75" s="73">
        <v>45030</v>
      </c>
      <c r="P75" s="74">
        <f t="shared" si="9"/>
        <v>3</v>
      </c>
      <c r="Q75" s="75">
        <f t="shared" si="10"/>
        <v>3</v>
      </c>
      <c r="R75" s="136"/>
      <c r="S75" s="61"/>
      <c r="T75" s="77">
        <v>12</v>
      </c>
      <c r="U75" s="77"/>
    </row>
    <row r="76" spans="1:21" x14ac:dyDescent="0.45">
      <c r="A76" s="13" t="s">
        <v>210</v>
      </c>
      <c r="B76" s="14" t="s">
        <v>51</v>
      </c>
      <c r="C76" s="44" t="s">
        <v>211</v>
      </c>
      <c r="D76" s="16" t="s">
        <v>23</v>
      </c>
      <c r="E76" s="97">
        <v>45023</v>
      </c>
      <c r="F76" s="122">
        <v>45023</v>
      </c>
      <c r="G76" s="19">
        <v>0</v>
      </c>
      <c r="H76" s="303"/>
      <c r="I76" s="347">
        <f>7167000/2</f>
        <v>3583500</v>
      </c>
      <c r="J76" s="137">
        <f>8444160/2</f>
        <v>4222080</v>
      </c>
      <c r="K76" s="101">
        <v>0</v>
      </c>
      <c r="L76" s="102" t="s">
        <v>24</v>
      </c>
      <c r="M76" s="103">
        <f t="shared" si="8"/>
        <v>45025</v>
      </c>
      <c r="N76" s="102" t="s">
        <v>29</v>
      </c>
      <c r="O76" s="104">
        <v>45028</v>
      </c>
      <c r="P76" s="105">
        <f t="shared" si="9"/>
        <v>5</v>
      </c>
      <c r="Q76" s="106">
        <f t="shared" si="10"/>
        <v>5</v>
      </c>
      <c r="R76" s="132"/>
      <c r="S76" s="85"/>
      <c r="T76" s="108">
        <v>0</v>
      </c>
      <c r="U76" s="108"/>
    </row>
    <row r="77" spans="1:21" x14ac:dyDescent="0.45">
      <c r="A77" s="54" t="s">
        <v>212</v>
      </c>
      <c r="B77" s="14" t="s">
        <v>58</v>
      </c>
      <c r="C77" s="15" t="s">
        <v>213</v>
      </c>
      <c r="D77" s="16" t="s">
        <v>39</v>
      </c>
      <c r="E77" s="30">
        <v>45021</v>
      </c>
      <c r="F77" s="43">
        <v>45021</v>
      </c>
      <c r="G77" s="78">
        <v>2134006</v>
      </c>
      <c r="H77" s="297">
        <v>584111</v>
      </c>
      <c r="I77" s="297">
        <v>1916676</v>
      </c>
      <c r="J77" s="48">
        <v>2718117</v>
      </c>
      <c r="K77" s="35">
        <v>0</v>
      </c>
      <c r="L77" s="36" t="s">
        <v>24</v>
      </c>
      <c r="M77" s="37">
        <f t="shared" si="8"/>
        <v>45023</v>
      </c>
      <c r="N77" s="36" t="s">
        <v>29</v>
      </c>
      <c r="O77" s="38">
        <v>45030</v>
      </c>
      <c r="P77" s="39">
        <f t="shared" si="9"/>
        <v>9</v>
      </c>
      <c r="Q77" s="40">
        <f t="shared" si="10"/>
        <v>9</v>
      </c>
      <c r="R77" s="41"/>
      <c r="S77" s="33"/>
      <c r="T77" s="42">
        <v>5</v>
      </c>
      <c r="U77" s="42"/>
    </row>
    <row r="78" spans="1:21" x14ac:dyDescent="0.45">
      <c r="A78" s="13" t="s">
        <v>214</v>
      </c>
      <c r="B78" s="14" t="s">
        <v>175</v>
      </c>
      <c r="C78" s="15" t="s">
        <v>215</v>
      </c>
      <c r="D78" s="16" t="s">
        <v>23</v>
      </c>
      <c r="E78" s="17">
        <v>45027</v>
      </c>
      <c r="F78" s="50">
        <v>45027</v>
      </c>
      <c r="G78" s="133">
        <f>7682921/3</f>
        <v>2560973.6666666665</v>
      </c>
      <c r="H78" s="305">
        <f>1373142/3</f>
        <v>457714</v>
      </c>
      <c r="I78" s="342">
        <f>7368069/3</f>
        <v>2456023</v>
      </c>
      <c r="J78" s="20">
        <f>9056064/3</f>
        <v>3018688</v>
      </c>
      <c r="K78" s="21">
        <v>0</v>
      </c>
      <c r="L78" s="22" t="s">
        <v>24</v>
      </c>
      <c r="M78" s="23">
        <f t="shared" si="8"/>
        <v>45029</v>
      </c>
      <c r="N78" s="22" t="s">
        <v>29</v>
      </c>
      <c r="O78" s="24">
        <v>45030</v>
      </c>
      <c r="P78" s="25">
        <f t="shared" si="9"/>
        <v>3</v>
      </c>
      <c r="Q78" s="26">
        <f t="shared" si="10"/>
        <v>3</v>
      </c>
      <c r="R78" s="134"/>
      <c r="S78" s="20"/>
      <c r="T78" s="28">
        <v>13</v>
      </c>
      <c r="U78" s="28"/>
    </row>
    <row r="79" spans="1:21" x14ac:dyDescent="0.45">
      <c r="A79" s="29" t="s">
        <v>216</v>
      </c>
      <c r="B79" s="14" t="s">
        <v>21</v>
      </c>
      <c r="C79" s="15" t="s">
        <v>217</v>
      </c>
      <c r="D79" s="16" t="s">
        <v>23</v>
      </c>
      <c r="E79" s="30">
        <v>45027</v>
      </c>
      <c r="F79" s="43">
        <v>45027</v>
      </c>
      <c r="G79" s="19">
        <v>0</v>
      </c>
      <c r="H79" s="302">
        <v>800868.6</v>
      </c>
      <c r="I79" s="292">
        <v>591594</v>
      </c>
      <c r="J79" s="33">
        <v>800868.6</v>
      </c>
      <c r="K79" s="35">
        <v>0</v>
      </c>
      <c r="L79" s="36" t="s">
        <v>24</v>
      </c>
      <c r="M79" s="37">
        <f t="shared" si="8"/>
        <v>45029</v>
      </c>
      <c r="N79" s="36" t="s">
        <v>29</v>
      </c>
      <c r="O79" s="38">
        <v>45030</v>
      </c>
      <c r="P79" s="39">
        <f t="shared" si="9"/>
        <v>3</v>
      </c>
      <c r="Q79" s="40">
        <f t="shared" si="10"/>
        <v>3</v>
      </c>
      <c r="R79" s="119"/>
      <c r="S79" s="33"/>
      <c r="T79" s="42">
        <v>0</v>
      </c>
      <c r="U79" s="42"/>
    </row>
    <row r="80" spans="1:21" x14ac:dyDescent="0.45">
      <c r="A80" s="29" t="s">
        <v>218</v>
      </c>
      <c r="B80" s="14" t="s">
        <v>195</v>
      </c>
      <c r="C80" s="15" t="s">
        <v>219</v>
      </c>
      <c r="D80" s="16" t="s">
        <v>23</v>
      </c>
      <c r="E80" s="30">
        <v>45027</v>
      </c>
      <c r="F80" s="43">
        <v>45027</v>
      </c>
      <c r="G80" s="19">
        <v>0</v>
      </c>
      <c r="H80" s="302">
        <v>883824.6</v>
      </c>
      <c r="I80" s="292">
        <v>665754</v>
      </c>
      <c r="J80" s="33">
        <v>883824.6</v>
      </c>
      <c r="K80" s="35">
        <v>0</v>
      </c>
      <c r="L80" s="36" t="s">
        <v>24</v>
      </c>
      <c r="M80" s="37">
        <f t="shared" si="8"/>
        <v>45029</v>
      </c>
      <c r="N80" s="36" t="s">
        <v>29</v>
      </c>
      <c r="O80" s="38">
        <v>45029</v>
      </c>
      <c r="P80" s="39">
        <f t="shared" si="9"/>
        <v>2</v>
      </c>
      <c r="Q80" s="40">
        <f t="shared" si="10"/>
        <v>2</v>
      </c>
      <c r="R80" s="119"/>
      <c r="S80" s="33"/>
      <c r="T80" s="42">
        <v>6</v>
      </c>
      <c r="U80" s="42"/>
    </row>
    <row r="81" spans="1:21" x14ac:dyDescent="0.45">
      <c r="A81" s="29" t="s">
        <v>220</v>
      </c>
      <c r="B81" s="14" t="s">
        <v>27</v>
      </c>
      <c r="C81" s="15" t="s">
        <v>221</v>
      </c>
      <c r="D81" s="16" t="s">
        <v>23</v>
      </c>
      <c r="E81" s="65">
        <v>45028</v>
      </c>
      <c r="F81" s="91">
        <v>45028</v>
      </c>
      <c r="G81" s="19">
        <v>0</v>
      </c>
      <c r="H81" s="306">
        <v>946334.8</v>
      </c>
      <c r="I81" s="343">
        <v>490795</v>
      </c>
      <c r="J81" s="61">
        <v>946334.8</v>
      </c>
      <c r="K81" s="70">
        <v>0</v>
      </c>
      <c r="L81" s="71" t="s">
        <v>24</v>
      </c>
      <c r="M81" s="72">
        <f t="shared" si="8"/>
        <v>45030</v>
      </c>
      <c r="N81" s="71" t="s">
        <v>29</v>
      </c>
      <c r="O81" s="73">
        <v>45030</v>
      </c>
      <c r="P81" s="74">
        <f t="shared" si="9"/>
        <v>2</v>
      </c>
      <c r="Q81" s="75">
        <f t="shared" si="10"/>
        <v>2</v>
      </c>
      <c r="R81" s="136"/>
      <c r="S81" s="61"/>
      <c r="T81" s="77">
        <v>18</v>
      </c>
      <c r="U81" s="77"/>
    </row>
    <row r="82" spans="1:21" x14ac:dyDescent="0.45">
      <c r="A82" s="54" t="s">
        <v>222</v>
      </c>
      <c r="B82" s="14" t="s">
        <v>58</v>
      </c>
      <c r="C82" s="15" t="s">
        <v>223</v>
      </c>
      <c r="D82" s="16" t="s">
        <v>39</v>
      </c>
      <c r="E82" s="30">
        <v>45028</v>
      </c>
      <c r="F82" s="43">
        <v>45028</v>
      </c>
      <c r="G82" s="78">
        <v>643350</v>
      </c>
      <c r="H82" s="297">
        <v>568366</v>
      </c>
      <c r="I82" s="297">
        <v>872700</v>
      </c>
      <c r="J82" s="48">
        <v>1211716</v>
      </c>
      <c r="K82" s="35">
        <v>0</v>
      </c>
      <c r="L82" s="36" t="s">
        <v>24</v>
      </c>
      <c r="M82" s="37">
        <f t="shared" si="8"/>
        <v>45030</v>
      </c>
      <c r="N82" s="36" t="s">
        <v>29</v>
      </c>
      <c r="O82" s="38">
        <v>45030</v>
      </c>
      <c r="P82" s="39">
        <f t="shared" si="9"/>
        <v>2</v>
      </c>
      <c r="Q82" s="40">
        <f t="shared" si="10"/>
        <v>2</v>
      </c>
      <c r="R82" s="41"/>
      <c r="S82" s="33"/>
      <c r="T82" s="42">
        <v>16</v>
      </c>
      <c r="U82" s="42"/>
    </row>
    <row r="83" spans="1:21" x14ac:dyDescent="0.45">
      <c r="A83" s="29" t="s">
        <v>224</v>
      </c>
      <c r="B83" s="14" t="s">
        <v>27</v>
      </c>
      <c r="C83" s="15" t="s">
        <v>225</v>
      </c>
      <c r="D83" s="16" t="s">
        <v>23</v>
      </c>
      <c r="E83" s="30">
        <v>45028</v>
      </c>
      <c r="F83" s="43">
        <v>45028</v>
      </c>
      <c r="G83" s="130">
        <v>416505</v>
      </c>
      <c r="H83" s="302">
        <v>509531</v>
      </c>
      <c r="I83" s="292">
        <v>539375</v>
      </c>
      <c r="J83" s="33">
        <v>926036</v>
      </c>
      <c r="K83" s="35">
        <v>0</v>
      </c>
      <c r="L83" s="36" t="s">
        <v>24</v>
      </c>
      <c r="M83" s="37">
        <f t="shared" si="8"/>
        <v>45030</v>
      </c>
      <c r="N83" s="36" t="s">
        <v>29</v>
      </c>
      <c r="O83" s="30">
        <v>45029</v>
      </c>
      <c r="P83" s="39">
        <f t="shared" si="9"/>
        <v>1</v>
      </c>
      <c r="Q83" s="40">
        <f t="shared" si="10"/>
        <v>1</v>
      </c>
      <c r="R83" s="119"/>
      <c r="S83" s="33"/>
      <c r="T83" s="42">
        <v>4</v>
      </c>
      <c r="U83" s="42"/>
    </row>
    <row r="84" spans="1:21" x14ac:dyDescent="0.45">
      <c r="A84" s="29" t="s">
        <v>226</v>
      </c>
      <c r="B84" s="14" t="s">
        <v>227</v>
      </c>
      <c r="C84" s="44" t="s">
        <v>228</v>
      </c>
      <c r="D84" s="16" t="s">
        <v>23</v>
      </c>
      <c r="E84" s="30">
        <v>44985</v>
      </c>
      <c r="F84" s="43">
        <v>45027</v>
      </c>
      <c r="G84" s="130">
        <v>1279970.3999999999</v>
      </c>
      <c r="H84" s="302">
        <v>465031</v>
      </c>
      <c r="I84" s="292">
        <v>1318290</v>
      </c>
      <c r="J84" s="33">
        <v>1745001</v>
      </c>
      <c r="K84" s="35">
        <v>0</v>
      </c>
      <c r="L84" s="36" t="s">
        <v>24</v>
      </c>
      <c r="M84" s="37">
        <f t="shared" si="8"/>
        <v>45029</v>
      </c>
      <c r="N84" s="36" t="s">
        <v>29</v>
      </c>
      <c r="O84" s="38">
        <v>45028</v>
      </c>
      <c r="P84" s="39">
        <f t="shared" si="9"/>
        <v>43</v>
      </c>
      <c r="Q84" s="40">
        <f t="shared" si="10"/>
        <v>1</v>
      </c>
      <c r="R84" s="87"/>
      <c r="S84" s="87"/>
      <c r="T84" s="88">
        <v>6</v>
      </c>
      <c r="U84" s="88"/>
    </row>
    <row r="85" spans="1:21" x14ac:dyDescent="0.45">
      <c r="A85" s="29" t="s">
        <v>229</v>
      </c>
      <c r="B85" s="14" t="s">
        <v>230</v>
      </c>
      <c r="C85" s="44" t="s">
        <v>231</v>
      </c>
      <c r="D85" s="16" t="s">
        <v>23</v>
      </c>
      <c r="E85" s="30">
        <v>45000</v>
      </c>
      <c r="F85" s="43">
        <v>45019</v>
      </c>
      <c r="G85" s="130">
        <v>2640083</v>
      </c>
      <c r="H85" s="302">
        <v>564731</v>
      </c>
      <c r="I85" s="292">
        <v>2504229</v>
      </c>
      <c r="J85" s="33">
        <v>3204813.6</v>
      </c>
      <c r="K85" s="35">
        <v>0</v>
      </c>
      <c r="L85" s="36" t="s">
        <v>24</v>
      </c>
      <c r="M85" s="37">
        <f t="shared" si="8"/>
        <v>45021</v>
      </c>
      <c r="N85" s="36" t="s">
        <v>29</v>
      </c>
      <c r="O85" s="38">
        <v>45030</v>
      </c>
      <c r="P85" s="39">
        <f t="shared" si="9"/>
        <v>30</v>
      </c>
      <c r="Q85" s="40">
        <f>M85-F85</f>
        <v>2</v>
      </c>
      <c r="R85" s="33"/>
      <c r="S85" s="33"/>
      <c r="T85" s="42">
        <v>6</v>
      </c>
      <c r="U85" s="42"/>
    </row>
    <row r="86" spans="1:21" x14ac:dyDescent="0.45">
      <c r="A86" s="29" t="s">
        <v>232</v>
      </c>
      <c r="B86" s="14" t="s">
        <v>27</v>
      </c>
      <c r="C86" s="15" t="s">
        <v>233</v>
      </c>
      <c r="D86" s="16" t="s">
        <v>23</v>
      </c>
      <c r="E86" s="30">
        <v>45028</v>
      </c>
      <c r="F86" s="43">
        <v>45028</v>
      </c>
      <c r="G86" s="130">
        <v>612585.6</v>
      </c>
      <c r="H86" s="302">
        <v>334950</v>
      </c>
      <c r="I86" s="292">
        <v>560875</v>
      </c>
      <c r="J86" s="33">
        <v>947535.6</v>
      </c>
      <c r="K86" s="35">
        <v>0</v>
      </c>
      <c r="L86" s="36" t="s">
        <v>24</v>
      </c>
      <c r="M86" s="37">
        <f t="shared" si="8"/>
        <v>45030</v>
      </c>
      <c r="N86" s="36" t="s">
        <v>29</v>
      </c>
      <c r="O86" s="38">
        <v>45030</v>
      </c>
      <c r="P86" s="39">
        <f t="shared" si="9"/>
        <v>2</v>
      </c>
      <c r="Q86" s="40">
        <f t="shared" ref="Q86:Q117" si="11">O86-F86-K86</f>
        <v>2</v>
      </c>
      <c r="R86" s="41"/>
      <c r="S86" s="33"/>
      <c r="T86" s="42">
        <v>7</v>
      </c>
      <c r="U86" s="42"/>
    </row>
    <row r="87" spans="1:21" x14ac:dyDescent="0.45">
      <c r="A87" s="29" t="s">
        <v>234</v>
      </c>
      <c r="B87" s="14" t="s">
        <v>235</v>
      </c>
      <c r="C87" s="15" t="s">
        <v>236</v>
      </c>
      <c r="D87" s="16" t="s">
        <v>23</v>
      </c>
      <c r="E87" s="30">
        <v>45028</v>
      </c>
      <c r="F87" s="43">
        <v>45028</v>
      </c>
      <c r="G87" s="135">
        <v>769437.4</v>
      </c>
      <c r="H87" s="306">
        <v>275850</v>
      </c>
      <c r="I87" s="343">
        <v>676234</v>
      </c>
      <c r="J87" s="61">
        <v>1045287.4</v>
      </c>
      <c r="K87" s="35">
        <v>0</v>
      </c>
      <c r="L87" s="36" t="s">
        <v>24</v>
      </c>
      <c r="M87" s="37">
        <f t="shared" si="8"/>
        <v>45030</v>
      </c>
      <c r="N87" s="36" t="s">
        <v>29</v>
      </c>
      <c r="O87" s="38">
        <v>45030</v>
      </c>
      <c r="P87" s="39">
        <f t="shared" si="9"/>
        <v>2</v>
      </c>
      <c r="Q87" s="40">
        <f t="shared" si="11"/>
        <v>2</v>
      </c>
      <c r="R87" s="41"/>
      <c r="S87" s="33"/>
      <c r="T87" s="42">
        <v>4</v>
      </c>
      <c r="U87" s="42"/>
    </row>
    <row r="88" spans="1:21" x14ac:dyDescent="0.45">
      <c r="A88" s="138" t="s">
        <v>237</v>
      </c>
      <c r="B88" s="14" t="s">
        <v>54</v>
      </c>
      <c r="C88" s="44" t="s">
        <v>238</v>
      </c>
      <c r="D88" s="16" t="s">
        <v>239</v>
      </c>
      <c r="E88" s="65">
        <v>45019</v>
      </c>
      <c r="F88" s="66">
        <v>45024</v>
      </c>
      <c r="G88" s="139">
        <v>789529</v>
      </c>
      <c r="H88" s="306">
        <v>677079</v>
      </c>
      <c r="I88" s="345">
        <v>1201241</v>
      </c>
      <c r="J88" s="139">
        <v>1466608</v>
      </c>
      <c r="K88" s="70">
        <v>0</v>
      </c>
      <c r="L88" s="71" t="s">
        <v>24</v>
      </c>
      <c r="M88" s="72">
        <f t="shared" si="8"/>
        <v>45026</v>
      </c>
      <c r="N88" s="71" t="s">
        <v>29</v>
      </c>
      <c r="O88" s="65">
        <v>45030</v>
      </c>
      <c r="P88" s="74">
        <f t="shared" si="9"/>
        <v>11</v>
      </c>
      <c r="Q88" s="75">
        <f t="shared" si="11"/>
        <v>6</v>
      </c>
      <c r="R88" s="107" t="s">
        <v>191</v>
      </c>
      <c r="S88" s="61"/>
      <c r="T88" s="77">
        <v>5</v>
      </c>
      <c r="U88" s="77"/>
    </row>
    <row r="89" spans="1:21" x14ac:dyDescent="0.45">
      <c r="A89" s="62" t="s">
        <v>240</v>
      </c>
      <c r="B89" s="14" t="s">
        <v>58</v>
      </c>
      <c r="C89" s="44" t="s">
        <v>241</v>
      </c>
      <c r="D89" s="16" t="s">
        <v>39</v>
      </c>
      <c r="E89" s="30">
        <v>45012</v>
      </c>
      <c r="F89" s="43">
        <v>45027</v>
      </c>
      <c r="G89" s="55">
        <v>0</v>
      </c>
      <c r="H89" s="307">
        <v>527281</v>
      </c>
      <c r="I89" s="297">
        <v>527281</v>
      </c>
      <c r="J89" s="48">
        <v>1155762</v>
      </c>
      <c r="K89" s="35">
        <v>0</v>
      </c>
      <c r="L89" s="36" t="s">
        <v>24</v>
      </c>
      <c r="M89" s="37">
        <f t="shared" si="8"/>
        <v>45029</v>
      </c>
      <c r="N89" s="36" t="s">
        <v>29</v>
      </c>
      <c r="O89" s="38">
        <v>45029</v>
      </c>
      <c r="P89" s="39">
        <f t="shared" si="9"/>
        <v>17</v>
      </c>
      <c r="Q89" s="40">
        <f t="shared" si="11"/>
        <v>2</v>
      </c>
      <c r="R89" s="33"/>
      <c r="S89" s="33"/>
      <c r="T89" s="42">
        <v>3</v>
      </c>
      <c r="U89" s="42"/>
    </row>
    <row r="90" spans="1:21" x14ac:dyDescent="0.45">
      <c r="A90" s="13" t="s">
        <v>242</v>
      </c>
      <c r="B90" s="14" t="s">
        <v>27</v>
      </c>
      <c r="C90" s="44" t="s">
        <v>243</v>
      </c>
      <c r="D90" s="16" t="s">
        <v>23</v>
      </c>
      <c r="E90" s="17">
        <v>45006</v>
      </c>
      <c r="F90" s="50">
        <v>45027</v>
      </c>
      <c r="G90" s="19">
        <v>0</v>
      </c>
      <c r="H90" s="303">
        <v>831346.6</v>
      </c>
      <c r="I90" s="347">
        <v>617674</v>
      </c>
      <c r="J90" s="85">
        <v>831346.6</v>
      </c>
      <c r="K90" s="21">
        <v>0</v>
      </c>
      <c r="L90" s="22" t="s">
        <v>24</v>
      </c>
      <c r="M90" s="23">
        <f t="shared" si="8"/>
        <v>45029</v>
      </c>
      <c r="N90" s="22" t="s">
        <v>29</v>
      </c>
      <c r="O90" s="24">
        <v>45028</v>
      </c>
      <c r="P90" s="25">
        <f t="shared" si="9"/>
        <v>22</v>
      </c>
      <c r="Q90" s="26">
        <f t="shared" si="11"/>
        <v>1</v>
      </c>
      <c r="R90" s="20"/>
      <c r="S90" s="20"/>
      <c r="T90" s="28">
        <v>0</v>
      </c>
      <c r="U90" s="28"/>
    </row>
    <row r="91" spans="1:21" x14ac:dyDescent="0.45">
      <c r="A91" s="54" t="s">
        <v>244</v>
      </c>
      <c r="B91" s="14" t="s">
        <v>58</v>
      </c>
      <c r="C91" s="15" t="s">
        <v>245</v>
      </c>
      <c r="D91" s="16" t="s">
        <v>56</v>
      </c>
      <c r="E91" s="30">
        <v>45018</v>
      </c>
      <c r="F91" s="31">
        <v>45018</v>
      </c>
      <c r="G91" s="140">
        <v>847329</v>
      </c>
      <c r="H91" s="302">
        <v>781157</v>
      </c>
      <c r="I91" s="344">
        <v>1381303</v>
      </c>
      <c r="J91" s="141">
        <v>1628520</v>
      </c>
      <c r="K91" s="35">
        <v>0</v>
      </c>
      <c r="L91" s="36" t="s">
        <v>24</v>
      </c>
      <c r="M91" s="37">
        <f t="shared" si="8"/>
        <v>45020</v>
      </c>
      <c r="N91" s="36" t="s">
        <v>29</v>
      </c>
      <c r="O91" s="58">
        <v>45034</v>
      </c>
      <c r="P91" s="39">
        <f t="shared" si="9"/>
        <v>16</v>
      </c>
      <c r="Q91" s="40">
        <f t="shared" si="11"/>
        <v>16</v>
      </c>
      <c r="R91" s="41" t="s">
        <v>246</v>
      </c>
      <c r="S91" s="33"/>
      <c r="T91" s="42">
        <v>2</v>
      </c>
      <c r="U91" s="42"/>
    </row>
    <row r="92" spans="1:21" x14ac:dyDescent="0.45">
      <c r="A92" s="54" t="s">
        <v>247</v>
      </c>
      <c r="B92" s="14" t="s">
        <v>117</v>
      </c>
      <c r="C92" s="15" t="s">
        <v>248</v>
      </c>
      <c r="D92" s="16" t="s">
        <v>56</v>
      </c>
      <c r="E92" s="30">
        <v>45020</v>
      </c>
      <c r="F92" s="31">
        <v>45020</v>
      </c>
      <c r="G92" s="63">
        <v>1689592</v>
      </c>
      <c r="H92" s="293">
        <v>1089021</v>
      </c>
      <c r="I92" s="344">
        <v>2306053</v>
      </c>
      <c r="J92" s="64">
        <v>2778612</v>
      </c>
      <c r="K92" s="35">
        <v>10</v>
      </c>
      <c r="L92" s="36" t="s">
        <v>24</v>
      </c>
      <c r="M92" s="37">
        <f t="shared" si="8"/>
        <v>45022</v>
      </c>
      <c r="N92" s="36" t="s">
        <v>29</v>
      </c>
      <c r="O92" s="58">
        <v>45031</v>
      </c>
      <c r="P92" s="39">
        <f t="shared" si="9"/>
        <v>11</v>
      </c>
      <c r="Q92" s="40">
        <f t="shared" si="11"/>
        <v>1</v>
      </c>
      <c r="R92" s="41" t="s">
        <v>249</v>
      </c>
      <c r="S92" s="33"/>
      <c r="T92" s="42">
        <v>2</v>
      </c>
      <c r="U92" s="42"/>
    </row>
    <row r="93" spans="1:21" x14ac:dyDescent="0.45">
      <c r="A93" s="29" t="s">
        <v>250</v>
      </c>
      <c r="B93" s="14" t="s">
        <v>117</v>
      </c>
      <c r="C93" s="15" t="s">
        <v>251</v>
      </c>
      <c r="D93" s="16" t="s">
        <v>56</v>
      </c>
      <c r="E93" s="30">
        <v>45022</v>
      </c>
      <c r="F93" s="31">
        <v>45022</v>
      </c>
      <c r="G93" s="63">
        <v>2108663</v>
      </c>
      <c r="H93" s="293">
        <v>995435</v>
      </c>
      <c r="I93" s="344">
        <v>2856881</v>
      </c>
      <c r="J93" s="64">
        <v>3104099</v>
      </c>
      <c r="K93" s="35">
        <v>0</v>
      </c>
      <c r="L93" s="36" t="s">
        <v>24</v>
      </c>
      <c r="M93" s="37">
        <f t="shared" si="8"/>
        <v>45024</v>
      </c>
      <c r="N93" s="36" t="s">
        <v>29</v>
      </c>
      <c r="O93" s="116">
        <v>45032</v>
      </c>
      <c r="P93" s="39">
        <f t="shared" si="9"/>
        <v>10</v>
      </c>
      <c r="Q93" s="40">
        <f t="shared" si="11"/>
        <v>10</v>
      </c>
      <c r="R93" s="76" t="s">
        <v>252</v>
      </c>
      <c r="S93" s="61"/>
      <c r="T93" s="77">
        <v>4</v>
      </c>
      <c r="U93" s="77"/>
    </row>
    <row r="94" spans="1:21" x14ac:dyDescent="0.45">
      <c r="A94" s="45" t="s">
        <v>253</v>
      </c>
      <c r="B94" s="14" t="s">
        <v>54</v>
      </c>
      <c r="C94" s="15" t="s">
        <v>254</v>
      </c>
      <c r="D94" s="16" t="s">
        <v>56</v>
      </c>
      <c r="E94" s="30">
        <v>45023</v>
      </c>
      <c r="F94" s="31">
        <v>45023</v>
      </c>
      <c r="G94" s="63">
        <v>2536523</v>
      </c>
      <c r="H94" s="293">
        <v>727343</v>
      </c>
      <c r="I94" s="344">
        <v>2977155</v>
      </c>
      <c r="J94" s="64">
        <v>3263866</v>
      </c>
      <c r="K94" s="35">
        <v>0</v>
      </c>
      <c r="L94" s="36" t="s">
        <v>24</v>
      </c>
      <c r="M94" s="37">
        <f t="shared" si="8"/>
        <v>45025</v>
      </c>
      <c r="N94" s="36" t="s">
        <v>29</v>
      </c>
      <c r="O94" s="38">
        <v>45033</v>
      </c>
      <c r="P94" s="39">
        <f t="shared" si="9"/>
        <v>10</v>
      </c>
      <c r="Q94" s="40">
        <f t="shared" si="11"/>
        <v>10</v>
      </c>
      <c r="R94" s="41" t="s">
        <v>252</v>
      </c>
      <c r="S94" s="87"/>
      <c r="T94" s="88">
        <v>5</v>
      </c>
      <c r="U94" s="88"/>
    </row>
    <row r="95" spans="1:21" x14ac:dyDescent="0.45">
      <c r="A95" s="29" t="s">
        <v>255</v>
      </c>
      <c r="B95" s="14" t="s">
        <v>198</v>
      </c>
      <c r="C95" s="15" t="s">
        <v>256</v>
      </c>
      <c r="D95" s="16" t="s">
        <v>23</v>
      </c>
      <c r="E95" s="30">
        <v>45024</v>
      </c>
      <c r="F95" s="43">
        <v>45024</v>
      </c>
      <c r="G95" s="19">
        <v>1374566.8</v>
      </c>
      <c r="H95" s="291">
        <v>602031</v>
      </c>
      <c r="I95" s="342">
        <v>1247184</v>
      </c>
      <c r="J95" s="20">
        <v>1976597.4</v>
      </c>
      <c r="K95" s="35">
        <v>0</v>
      </c>
      <c r="L95" s="36" t="s">
        <v>24</v>
      </c>
      <c r="M95" s="37">
        <f t="shared" si="8"/>
        <v>45026</v>
      </c>
      <c r="N95" s="36" t="s">
        <v>29</v>
      </c>
      <c r="O95" s="38">
        <v>45033</v>
      </c>
      <c r="P95" s="39">
        <f t="shared" si="9"/>
        <v>9</v>
      </c>
      <c r="Q95" s="40">
        <f t="shared" si="11"/>
        <v>9</v>
      </c>
      <c r="R95" s="41" t="s">
        <v>257</v>
      </c>
      <c r="S95" s="33"/>
      <c r="T95" s="42">
        <v>0</v>
      </c>
      <c r="U95" s="42"/>
    </row>
    <row r="96" spans="1:21" x14ac:dyDescent="0.45">
      <c r="A96" s="29" t="s">
        <v>258</v>
      </c>
      <c r="B96" s="14" t="s">
        <v>21</v>
      </c>
      <c r="C96" s="15" t="s">
        <v>259</v>
      </c>
      <c r="D96" s="16" t="s">
        <v>23</v>
      </c>
      <c r="E96" s="30">
        <v>45024</v>
      </c>
      <c r="F96" s="43">
        <v>45024</v>
      </c>
      <c r="G96" s="19">
        <v>0</v>
      </c>
      <c r="H96" s="293">
        <v>914302.6</v>
      </c>
      <c r="I96" s="292">
        <v>691834</v>
      </c>
      <c r="J96" s="33">
        <v>914302.6</v>
      </c>
      <c r="K96" s="35">
        <v>0</v>
      </c>
      <c r="L96" s="36" t="s">
        <v>24</v>
      </c>
      <c r="M96" s="37">
        <f t="shared" si="8"/>
        <v>45026</v>
      </c>
      <c r="N96" s="36" t="s">
        <v>29</v>
      </c>
      <c r="O96" s="38">
        <v>45031</v>
      </c>
      <c r="P96" s="39">
        <f t="shared" si="9"/>
        <v>7</v>
      </c>
      <c r="Q96" s="40">
        <f t="shared" si="11"/>
        <v>7</v>
      </c>
      <c r="R96" s="41"/>
      <c r="S96" s="33"/>
      <c r="T96" s="42">
        <v>4</v>
      </c>
      <c r="U96" s="42"/>
    </row>
    <row r="97" spans="1:21" x14ac:dyDescent="0.45">
      <c r="A97" s="29" t="s">
        <v>260</v>
      </c>
      <c r="B97" s="14" t="s">
        <v>230</v>
      </c>
      <c r="C97" s="15" t="s">
        <v>261</v>
      </c>
      <c r="D97" s="16" t="s">
        <v>23</v>
      </c>
      <c r="E97" s="30">
        <v>45025</v>
      </c>
      <c r="F97" s="43">
        <v>45025</v>
      </c>
      <c r="G97" s="60">
        <v>2011672</v>
      </c>
      <c r="H97" s="296">
        <v>531031</v>
      </c>
      <c r="I97" s="343">
        <v>1984520</v>
      </c>
      <c r="J97" s="61">
        <v>2542702.6</v>
      </c>
      <c r="K97" s="35">
        <v>0</v>
      </c>
      <c r="L97" s="36" t="s">
        <v>24</v>
      </c>
      <c r="M97" s="37">
        <f t="shared" si="8"/>
        <v>45027</v>
      </c>
      <c r="N97" s="36" t="s">
        <v>29</v>
      </c>
      <c r="O97" s="65">
        <v>45032</v>
      </c>
      <c r="P97" s="39">
        <f t="shared" si="9"/>
        <v>7</v>
      </c>
      <c r="Q97" s="40">
        <f t="shared" si="11"/>
        <v>7</v>
      </c>
      <c r="R97" s="41" t="s">
        <v>92</v>
      </c>
      <c r="S97" s="33"/>
      <c r="T97" s="42">
        <v>12</v>
      </c>
      <c r="U97" s="42"/>
    </row>
    <row r="98" spans="1:21" x14ac:dyDescent="0.45">
      <c r="A98" s="54" t="s">
        <v>262</v>
      </c>
      <c r="B98" s="14" t="s">
        <v>94</v>
      </c>
      <c r="C98" s="15" t="s">
        <v>263</v>
      </c>
      <c r="D98" s="16" t="s">
        <v>56</v>
      </c>
      <c r="E98" s="30">
        <v>45024</v>
      </c>
      <c r="F98" s="31">
        <v>45024</v>
      </c>
      <c r="G98" s="63">
        <v>789529</v>
      </c>
      <c r="H98" s="293">
        <v>807866</v>
      </c>
      <c r="I98" s="344">
        <v>1308573</v>
      </c>
      <c r="J98" s="64">
        <v>1597395</v>
      </c>
      <c r="K98" s="35">
        <v>0</v>
      </c>
      <c r="L98" s="36" t="s">
        <v>24</v>
      </c>
      <c r="M98" s="37">
        <f t="shared" si="8"/>
        <v>45026</v>
      </c>
      <c r="N98" s="36" t="s">
        <v>29</v>
      </c>
      <c r="O98" s="38">
        <v>45033</v>
      </c>
      <c r="P98" s="39">
        <f t="shared" si="9"/>
        <v>9</v>
      </c>
      <c r="Q98" s="40">
        <f t="shared" si="11"/>
        <v>9</v>
      </c>
      <c r="R98" s="41" t="s">
        <v>92</v>
      </c>
      <c r="S98" s="33"/>
      <c r="T98" s="42">
        <v>8</v>
      </c>
      <c r="U98" s="42"/>
    </row>
    <row r="99" spans="1:21" x14ac:dyDescent="0.45">
      <c r="A99" s="54" t="s">
        <v>264</v>
      </c>
      <c r="B99" s="14" t="s">
        <v>94</v>
      </c>
      <c r="C99" s="15" t="s">
        <v>265</v>
      </c>
      <c r="D99" s="16" t="s">
        <v>56</v>
      </c>
      <c r="E99" s="30">
        <v>45025</v>
      </c>
      <c r="F99" s="31">
        <v>45025</v>
      </c>
      <c r="G99" s="63">
        <v>2537014</v>
      </c>
      <c r="H99" s="293">
        <v>740681</v>
      </c>
      <c r="I99" s="344">
        <v>3009613</v>
      </c>
      <c r="J99" s="64">
        <v>3277695</v>
      </c>
      <c r="K99" s="35">
        <v>0</v>
      </c>
      <c r="L99" s="36" t="s">
        <v>24</v>
      </c>
      <c r="M99" s="37">
        <f t="shared" si="8"/>
        <v>45027</v>
      </c>
      <c r="N99" s="36" t="s">
        <v>29</v>
      </c>
      <c r="O99" s="116">
        <v>45032</v>
      </c>
      <c r="P99" s="39">
        <f t="shared" si="9"/>
        <v>7</v>
      </c>
      <c r="Q99" s="40">
        <f t="shared" si="11"/>
        <v>7</v>
      </c>
      <c r="R99" s="41" t="s">
        <v>266</v>
      </c>
      <c r="S99" s="33"/>
      <c r="T99" s="42">
        <v>25</v>
      </c>
      <c r="U99" s="42"/>
    </row>
    <row r="100" spans="1:21" x14ac:dyDescent="0.45">
      <c r="A100" s="29" t="s">
        <v>267</v>
      </c>
      <c r="B100" s="14" t="s">
        <v>69</v>
      </c>
      <c r="C100" s="15" t="s">
        <v>268</v>
      </c>
      <c r="D100" s="16" t="s">
        <v>23</v>
      </c>
      <c r="E100" s="30">
        <v>45027</v>
      </c>
      <c r="F100" s="43">
        <v>45027</v>
      </c>
      <c r="G100" s="19">
        <v>0</v>
      </c>
      <c r="H100" s="298">
        <v>927019.6</v>
      </c>
      <c r="I100" s="347">
        <v>697954</v>
      </c>
      <c r="J100" s="85">
        <v>927019.6</v>
      </c>
      <c r="K100" s="35">
        <v>0</v>
      </c>
      <c r="L100" s="36" t="s">
        <v>24</v>
      </c>
      <c r="M100" s="37">
        <f t="shared" si="8"/>
        <v>45029</v>
      </c>
      <c r="N100" s="36" t="s">
        <v>29</v>
      </c>
      <c r="O100" s="65">
        <v>45032</v>
      </c>
      <c r="P100" s="39">
        <f t="shared" si="9"/>
        <v>5</v>
      </c>
      <c r="Q100" s="40">
        <f t="shared" si="11"/>
        <v>5</v>
      </c>
      <c r="R100" s="41"/>
      <c r="S100" s="33"/>
      <c r="T100" s="42">
        <v>24</v>
      </c>
      <c r="U100" s="42"/>
    </row>
    <row r="101" spans="1:21" x14ac:dyDescent="0.45">
      <c r="A101" s="54" t="s">
        <v>269</v>
      </c>
      <c r="B101" s="14" t="s">
        <v>54</v>
      </c>
      <c r="C101" s="15" t="s">
        <v>270</v>
      </c>
      <c r="D101" s="16" t="s">
        <v>56</v>
      </c>
      <c r="E101" s="30">
        <v>45027</v>
      </c>
      <c r="F101" s="31">
        <v>45027</v>
      </c>
      <c r="G101" s="63">
        <v>2143405</v>
      </c>
      <c r="H101" s="293">
        <v>751615</v>
      </c>
      <c r="I101" s="344">
        <v>2631677</v>
      </c>
      <c r="J101" s="64">
        <v>2895020</v>
      </c>
      <c r="K101" s="35">
        <v>0</v>
      </c>
      <c r="L101" s="36" t="s">
        <v>24</v>
      </c>
      <c r="M101" s="37">
        <f t="shared" si="8"/>
        <v>45029</v>
      </c>
      <c r="N101" s="36" t="s">
        <v>29</v>
      </c>
      <c r="O101" s="38">
        <v>45034</v>
      </c>
      <c r="P101" s="39">
        <f t="shared" si="9"/>
        <v>7</v>
      </c>
      <c r="Q101" s="40">
        <f t="shared" si="11"/>
        <v>7</v>
      </c>
      <c r="R101" s="41" t="s">
        <v>266</v>
      </c>
      <c r="S101" s="33"/>
      <c r="T101" s="42">
        <v>5</v>
      </c>
      <c r="U101" s="42"/>
    </row>
    <row r="102" spans="1:21" x14ac:dyDescent="0.45">
      <c r="A102" s="29" t="s">
        <v>271</v>
      </c>
      <c r="B102" s="14" t="s">
        <v>69</v>
      </c>
      <c r="C102" s="15" t="s">
        <v>272</v>
      </c>
      <c r="D102" s="16" t="s">
        <v>23</v>
      </c>
      <c r="E102" s="30">
        <v>45027</v>
      </c>
      <c r="F102" s="43">
        <v>45027</v>
      </c>
      <c r="G102" s="19">
        <v>0</v>
      </c>
      <c r="H102" s="291">
        <v>771468.6</v>
      </c>
      <c r="I102" s="342">
        <v>562194</v>
      </c>
      <c r="J102" s="20">
        <v>771468.6</v>
      </c>
      <c r="K102" s="35">
        <v>0</v>
      </c>
      <c r="L102" s="36" t="s">
        <v>24</v>
      </c>
      <c r="M102" s="37">
        <f t="shared" si="8"/>
        <v>45029</v>
      </c>
      <c r="N102" s="36" t="s">
        <v>29</v>
      </c>
      <c r="O102" s="116">
        <v>45032</v>
      </c>
      <c r="P102" s="39">
        <f t="shared" si="9"/>
        <v>5</v>
      </c>
      <c r="Q102" s="40">
        <f t="shared" si="11"/>
        <v>5</v>
      </c>
      <c r="R102" s="41"/>
      <c r="S102" s="33"/>
      <c r="T102" s="42">
        <v>4</v>
      </c>
      <c r="U102" s="42"/>
    </row>
    <row r="103" spans="1:21" x14ac:dyDescent="0.45">
      <c r="A103" s="29" t="s">
        <v>273</v>
      </c>
      <c r="B103" s="14" t="s">
        <v>27</v>
      </c>
      <c r="C103" s="15" t="s">
        <v>274</v>
      </c>
      <c r="D103" s="16" t="s">
        <v>23</v>
      </c>
      <c r="E103" s="30">
        <v>45027</v>
      </c>
      <c r="F103" s="43">
        <v>45027</v>
      </c>
      <c r="G103" s="32">
        <v>909529.2</v>
      </c>
      <c r="H103" s="293">
        <v>407231</v>
      </c>
      <c r="I103" s="292">
        <v>861220</v>
      </c>
      <c r="J103" s="33">
        <v>1316759.8</v>
      </c>
      <c r="K103" s="35">
        <v>0</v>
      </c>
      <c r="L103" s="36" t="s">
        <v>24</v>
      </c>
      <c r="M103" s="37">
        <f t="shared" si="8"/>
        <v>45029</v>
      </c>
      <c r="N103" s="36" t="s">
        <v>29</v>
      </c>
      <c r="O103" s="38">
        <v>45033</v>
      </c>
      <c r="P103" s="39">
        <f t="shared" si="9"/>
        <v>6</v>
      </c>
      <c r="Q103" s="40">
        <f t="shared" si="11"/>
        <v>6</v>
      </c>
      <c r="R103" s="41"/>
      <c r="S103" s="33"/>
      <c r="T103" s="42">
        <v>10</v>
      </c>
      <c r="U103" s="42"/>
    </row>
    <row r="104" spans="1:21" x14ac:dyDescent="0.45">
      <c r="A104" s="29" t="s">
        <v>275</v>
      </c>
      <c r="B104" s="14" t="s">
        <v>276</v>
      </c>
      <c r="C104" s="15" t="s">
        <v>277</v>
      </c>
      <c r="D104" s="16" t="s">
        <v>23</v>
      </c>
      <c r="E104" s="30">
        <v>45027</v>
      </c>
      <c r="F104" s="43">
        <v>45027</v>
      </c>
      <c r="G104" s="60">
        <v>473757.6</v>
      </c>
      <c r="H104" s="296">
        <v>225450</v>
      </c>
      <c r="I104" s="343">
        <v>426895</v>
      </c>
      <c r="J104" s="61">
        <v>699207.6</v>
      </c>
      <c r="K104" s="35">
        <v>0</v>
      </c>
      <c r="L104" s="36" t="s">
        <v>24</v>
      </c>
      <c r="M104" s="37">
        <f t="shared" si="8"/>
        <v>45029</v>
      </c>
      <c r="N104" s="36" t="s">
        <v>29</v>
      </c>
      <c r="O104" s="38">
        <v>45030</v>
      </c>
      <c r="P104" s="39">
        <f t="shared" si="9"/>
        <v>3</v>
      </c>
      <c r="Q104" s="40">
        <f t="shared" si="11"/>
        <v>3</v>
      </c>
      <c r="R104" s="41"/>
      <c r="S104" s="33"/>
      <c r="T104" s="42">
        <v>0</v>
      </c>
      <c r="U104" s="42"/>
    </row>
    <row r="105" spans="1:21" x14ac:dyDescent="0.45">
      <c r="A105" s="54" t="s">
        <v>278</v>
      </c>
      <c r="B105" s="14" t="s">
        <v>117</v>
      </c>
      <c r="C105" s="15" t="s">
        <v>279</v>
      </c>
      <c r="D105" s="16" t="s">
        <v>56</v>
      </c>
      <c r="E105" s="30">
        <v>45027</v>
      </c>
      <c r="F105" s="31">
        <v>45028</v>
      </c>
      <c r="G105" s="63">
        <v>1686807</v>
      </c>
      <c r="H105" s="293">
        <v>816386</v>
      </c>
      <c r="I105" s="344">
        <v>1444745</v>
      </c>
      <c r="J105" s="64">
        <v>2503195</v>
      </c>
      <c r="K105" s="35">
        <v>0</v>
      </c>
      <c r="L105" s="36" t="s">
        <v>24</v>
      </c>
      <c r="M105" s="37">
        <f t="shared" si="8"/>
        <v>45030</v>
      </c>
      <c r="N105" s="36" t="s">
        <v>29</v>
      </c>
      <c r="O105" s="38">
        <v>45034</v>
      </c>
      <c r="P105" s="39">
        <f t="shared" si="9"/>
        <v>7</v>
      </c>
      <c r="Q105" s="40">
        <f t="shared" si="11"/>
        <v>6</v>
      </c>
      <c r="R105" s="41" t="s">
        <v>280</v>
      </c>
      <c r="S105" s="33"/>
      <c r="T105" s="42">
        <v>5</v>
      </c>
      <c r="U105" s="42"/>
    </row>
    <row r="106" spans="1:21" x14ac:dyDescent="0.45">
      <c r="A106" s="29" t="s">
        <v>281</v>
      </c>
      <c r="B106" s="14" t="s">
        <v>230</v>
      </c>
      <c r="C106" s="15" t="s">
        <v>282</v>
      </c>
      <c r="D106" s="16" t="s">
        <v>23</v>
      </c>
      <c r="E106" s="65">
        <v>45028</v>
      </c>
      <c r="F106" s="91">
        <v>45029</v>
      </c>
      <c r="G106" s="84">
        <v>733950.6</v>
      </c>
      <c r="H106" s="298">
        <v>282750</v>
      </c>
      <c r="I106" s="347">
        <v>687214</v>
      </c>
      <c r="J106" s="85">
        <v>1016700.6</v>
      </c>
      <c r="K106" s="70">
        <v>0</v>
      </c>
      <c r="L106" s="71" t="s">
        <v>24</v>
      </c>
      <c r="M106" s="72">
        <f t="shared" si="8"/>
        <v>45031</v>
      </c>
      <c r="N106" s="71" t="s">
        <v>29</v>
      </c>
      <c r="O106" s="65">
        <v>45032</v>
      </c>
      <c r="P106" s="74">
        <f t="shared" si="9"/>
        <v>4</v>
      </c>
      <c r="Q106" s="75">
        <f t="shared" si="11"/>
        <v>3</v>
      </c>
      <c r="R106" s="76"/>
      <c r="S106" s="61"/>
      <c r="T106" s="77">
        <v>6</v>
      </c>
      <c r="U106" s="77"/>
    </row>
    <row r="107" spans="1:21" x14ac:dyDescent="0.45">
      <c r="A107" s="54" t="s">
        <v>283</v>
      </c>
      <c r="B107" s="14" t="s">
        <v>198</v>
      </c>
      <c r="C107" s="15" t="s">
        <v>284</v>
      </c>
      <c r="D107" s="16" t="s">
        <v>39</v>
      </c>
      <c r="E107" s="30">
        <v>45029</v>
      </c>
      <c r="F107" s="43">
        <v>45029</v>
      </c>
      <c r="G107" s="78">
        <v>974819</v>
      </c>
      <c r="H107" s="297">
        <v>469834</v>
      </c>
      <c r="I107" s="297">
        <v>1086579</v>
      </c>
      <c r="J107" s="48">
        <v>1444653</v>
      </c>
      <c r="K107" s="35">
        <v>0</v>
      </c>
      <c r="L107" s="36" t="s">
        <v>24</v>
      </c>
      <c r="M107" s="37">
        <f t="shared" si="8"/>
        <v>45031</v>
      </c>
      <c r="N107" s="36" t="s">
        <v>29</v>
      </c>
      <c r="O107" s="38">
        <v>45034</v>
      </c>
      <c r="P107" s="39">
        <f t="shared" si="9"/>
        <v>5</v>
      </c>
      <c r="Q107" s="40">
        <f t="shared" si="11"/>
        <v>5</v>
      </c>
      <c r="R107" s="41"/>
      <c r="S107" s="33"/>
      <c r="T107" s="42">
        <v>3</v>
      </c>
      <c r="U107" s="42"/>
    </row>
    <row r="108" spans="1:21" x14ac:dyDescent="0.45">
      <c r="A108" s="13" t="s">
        <v>285</v>
      </c>
      <c r="B108" s="14" t="s">
        <v>27</v>
      </c>
      <c r="C108" s="15" t="s">
        <v>286</v>
      </c>
      <c r="D108" s="16" t="s">
        <v>23</v>
      </c>
      <c r="E108" s="17">
        <v>45029</v>
      </c>
      <c r="F108" s="50">
        <v>45029</v>
      </c>
      <c r="G108" s="19">
        <v>2247045.2000000002</v>
      </c>
      <c r="H108" s="291">
        <v>627231</v>
      </c>
      <c r="I108" s="342">
        <v>2202520</v>
      </c>
      <c r="J108" s="20">
        <v>2874275.8</v>
      </c>
      <c r="K108" s="21">
        <v>0</v>
      </c>
      <c r="L108" s="22" t="s">
        <v>24</v>
      </c>
      <c r="M108" s="23">
        <f t="shared" si="8"/>
        <v>45031</v>
      </c>
      <c r="N108" s="22" t="s">
        <v>29</v>
      </c>
      <c r="O108" s="24">
        <v>45034</v>
      </c>
      <c r="P108" s="25">
        <f t="shared" si="9"/>
        <v>5</v>
      </c>
      <c r="Q108" s="26">
        <f t="shared" si="11"/>
        <v>5</v>
      </c>
      <c r="R108" s="27"/>
      <c r="S108" s="20"/>
      <c r="T108" s="28">
        <v>20</v>
      </c>
      <c r="U108" s="28"/>
    </row>
    <row r="109" spans="1:21" x14ac:dyDescent="0.45">
      <c r="A109" s="29" t="s">
        <v>287</v>
      </c>
      <c r="B109" s="14" t="s">
        <v>235</v>
      </c>
      <c r="C109" s="15" t="s">
        <v>288</v>
      </c>
      <c r="D109" s="16" t="s">
        <v>23</v>
      </c>
      <c r="E109" s="30">
        <v>45029</v>
      </c>
      <c r="F109" s="43">
        <v>45029</v>
      </c>
      <c r="G109" s="32">
        <v>1546567</v>
      </c>
      <c r="H109" s="293">
        <v>517231</v>
      </c>
      <c r="I109" s="292">
        <v>1579429</v>
      </c>
      <c r="J109" s="33">
        <v>2063797.6</v>
      </c>
      <c r="K109" s="35">
        <v>0</v>
      </c>
      <c r="L109" s="36" t="s">
        <v>24</v>
      </c>
      <c r="M109" s="37">
        <f t="shared" si="8"/>
        <v>45031</v>
      </c>
      <c r="N109" s="36" t="s">
        <v>29</v>
      </c>
      <c r="O109" s="65">
        <v>45033</v>
      </c>
      <c r="P109" s="39">
        <f t="shared" si="9"/>
        <v>4</v>
      </c>
      <c r="Q109" s="40">
        <f t="shared" si="11"/>
        <v>4</v>
      </c>
      <c r="R109" s="41"/>
      <c r="S109" s="33"/>
      <c r="T109" s="42">
        <v>9</v>
      </c>
      <c r="U109" s="42"/>
    </row>
    <row r="110" spans="1:21" x14ac:dyDescent="0.45">
      <c r="A110" s="29" t="s">
        <v>289</v>
      </c>
      <c r="B110" s="14" t="s">
        <v>230</v>
      </c>
      <c r="C110" s="15" t="s">
        <v>290</v>
      </c>
      <c r="D110" s="16" t="s">
        <v>23</v>
      </c>
      <c r="E110" s="30">
        <v>45029</v>
      </c>
      <c r="F110" s="43">
        <v>45029</v>
      </c>
      <c r="G110" s="32">
        <v>0</v>
      </c>
      <c r="H110" s="296">
        <v>676707.6</v>
      </c>
      <c r="I110" s="343">
        <v>404395</v>
      </c>
      <c r="J110" s="61">
        <v>676707.6</v>
      </c>
      <c r="K110" s="35">
        <v>0</v>
      </c>
      <c r="L110" s="36" t="s">
        <v>24</v>
      </c>
      <c r="M110" s="37">
        <f t="shared" si="8"/>
        <v>45031</v>
      </c>
      <c r="N110" s="36" t="s">
        <v>29</v>
      </c>
      <c r="O110" s="65">
        <v>45033</v>
      </c>
      <c r="P110" s="39">
        <f t="shared" si="9"/>
        <v>4</v>
      </c>
      <c r="Q110" s="40">
        <f t="shared" si="11"/>
        <v>4</v>
      </c>
      <c r="R110" s="41"/>
      <c r="S110" s="33"/>
      <c r="T110" s="42">
        <v>34</v>
      </c>
      <c r="U110" s="42"/>
    </row>
    <row r="111" spans="1:21" x14ac:dyDescent="0.45">
      <c r="A111" s="54" t="s">
        <v>291</v>
      </c>
      <c r="B111" s="14" t="s">
        <v>54</v>
      </c>
      <c r="C111" s="15" t="s">
        <v>292</v>
      </c>
      <c r="D111" s="16" t="s">
        <v>56</v>
      </c>
      <c r="E111" s="30">
        <v>45029</v>
      </c>
      <c r="F111" s="31">
        <v>45029</v>
      </c>
      <c r="G111" s="63">
        <v>878658</v>
      </c>
      <c r="H111" s="293">
        <v>676246</v>
      </c>
      <c r="I111" s="344">
        <v>1384727</v>
      </c>
      <c r="J111" s="64">
        <v>1645904</v>
      </c>
      <c r="K111" s="35">
        <v>0</v>
      </c>
      <c r="L111" s="36" t="s">
        <v>24</v>
      </c>
      <c r="M111" s="37">
        <f t="shared" si="8"/>
        <v>45031</v>
      </c>
      <c r="N111" s="36" t="s">
        <v>29</v>
      </c>
      <c r="O111" s="38">
        <v>45034</v>
      </c>
      <c r="P111" s="39">
        <f t="shared" si="9"/>
        <v>5</v>
      </c>
      <c r="Q111" s="40">
        <f t="shared" si="11"/>
        <v>5</v>
      </c>
      <c r="R111" s="41"/>
      <c r="S111" s="33"/>
      <c r="T111" s="42">
        <v>7</v>
      </c>
      <c r="U111" s="42"/>
    </row>
    <row r="112" spans="1:21" x14ac:dyDescent="0.45">
      <c r="A112" s="29" t="s">
        <v>293</v>
      </c>
      <c r="B112" s="14" t="s">
        <v>48</v>
      </c>
      <c r="C112" s="44" t="s">
        <v>294</v>
      </c>
      <c r="D112" s="16" t="s">
        <v>23</v>
      </c>
      <c r="E112" s="30">
        <v>44730</v>
      </c>
      <c r="F112" s="43">
        <v>45021</v>
      </c>
      <c r="G112" s="32">
        <v>0</v>
      </c>
      <c r="H112" s="291">
        <v>620450.1</v>
      </c>
      <c r="I112" s="342">
        <v>412275</v>
      </c>
      <c r="J112" s="20">
        <v>620450.1</v>
      </c>
      <c r="K112" s="35">
        <v>0</v>
      </c>
      <c r="L112" s="36" t="s">
        <v>24</v>
      </c>
      <c r="M112" s="37">
        <f t="shared" si="8"/>
        <v>45023</v>
      </c>
      <c r="N112" s="36" t="s">
        <v>29</v>
      </c>
      <c r="O112" s="65">
        <v>45033</v>
      </c>
      <c r="P112" s="39">
        <f t="shared" si="9"/>
        <v>303</v>
      </c>
      <c r="Q112" s="40">
        <f t="shared" si="11"/>
        <v>12</v>
      </c>
      <c r="R112" s="76" t="s">
        <v>295</v>
      </c>
      <c r="S112" s="61"/>
      <c r="T112" s="77">
        <v>0</v>
      </c>
      <c r="U112" s="77"/>
    </row>
    <row r="113" spans="1:21" x14ac:dyDescent="0.45">
      <c r="A113" s="29" t="s">
        <v>296</v>
      </c>
      <c r="B113" s="14" t="s">
        <v>107</v>
      </c>
      <c r="C113" s="15" t="s">
        <v>297</v>
      </c>
      <c r="D113" s="16" t="s">
        <v>23</v>
      </c>
      <c r="E113" s="30">
        <v>45030</v>
      </c>
      <c r="F113" s="43">
        <v>45030</v>
      </c>
      <c r="G113" s="32">
        <v>0</v>
      </c>
      <c r="H113" s="296">
        <v>952204.6</v>
      </c>
      <c r="I113" s="343">
        <v>556015</v>
      </c>
      <c r="J113" s="61">
        <v>952204.6</v>
      </c>
      <c r="K113" s="35">
        <v>0</v>
      </c>
      <c r="L113" s="36" t="s">
        <v>24</v>
      </c>
      <c r="M113" s="37">
        <f t="shared" si="8"/>
        <v>45032</v>
      </c>
      <c r="N113" s="36" t="s">
        <v>29</v>
      </c>
      <c r="O113" s="73">
        <v>45033</v>
      </c>
      <c r="P113" s="39">
        <f t="shared" si="9"/>
        <v>3</v>
      </c>
      <c r="Q113" s="40">
        <f t="shared" si="11"/>
        <v>3</v>
      </c>
      <c r="R113" s="76"/>
      <c r="S113" s="92"/>
      <c r="T113" s="93">
        <v>22</v>
      </c>
      <c r="U113" s="93"/>
    </row>
    <row r="114" spans="1:21" x14ac:dyDescent="0.45">
      <c r="A114" s="138" t="s">
        <v>298</v>
      </c>
      <c r="B114" s="14" t="s">
        <v>299</v>
      </c>
      <c r="C114" s="15" t="s">
        <v>300</v>
      </c>
      <c r="D114" s="16" t="s">
        <v>56</v>
      </c>
      <c r="E114" s="30">
        <v>45031</v>
      </c>
      <c r="F114" s="31">
        <v>45031</v>
      </c>
      <c r="G114" s="142">
        <v>2745239</v>
      </c>
      <c r="H114" s="308">
        <v>797981</v>
      </c>
      <c r="I114" s="350">
        <v>3269791</v>
      </c>
      <c r="J114" s="143">
        <v>3543220</v>
      </c>
      <c r="K114" s="35">
        <v>0</v>
      </c>
      <c r="L114" s="36" t="s">
        <v>24</v>
      </c>
      <c r="M114" s="37">
        <f t="shared" si="8"/>
        <v>45033</v>
      </c>
      <c r="N114" s="36" t="s">
        <v>29</v>
      </c>
      <c r="O114" s="38">
        <v>45034</v>
      </c>
      <c r="P114" s="39">
        <f t="shared" si="9"/>
        <v>3</v>
      </c>
      <c r="Q114" s="40">
        <f t="shared" si="11"/>
        <v>3</v>
      </c>
      <c r="R114" s="41"/>
      <c r="S114" s="87"/>
      <c r="T114" s="88">
        <v>4</v>
      </c>
      <c r="U114" s="88"/>
    </row>
    <row r="115" spans="1:21" x14ac:dyDescent="0.45">
      <c r="A115" s="29" t="s">
        <v>301</v>
      </c>
      <c r="B115" s="14" t="s">
        <v>141</v>
      </c>
      <c r="C115" s="15" t="s">
        <v>302</v>
      </c>
      <c r="D115" s="16" t="s">
        <v>23</v>
      </c>
      <c r="E115" s="30">
        <v>45030</v>
      </c>
      <c r="F115" s="43">
        <v>45030</v>
      </c>
      <c r="G115" s="19">
        <v>2095980.6</v>
      </c>
      <c r="H115" s="291">
        <v>538481</v>
      </c>
      <c r="I115" s="342">
        <v>1809900</v>
      </c>
      <c r="J115" s="20">
        <v>2438380.6</v>
      </c>
      <c r="K115" s="35">
        <v>0</v>
      </c>
      <c r="L115" s="36" t="s">
        <v>24</v>
      </c>
      <c r="M115" s="37">
        <f t="shared" si="8"/>
        <v>45032</v>
      </c>
      <c r="N115" s="36" t="s">
        <v>29</v>
      </c>
      <c r="O115" s="73">
        <v>45033</v>
      </c>
      <c r="P115" s="39">
        <f t="shared" si="9"/>
        <v>3</v>
      </c>
      <c r="Q115" s="40">
        <f t="shared" si="11"/>
        <v>3</v>
      </c>
      <c r="R115" s="41"/>
      <c r="S115" s="87"/>
      <c r="T115" s="88">
        <v>6</v>
      </c>
      <c r="U115" s="88"/>
    </row>
    <row r="116" spans="1:21" x14ac:dyDescent="0.45">
      <c r="A116" s="29" t="s">
        <v>303</v>
      </c>
      <c r="B116" s="14" t="s">
        <v>107</v>
      </c>
      <c r="C116" s="15" t="s">
        <v>304</v>
      </c>
      <c r="D116" s="16" t="s">
        <v>23</v>
      </c>
      <c r="E116" s="30">
        <v>45030</v>
      </c>
      <c r="F116" s="43">
        <v>45030</v>
      </c>
      <c r="G116" s="32">
        <v>0</v>
      </c>
      <c r="H116" s="293">
        <v>234750</v>
      </c>
      <c r="I116" s="292">
        <v>234750</v>
      </c>
      <c r="J116" s="33">
        <v>234750</v>
      </c>
      <c r="K116" s="35">
        <v>0</v>
      </c>
      <c r="L116" s="36" t="s">
        <v>24</v>
      </c>
      <c r="M116" s="37">
        <f t="shared" si="8"/>
        <v>45032</v>
      </c>
      <c r="N116" s="36" t="s">
        <v>29</v>
      </c>
      <c r="O116" s="38">
        <v>45034</v>
      </c>
      <c r="P116" s="39">
        <f t="shared" si="9"/>
        <v>4</v>
      </c>
      <c r="Q116" s="40">
        <f t="shared" si="11"/>
        <v>4</v>
      </c>
      <c r="R116" s="41"/>
      <c r="S116" s="87"/>
      <c r="T116" s="88">
        <v>0</v>
      </c>
      <c r="U116" s="88"/>
    </row>
    <row r="117" spans="1:21" x14ac:dyDescent="0.45">
      <c r="A117" s="29" t="s">
        <v>305</v>
      </c>
      <c r="B117" s="14" t="s">
        <v>27</v>
      </c>
      <c r="C117" s="15" t="s">
        <v>306</v>
      </c>
      <c r="D117" s="16" t="s">
        <v>23</v>
      </c>
      <c r="E117" s="30">
        <v>45030</v>
      </c>
      <c r="F117" s="43">
        <v>45030</v>
      </c>
      <c r="G117" s="32">
        <v>0</v>
      </c>
      <c r="H117" s="293">
        <v>615150.6</v>
      </c>
      <c r="I117" s="292">
        <v>408075</v>
      </c>
      <c r="J117" s="33">
        <v>615150.6</v>
      </c>
      <c r="K117" s="35">
        <v>0</v>
      </c>
      <c r="L117" s="36" t="s">
        <v>24</v>
      </c>
      <c r="M117" s="37">
        <f t="shared" si="8"/>
        <v>45032</v>
      </c>
      <c r="N117" s="36" t="s">
        <v>29</v>
      </c>
      <c r="O117" s="73">
        <v>45033</v>
      </c>
      <c r="P117" s="39">
        <f t="shared" si="9"/>
        <v>3</v>
      </c>
      <c r="Q117" s="40">
        <f t="shared" si="11"/>
        <v>3</v>
      </c>
      <c r="R117" s="41"/>
      <c r="S117" s="87"/>
      <c r="T117" s="88">
        <v>0</v>
      </c>
      <c r="U117" s="88"/>
    </row>
    <row r="118" spans="1:21" x14ac:dyDescent="0.45">
      <c r="A118" s="29" t="s">
        <v>307</v>
      </c>
      <c r="B118" s="14" t="s">
        <v>230</v>
      </c>
      <c r="C118" s="15" t="s">
        <v>308</v>
      </c>
      <c r="D118" s="16" t="s">
        <v>23</v>
      </c>
      <c r="E118" s="30">
        <v>45030</v>
      </c>
      <c r="F118" s="43">
        <v>45030</v>
      </c>
      <c r="G118" s="32">
        <v>0</v>
      </c>
      <c r="H118" s="293">
        <v>678744.6</v>
      </c>
      <c r="I118" s="292">
        <v>458475</v>
      </c>
      <c r="J118" s="33">
        <v>678744.6</v>
      </c>
      <c r="K118" s="35">
        <v>0</v>
      </c>
      <c r="L118" s="36" t="s">
        <v>24</v>
      </c>
      <c r="M118" s="37">
        <f t="shared" si="8"/>
        <v>45032</v>
      </c>
      <c r="N118" s="36" t="s">
        <v>29</v>
      </c>
      <c r="O118" s="38">
        <v>45034</v>
      </c>
      <c r="P118" s="39">
        <f t="shared" si="9"/>
        <v>4</v>
      </c>
      <c r="Q118" s="40">
        <f t="shared" ref="Q118:Q149" si="12">O118-F118-K118</f>
        <v>4</v>
      </c>
      <c r="R118" s="41"/>
      <c r="S118" s="87"/>
      <c r="T118" s="88">
        <v>10</v>
      </c>
      <c r="U118" s="88"/>
    </row>
    <row r="119" spans="1:21" x14ac:dyDescent="0.45">
      <c r="A119" s="29" t="s">
        <v>309</v>
      </c>
      <c r="B119" s="14" t="s">
        <v>21</v>
      </c>
      <c r="C119" s="15" t="s">
        <v>310</v>
      </c>
      <c r="D119" s="16" t="s">
        <v>23</v>
      </c>
      <c r="E119" s="30">
        <v>45030</v>
      </c>
      <c r="F119" s="43">
        <v>45030</v>
      </c>
      <c r="G119" s="32">
        <v>0</v>
      </c>
      <c r="H119" s="293">
        <v>0</v>
      </c>
      <c r="I119" s="343" t="s">
        <v>311</v>
      </c>
      <c r="J119" s="61" t="s">
        <v>312</v>
      </c>
      <c r="K119" s="35">
        <v>0</v>
      </c>
      <c r="L119" s="36" t="s">
        <v>24</v>
      </c>
      <c r="M119" s="37">
        <f t="shared" si="8"/>
        <v>45032</v>
      </c>
      <c r="N119" s="36" t="s">
        <v>29</v>
      </c>
      <c r="O119" s="38">
        <v>45034</v>
      </c>
      <c r="P119" s="39">
        <f t="shared" si="9"/>
        <v>4</v>
      </c>
      <c r="Q119" s="40">
        <f t="shared" si="12"/>
        <v>4</v>
      </c>
      <c r="R119" s="41"/>
      <c r="S119" s="87"/>
      <c r="T119" s="88">
        <v>10</v>
      </c>
      <c r="U119" s="88"/>
    </row>
    <row r="120" spans="1:21" x14ac:dyDescent="0.45">
      <c r="A120" s="138" t="s">
        <v>313</v>
      </c>
      <c r="B120" s="14" t="s">
        <v>314</v>
      </c>
      <c r="C120" s="44" t="s">
        <v>315</v>
      </c>
      <c r="D120" s="16" t="s">
        <v>56</v>
      </c>
      <c r="E120" s="65">
        <v>45020</v>
      </c>
      <c r="F120" s="66">
        <v>45026</v>
      </c>
      <c r="G120" s="67">
        <v>789529</v>
      </c>
      <c r="H120" s="296">
        <v>796953</v>
      </c>
      <c r="I120" s="345">
        <v>1321115</v>
      </c>
      <c r="J120" s="68">
        <v>1586482</v>
      </c>
      <c r="K120" s="70">
        <v>0</v>
      </c>
      <c r="L120" s="71" t="s">
        <v>24</v>
      </c>
      <c r="M120" s="72">
        <f t="shared" si="8"/>
        <v>45028</v>
      </c>
      <c r="N120" s="71" t="s">
        <v>29</v>
      </c>
      <c r="O120" s="73">
        <v>45034</v>
      </c>
      <c r="P120" s="74">
        <f t="shared" si="9"/>
        <v>14</v>
      </c>
      <c r="Q120" s="75">
        <f t="shared" si="12"/>
        <v>8</v>
      </c>
      <c r="R120" s="76" t="s">
        <v>266</v>
      </c>
      <c r="S120" s="61"/>
      <c r="T120" s="77">
        <v>20</v>
      </c>
      <c r="U120" s="77"/>
    </row>
    <row r="121" spans="1:21" x14ac:dyDescent="0.45">
      <c r="A121" s="62" t="s">
        <v>316</v>
      </c>
      <c r="B121" s="14" t="s">
        <v>37</v>
      </c>
      <c r="C121" s="44" t="s">
        <v>317</v>
      </c>
      <c r="D121" s="16" t="s">
        <v>39</v>
      </c>
      <c r="E121" s="30">
        <v>45032</v>
      </c>
      <c r="F121" s="43">
        <v>45032</v>
      </c>
      <c r="G121" s="47">
        <f>2291006/8</f>
        <v>286375.75</v>
      </c>
      <c r="H121" s="294">
        <f>1229832/8</f>
        <v>153729</v>
      </c>
      <c r="I121" s="292">
        <f t="shared" ref="I121:I128" si="13">22222449/2</f>
        <v>11111224.5</v>
      </c>
      <c r="J121" s="57">
        <f t="shared" ref="J121:J128" si="14">29432413/6</f>
        <v>4905402.166666667</v>
      </c>
      <c r="K121" s="35">
        <v>0</v>
      </c>
      <c r="L121" s="36" t="s">
        <v>24</v>
      </c>
      <c r="M121" s="37">
        <f t="shared" si="8"/>
        <v>45034</v>
      </c>
      <c r="N121" s="36" t="s">
        <v>29</v>
      </c>
      <c r="O121" s="38">
        <v>45033</v>
      </c>
      <c r="P121" s="39">
        <f t="shared" si="9"/>
        <v>1</v>
      </c>
      <c r="Q121" s="40">
        <f t="shared" si="12"/>
        <v>1</v>
      </c>
      <c r="R121" s="41"/>
      <c r="S121" s="33"/>
      <c r="T121" s="42">
        <v>2</v>
      </c>
      <c r="U121" s="42"/>
    </row>
    <row r="122" spans="1:21" x14ac:dyDescent="0.45">
      <c r="A122" s="62" t="s">
        <v>318</v>
      </c>
      <c r="B122" s="14" t="s">
        <v>37</v>
      </c>
      <c r="C122" s="44" t="s">
        <v>319</v>
      </c>
      <c r="D122" s="16" t="s">
        <v>39</v>
      </c>
      <c r="E122" s="30">
        <v>45032</v>
      </c>
      <c r="F122" s="43">
        <v>45032</v>
      </c>
      <c r="G122" s="47">
        <f t="shared" ref="G122:G128" si="15">2291006/8</f>
        <v>286375.75</v>
      </c>
      <c r="H122" s="294">
        <f t="shared" ref="H122:H128" si="16">1229832/8</f>
        <v>153729</v>
      </c>
      <c r="I122" s="292">
        <f t="shared" si="13"/>
        <v>11111224.5</v>
      </c>
      <c r="J122" s="57">
        <f t="shared" si="14"/>
        <v>4905402.166666667</v>
      </c>
      <c r="K122" s="35">
        <v>0</v>
      </c>
      <c r="L122" s="36" t="s">
        <v>24</v>
      </c>
      <c r="M122" s="37">
        <f t="shared" si="8"/>
        <v>45034</v>
      </c>
      <c r="N122" s="36" t="s">
        <v>29</v>
      </c>
      <c r="O122" s="38">
        <v>45033</v>
      </c>
      <c r="P122" s="39">
        <f t="shared" si="9"/>
        <v>1</v>
      </c>
      <c r="Q122" s="40">
        <f t="shared" si="12"/>
        <v>1</v>
      </c>
      <c r="R122" s="41"/>
      <c r="S122" s="33"/>
      <c r="T122" s="42">
        <v>1</v>
      </c>
      <c r="U122" s="42"/>
    </row>
    <row r="123" spans="1:21" x14ac:dyDescent="0.45">
      <c r="A123" s="62" t="s">
        <v>320</v>
      </c>
      <c r="B123" s="14" t="s">
        <v>37</v>
      </c>
      <c r="C123" s="44" t="s">
        <v>321</v>
      </c>
      <c r="D123" s="16" t="s">
        <v>39</v>
      </c>
      <c r="E123" s="30">
        <v>45032</v>
      </c>
      <c r="F123" s="43">
        <v>45032</v>
      </c>
      <c r="G123" s="47">
        <f t="shared" si="15"/>
        <v>286375.75</v>
      </c>
      <c r="H123" s="294">
        <f t="shared" si="16"/>
        <v>153729</v>
      </c>
      <c r="I123" s="292">
        <f t="shared" si="13"/>
        <v>11111224.5</v>
      </c>
      <c r="J123" s="57">
        <f t="shared" si="14"/>
        <v>4905402.166666667</v>
      </c>
      <c r="K123" s="35">
        <v>0</v>
      </c>
      <c r="L123" s="36" t="s">
        <v>24</v>
      </c>
      <c r="M123" s="37">
        <f t="shared" si="8"/>
        <v>45034</v>
      </c>
      <c r="N123" s="36" t="s">
        <v>29</v>
      </c>
      <c r="O123" s="38">
        <v>45033</v>
      </c>
      <c r="P123" s="39">
        <f t="shared" si="9"/>
        <v>1</v>
      </c>
      <c r="Q123" s="40">
        <f t="shared" si="12"/>
        <v>1</v>
      </c>
      <c r="R123" s="41"/>
      <c r="S123" s="33"/>
      <c r="T123" s="42">
        <v>1</v>
      </c>
      <c r="U123" s="42"/>
    </row>
    <row r="124" spans="1:21" x14ac:dyDescent="0.45">
      <c r="A124" s="62" t="s">
        <v>322</v>
      </c>
      <c r="B124" s="14" t="s">
        <v>37</v>
      </c>
      <c r="C124" s="44" t="s">
        <v>323</v>
      </c>
      <c r="D124" s="16" t="s">
        <v>39</v>
      </c>
      <c r="E124" s="30">
        <v>45032</v>
      </c>
      <c r="F124" s="43">
        <v>45032</v>
      </c>
      <c r="G124" s="47">
        <f t="shared" si="15"/>
        <v>286375.75</v>
      </c>
      <c r="H124" s="294">
        <f t="shared" si="16"/>
        <v>153729</v>
      </c>
      <c r="I124" s="292">
        <f t="shared" si="13"/>
        <v>11111224.5</v>
      </c>
      <c r="J124" s="57">
        <f t="shared" si="14"/>
        <v>4905402.166666667</v>
      </c>
      <c r="K124" s="35">
        <v>0</v>
      </c>
      <c r="L124" s="36" t="s">
        <v>24</v>
      </c>
      <c r="M124" s="37">
        <f t="shared" si="8"/>
        <v>45034</v>
      </c>
      <c r="N124" s="36" t="s">
        <v>29</v>
      </c>
      <c r="O124" s="38">
        <v>45033</v>
      </c>
      <c r="P124" s="39">
        <f t="shared" si="9"/>
        <v>1</v>
      </c>
      <c r="Q124" s="40">
        <f t="shared" si="12"/>
        <v>1</v>
      </c>
      <c r="R124" s="41"/>
      <c r="S124" s="33"/>
      <c r="T124" s="42">
        <v>2</v>
      </c>
      <c r="U124" s="42"/>
    </row>
    <row r="125" spans="1:21" x14ac:dyDescent="0.45">
      <c r="A125" s="62" t="s">
        <v>324</v>
      </c>
      <c r="B125" s="14" t="s">
        <v>37</v>
      </c>
      <c r="C125" s="44" t="s">
        <v>325</v>
      </c>
      <c r="D125" s="16" t="s">
        <v>39</v>
      </c>
      <c r="E125" s="30">
        <v>45030</v>
      </c>
      <c r="F125" s="43">
        <v>45031</v>
      </c>
      <c r="G125" s="47">
        <f t="shared" si="15"/>
        <v>286375.75</v>
      </c>
      <c r="H125" s="294">
        <f t="shared" si="16"/>
        <v>153729</v>
      </c>
      <c r="I125" s="292">
        <f t="shared" si="13"/>
        <v>11111224.5</v>
      </c>
      <c r="J125" s="57">
        <f t="shared" si="14"/>
        <v>4905402.166666667</v>
      </c>
      <c r="K125" s="35">
        <v>0</v>
      </c>
      <c r="L125" s="36" t="s">
        <v>24</v>
      </c>
      <c r="M125" s="37">
        <f t="shared" si="8"/>
        <v>45033</v>
      </c>
      <c r="N125" s="36" t="s">
        <v>29</v>
      </c>
      <c r="O125" s="38">
        <v>45033</v>
      </c>
      <c r="P125" s="39">
        <f t="shared" si="9"/>
        <v>3</v>
      </c>
      <c r="Q125" s="40">
        <f t="shared" si="12"/>
        <v>2</v>
      </c>
      <c r="R125" s="87"/>
      <c r="S125" s="87"/>
      <c r="T125" s="88">
        <v>2</v>
      </c>
      <c r="U125" s="88"/>
    </row>
    <row r="126" spans="1:21" x14ac:dyDescent="0.45">
      <c r="A126" s="62" t="s">
        <v>326</v>
      </c>
      <c r="B126" s="14" t="s">
        <v>37</v>
      </c>
      <c r="C126" s="144" t="s">
        <v>327</v>
      </c>
      <c r="D126" s="16" t="s">
        <v>39</v>
      </c>
      <c r="E126" s="30">
        <v>45028</v>
      </c>
      <c r="F126" s="43">
        <v>45031</v>
      </c>
      <c r="G126" s="47">
        <f t="shared" si="15"/>
        <v>286375.75</v>
      </c>
      <c r="H126" s="294">
        <f t="shared" si="16"/>
        <v>153729</v>
      </c>
      <c r="I126" s="292">
        <f t="shared" si="13"/>
        <v>11111224.5</v>
      </c>
      <c r="J126" s="57">
        <f t="shared" si="14"/>
        <v>4905402.166666667</v>
      </c>
      <c r="K126" s="35">
        <v>0</v>
      </c>
      <c r="L126" s="36" t="s">
        <v>24</v>
      </c>
      <c r="M126" s="37">
        <f t="shared" si="8"/>
        <v>45033</v>
      </c>
      <c r="N126" s="36" t="s">
        <v>29</v>
      </c>
      <c r="O126" s="38">
        <v>45033</v>
      </c>
      <c r="P126" s="39">
        <f t="shared" si="9"/>
        <v>5</v>
      </c>
      <c r="Q126" s="40">
        <f t="shared" si="12"/>
        <v>2</v>
      </c>
      <c r="R126" s="33"/>
      <c r="S126" s="33"/>
      <c r="T126" s="42">
        <v>3</v>
      </c>
      <c r="U126" s="42"/>
    </row>
    <row r="127" spans="1:21" x14ac:dyDescent="0.45">
      <c r="A127" s="62" t="s">
        <v>328</v>
      </c>
      <c r="B127" s="14" t="s">
        <v>37</v>
      </c>
      <c r="C127" s="44" t="s">
        <v>329</v>
      </c>
      <c r="D127" s="16" t="s">
        <v>39</v>
      </c>
      <c r="E127" s="30">
        <v>45030</v>
      </c>
      <c r="F127" s="43">
        <v>45031</v>
      </c>
      <c r="G127" s="47">
        <f t="shared" si="15"/>
        <v>286375.75</v>
      </c>
      <c r="H127" s="294">
        <f t="shared" si="16"/>
        <v>153729</v>
      </c>
      <c r="I127" s="292">
        <f t="shared" si="13"/>
        <v>11111224.5</v>
      </c>
      <c r="J127" s="57">
        <f t="shared" si="14"/>
        <v>4905402.166666667</v>
      </c>
      <c r="K127" s="35">
        <v>0</v>
      </c>
      <c r="L127" s="36" t="s">
        <v>24</v>
      </c>
      <c r="M127" s="37">
        <f t="shared" si="8"/>
        <v>45033</v>
      </c>
      <c r="N127" s="36" t="s">
        <v>29</v>
      </c>
      <c r="O127" s="38">
        <v>45033</v>
      </c>
      <c r="P127" s="39">
        <f t="shared" si="9"/>
        <v>3</v>
      </c>
      <c r="Q127" s="40">
        <f t="shared" si="12"/>
        <v>2</v>
      </c>
      <c r="R127" s="33"/>
      <c r="S127" s="33"/>
      <c r="T127" s="42">
        <v>3</v>
      </c>
      <c r="U127" s="42"/>
    </row>
    <row r="128" spans="1:21" x14ac:dyDescent="0.45">
      <c r="A128" s="62" t="s">
        <v>330</v>
      </c>
      <c r="B128" s="14" t="s">
        <v>37</v>
      </c>
      <c r="C128" s="44" t="s">
        <v>331</v>
      </c>
      <c r="D128" s="16" t="s">
        <v>39</v>
      </c>
      <c r="E128" s="30">
        <v>45030</v>
      </c>
      <c r="F128" s="43">
        <v>45031</v>
      </c>
      <c r="G128" s="47">
        <f t="shared" si="15"/>
        <v>286375.75</v>
      </c>
      <c r="H128" s="294">
        <f t="shared" si="16"/>
        <v>153729</v>
      </c>
      <c r="I128" s="292">
        <f t="shared" si="13"/>
        <v>11111224.5</v>
      </c>
      <c r="J128" s="57">
        <f t="shared" si="14"/>
        <v>4905402.166666667</v>
      </c>
      <c r="K128" s="35">
        <v>0</v>
      </c>
      <c r="L128" s="36" t="s">
        <v>24</v>
      </c>
      <c r="M128" s="37">
        <f t="shared" si="8"/>
        <v>45033</v>
      </c>
      <c r="N128" s="36" t="s">
        <v>29</v>
      </c>
      <c r="O128" s="38">
        <v>45033</v>
      </c>
      <c r="P128" s="39">
        <f t="shared" si="9"/>
        <v>3</v>
      </c>
      <c r="Q128" s="40">
        <f t="shared" si="12"/>
        <v>2</v>
      </c>
      <c r="R128" s="33"/>
      <c r="S128" s="33"/>
      <c r="T128" s="42">
        <v>6</v>
      </c>
      <c r="U128" s="42"/>
    </row>
    <row r="129" spans="1:21" x14ac:dyDescent="0.45">
      <c r="A129" s="13" t="s">
        <v>332</v>
      </c>
      <c r="B129" s="14" t="s">
        <v>27</v>
      </c>
      <c r="C129" s="44" t="s">
        <v>333</v>
      </c>
      <c r="D129" s="16" t="s">
        <v>23</v>
      </c>
      <c r="E129" s="17">
        <v>45030</v>
      </c>
      <c r="F129" s="50">
        <v>45031</v>
      </c>
      <c r="G129" s="19">
        <v>1133217</v>
      </c>
      <c r="H129" s="291">
        <v>524131</v>
      </c>
      <c r="I129" s="342">
        <v>1172979</v>
      </c>
      <c r="J129" s="20">
        <v>1657347.6</v>
      </c>
      <c r="K129" s="21">
        <v>0</v>
      </c>
      <c r="L129" s="22" t="s">
        <v>24</v>
      </c>
      <c r="M129" s="23">
        <f t="shared" si="8"/>
        <v>45033</v>
      </c>
      <c r="N129" s="22" t="s">
        <v>29</v>
      </c>
      <c r="O129" s="104">
        <v>45033</v>
      </c>
      <c r="P129" s="25">
        <f t="shared" si="9"/>
        <v>3</v>
      </c>
      <c r="Q129" s="26">
        <f t="shared" si="12"/>
        <v>2</v>
      </c>
      <c r="R129" s="85"/>
      <c r="S129" s="85"/>
      <c r="T129" s="108">
        <v>16</v>
      </c>
      <c r="U129" s="108"/>
    </row>
    <row r="130" spans="1:21" x14ac:dyDescent="0.45">
      <c r="A130" s="29" t="s">
        <v>334</v>
      </c>
      <c r="B130" s="14" t="s">
        <v>27</v>
      </c>
      <c r="C130" s="44" t="s">
        <v>335</v>
      </c>
      <c r="D130" s="16" t="s">
        <v>23</v>
      </c>
      <c r="E130" s="30">
        <v>44489</v>
      </c>
      <c r="F130" s="43">
        <v>45024</v>
      </c>
      <c r="G130" s="32">
        <v>1468060</v>
      </c>
      <c r="H130" s="293">
        <v>512531</v>
      </c>
      <c r="I130" s="292">
        <v>1424150</v>
      </c>
      <c r="J130" s="33">
        <v>1980590.6</v>
      </c>
      <c r="K130" s="35">
        <v>0</v>
      </c>
      <c r="L130" s="36" t="s">
        <v>24</v>
      </c>
      <c r="M130" s="37">
        <f t="shared" ref="M130:M193" si="17">F130+2</f>
        <v>45026</v>
      </c>
      <c r="N130" s="36" t="s">
        <v>29</v>
      </c>
      <c r="O130" s="38">
        <v>45031</v>
      </c>
      <c r="P130" s="39">
        <f t="shared" ref="P130:P193" si="18">O130-E130</f>
        <v>542</v>
      </c>
      <c r="Q130" s="40">
        <f t="shared" si="12"/>
        <v>7</v>
      </c>
      <c r="R130" s="33" t="s">
        <v>336</v>
      </c>
      <c r="S130" s="33"/>
      <c r="T130" s="42">
        <v>8</v>
      </c>
      <c r="U130" s="42"/>
    </row>
    <row r="131" spans="1:21" x14ac:dyDescent="0.45">
      <c r="A131" s="29" t="s">
        <v>337</v>
      </c>
      <c r="B131" s="14" t="s">
        <v>227</v>
      </c>
      <c r="C131" s="15" t="s">
        <v>338</v>
      </c>
      <c r="D131" s="16" t="s">
        <v>23</v>
      </c>
      <c r="E131" s="30">
        <v>45021</v>
      </c>
      <c r="F131" s="43">
        <v>45021</v>
      </c>
      <c r="G131" s="32">
        <v>1551289</v>
      </c>
      <c r="H131" s="293">
        <v>517231</v>
      </c>
      <c r="I131" s="292" t="s">
        <v>339</v>
      </c>
      <c r="J131" s="33">
        <v>2068520</v>
      </c>
      <c r="K131" s="22">
        <v>0</v>
      </c>
      <c r="L131" s="36" t="s">
        <v>24</v>
      </c>
      <c r="M131" s="37">
        <f t="shared" si="17"/>
        <v>45023</v>
      </c>
      <c r="N131" s="36" t="s">
        <v>29</v>
      </c>
      <c r="O131" s="38">
        <v>45035</v>
      </c>
      <c r="P131" s="39">
        <f t="shared" si="18"/>
        <v>14</v>
      </c>
      <c r="Q131" s="40">
        <f t="shared" si="12"/>
        <v>14</v>
      </c>
      <c r="R131" s="33" t="s">
        <v>340</v>
      </c>
      <c r="S131" s="33"/>
      <c r="T131" s="42">
        <v>8</v>
      </c>
      <c r="U131" s="42"/>
    </row>
    <row r="132" spans="1:21" x14ac:dyDescent="0.45">
      <c r="A132" s="29" t="s">
        <v>341</v>
      </c>
      <c r="B132" s="14" t="s">
        <v>195</v>
      </c>
      <c r="C132" s="15" t="s">
        <v>342</v>
      </c>
      <c r="D132" s="16" t="s">
        <v>23</v>
      </c>
      <c r="E132" s="30">
        <v>45021</v>
      </c>
      <c r="F132" s="43">
        <v>45021</v>
      </c>
      <c r="G132" s="32">
        <v>0</v>
      </c>
      <c r="H132" s="296">
        <v>1043761</v>
      </c>
      <c r="I132" s="343">
        <v>771450</v>
      </c>
      <c r="J132" s="61">
        <v>1043761.3</v>
      </c>
      <c r="K132" s="22">
        <v>5</v>
      </c>
      <c r="L132" s="36" t="s">
        <v>24</v>
      </c>
      <c r="M132" s="37">
        <f t="shared" si="17"/>
        <v>45023</v>
      </c>
      <c r="N132" s="36" t="s">
        <v>29</v>
      </c>
      <c r="O132" s="38">
        <v>45039</v>
      </c>
      <c r="P132" s="39">
        <f t="shared" si="18"/>
        <v>18</v>
      </c>
      <c r="Q132" s="40">
        <f t="shared" si="12"/>
        <v>13</v>
      </c>
      <c r="R132" s="33" t="s">
        <v>343</v>
      </c>
      <c r="S132" s="33"/>
      <c r="T132" s="42">
        <v>16</v>
      </c>
      <c r="U132" s="42"/>
    </row>
    <row r="133" spans="1:21" x14ac:dyDescent="0.45">
      <c r="A133" s="62" t="s">
        <v>344</v>
      </c>
      <c r="B133" s="14" t="s">
        <v>117</v>
      </c>
      <c r="C133" s="44" t="s">
        <v>345</v>
      </c>
      <c r="D133" s="16" t="s">
        <v>56</v>
      </c>
      <c r="E133" s="30">
        <v>45023</v>
      </c>
      <c r="F133" s="31">
        <v>45026</v>
      </c>
      <c r="G133" s="63">
        <v>1224129</v>
      </c>
      <c r="H133" s="293">
        <v>779212</v>
      </c>
      <c r="I133" s="344">
        <v>1720383</v>
      </c>
      <c r="J133" s="64">
        <v>2003341</v>
      </c>
      <c r="K133" s="22">
        <v>0</v>
      </c>
      <c r="L133" s="36" t="s">
        <v>24</v>
      </c>
      <c r="M133" s="37">
        <f t="shared" si="17"/>
        <v>45028</v>
      </c>
      <c r="N133" s="36" t="s">
        <v>29</v>
      </c>
      <c r="O133" s="38">
        <v>45036</v>
      </c>
      <c r="P133" s="39">
        <f t="shared" si="18"/>
        <v>13</v>
      </c>
      <c r="Q133" s="40">
        <f t="shared" si="12"/>
        <v>10</v>
      </c>
      <c r="R133" s="33" t="s">
        <v>346</v>
      </c>
      <c r="S133" s="33"/>
      <c r="T133" s="42">
        <v>6</v>
      </c>
      <c r="U133" s="42"/>
    </row>
    <row r="134" spans="1:21" x14ac:dyDescent="0.45">
      <c r="A134" s="62" t="s">
        <v>347</v>
      </c>
      <c r="B134" s="14" t="s">
        <v>94</v>
      </c>
      <c r="C134" s="15" t="s">
        <v>348</v>
      </c>
      <c r="D134" s="16" t="s">
        <v>56</v>
      </c>
      <c r="E134" s="30">
        <v>45024</v>
      </c>
      <c r="F134" s="31">
        <v>45024</v>
      </c>
      <c r="G134" s="63">
        <v>2446369</v>
      </c>
      <c r="H134" s="293">
        <v>706135</v>
      </c>
      <c r="I134" s="344">
        <v>2916457</v>
      </c>
      <c r="J134" s="64">
        <v>3152504</v>
      </c>
      <c r="K134" s="22">
        <v>0</v>
      </c>
      <c r="L134" s="36" t="s">
        <v>24</v>
      </c>
      <c r="M134" s="37">
        <f t="shared" si="17"/>
        <v>45026</v>
      </c>
      <c r="N134" s="36" t="s">
        <v>29</v>
      </c>
      <c r="O134" s="38">
        <v>45036</v>
      </c>
      <c r="P134" s="39">
        <f t="shared" si="18"/>
        <v>12</v>
      </c>
      <c r="Q134" s="40">
        <f t="shared" si="12"/>
        <v>12</v>
      </c>
      <c r="R134" s="33" t="s">
        <v>349</v>
      </c>
      <c r="S134" s="33"/>
      <c r="T134" s="42">
        <v>5</v>
      </c>
      <c r="U134" s="42"/>
    </row>
    <row r="135" spans="1:21" x14ac:dyDescent="0.45">
      <c r="A135" s="29" t="s">
        <v>350</v>
      </c>
      <c r="B135" s="14" t="s">
        <v>51</v>
      </c>
      <c r="C135" s="15" t="s">
        <v>351</v>
      </c>
      <c r="D135" s="16" t="s">
        <v>23</v>
      </c>
      <c r="E135" s="65">
        <v>45027</v>
      </c>
      <c r="F135" s="91">
        <v>45027</v>
      </c>
      <c r="G135" s="84">
        <v>2768537.4</v>
      </c>
      <c r="H135" s="298">
        <v>531031</v>
      </c>
      <c r="I135" s="347">
        <v>2584569</v>
      </c>
      <c r="J135" s="85">
        <v>3299568</v>
      </c>
      <c r="K135" s="102">
        <v>0</v>
      </c>
      <c r="L135" s="71" t="s">
        <v>24</v>
      </c>
      <c r="M135" s="72">
        <f t="shared" si="17"/>
        <v>45029</v>
      </c>
      <c r="N135" s="71" t="s">
        <v>29</v>
      </c>
      <c r="O135" s="73">
        <v>45035</v>
      </c>
      <c r="P135" s="74">
        <f t="shared" si="18"/>
        <v>8</v>
      </c>
      <c r="Q135" s="75">
        <f t="shared" si="12"/>
        <v>8</v>
      </c>
      <c r="R135" s="61" t="s">
        <v>352</v>
      </c>
      <c r="S135" s="61"/>
      <c r="T135" s="77">
        <v>16</v>
      </c>
      <c r="U135" s="77"/>
    </row>
    <row r="136" spans="1:21" x14ac:dyDescent="0.45">
      <c r="A136" s="54" t="s">
        <v>353</v>
      </c>
      <c r="B136" s="14" t="s">
        <v>43</v>
      </c>
      <c r="C136" s="15" t="s">
        <v>354</v>
      </c>
      <c r="D136" s="16" t="s">
        <v>39</v>
      </c>
      <c r="E136" s="30">
        <v>45028</v>
      </c>
      <c r="F136" s="43">
        <v>45028</v>
      </c>
      <c r="G136" s="59">
        <v>643350</v>
      </c>
      <c r="H136" s="295">
        <v>560816</v>
      </c>
      <c r="I136" s="297">
        <v>865150</v>
      </c>
      <c r="J136" s="48">
        <v>1204166</v>
      </c>
      <c r="K136" s="36">
        <v>0</v>
      </c>
      <c r="L136" s="36" t="s">
        <v>24</v>
      </c>
      <c r="M136" s="37">
        <f t="shared" si="17"/>
        <v>45030</v>
      </c>
      <c r="N136" s="36" t="s">
        <v>29</v>
      </c>
      <c r="O136" s="38">
        <v>45040</v>
      </c>
      <c r="P136" s="39">
        <f t="shared" si="18"/>
        <v>12</v>
      </c>
      <c r="Q136" s="40">
        <f t="shared" si="12"/>
        <v>12</v>
      </c>
      <c r="R136" s="33" t="s">
        <v>355</v>
      </c>
      <c r="S136" s="33"/>
      <c r="T136" s="42">
        <v>4</v>
      </c>
      <c r="U136" s="42"/>
    </row>
    <row r="137" spans="1:21" x14ac:dyDescent="0.45">
      <c r="A137" s="13" t="s">
        <v>356</v>
      </c>
      <c r="B137" s="14" t="s">
        <v>227</v>
      </c>
      <c r="C137" s="15" t="s">
        <v>357</v>
      </c>
      <c r="D137" s="16" t="s">
        <v>23</v>
      </c>
      <c r="E137" s="17">
        <v>45028</v>
      </c>
      <c r="F137" s="50">
        <v>45028</v>
      </c>
      <c r="G137" s="84">
        <v>2291810</v>
      </c>
      <c r="H137" s="298">
        <v>517230.6</v>
      </c>
      <c r="I137" s="347">
        <v>1834640</v>
      </c>
      <c r="J137" s="85">
        <v>2809040.6</v>
      </c>
      <c r="K137" s="22">
        <v>0</v>
      </c>
      <c r="L137" s="22" t="s">
        <v>24</v>
      </c>
      <c r="M137" s="23">
        <f t="shared" si="17"/>
        <v>45030</v>
      </c>
      <c r="N137" s="22" t="s">
        <v>29</v>
      </c>
      <c r="O137" s="24">
        <v>45038</v>
      </c>
      <c r="P137" s="25">
        <f t="shared" si="18"/>
        <v>10</v>
      </c>
      <c r="Q137" s="26">
        <f t="shared" si="12"/>
        <v>10</v>
      </c>
      <c r="R137" s="20" t="s">
        <v>358</v>
      </c>
      <c r="S137" s="20"/>
      <c r="T137" s="28">
        <v>10</v>
      </c>
      <c r="U137" s="28"/>
    </row>
    <row r="138" spans="1:21" x14ac:dyDescent="0.45">
      <c r="A138" s="54" t="s">
        <v>359</v>
      </c>
      <c r="B138" s="14" t="s">
        <v>94</v>
      </c>
      <c r="C138" s="15" t="s">
        <v>360</v>
      </c>
      <c r="D138" s="16" t="s">
        <v>56</v>
      </c>
      <c r="E138" s="30">
        <v>45029</v>
      </c>
      <c r="F138" s="31">
        <v>45029</v>
      </c>
      <c r="G138" s="140">
        <v>789529</v>
      </c>
      <c r="H138" s="302">
        <v>758283</v>
      </c>
      <c r="I138" s="344">
        <v>1282445</v>
      </c>
      <c r="J138" s="141">
        <v>1547812</v>
      </c>
      <c r="K138" s="22">
        <v>0</v>
      </c>
      <c r="L138" s="36" t="s">
        <v>24</v>
      </c>
      <c r="M138" s="37">
        <f t="shared" si="17"/>
        <v>45031</v>
      </c>
      <c r="N138" s="36" t="s">
        <v>29</v>
      </c>
      <c r="O138" s="38">
        <v>45035</v>
      </c>
      <c r="P138" s="39">
        <f t="shared" si="18"/>
        <v>6</v>
      </c>
      <c r="Q138" s="40">
        <f t="shared" si="12"/>
        <v>6</v>
      </c>
      <c r="R138" s="33" t="s">
        <v>346</v>
      </c>
      <c r="S138" s="33"/>
      <c r="T138" s="42">
        <v>0</v>
      </c>
      <c r="U138" s="42"/>
    </row>
    <row r="139" spans="1:21" x14ac:dyDescent="0.45">
      <c r="A139" s="54" t="s">
        <v>361</v>
      </c>
      <c r="B139" s="14" t="s">
        <v>117</v>
      </c>
      <c r="C139" s="15" t="s">
        <v>362</v>
      </c>
      <c r="D139" s="16" t="s">
        <v>56</v>
      </c>
      <c r="E139" s="30">
        <v>45029</v>
      </c>
      <c r="F139" s="31">
        <v>45029</v>
      </c>
      <c r="G139" s="145">
        <v>2123173</v>
      </c>
      <c r="H139" s="309">
        <v>668251</v>
      </c>
      <c r="I139" s="309">
        <v>2534033</v>
      </c>
      <c r="J139" s="146">
        <v>2791424</v>
      </c>
      <c r="K139" s="22">
        <v>0</v>
      </c>
      <c r="L139" s="36" t="s">
        <v>24</v>
      </c>
      <c r="M139" s="37">
        <f t="shared" si="17"/>
        <v>45031</v>
      </c>
      <c r="N139" s="36" t="s">
        <v>29</v>
      </c>
      <c r="O139" s="38">
        <v>45037</v>
      </c>
      <c r="P139" s="39">
        <f t="shared" si="18"/>
        <v>8</v>
      </c>
      <c r="Q139" s="40">
        <f t="shared" si="12"/>
        <v>8</v>
      </c>
      <c r="R139" s="33" t="s">
        <v>280</v>
      </c>
      <c r="S139" s="33"/>
      <c r="T139" s="42">
        <v>7</v>
      </c>
      <c r="U139" s="42"/>
    </row>
    <row r="140" spans="1:21" x14ac:dyDescent="0.45">
      <c r="A140" s="29" t="s">
        <v>363</v>
      </c>
      <c r="B140" s="14" t="s">
        <v>79</v>
      </c>
      <c r="C140" s="15" t="s">
        <v>364</v>
      </c>
      <c r="D140" s="16" t="s">
        <v>23</v>
      </c>
      <c r="E140" s="30">
        <v>45029</v>
      </c>
      <c r="F140" s="43">
        <v>45029</v>
      </c>
      <c r="G140" s="84">
        <v>2281809</v>
      </c>
      <c r="H140" s="298">
        <v>517231</v>
      </c>
      <c r="I140" s="347">
        <v>2140699</v>
      </c>
      <c r="J140" s="85">
        <v>2725939.6</v>
      </c>
      <c r="K140" s="22">
        <v>0</v>
      </c>
      <c r="L140" s="36" t="s">
        <v>24</v>
      </c>
      <c r="M140" s="37">
        <f t="shared" si="17"/>
        <v>45031</v>
      </c>
      <c r="N140" s="36" t="s">
        <v>29</v>
      </c>
      <c r="O140" s="38">
        <v>45037</v>
      </c>
      <c r="P140" s="39">
        <f t="shared" si="18"/>
        <v>8</v>
      </c>
      <c r="Q140" s="40">
        <f t="shared" si="12"/>
        <v>8</v>
      </c>
      <c r="R140" s="33" t="s">
        <v>365</v>
      </c>
      <c r="S140" s="33"/>
      <c r="T140" s="42">
        <v>5</v>
      </c>
      <c r="U140" s="42"/>
    </row>
    <row r="141" spans="1:21" x14ac:dyDescent="0.45">
      <c r="A141" s="138" t="s">
        <v>366</v>
      </c>
      <c r="B141" s="14" t="s">
        <v>58</v>
      </c>
      <c r="C141" s="15" t="s">
        <v>367</v>
      </c>
      <c r="D141" s="16" t="s">
        <v>56</v>
      </c>
      <c r="E141" s="30">
        <v>45029</v>
      </c>
      <c r="F141" s="31">
        <v>45029</v>
      </c>
      <c r="G141" s="63">
        <v>2123173</v>
      </c>
      <c r="H141" s="293">
        <v>668251</v>
      </c>
      <c r="I141" s="344">
        <v>2534033</v>
      </c>
      <c r="J141" s="64">
        <v>2791424</v>
      </c>
      <c r="K141" s="22">
        <v>0</v>
      </c>
      <c r="L141" s="36" t="s">
        <v>24</v>
      </c>
      <c r="M141" s="37">
        <f t="shared" si="17"/>
        <v>45031</v>
      </c>
      <c r="N141" s="36" t="s">
        <v>29</v>
      </c>
      <c r="O141" s="38">
        <v>45040</v>
      </c>
      <c r="P141" s="39">
        <f t="shared" si="18"/>
        <v>11</v>
      </c>
      <c r="Q141" s="40">
        <f t="shared" si="12"/>
        <v>11</v>
      </c>
      <c r="R141" s="33" t="s">
        <v>346</v>
      </c>
      <c r="S141" s="87"/>
      <c r="T141" s="88">
        <v>7</v>
      </c>
      <c r="U141" s="88"/>
    </row>
    <row r="142" spans="1:21" x14ac:dyDescent="0.45">
      <c r="A142" s="138" t="s">
        <v>368</v>
      </c>
      <c r="B142" s="14" t="s">
        <v>117</v>
      </c>
      <c r="C142" s="15" t="s">
        <v>369</v>
      </c>
      <c r="D142" s="16" t="s">
        <v>56</v>
      </c>
      <c r="E142" s="30">
        <v>45030</v>
      </c>
      <c r="F142" s="31">
        <v>45030</v>
      </c>
      <c r="G142" s="63">
        <v>789529</v>
      </c>
      <c r="H142" s="293">
        <v>727953</v>
      </c>
      <c r="I142" s="344">
        <v>1234524</v>
      </c>
      <c r="J142" s="64">
        <v>1517482</v>
      </c>
      <c r="K142" s="22">
        <v>0</v>
      </c>
      <c r="L142" s="36" t="s">
        <v>24</v>
      </c>
      <c r="M142" s="37">
        <f t="shared" si="17"/>
        <v>45032</v>
      </c>
      <c r="N142" s="36" t="s">
        <v>29</v>
      </c>
      <c r="O142" s="38">
        <v>45036</v>
      </c>
      <c r="P142" s="39">
        <f t="shared" si="18"/>
        <v>6</v>
      </c>
      <c r="Q142" s="40">
        <f t="shared" si="12"/>
        <v>6</v>
      </c>
      <c r="R142" s="33" t="s">
        <v>346</v>
      </c>
      <c r="S142" s="87"/>
      <c r="T142" s="88">
        <v>3</v>
      </c>
      <c r="U142" s="88"/>
    </row>
    <row r="143" spans="1:21" x14ac:dyDescent="0.45">
      <c r="A143" s="29" t="s">
        <v>370</v>
      </c>
      <c r="B143" s="14" t="s">
        <v>27</v>
      </c>
      <c r="C143" s="15" t="s">
        <v>371</v>
      </c>
      <c r="D143" s="16" t="s">
        <v>23</v>
      </c>
      <c r="E143" s="30">
        <v>45031</v>
      </c>
      <c r="F143" s="43">
        <v>45031</v>
      </c>
      <c r="G143" s="19">
        <v>400273</v>
      </c>
      <c r="H143" s="291">
        <v>547531</v>
      </c>
      <c r="I143" s="342">
        <v>637375</v>
      </c>
      <c r="J143" s="20">
        <v>947803.6</v>
      </c>
      <c r="K143" s="22">
        <v>0</v>
      </c>
      <c r="L143" s="36" t="s">
        <v>24</v>
      </c>
      <c r="M143" s="37">
        <f t="shared" si="17"/>
        <v>45033</v>
      </c>
      <c r="N143" s="36" t="s">
        <v>29</v>
      </c>
      <c r="O143" s="38">
        <v>45036</v>
      </c>
      <c r="P143" s="39">
        <f t="shared" si="18"/>
        <v>5</v>
      </c>
      <c r="Q143" s="40">
        <f t="shared" si="12"/>
        <v>5</v>
      </c>
      <c r="R143" s="33"/>
      <c r="S143" s="87"/>
      <c r="T143" s="88">
        <v>13</v>
      </c>
      <c r="U143" s="88"/>
    </row>
    <row r="144" spans="1:21" x14ac:dyDescent="0.45">
      <c r="A144" s="29" t="s">
        <v>372</v>
      </c>
      <c r="B144" s="14" t="s">
        <v>27</v>
      </c>
      <c r="C144" s="15" t="s">
        <v>373</v>
      </c>
      <c r="D144" s="16" t="s">
        <v>23</v>
      </c>
      <c r="E144" s="30">
        <v>45031</v>
      </c>
      <c r="F144" s="43">
        <v>45031</v>
      </c>
      <c r="G144" s="32">
        <v>0</v>
      </c>
      <c r="H144" s="293">
        <v>787762.6</v>
      </c>
      <c r="I144" s="292">
        <v>563095</v>
      </c>
      <c r="J144" s="33">
        <v>787762.6</v>
      </c>
      <c r="K144" s="22">
        <v>0</v>
      </c>
      <c r="L144" s="36" t="s">
        <v>24</v>
      </c>
      <c r="M144" s="37">
        <f t="shared" si="17"/>
        <v>45033</v>
      </c>
      <c r="N144" s="36" t="s">
        <v>29</v>
      </c>
      <c r="O144" s="38">
        <v>45037</v>
      </c>
      <c r="P144" s="39">
        <f t="shared" si="18"/>
        <v>6</v>
      </c>
      <c r="Q144" s="40">
        <f t="shared" si="12"/>
        <v>6</v>
      </c>
      <c r="R144" s="33" t="s">
        <v>295</v>
      </c>
      <c r="S144" s="87"/>
      <c r="T144" s="88">
        <v>17</v>
      </c>
      <c r="U144" s="88"/>
    </row>
    <row r="145" spans="1:21" x14ac:dyDescent="0.45">
      <c r="A145" s="29" t="s">
        <v>374</v>
      </c>
      <c r="B145" s="14" t="s">
        <v>69</v>
      </c>
      <c r="C145" s="15" t="s">
        <v>375</v>
      </c>
      <c r="D145" s="16" t="s">
        <v>23</v>
      </c>
      <c r="E145" s="30">
        <v>45032</v>
      </c>
      <c r="F145" s="43">
        <v>45032</v>
      </c>
      <c r="G145" s="32">
        <v>0</v>
      </c>
      <c r="H145" s="292">
        <v>796240.6</v>
      </c>
      <c r="I145" s="292" t="s">
        <v>376</v>
      </c>
      <c r="J145" s="33">
        <v>796240.6</v>
      </c>
      <c r="K145" s="22">
        <v>0</v>
      </c>
      <c r="L145" s="36" t="s">
        <v>24</v>
      </c>
      <c r="M145" s="37">
        <f t="shared" si="17"/>
        <v>45034</v>
      </c>
      <c r="N145" s="36" t="s">
        <v>29</v>
      </c>
      <c r="O145" s="38">
        <v>45040</v>
      </c>
      <c r="P145" s="39">
        <f t="shared" si="18"/>
        <v>8</v>
      </c>
      <c r="Q145" s="40">
        <f t="shared" si="12"/>
        <v>8</v>
      </c>
      <c r="R145" s="33"/>
      <c r="S145" s="87"/>
      <c r="T145" s="88">
        <v>3</v>
      </c>
      <c r="U145" s="88"/>
    </row>
    <row r="146" spans="1:21" x14ac:dyDescent="0.45">
      <c r="A146" s="29" t="s">
        <v>377</v>
      </c>
      <c r="B146" s="14" t="s">
        <v>27</v>
      </c>
      <c r="C146" s="15" t="s">
        <v>378</v>
      </c>
      <c r="D146" s="16" t="s">
        <v>23</v>
      </c>
      <c r="E146" s="65">
        <v>45032</v>
      </c>
      <c r="F146" s="91">
        <v>45032</v>
      </c>
      <c r="G146" s="32">
        <v>0</v>
      </c>
      <c r="H146" s="296">
        <v>602828.6</v>
      </c>
      <c r="I146" s="343">
        <v>391355</v>
      </c>
      <c r="J146" s="61">
        <v>602828.6</v>
      </c>
      <c r="K146" s="102">
        <v>0</v>
      </c>
      <c r="L146" s="71" t="s">
        <v>24</v>
      </c>
      <c r="M146" s="72">
        <f t="shared" si="17"/>
        <v>45034</v>
      </c>
      <c r="N146" s="71" t="s">
        <v>29</v>
      </c>
      <c r="O146" s="73">
        <v>45035</v>
      </c>
      <c r="P146" s="74">
        <f t="shared" si="18"/>
        <v>3</v>
      </c>
      <c r="Q146" s="75">
        <f t="shared" si="12"/>
        <v>3</v>
      </c>
      <c r="R146" s="61"/>
      <c r="S146" s="92"/>
      <c r="T146" s="93">
        <v>2</v>
      </c>
      <c r="U146" s="93"/>
    </row>
    <row r="147" spans="1:21" x14ac:dyDescent="0.45">
      <c r="A147" s="62" t="s">
        <v>379</v>
      </c>
      <c r="B147" s="14" t="s">
        <v>43</v>
      </c>
      <c r="C147" s="15" t="s">
        <v>380</v>
      </c>
      <c r="D147" s="16" t="s">
        <v>39</v>
      </c>
      <c r="E147" s="30">
        <v>45032</v>
      </c>
      <c r="F147" s="43">
        <v>45032</v>
      </c>
      <c r="G147" s="147">
        <v>0</v>
      </c>
      <c r="H147" s="310">
        <v>620941</v>
      </c>
      <c r="I147" s="297">
        <v>391875</v>
      </c>
      <c r="J147" s="48">
        <v>620941</v>
      </c>
      <c r="K147" s="36">
        <v>0</v>
      </c>
      <c r="L147" s="36" t="s">
        <v>24</v>
      </c>
      <c r="M147" s="37">
        <f t="shared" si="17"/>
        <v>45034</v>
      </c>
      <c r="N147" s="36" t="s">
        <v>29</v>
      </c>
      <c r="O147" s="38">
        <v>45036</v>
      </c>
      <c r="P147" s="39">
        <f t="shared" si="18"/>
        <v>4</v>
      </c>
      <c r="Q147" s="40">
        <f t="shared" si="12"/>
        <v>4</v>
      </c>
      <c r="R147" s="33"/>
      <c r="S147" s="87"/>
      <c r="T147" s="88">
        <v>6</v>
      </c>
      <c r="U147" s="88"/>
    </row>
    <row r="148" spans="1:21" x14ac:dyDescent="0.45">
      <c r="A148" s="94" t="s">
        <v>381</v>
      </c>
      <c r="B148" s="14" t="s">
        <v>54</v>
      </c>
      <c r="C148" s="15" t="s">
        <v>382</v>
      </c>
      <c r="D148" s="16" t="s">
        <v>56</v>
      </c>
      <c r="E148" s="17">
        <v>45032</v>
      </c>
      <c r="F148" s="18">
        <v>45032</v>
      </c>
      <c r="G148" s="81">
        <v>789529</v>
      </c>
      <c r="H148" s="291">
        <v>747407</v>
      </c>
      <c r="I148" s="346">
        <v>1248114</v>
      </c>
      <c r="J148" s="82">
        <v>1536936</v>
      </c>
      <c r="K148" s="22">
        <v>0</v>
      </c>
      <c r="L148" s="22" t="s">
        <v>24</v>
      </c>
      <c r="M148" s="23">
        <f t="shared" si="17"/>
        <v>45034</v>
      </c>
      <c r="N148" s="22" t="s">
        <v>29</v>
      </c>
      <c r="O148" s="24">
        <v>45035</v>
      </c>
      <c r="P148" s="25">
        <f t="shared" si="18"/>
        <v>3</v>
      </c>
      <c r="Q148" s="26">
        <f t="shared" si="12"/>
        <v>3</v>
      </c>
      <c r="R148" s="20"/>
      <c r="S148" s="51"/>
      <c r="T148" s="53">
        <v>5</v>
      </c>
      <c r="U148" s="53"/>
    </row>
    <row r="149" spans="1:21" x14ac:dyDescent="0.45">
      <c r="A149" s="29" t="s">
        <v>383</v>
      </c>
      <c r="B149" s="14" t="s">
        <v>21</v>
      </c>
      <c r="C149" s="15" t="s">
        <v>384</v>
      </c>
      <c r="D149" s="16" t="s">
        <v>23</v>
      </c>
      <c r="E149" s="30">
        <v>45032</v>
      </c>
      <c r="F149" s="43">
        <v>45032</v>
      </c>
      <c r="G149" s="19">
        <v>1775359</v>
      </c>
      <c r="H149" s="291">
        <v>517231</v>
      </c>
      <c r="I149" s="342">
        <v>1707349</v>
      </c>
      <c r="J149" s="20">
        <v>2292589.6</v>
      </c>
      <c r="K149" s="22">
        <v>0</v>
      </c>
      <c r="L149" s="36" t="s">
        <v>24</v>
      </c>
      <c r="M149" s="37">
        <f t="shared" si="17"/>
        <v>45034</v>
      </c>
      <c r="N149" s="36" t="s">
        <v>29</v>
      </c>
      <c r="O149" s="38">
        <v>45036</v>
      </c>
      <c r="P149" s="39">
        <f t="shared" si="18"/>
        <v>4</v>
      </c>
      <c r="Q149" s="40">
        <f t="shared" si="12"/>
        <v>4</v>
      </c>
      <c r="R149" s="33"/>
      <c r="S149" s="87"/>
      <c r="T149" s="88">
        <v>4</v>
      </c>
      <c r="U149" s="88"/>
    </row>
    <row r="150" spans="1:21" x14ac:dyDescent="0.45">
      <c r="A150" s="29" t="s">
        <v>385</v>
      </c>
      <c r="B150" s="14" t="s">
        <v>69</v>
      </c>
      <c r="C150" s="15" t="s">
        <v>386</v>
      </c>
      <c r="D150" s="16" t="s">
        <v>23</v>
      </c>
      <c r="E150" s="65">
        <v>45033</v>
      </c>
      <c r="F150" s="91">
        <v>45033</v>
      </c>
      <c r="G150" s="32">
        <v>0</v>
      </c>
      <c r="H150" s="296">
        <v>625749.6</v>
      </c>
      <c r="I150" s="343">
        <v>416475</v>
      </c>
      <c r="J150" s="61">
        <v>625749.6</v>
      </c>
      <c r="K150" s="102">
        <v>0</v>
      </c>
      <c r="L150" s="71" t="s">
        <v>24</v>
      </c>
      <c r="M150" s="72">
        <f t="shared" si="17"/>
        <v>45035</v>
      </c>
      <c r="N150" s="71" t="s">
        <v>29</v>
      </c>
      <c r="O150" s="73">
        <v>45038</v>
      </c>
      <c r="P150" s="74">
        <f t="shared" si="18"/>
        <v>5</v>
      </c>
      <c r="Q150" s="75">
        <f t="shared" ref="Q150:Q181" si="19">O150-F150-K150</f>
        <v>5</v>
      </c>
      <c r="R150" s="61"/>
      <c r="S150" s="92"/>
      <c r="T150" s="93">
        <v>0</v>
      </c>
      <c r="U150" s="93"/>
    </row>
    <row r="151" spans="1:21" x14ac:dyDescent="0.45">
      <c r="A151" s="62" t="s">
        <v>387</v>
      </c>
      <c r="B151" s="14" t="s">
        <v>388</v>
      </c>
      <c r="C151" s="15" t="s">
        <v>389</v>
      </c>
      <c r="D151" s="16" t="s">
        <v>390</v>
      </c>
      <c r="E151" s="30">
        <v>45033</v>
      </c>
      <c r="F151" s="43">
        <v>45033</v>
      </c>
      <c r="G151" s="47">
        <v>424506</v>
      </c>
      <c r="H151" s="307">
        <v>373752</v>
      </c>
      <c r="I151" s="351">
        <v>545786</v>
      </c>
      <c r="J151" s="148">
        <v>798258</v>
      </c>
      <c r="K151" s="36">
        <v>0</v>
      </c>
      <c r="L151" s="36" t="s">
        <v>24</v>
      </c>
      <c r="M151" s="37">
        <f t="shared" si="17"/>
        <v>45035</v>
      </c>
      <c r="N151" s="36" t="s">
        <v>29</v>
      </c>
      <c r="O151" s="38">
        <v>45039</v>
      </c>
      <c r="P151" s="39">
        <f t="shared" si="18"/>
        <v>6</v>
      </c>
      <c r="Q151" s="40">
        <f t="shared" si="19"/>
        <v>6</v>
      </c>
      <c r="R151" s="33" t="s">
        <v>391</v>
      </c>
      <c r="S151" s="87"/>
      <c r="T151" s="88">
        <v>12</v>
      </c>
      <c r="U151" s="88"/>
    </row>
    <row r="152" spans="1:21" x14ac:dyDescent="0.45">
      <c r="A152" s="13" t="s">
        <v>392</v>
      </c>
      <c r="B152" s="14" t="s">
        <v>175</v>
      </c>
      <c r="C152" s="15" t="s">
        <v>393</v>
      </c>
      <c r="D152" s="16" t="s">
        <v>23</v>
      </c>
      <c r="E152" s="17">
        <v>45033</v>
      </c>
      <c r="F152" s="50">
        <v>45033</v>
      </c>
      <c r="G152" s="19">
        <v>2268499</v>
      </c>
      <c r="H152" s="291">
        <v>495731</v>
      </c>
      <c r="I152" s="342">
        <v>1717159</v>
      </c>
      <c r="J152" s="20">
        <v>2172679.6</v>
      </c>
      <c r="K152" s="22">
        <v>0</v>
      </c>
      <c r="L152" s="22" t="s">
        <v>24</v>
      </c>
      <c r="M152" s="23">
        <f t="shared" si="17"/>
        <v>45035</v>
      </c>
      <c r="N152" s="22" t="s">
        <v>29</v>
      </c>
      <c r="O152" s="24">
        <v>45039</v>
      </c>
      <c r="P152" s="25">
        <f t="shared" si="18"/>
        <v>6</v>
      </c>
      <c r="Q152" s="26">
        <f t="shared" si="19"/>
        <v>6</v>
      </c>
      <c r="R152" s="20" t="s">
        <v>394</v>
      </c>
      <c r="S152" s="51"/>
      <c r="T152" s="53">
        <v>3</v>
      </c>
      <c r="U152" s="53"/>
    </row>
    <row r="153" spans="1:21" x14ac:dyDescent="0.45">
      <c r="A153" s="29" t="s">
        <v>395</v>
      </c>
      <c r="B153" s="14" t="s">
        <v>48</v>
      </c>
      <c r="C153" s="15" t="s">
        <v>396</v>
      </c>
      <c r="D153" s="16" t="s">
        <v>23</v>
      </c>
      <c r="E153" s="65">
        <v>45031</v>
      </c>
      <c r="F153" s="91">
        <v>45031</v>
      </c>
      <c r="G153" s="32">
        <v>0</v>
      </c>
      <c r="H153" s="296">
        <v>0</v>
      </c>
      <c r="I153" s="343" t="s">
        <v>397</v>
      </c>
      <c r="J153" s="61" t="s">
        <v>398</v>
      </c>
      <c r="K153" s="102">
        <v>0</v>
      </c>
      <c r="L153" s="71" t="s">
        <v>24</v>
      </c>
      <c r="M153" s="72">
        <f t="shared" si="17"/>
        <v>45033</v>
      </c>
      <c r="N153" s="71" t="s">
        <v>29</v>
      </c>
      <c r="O153" s="73">
        <v>45034</v>
      </c>
      <c r="P153" s="74">
        <f t="shared" si="18"/>
        <v>3</v>
      </c>
      <c r="Q153" s="75">
        <f t="shared" si="19"/>
        <v>3</v>
      </c>
      <c r="R153" s="61"/>
      <c r="S153" s="61"/>
      <c r="T153" s="77">
        <v>8</v>
      </c>
      <c r="U153" s="77"/>
    </row>
    <row r="154" spans="1:21" x14ac:dyDescent="0.45">
      <c r="A154" s="54" t="s">
        <v>399</v>
      </c>
      <c r="B154" s="14" t="s">
        <v>128</v>
      </c>
      <c r="C154" s="15" t="s">
        <v>400</v>
      </c>
      <c r="D154" s="16" t="s">
        <v>39</v>
      </c>
      <c r="E154" s="30">
        <v>45033</v>
      </c>
      <c r="F154" s="43">
        <v>45033</v>
      </c>
      <c r="G154" s="55">
        <v>0</v>
      </c>
      <c r="H154" s="292">
        <v>559170.6</v>
      </c>
      <c r="I154" s="292">
        <v>341100</v>
      </c>
      <c r="J154" s="57">
        <v>559170.6</v>
      </c>
      <c r="K154" s="36">
        <v>0</v>
      </c>
      <c r="L154" s="36" t="s">
        <v>24</v>
      </c>
      <c r="M154" s="37">
        <f t="shared" si="17"/>
        <v>45035</v>
      </c>
      <c r="N154" s="36" t="s">
        <v>29</v>
      </c>
      <c r="O154" s="38">
        <v>45035</v>
      </c>
      <c r="P154" s="39">
        <f t="shared" si="18"/>
        <v>2</v>
      </c>
      <c r="Q154" s="40">
        <f t="shared" si="19"/>
        <v>2</v>
      </c>
      <c r="R154" s="33"/>
      <c r="S154" s="33"/>
      <c r="T154" s="42">
        <v>4</v>
      </c>
      <c r="U154" s="42"/>
    </row>
    <row r="155" spans="1:21" x14ac:dyDescent="0.45">
      <c r="A155" s="80" t="s">
        <v>401</v>
      </c>
      <c r="B155" s="14" t="s">
        <v>58</v>
      </c>
      <c r="C155" s="15" t="s">
        <v>402</v>
      </c>
      <c r="D155" s="16" t="s">
        <v>56</v>
      </c>
      <c r="E155" s="17">
        <v>45033</v>
      </c>
      <c r="F155" s="18">
        <v>45033</v>
      </c>
      <c r="G155" s="81">
        <v>1097500</v>
      </c>
      <c r="H155" s="291">
        <v>1086604</v>
      </c>
      <c r="I155" s="346">
        <v>2184104</v>
      </c>
      <c r="J155" s="82">
        <v>2383677</v>
      </c>
      <c r="K155" s="22">
        <v>0</v>
      </c>
      <c r="L155" s="22" t="s">
        <v>24</v>
      </c>
      <c r="M155" s="23">
        <f t="shared" si="17"/>
        <v>45035</v>
      </c>
      <c r="N155" s="22" t="s">
        <v>29</v>
      </c>
      <c r="O155" s="24">
        <v>45041</v>
      </c>
      <c r="P155" s="25">
        <f t="shared" si="18"/>
        <v>8</v>
      </c>
      <c r="Q155" s="26">
        <f t="shared" si="19"/>
        <v>8</v>
      </c>
      <c r="R155" s="20" t="s">
        <v>403</v>
      </c>
      <c r="S155" s="20"/>
      <c r="T155" s="28">
        <v>8</v>
      </c>
      <c r="U155" s="28"/>
    </row>
    <row r="156" spans="1:21" x14ac:dyDescent="0.45">
      <c r="A156" s="54" t="s">
        <v>404</v>
      </c>
      <c r="B156" s="14" t="s">
        <v>27</v>
      </c>
      <c r="C156" s="15" t="s">
        <v>405</v>
      </c>
      <c r="D156" s="16" t="s">
        <v>406</v>
      </c>
      <c r="E156" s="30">
        <v>45033</v>
      </c>
      <c r="F156" s="30">
        <v>45033</v>
      </c>
      <c r="G156" s="149">
        <v>2096839</v>
      </c>
      <c r="H156" s="311">
        <v>385916</v>
      </c>
      <c r="I156" s="352">
        <v>1801035</v>
      </c>
      <c r="J156" s="151">
        <v>2482755</v>
      </c>
      <c r="K156" s="22">
        <v>0</v>
      </c>
      <c r="L156" s="36" t="s">
        <v>24</v>
      </c>
      <c r="M156" s="37">
        <f t="shared" si="17"/>
        <v>45035</v>
      </c>
      <c r="N156" s="36" t="s">
        <v>29</v>
      </c>
      <c r="O156" s="38">
        <v>45036</v>
      </c>
      <c r="P156" s="39">
        <f t="shared" si="18"/>
        <v>3</v>
      </c>
      <c r="Q156" s="40">
        <f t="shared" si="19"/>
        <v>3</v>
      </c>
      <c r="R156" s="33"/>
      <c r="S156" s="33"/>
      <c r="T156" s="42">
        <v>7</v>
      </c>
      <c r="U156" s="42"/>
    </row>
    <row r="157" spans="1:21" x14ac:dyDescent="0.45">
      <c r="A157" s="54" t="s">
        <v>407</v>
      </c>
      <c r="B157" s="14" t="s">
        <v>69</v>
      </c>
      <c r="C157" s="15" t="s">
        <v>408</v>
      </c>
      <c r="D157" s="16" t="s">
        <v>406</v>
      </c>
      <c r="E157" s="30">
        <v>45033</v>
      </c>
      <c r="F157" s="30">
        <v>45033</v>
      </c>
      <c r="G157" s="19">
        <v>0</v>
      </c>
      <c r="H157" s="312"/>
      <c r="I157" s="353">
        <v>0</v>
      </c>
      <c r="J157" s="152">
        <v>0</v>
      </c>
      <c r="K157" s="22">
        <v>0</v>
      </c>
      <c r="L157" s="36" t="s">
        <v>24</v>
      </c>
      <c r="M157" s="37">
        <f t="shared" si="17"/>
        <v>45035</v>
      </c>
      <c r="N157" s="36" t="s">
        <v>29</v>
      </c>
      <c r="O157" s="38">
        <v>45036</v>
      </c>
      <c r="P157" s="39">
        <f t="shared" si="18"/>
        <v>3</v>
      </c>
      <c r="Q157" s="40">
        <f t="shared" si="19"/>
        <v>3</v>
      </c>
      <c r="R157" s="33"/>
      <c r="S157" s="33"/>
      <c r="T157" s="42">
        <v>0</v>
      </c>
      <c r="U157" s="42"/>
    </row>
    <row r="158" spans="1:21" x14ac:dyDescent="0.45">
      <c r="A158" s="29" t="s">
        <v>409</v>
      </c>
      <c r="B158" s="14" t="s">
        <v>410</v>
      </c>
      <c r="C158" s="15" t="s">
        <v>411</v>
      </c>
      <c r="D158" s="16" t="s">
        <v>23</v>
      </c>
      <c r="E158" s="30">
        <v>45034</v>
      </c>
      <c r="F158" s="43">
        <v>45034</v>
      </c>
      <c r="G158" s="32">
        <v>0</v>
      </c>
      <c r="H158" s="293">
        <v>793813</v>
      </c>
      <c r="I158" s="292">
        <v>518570</v>
      </c>
      <c r="J158" s="33">
        <v>793813.3</v>
      </c>
      <c r="K158" s="22">
        <v>0</v>
      </c>
      <c r="L158" s="36" t="s">
        <v>24</v>
      </c>
      <c r="M158" s="37">
        <f t="shared" si="17"/>
        <v>45036</v>
      </c>
      <c r="N158" s="36" t="s">
        <v>29</v>
      </c>
      <c r="O158" s="38">
        <v>45041</v>
      </c>
      <c r="P158" s="39">
        <f t="shared" si="18"/>
        <v>7</v>
      </c>
      <c r="Q158" s="40">
        <f t="shared" si="19"/>
        <v>7</v>
      </c>
      <c r="R158" s="33" t="s">
        <v>412</v>
      </c>
      <c r="S158" s="33"/>
      <c r="T158" s="42">
        <v>0</v>
      </c>
      <c r="U158" s="42"/>
    </row>
    <row r="159" spans="1:21" x14ac:dyDescent="0.45">
      <c r="A159" s="54" t="s">
        <v>413</v>
      </c>
      <c r="B159" s="14" t="s">
        <v>27</v>
      </c>
      <c r="C159" s="15" t="s">
        <v>414</v>
      </c>
      <c r="D159" s="16" t="s">
        <v>406</v>
      </c>
      <c r="E159" s="30">
        <v>45034</v>
      </c>
      <c r="F159" s="30">
        <v>45034</v>
      </c>
      <c r="G159" s="153">
        <v>0</v>
      </c>
      <c r="H159" s="313">
        <v>610085.6</v>
      </c>
      <c r="I159" s="325">
        <v>356316</v>
      </c>
      <c r="J159" s="155">
        <v>610085.6</v>
      </c>
      <c r="K159" s="22">
        <v>0</v>
      </c>
      <c r="L159" s="36" t="s">
        <v>24</v>
      </c>
      <c r="M159" s="37">
        <f t="shared" si="17"/>
        <v>45036</v>
      </c>
      <c r="N159" s="36" t="s">
        <v>29</v>
      </c>
      <c r="O159" s="38">
        <v>45034</v>
      </c>
      <c r="P159" s="39">
        <f t="shared" si="18"/>
        <v>0</v>
      </c>
      <c r="Q159" s="40">
        <f t="shared" si="19"/>
        <v>0</v>
      </c>
      <c r="R159" s="33"/>
      <c r="S159" s="33"/>
      <c r="T159" s="42">
        <v>0</v>
      </c>
      <c r="U159" s="42"/>
    </row>
    <row r="160" spans="1:21" x14ac:dyDescent="0.45">
      <c r="A160" s="29" t="s">
        <v>415</v>
      </c>
      <c r="B160" s="14" t="s">
        <v>198</v>
      </c>
      <c r="C160" s="15" t="s">
        <v>416</v>
      </c>
      <c r="D160" s="16" t="s">
        <v>417</v>
      </c>
      <c r="E160" s="65">
        <v>45034</v>
      </c>
      <c r="F160" s="65">
        <v>45034</v>
      </c>
      <c r="G160" s="156">
        <v>1735816</v>
      </c>
      <c r="H160" s="314">
        <v>366734</v>
      </c>
      <c r="I160" s="354">
        <v>1832866</v>
      </c>
      <c r="J160" s="157">
        <v>2102549.6</v>
      </c>
      <c r="K160" s="102">
        <v>0</v>
      </c>
      <c r="L160" s="71" t="s">
        <v>24</v>
      </c>
      <c r="M160" s="72">
        <f t="shared" si="17"/>
        <v>45036</v>
      </c>
      <c r="N160" s="71" t="s">
        <v>29</v>
      </c>
      <c r="O160" s="73">
        <v>45037</v>
      </c>
      <c r="P160" s="74">
        <f t="shared" si="18"/>
        <v>3</v>
      </c>
      <c r="Q160" s="75">
        <f t="shared" si="19"/>
        <v>3</v>
      </c>
      <c r="R160" s="61"/>
      <c r="S160" s="61"/>
      <c r="T160" s="77">
        <v>6</v>
      </c>
      <c r="U160" s="77"/>
    </row>
    <row r="161" spans="1:21" x14ac:dyDescent="0.45">
      <c r="A161" s="54" t="s">
        <v>418</v>
      </c>
      <c r="B161" s="14" t="s">
        <v>128</v>
      </c>
      <c r="C161" s="15" t="s">
        <v>419</v>
      </c>
      <c r="D161" s="16" t="s">
        <v>39</v>
      </c>
      <c r="E161" s="30">
        <v>45034</v>
      </c>
      <c r="F161" s="43">
        <v>45034</v>
      </c>
      <c r="G161" s="55">
        <v>0</v>
      </c>
      <c r="H161" s="294">
        <v>559170.6</v>
      </c>
      <c r="I161" s="292">
        <v>341100</v>
      </c>
      <c r="J161" s="56">
        <v>559170.6</v>
      </c>
      <c r="K161" s="36">
        <v>0</v>
      </c>
      <c r="L161" s="36" t="s">
        <v>24</v>
      </c>
      <c r="M161" s="37">
        <f t="shared" si="17"/>
        <v>45036</v>
      </c>
      <c r="N161" s="36" t="s">
        <v>29</v>
      </c>
      <c r="O161" s="38">
        <v>45037</v>
      </c>
      <c r="P161" s="39">
        <f t="shared" si="18"/>
        <v>3</v>
      </c>
      <c r="Q161" s="40">
        <f t="shared" si="19"/>
        <v>3</v>
      </c>
      <c r="R161" s="33"/>
      <c r="S161" s="33"/>
      <c r="T161" s="42">
        <v>4</v>
      </c>
      <c r="U161" s="42"/>
    </row>
    <row r="162" spans="1:21" x14ac:dyDescent="0.45">
      <c r="A162" s="158" t="s">
        <v>420</v>
      </c>
      <c r="B162" s="14" t="s">
        <v>51</v>
      </c>
      <c r="C162" s="44" t="s">
        <v>421</v>
      </c>
      <c r="D162" s="16" t="s">
        <v>406</v>
      </c>
      <c r="E162" s="17">
        <v>45035</v>
      </c>
      <c r="F162" s="17">
        <v>45035</v>
      </c>
      <c r="G162" s="153">
        <v>0</v>
      </c>
      <c r="H162" s="313">
        <v>559871.6</v>
      </c>
      <c r="I162" s="325">
        <v>329972</v>
      </c>
      <c r="J162" s="155">
        <v>559871.6</v>
      </c>
      <c r="K162" s="22">
        <v>0</v>
      </c>
      <c r="L162" s="22" t="s">
        <v>24</v>
      </c>
      <c r="M162" s="23">
        <f t="shared" si="17"/>
        <v>45037</v>
      </c>
      <c r="N162" s="22" t="s">
        <v>29</v>
      </c>
      <c r="O162" s="24">
        <v>45036</v>
      </c>
      <c r="P162" s="25">
        <f t="shared" si="18"/>
        <v>1</v>
      </c>
      <c r="Q162" s="26">
        <f t="shared" si="19"/>
        <v>1</v>
      </c>
      <c r="R162" s="20" t="s">
        <v>422</v>
      </c>
      <c r="S162" s="20"/>
      <c r="T162" s="28">
        <v>0</v>
      </c>
      <c r="U162" s="28"/>
    </row>
    <row r="163" spans="1:21" x14ac:dyDescent="0.45">
      <c r="A163" s="62" t="s">
        <v>423</v>
      </c>
      <c r="B163" s="14" t="s">
        <v>27</v>
      </c>
      <c r="C163" s="44" t="s">
        <v>424</v>
      </c>
      <c r="D163" s="16" t="s">
        <v>406</v>
      </c>
      <c r="E163" s="30">
        <v>45033</v>
      </c>
      <c r="F163" s="30">
        <v>45035</v>
      </c>
      <c r="G163" s="153">
        <v>0</v>
      </c>
      <c r="H163" s="315" t="s">
        <v>425</v>
      </c>
      <c r="I163" s="355">
        <v>321219</v>
      </c>
      <c r="J163" s="159" t="s">
        <v>425</v>
      </c>
      <c r="K163" s="22">
        <v>0</v>
      </c>
      <c r="L163" s="36" t="s">
        <v>24</v>
      </c>
      <c r="M163" s="37">
        <f t="shared" si="17"/>
        <v>45037</v>
      </c>
      <c r="N163" s="36" t="s">
        <v>29</v>
      </c>
      <c r="O163" s="30">
        <v>45035</v>
      </c>
      <c r="P163" s="39">
        <f t="shared" si="18"/>
        <v>2</v>
      </c>
      <c r="Q163" s="40">
        <f t="shared" si="19"/>
        <v>0</v>
      </c>
      <c r="R163" s="33" t="s">
        <v>422</v>
      </c>
      <c r="S163" s="33"/>
      <c r="T163" s="42">
        <v>0</v>
      </c>
      <c r="U163" s="42"/>
    </row>
    <row r="164" spans="1:21" x14ac:dyDescent="0.45">
      <c r="A164" s="29" t="s">
        <v>426</v>
      </c>
      <c r="B164" s="14" t="s">
        <v>69</v>
      </c>
      <c r="C164" s="44" t="s">
        <v>427</v>
      </c>
      <c r="D164" s="16" t="s">
        <v>23</v>
      </c>
      <c r="E164" s="30">
        <v>45022</v>
      </c>
      <c r="F164" s="43">
        <v>45035</v>
      </c>
      <c r="G164" s="32">
        <v>1073570</v>
      </c>
      <c r="H164" s="293">
        <v>451231</v>
      </c>
      <c r="I164" s="292">
        <v>961180</v>
      </c>
      <c r="J164" s="33">
        <v>1524800.6</v>
      </c>
      <c r="K164" s="22">
        <v>0</v>
      </c>
      <c r="L164" s="36" t="s">
        <v>24</v>
      </c>
      <c r="M164" s="37">
        <f t="shared" si="17"/>
        <v>45037</v>
      </c>
      <c r="N164" s="36" t="s">
        <v>29</v>
      </c>
      <c r="O164" s="38">
        <v>45035</v>
      </c>
      <c r="P164" s="39">
        <f t="shared" si="18"/>
        <v>13</v>
      </c>
      <c r="Q164" s="40">
        <f t="shared" si="19"/>
        <v>0</v>
      </c>
      <c r="R164" s="33"/>
      <c r="S164" s="33"/>
      <c r="T164" s="42">
        <v>9</v>
      </c>
      <c r="U164" s="42"/>
    </row>
    <row r="165" spans="1:21" x14ac:dyDescent="0.45">
      <c r="A165" s="29" t="s">
        <v>428</v>
      </c>
      <c r="B165" s="14" t="s">
        <v>21</v>
      </c>
      <c r="C165" s="44" t="s">
        <v>429</v>
      </c>
      <c r="D165" s="16" t="s">
        <v>23</v>
      </c>
      <c r="E165" s="30">
        <v>45035</v>
      </c>
      <c r="F165" s="43">
        <v>45035</v>
      </c>
      <c r="G165" s="60">
        <v>680697</v>
      </c>
      <c r="H165" s="296">
        <v>487030.6</v>
      </c>
      <c r="I165" s="343">
        <v>809654</v>
      </c>
      <c r="J165" s="61">
        <v>1167727.6000000001</v>
      </c>
      <c r="K165" s="22">
        <v>0</v>
      </c>
      <c r="L165" s="36" t="s">
        <v>24</v>
      </c>
      <c r="M165" s="37">
        <f t="shared" si="17"/>
        <v>45037</v>
      </c>
      <c r="N165" s="36" t="s">
        <v>29</v>
      </c>
      <c r="O165" s="65">
        <v>45036</v>
      </c>
      <c r="P165" s="39">
        <f t="shared" si="18"/>
        <v>1</v>
      </c>
      <c r="Q165" s="40">
        <f t="shared" si="19"/>
        <v>1</v>
      </c>
      <c r="R165" s="33"/>
      <c r="S165" s="61"/>
      <c r="T165" s="77">
        <v>2</v>
      </c>
      <c r="U165" s="77"/>
    </row>
    <row r="166" spans="1:21" x14ac:dyDescent="0.45">
      <c r="A166" s="161" t="s">
        <v>430</v>
      </c>
      <c r="B166" s="14" t="s">
        <v>94</v>
      </c>
      <c r="C166" s="162" t="s">
        <v>431</v>
      </c>
      <c r="D166" s="16" t="s">
        <v>56</v>
      </c>
      <c r="E166" s="30">
        <v>45035</v>
      </c>
      <c r="F166" s="31">
        <v>45035</v>
      </c>
      <c r="G166" s="63">
        <v>789529</v>
      </c>
      <c r="H166" s="293">
        <v>761238</v>
      </c>
      <c r="I166" s="344">
        <v>1267809</v>
      </c>
      <c r="J166" s="64">
        <v>1550767</v>
      </c>
      <c r="K166" s="22">
        <v>0</v>
      </c>
      <c r="L166" s="36" t="s">
        <v>24</v>
      </c>
      <c r="M166" s="37">
        <f t="shared" si="17"/>
        <v>45037</v>
      </c>
      <c r="N166" s="36" t="s">
        <v>29</v>
      </c>
      <c r="O166" s="65">
        <v>45040</v>
      </c>
      <c r="P166" s="39">
        <f t="shared" si="18"/>
        <v>5</v>
      </c>
      <c r="Q166" s="40">
        <f t="shared" si="19"/>
        <v>5</v>
      </c>
      <c r="R166" s="33"/>
      <c r="S166" s="163"/>
      <c r="T166" s="164">
        <v>18</v>
      </c>
      <c r="U166" s="164"/>
    </row>
    <row r="167" spans="1:21" x14ac:dyDescent="0.45">
      <c r="A167" s="54" t="s">
        <v>432</v>
      </c>
      <c r="B167" s="14" t="s">
        <v>27</v>
      </c>
      <c r="C167" s="15" t="s">
        <v>433</v>
      </c>
      <c r="D167" s="16" t="s">
        <v>406</v>
      </c>
      <c r="E167" s="30">
        <v>45036</v>
      </c>
      <c r="F167" s="30">
        <v>45036</v>
      </c>
      <c r="G167" s="153">
        <v>0</v>
      </c>
      <c r="H167" s="316">
        <v>755358</v>
      </c>
      <c r="I167" s="352">
        <v>326209</v>
      </c>
      <c r="J167" s="151">
        <v>755358</v>
      </c>
      <c r="K167" s="22">
        <v>0</v>
      </c>
      <c r="L167" s="36" t="s">
        <v>24</v>
      </c>
      <c r="M167" s="37">
        <f t="shared" si="17"/>
        <v>45038</v>
      </c>
      <c r="N167" s="36" t="s">
        <v>29</v>
      </c>
      <c r="O167" s="38">
        <v>45039</v>
      </c>
      <c r="P167" s="39">
        <f t="shared" si="18"/>
        <v>3</v>
      </c>
      <c r="Q167" s="40">
        <f t="shared" si="19"/>
        <v>3</v>
      </c>
      <c r="R167" s="33"/>
      <c r="S167" s="33"/>
      <c r="T167" s="42">
        <v>0</v>
      </c>
      <c r="U167" s="42"/>
    </row>
    <row r="168" spans="1:21" x14ac:dyDescent="0.45">
      <c r="A168" s="29" t="s">
        <v>434</v>
      </c>
      <c r="B168" s="14" t="s">
        <v>21</v>
      </c>
      <c r="C168" s="15" t="s">
        <v>435</v>
      </c>
      <c r="D168" s="16" t="s">
        <v>23</v>
      </c>
      <c r="E168" s="30">
        <v>45034</v>
      </c>
      <c r="F168" s="43">
        <v>45035</v>
      </c>
      <c r="G168" s="32">
        <v>725485</v>
      </c>
      <c r="H168" s="293">
        <v>509030.6</v>
      </c>
      <c r="I168" s="292">
        <v>649275</v>
      </c>
      <c r="J168" s="33">
        <v>1234515.6000000001</v>
      </c>
      <c r="K168" s="22">
        <v>0</v>
      </c>
      <c r="L168" s="36" t="s">
        <v>24</v>
      </c>
      <c r="M168" s="37">
        <f t="shared" si="17"/>
        <v>45037</v>
      </c>
      <c r="N168" s="36" t="s">
        <v>29</v>
      </c>
      <c r="O168" s="65">
        <v>45038</v>
      </c>
      <c r="P168" s="39">
        <f t="shared" si="18"/>
        <v>4</v>
      </c>
      <c r="Q168" s="40">
        <f t="shared" si="19"/>
        <v>3</v>
      </c>
      <c r="R168" s="33"/>
      <c r="S168" s="33"/>
      <c r="T168" s="42">
        <v>10</v>
      </c>
      <c r="U168" s="42"/>
    </row>
    <row r="169" spans="1:21" x14ac:dyDescent="0.45">
      <c r="A169" s="54" t="s">
        <v>436</v>
      </c>
      <c r="B169" s="14" t="s">
        <v>27</v>
      </c>
      <c r="C169" s="15" t="s">
        <v>437</v>
      </c>
      <c r="D169" s="16" t="s">
        <v>406</v>
      </c>
      <c r="E169" s="30">
        <v>45036</v>
      </c>
      <c r="F169" s="30">
        <v>45036</v>
      </c>
      <c r="G169" s="153">
        <v>0</v>
      </c>
      <c r="H169" s="317">
        <v>561399</v>
      </c>
      <c r="I169" s="355">
        <v>340920</v>
      </c>
      <c r="J169" s="165">
        <v>561399</v>
      </c>
      <c r="K169" s="22">
        <v>0</v>
      </c>
      <c r="L169" s="36" t="s">
        <v>24</v>
      </c>
      <c r="M169" s="37">
        <f t="shared" si="17"/>
        <v>45038</v>
      </c>
      <c r="N169" s="36" t="s">
        <v>29</v>
      </c>
      <c r="O169" s="38">
        <v>45038</v>
      </c>
      <c r="P169" s="39">
        <f t="shared" si="18"/>
        <v>2</v>
      </c>
      <c r="Q169" s="40">
        <f t="shared" si="19"/>
        <v>2</v>
      </c>
      <c r="R169" s="33"/>
      <c r="S169" s="33"/>
      <c r="T169" s="42">
        <v>0</v>
      </c>
      <c r="U169" s="42"/>
    </row>
    <row r="170" spans="1:21" x14ac:dyDescent="0.45">
      <c r="A170" s="54" t="s">
        <v>438</v>
      </c>
      <c r="B170" s="14" t="s">
        <v>27</v>
      </c>
      <c r="C170" s="15" t="s">
        <v>439</v>
      </c>
      <c r="D170" s="16" t="s">
        <v>406</v>
      </c>
      <c r="E170" s="30">
        <v>45036</v>
      </c>
      <c r="F170" s="30">
        <v>45036</v>
      </c>
      <c r="G170" s="153">
        <v>0</v>
      </c>
      <c r="H170" s="317">
        <v>563772.6</v>
      </c>
      <c r="I170" s="355">
        <v>340920</v>
      </c>
      <c r="J170" s="165">
        <v>563772.6</v>
      </c>
      <c r="K170" s="22">
        <v>0</v>
      </c>
      <c r="L170" s="36" t="s">
        <v>24</v>
      </c>
      <c r="M170" s="37">
        <f t="shared" si="17"/>
        <v>45038</v>
      </c>
      <c r="N170" s="36" t="s">
        <v>29</v>
      </c>
      <c r="O170" s="38">
        <v>45038</v>
      </c>
      <c r="P170" s="39">
        <f t="shared" si="18"/>
        <v>2</v>
      </c>
      <c r="Q170" s="40">
        <f t="shared" si="19"/>
        <v>2</v>
      </c>
      <c r="R170" s="33"/>
      <c r="S170" s="33"/>
      <c r="T170" s="42">
        <v>0</v>
      </c>
      <c r="U170" s="42"/>
    </row>
    <row r="171" spans="1:21" x14ac:dyDescent="0.45">
      <c r="A171" s="29" t="s">
        <v>440</v>
      </c>
      <c r="B171" s="14" t="s">
        <v>48</v>
      </c>
      <c r="C171" s="15" t="s">
        <v>441</v>
      </c>
      <c r="D171" s="16" t="s">
        <v>23</v>
      </c>
      <c r="E171" s="30">
        <v>45036</v>
      </c>
      <c r="F171" s="43">
        <v>45036</v>
      </c>
      <c r="G171" s="32">
        <v>0</v>
      </c>
      <c r="H171" s="296">
        <v>866528.6</v>
      </c>
      <c r="I171" s="343">
        <v>657254</v>
      </c>
      <c r="J171" s="61">
        <v>866528.6</v>
      </c>
      <c r="K171" s="22">
        <v>0</v>
      </c>
      <c r="L171" s="36" t="s">
        <v>24</v>
      </c>
      <c r="M171" s="37">
        <f t="shared" si="17"/>
        <v>45038</v>
      </c>
      <c r="N171" s="36" t="s">
        <v>29</v>
      </c>
      <c r="O171" s="38">
        <v>45038</v>
      </c>
      <c r="P171" s="39">
        <f t="shared" si="18"/>
        <v>2</v>
      </c>
      <c r="Q171" s="40">
        <f t="shared" si="19"/>
        <v>2</v>
      </c>
      <c r="R171" s="33"/>
      <c r="S171" s="33"/>
      <c r="T171" s="42">
        <v>6</v>
      </c>
      <c r="U171" s="42"/>
    </row>
    <row r="172" spans="1:21" x14ac:dyDescent="0.45">
      <c r="A172" s="54" t="s">
        <v>442</v>
      </c>
      <c r="B172" s="14" t="s">
        <v>94</v>
      </c>
      <c r="C172" s="15" t="s">
        <v>443</v>
      </c>
      <c r="D172" s="16" t="s">
        <v>56</v>
      </c>
      <c r="E172" s="30">
        <v>45036</v>
      </c>
      <c r="F172" s="31">
        <v>45036</v>
      </c>
      <c r="G172" s="142">
        <v>4451314</v>
      </c>
      <c r="H172" s="308">
        <v>1200620</v>
      </c>
      <c r="I172" s="350">
        <v>4756204</v>
      </c>
      <c r="J172" s="143">
        <v>5651934</v>
      </c>
      <c r="K172" s="22">
        <v>0</v>
      </c>
      <c r="L172" s="36" t="s">
        <v>24</v>
      </c>
      <c r="M172" s="37">
        <f t="shared" si="17"/>
        <v>45038</v>
      </c>
      <c r="N172" s="36" t="s">
        <v>29</v>
      </c>
      <c r="O172" s="38">
        <v>45040</v>
      </c>
      <c r="P172" s="39">
        <f t="shared" si="18"/>
        <v>4</v>
      </c>
      <c r="Q172" s="40">
        <f t="shared" si="19"/>
        <v>4</v>
      </c>
      <c r="R172" s="33" t="s">
        <v>444</v>
      </c>
      <c r="S172" s="33"/>
      <c r="T172" s="42">
        <v>5</v>
      </c>
      <c r="U172" s="42"/>
    </row>
    <row r="173" spans="1:21" x14ac:dyDescent="0.45">
      <c r="A173" s="29" t="s">
        <v>445</v>
      </c>
      <c r="B173" s="14" t="s">
        <v>21</v>
      </c>
      <c r="C173" s="15" t="s">
        <v>446</v>
      </c>
      <c r="D173" s="16" t="s">
        <v>23</v>
      </c>
      <c r="E173" s="30">
        <v>45036</v>
      </c>
      <c r="F173" s="43">
        <v>45036</v>
      </c>
      <c r="G173" s="19">
        <v>1358309</v>
      </c>
      <c r="H173" s="291">
        <v>523230.6</v>
      </c>
      <c r="I173" s="342">
        <v>1188199</v>
      </c>
      <c r="J173" s="20">
        <v>1881539.6</v>
      </c>
      <c r="K173" s="22">
        <v>0</v>
      </c>
      <c r="L173" s="36" t="s">
        <v>24</v>
      </c>
      <c r="M173" s="37">
        <f t="shared" si="17"/>
        <v>45038</v>
      </c>
      <c r="N173" s="36" t="s">
        <v>29</v>
      </c>
      <c r="O173" s="38">
        <v>45040</v>
      </c>
      <c r="P173" s="39">
        <f t="shared" si="18"/>
        <v>4</v>
      </c>
      <c r="Q173" s="40">
        <f t="shared" si="19"/>
        <v>4</v>
      </c>
      <c r="R173" s="33"/>
      <c r="S173" s="33"/>
      <c r="T173" s="42">
        <v>2</v>
      </c>
      <c r="U173" s="42"/>
    </row>
    <row r="174" spans="1:21" x14ac:dyDescent="0.45">
      <c r="A174" s="161" t="s">
        <v>447</v>
      </c>
      <c r="B174" s="14" t="s">
        <v>79</v>
      </c>
      <c r="C174" s="162" t="s">
        <v>448</v>
      </c>
      <c r="D174" s="16" t="s">
        <v>406</v>
      </c>
      <c r="E174" s="166">
        <v>45031</v>
      </c>
      <c r="F174" s="166">
        <v>45035</v>
      </c>
      <c r="G174" s="167">
        <v>1471745</v>
      </c>
      <c r="H174" s="318">
        <v>406547</v>
      </c>
      <c r="I174" s="355">
        <v>1624093</v>
      </c>
      <c r="J174" s="165">
        <v>1878292</v>
      </c>
      <c r="K174" s="22">
        <v>0</v>
      </c>
      <c r="L174" s="36" t="s">
        <v>24</v>
      </c>
      <c r="M174" s="37">
        <f t="shared" si="17"/>
        <v>45037</v>
      </c>
      <c r="N174" s="36" t="s">
        <v>29</v>
      </c>
      <c r="O174" s="38">
        <v>45040</v>
      </c>
      <c r="P174" s="39">
        <f t="shared" si="18"/>
        <v>9</v>
      </c>
      <c r="Q174" s="40">
        <f t="shared" si="19"/>
        <v>5</v>
      </c>
      <c r="R174" s="33"/>
      <c r="S174" s="163"/>
      <c r="T174" s="164">
        <v>0</v>
      </c>
      <c r="U174" s="164"/>
    </row>
    <row r="175" spans="1:21" x14ac:dyDescent="0.45">
      <c r="A175" s="54" t="s">
        <v>449</v>
      </c>
      <c r="B175" s="14" t="s">
        <v>450</v>
      </c>
      <c r="C175" s="15" t="s">
        <v>451</v>
      </c>
      <c r="D175" s="16" t="s">
        <v>406</v>
      </c>
      <c r="E175" s="30">
        <v>45036</v>
      </c>
      <c r="F175" s="30">
        <v>45036</v>
      </c>
      <c r="G175" s="153">
        <v>0</v>
      </c>
      <c r="H175" s="317">
        <v>1042832.6</v>
      </c>
      <c r="I175" s="355">
        <v>353363</v>
      </c>
      <c r="J175" s="165">
        <v>1042832.6</v>
      </c>
      <c r="K175" s="22">
        <v>0</v>
      </c>
      <c r="L175" s="36" t="s">
        <v>24</v>
      </c>
      <c r="M175" s="37">
        <f t="shared" si="17"/>
        <v>45038</v>
      </c>
      <c r="N175" s="36" t="s">
        <v>29</v>
      </c>
      <c r="O175" s="38">
        <v>45038</v>
      </c>
      <c r="P175" s="39">
        <f t="shared" si="18"/>
        <v>2</v>
      </c>
      <c r="Q175" s="40">
        <f t="shared" si="19"/>
        <v>2</v>
      </c>
      <c r="R175" s="33"/>
      <c r="S175" s="33"/>
      <c r="T175" s="42">
        <v>0</v>
      </c>
      <c r="U175" s="42"/>
    </row>
    <row r="176" spans="1:21" x14ac:dyDescent="0.45">
      <c r="A176" s="54" t="s">
        <v>452</v>
      </c>
      <c r="B176" s="14" t="s">
        <v>27</v>
      </c>
      <c r="C176" s="15" t="s">
        <v>453</v>
      </c>
      <c r="D176" s="16" t="s">
        <v>406</v>
      </c>
      <c r="E176" s="30">
        <v>45036</v>
      </c>
      <c r="F176" s="30">
        <v>45036</v>
      </c>
      <c r="G176" s="153">
        <v>0</v>
      </c>
      <c r="H176" s="317">
        <v>561432.80000000005</v>
      </c>
      <c r="I176" s="355">
        <v>331533</v>
      </c>
      <c r="J176" s="165">
        <v>561432.80000000005</v>
      </c>
      <c r="K176" s="22">
        <v>0</v>
      </c>
      <c r="L176" s="36" t="s">
        <v>24</v>
      </c>
      <c r="M176" s="37">
        <f t="shared" si="17"/>
        <v>45038</v>
      </c>
      <c r="N176" s="36" t="s">
        <v>29</v>
      </c>
      <c r="O176" s="38">
        <v>45039</v>
      </c>
      <c r="P176" s="39">
        <f t="shared" si="18"/>
        <v>3</v>
      </c>
      <c r="Q176" s="40">
        <f t="shared" si="19"/>
        <v>3</v>
      </c>
      <c r="R176" s="33"/>
      <c r="S176" s="33"/>
      <c r="T176" s="42">
        <v>0</v>
      </c>
      <c r="U176" s="42"/>
    </row>
    <row r="177" spans="1:21" x14ac:dyDescent="0.45">
      <c r="A177" s="54" t="s">
        <v>454</v>
      </c>
      <c r="B177" s="14" t="s">
        <v>455</v>
      </c>
      <c r="C177" s="15" t="s">
        <v>456</v>
      </c>
      <c r="D177" s="16" t="s">
        <v>417</v>
      </c>
      <c r="E177" s="30">
        <v>45036</v>
      </c>
      <c r="F177" s="30">
        <v>45036</v>
      </c>
      <c r="G177" s="156">
        <v>208750</v>
      </c>
      <c r="H177" s="319">
        <v>561551</v>
      </c>
      <c r="I177" s="356">
        <v>546056</v>
      </c>
      <c r="J177" s="168">
        <v>770300.6</v>
      </c>
      <c r="K177" s="22">
        <v>0</v>
      </c>
      <c r="L177" s="36" t="s">
        <v>24</v>
      </c>
      <c r="M177" s="37">
        <f t="shared" si="17"/>
        <v>45038</v>
      </c>
      <c r="N177" s="36" t="s">
        <v>29</v>
      </c>
      <c r="O177" s="73">
        <v>45040</v>
      </c>
      <c r="P177" s="39">
        <f t="shared" si="18"/>
        <v>4</v>
      </c>
      <c r="Q177" s="40">
        <f t="shared" si="19"/>
        <v>4</v>
      </c>
      <c r="R177" s="33" t="s">
        <v>457</v>
      </c>
      <c r="S177" s="33"/>
      <c r="T177" s="42">
        <v>2</v>
      </c>
      <c r="U177" s="42"/>
    </row>
    <row r="178" spans="1:21" ht="28.5" x14ac:dyDescent="0.45">
      <c r="A178" s="54" t="s">
        <v>458</v>
      </c>
      <c r="B178" s="14" t="s">
        <v>459</v>
      </c>
      <c r="C178" s="15" t="s">
        <v>460</v>
      </c>
      <c r="D178" s="16" t="s">
        <v>390</v>
      </c>
      <c r="E178" s="30">
        <v>45035</v>
      </c>
      <c r="F178" s="30">
        <v>45035</v>
      </c>
      <c r="G178" s="169">
        <v>1458936</v>
      </c>
      <c r="H178" s="320" t="s">
        <v>461</v>
      </c>
      <c r="I178" s="320" t="s">
        <v>462</v>
      </c>
      <c r="J178" s="170" t="s">
        <v>463</v>
      </c>
      <c r="K178" s="22">
        <v>0</v>
      </c>
      <c r="L178" s="36" t="s">
        <v>24</v>
      </c>
      <c r="M178" s="37">
        <f t="shared" si="17"/>
        <v>45037</v>
      </c>
      <c r="N178" s="36" t="s">
        <v>29</v>
      </c>
      <c r="O178" s="38">
        <v>45039</v>
      </c>
      <c r="P178" s="39">
        <f t="shared" si="18"/>
        <v>4</v>
      </c>
      <c r="Q178" s="40">
        <f t="shared" si="19"/>
        <v>4</v>
      </c>
      <c r="R178" s="171" t="s">
        <v>464</v>
      </c>
      <c r="S178" s="33"/>
      <c r="T178" s="42">
        <v>2</v>
      </c>
      <c r="U178" s="42"/>
    </row>
    <row r="179" spans="1:21" x14ac:dyDescent="0.45">
      <c r="A179" s="54" t="s">
        <v>465</v>
      </c>
      <c r="B179" s="14" t="s">
        <v>450</v>
      </c>
      <c r="C179" s="15" t="s">
        <v>466</v>
      </c>
      <c r="D179" s="16" t="s">
        <v>406</v>
      </c>
      <c r="E179" s="166">
        <v>45035</v>
      </c>
      <c r="F179" s="166">
        <v>45035</v>
      </c>
      <c r="G179" s="167">
        <v>1567069</v>
      </c>
      <c r="H179" s="318">
        <v>387477</v>
      </c>
      <c r="I179" s="355">
        <v>1722431</v>
      </c>
      <c r="J179" s="165">
        <v>1954546</v>
      </c>
      <c r="K179" s="22">
        <v>0</v>
      </c>
      <c r="L179" s="36" t="s">
        <v>24</v>
      </c>
      <c r="M179" s="37">
        <f t="shared" si="17"/>
        <v>45037</v>
      </c>
      <c r="N179" s="36" t="s">
        <v>29</v>
      </c>
      <c r="O179" s="38">
        <v>45037</v>
      </c>
      <c r="P179" s="39">
        <f t="shared" si="18"/>
        <v>2</v>
      </c>
      <c r="Q179" s="40">
        <f t="shared" si="19"/>
        <v>2</v>
      </c>
      <c r="R179" s="33"/>
      <c r="S179" s="33"/>
      <c r="T179" s="42">
        <v>0</v>
      </c>
      <c r="U179" s="42"/>
    </row>
    <row r="180" spans="1:21" x14ac:dyDescent="0.45">
      <c r="A180" s="54" t="s">
        <v>467</v>
      </c>
      <c r="B180" s="14" t="s">
        <v>27</v>
      </c>
      <c r="C180" s="15" t="s">
        <v>468</v>
      </c>
      <c r="D180" s="16" t="s">
        <v>406</v>
      </c>
      <c r="E180" s="30">
        <v>45037</v>
      </c>
      <c r="F180" s="30">
        <v>45037</v>
      </c>
      <c r="G180" s="172">
        <v>0</v>
      </c>
      <c r="H180" s="321">
        <v>562262.6</v>
      </c>
      <c r="I180" s="357">
        <v>337466</v>
      </c>
      <c r="J180" s="173">
        <v>562262.6</v>
      </c>
      <c r="K180" s="22">
        <v>0</v>
      </c>
      <c r="L180" s="36" t="s">
        <v>24</v>
      </c>
      <c r="M180" s="37">
        <f t="shared" si="17"/>
        <v>45039</v>
      </c>
      <c r="N180" s="36" t="s">
        <v>29</v>
      </c>
      <c r="O180" s="38">
        <v>45038</v>
      </c>
      <c r="P180" s="39">
        <f t="shared" si="18"/>
        <v>1</v>
      </c>
      <c r="Q180" s="40">
        <f t="shared" si="19"/>
        <v>1</v>
      </c>
      <c r="R180" s="33"/>
      <c r="S180" s="33"/>
      <c r="T180" s="42">
        <v>0</v>
      </c>
      <c r="U180" s="42"/>
    </row>
    <row r="181" spans="1:21" x14ac:dyDescent="0.45">
      <c r="A181" s="54" t="s">
        <v>469</v>
      </c>
      <c r="B181" s="14" t="s">
        <v>27</v>
      </c>
      <c r="C181" s="15" t="s">
        <v>470</v>
      </c>
      <c r="D181" s="16" t="s">
        <v>406</v>
      </c>
      <c r="E181" s="30">
        <v>45037</v>
      </c>
      <c r="F181" s="174">
        <v>45037</v>
      </c>
      <c r="G181" s="19">
        <v>0</v>
      </c>
      <c r="H181" s="322"/>
      <c r="I181" s="353">
        <v>0</v>
      </c>
      <c r="J181" s="152">
        <v>0</v>
      </c>
      <c r="K181" s="22">
        <v>0</v>
      </c>
      <c r="L181" s="36" t="s">
        <v>24</v>
      </c>
      <c r="M181" s="37">
        <f t="shared" si="17"/>
        <v>45039</v>
      </c>
      <c r="N181" s="36" t="s">
        <v>29</v>
      </c>
      <c r="O181" s="38">
        <v>45039</v>
      </c>
      <c r="P181" s="39">
        <f t="shared" si="18"/>
        <v>2</v>
      </c>
      <c r="Q181" s="40">
        <f t="shared" si="19"/>
        <v>2</v>
      </c>
      <c r="R181" s="33"/>
      <c r="S181" s="33"/>
      <c r="T181" s="42">
        <v>4</v>
      </c>
      <c r="U181" s="42"/>
    </row>
    <row r="182" spans="1:21" x14ac:dyDescent="0.45">
      <c r="A182" s="29" t="s">
        <v>471</v>
      </c>
      <c r="B182" s="14" t="s">
        <v>175</v>
      </c>
      <c r="C182" s="15" t="s">
        <v>472</v>
      </c>
      <c r="D182" s="16" t="s">
        <v>23</v>
      </c>
      <c r="E182" s="30">
        <v>45037</v>
      </c>
      <c r="F182" s="43">
        <v>45037</v>
      </c>
      <c r="G182" s="84">
        <v>2078760</v>
      </c>
      <c r="H182" s="298">
        <v>495730.6</v>
      </c>
      <c r="I182" s="347">
        <v>1816290</v>
      </c>
      <c r="J182" s="85">
        <v>2574490.6</v>
      </c>
      <c r="K182" s="22">
        <v>0</v>
      </c>
      <c r="L182" s="36" t="s">
        <v>24</v>
      </c>
      <c r="M182" s="37">
        <f t="shared" si="17"/>
        <v>45039</v>
      </c>
      <c r="N182" s="36" t="s">
        <v>29</v>
      </c>
      <c r="O182" s="38">
        <v>45039</v>
      </c>
      <c r="P182" s="39">
        <f t="shared" si="18"/>
        <v>2</v>
      </c>
      <c r="Q182" s="40">
        <f t="shared" ref="Q182:Q213" si="20">O182-F182-K182</f>
        <v>2</v>
      </c>
      <c r="R182" s="33"/>
      <c r="S182" s="61"/>
      <c r="T182" s="77">
        <v>9</v>
      </c>
      <c r="U182" s="77"/>
    </row>
    <row r="183" spans="1:21" x14ac:dyDescent="0.45">
      <c r="A183" s="138" t="s">
        <v>473</v>
      </c>
      <c r="B183" s="14" t="s">
        <v>94</v>
      </c>
      <c r="C183" s="44" t="s">
        <v>474</v>
      </c>
      <c r="D183" s="16" t="s">
        <v>56</v>
      </c>
      <c r="E183" s="30">
        <v>44991</v>
      </c>
      <c r="F183" s="31">
        <v>45029</v>
      </c>
      <c r="G183" s="63">
        <v>0</v>
      </c>
      <c r="H183" s="293">
        <v>1585180</v>
      </c>
      <c r="I183" s="344">
        <v>1319813</v>
      </c>
      <c r="J183" s="64">
        <v>1585180</v>
      </c>
      <c r="K183" s="22">
        <v>0</v>
      </c>
      <c r="L183" s="61" t="s">
        <v>24</v>
      </c>
      <c r="M183" s="37">
        <f t="shared" si="17"/>
        <v>45031</v>
      </c>
      <c r="N183" s="36" t="s">
        <v>29</v>
      </c>
      <c r="O183" s="176">
        <v>45036</v>
      </c>
      <c r="P183" s="39">
        <f t="shared" si="18"/>
        <v>45</v>
      </c>
      <c r="Q183" s="40">
        <f t="shared" si="20"/>
        <v>7</v>
      </c>
      <c r="R183" s="33" t="s">
        <v>475</v>
      </c>
      <c r="S183" s="61"/>
      <c r="T183" s="77">
        <v>7</v>
      </c>
      <c r="U183" s="77"/>
    </row>
    <row r="184" spans="1:21" x14ac:dyDescent="0.45">
      <c r="A184" s="138" t="s">
        <v>476</v>
      </c>
      <c r="B184" s="14" t="s">
        <v>94</v>
      </c>
      <c r="C184" s="44" t="s">
        <v>477</v>
      </c>
      <c r="D184" s="16" t="s">
        <v>56</v>
      </c>
      <c r="E184" s="30">
        <v>45035</v>
      </c>
      <c r="F184" s="31">
        <v>45035</v>
      </c>
      <c r="G184" s="63">
        <v>1719388</v>
      </c>
      <c r="H184" s="293">
        <v>681962</v>
      </c>
      <c r="I184" s="344">
        <v>2143313</v>
      </c>
      <c r="J184" s="64">
        <v>2401349</v>
      </c>
      <c r="K184" s="22">
        <v>0</v>
      </c>
      <c r="L184" s="61" t="s">
        <v>24</v>
      </c>
      <c r="M184" s="37">
        <f t="shared" si="17"/>
        <v>45037</v>
      </c>
      <c r="N184" s="36" t="s">
        <v>29</v>
      </c>
      <c r="O184" s="176">
        <v>45036</v>
      </c>
      <c r="P184" s="39">
        <f t="shared" si="18"/>
        <v>1</v>
      </c>
      <c r="Q184" s="40">
        <f t="shared" si="20"/>
        <v>1</v>
      </c>
      <c r="R184" s="33"/>
      <c r="S184" s="61"/>
      <c r="T184" s="77">
        <v>10</v>
      </c>
      <c r="U184" s="77"/>
    </row>
    <row r="185" spans="1:21" x14ac:dyDescent="0.45">
      <c r="A185" s="138" t="s">
        <v>478</v>
      </c>
      <c r="B185" s="14" t="s">
        <v>27</v>
      </c>
      <c r="C185" s="44" t="s">
        <v>479</v>
      </c>
      <c r="D185" s="16" t="s">
        <v>406</v>
      </c>
      <c r="E185" s="65">
        <v>44733</v>
      </c>
      <c r="F185" s="65">
        <v>45027</v>
      </c>
      <c r="G185" s="149">
        <v>630979</v>
      </c>
      <c r="H185" s="311">
        <v>767630</v>
      </c>
      <c r="I185" s="352">
        <v>959239</v>
      </c>
      <c r="J185" s="151">
        <v>1398609</v>
      </c>
      <c r="K185" s="22">
        <v>0</v>
      </c>
      <c r="L185" s="85" t="s">
        <v>24</v>
      </c>
      <c r="M185" s="37">
        <f t="shared" si="17"/>
        <v>45029</v>
      </c>
      <c r="N185" s="36" t="s">
        <v>29</v>
      </c>
      <c r="O185" s="177">
        <v>45036</v>
      </c>
      <c r="P185" s="39">
        <f t="shared" si="18"/>
        <v>303</v>
      </c>
      <c r="Q185" s="40">
        <f t="shared" si="20"/>
        <v>9</v>
      </c>
      <c r="R185" s="33" t="s">
        <v>346</v>
      </c>
      <c r="S185" s="125"/>
      <c r="T185" s="126">
        <v>0</v>
      </c>
      <c r="U185" s="126"/>
    </row>
    <row r="186" spans="1:21" x14ac:dyDescent="0.45">
      <c r="A186" s="54" t="s">
        <v>480</v>
      </c>
      <c r="B186" s="14" t="s">
        <v>94</v>
      </c>
      <c r="C186" s="15" t="s">
        <v>481</v>
      </c>
      <c r="D186" s="16" t="s">
        <v>56</v>
      </c>
      <c r="E186" s="30">
        <v>45021</v>
      </c>
      <c r="F186" s="31">
        <v>45021</v>
      </c>
      <c r="G186" s="142">
        <f t="shared" ref="G186:G187" si="21">20254606/9</f>
        <v>2250511.777777778</v>
      </c>
      <c r="H186" s="308">
        <f t="shared" ref="H186:H187" si="22">3566330/9</f>
        <v>396258.88888888888</v>
      </c>
      <c r="I186" s="350">
        <f t="shared" ref="I186:I187" si="23">23155550/9</f>
        <v>2572838.888888889</v>
      </c>
      <c r="J186" s="143">
        <f t="shared" ref="J186:J187" si="24">23820936/9</f>
        <v>2646770.6666666665</v>
      </c>
      <c r="K186" s="22">
        <v>0</v>
      </c>
      <c r="L186" s="36" t="s">
        <v>24</v>
      </c>
      <c r="M186" s="37">
        <f t="shared" si="17"/>
        <v>45023</v>
      </c>
      <c r="N186" s="36" t="s">
        <v>29</v>
      </c>
      <c r="O186" s="58">
        <v>45043</v>
      </c>
      <c r="P186" s="39">
        <f t="shared" si="18"/>
        <v>22</v>
      </c>
      <c r="Q186" s="40">
        <f t="shared" si="20"/>
        <v>22</v>
      </c>
      <c r="R186" s="41" t="s">
        <v>163</v>
      </c>
      <c r="S186" s="33"/>
      <c r="T186" s="42">
        <v>9</v>
      </c>
      <c r="U186" s="42"/>
    </row>
    <row r="187" spans="1:21" x14ac:dyDescent="0.45">
      <c r="A187" s="54" t="s">
        <v>482</v>
      </c>
      <c r="B187" s="14" t="s">
        <v>94</v>
      </c>
      <c r="C187" s="15" t="s">
        <v>483</v>
      </c>
      <c r="D187" s="16" t="s">
        <v>56</v>
      </c>
      <c r="E187" s="30">
        <v>45021</v>
      </c>
      <c r="F187" s="31">
        <v>45021</v>
      </c>
      <c r="G187" s="142">
        <f t="shared" si="21"/>
        <v>2250511.777777778</v>
      </c>
      <c r="H187" s="308">
        <f t="shared" si="22"/>
        <v>396258.88888888888</v>
      </c>
      <c r="I187" s="350">
        <f t="shared" si="23"/>
        <v>2572838.888888889</v>
      </c>
      <c r="J187" s="143">
        <f t="shared" si="24"/>
        <v>2646770.6666666665</v>
      </c>
      <c r="K187" s="22">
        <v>20</v>
      </c>
      <c r="L187" s="36" t="s">
        <v>24</v>
      </c>
      <c r="M187" s="37">
        <f t="shared" si="17"/>
        <v>45023</v>
      </c>
      <c r="N187" s="36" t="s">
        <v>29</v>
      </c>
      <c r="O187" s="58">
        <v>45043</v>
      </c>
      <c r="P187" s="39">
        <f t="shared" si="18"/>
        <v>22</v>
      </c>
      <c r="Q187" s="40">
        <f t="shared" si="20"/>
        <v>2</v>
      </c>
      <c r="R187" s="41" t="s">
        <v>484</v>
      </c>
      <c r="S187" s="33"/>
      <c r="T187" s="42">
        <v>9</v>
      </c>
      <c r="U187" s="42"/>
    </row>
    <row r="188" spans="1:21" x14ac:dyDescent="0.45">
      <c r="A188" s="29" t="s">
        <v>485</v>
      </c>
      <c r="B188" s="14" t="s">
        <v>69</v>
      </c>
      <c r="C188" s="15" t="s">
        <v>486</v>
      </c>
      <c r="D188" s="16" t="s">
        <v>23</v>
      </c>
      <c r="E188" s="30">
        <v>45021</v>
      </c>
      <c r="F188" s="43">
        <v>45021</v>
      </c>
      <c r="G188" s="32">
        <v>0</v>
      </c>
      <c r="H188" s="298">
        <f>864429/2</f>
        <v>432214.5</v>
      </c>
      <c r="I188" s="347">
        <f>231264/2</f>
        <v>115632</v>
      </c>
      <c r="J188" s="85">
        <f>864429/2</f>
        <v>432214.5</v>
      </c>
      <c r="K188" s="22">
        <v>23</v>
      </c>
      <c r="L188" s="36" t="s">
        <v>24</v>
      </c>
      <c r="M188" s="37">
        <f t="shared" si="17"/>
        <v>45023</v>
      </c>
      <c r="N188" s="36" t="s">
        <v>29</v>
      </c>
      <c r="O188" s="58">
        <v>45044</v>
      </c>
      <c r="P188" s="39">
        <f t="shared" si="18"/>
        <v>23</v>
      </c>
      <c r="Q188" s="40">
        <f t="shared" si="20"/>
        <v>0</v>
      </c>
      <c r="R188" s="41" t="s">
        <v>487</v>
      </c>
      <c r="S188" s="33"/>
      <c r="T188" s="42">
        <v>15</v>
      </c>
      <c r="U188" s="42"/>
    </row>
    <row r="189" spans="1:21" x14ac:dyDescent="0.45">
      <c r="A189" s="45" t="s">
        <v>488</v>
      </c>
      <c r="B189" s="14" t="s">
        <v>94</v>
      </c>
      <c r="C189" s="15" t="s">
        <v>489</v>
      </c>
      <c r="D189" s="16" t="s">
        <v>56</v>
      </c>
      <c r="E189" s="30">
        <v>45023</v>
      </c>
      <c r="F189" s="31">
        <v>45023</v>
      </c>
      <c r="G189" s="142">
        <f t="shared" ref="G189:G190" si="25">20254606/9</f>
        <v>2250511.777777778</v>
      </c>
      <c r="H189" s="308">
        <f t="shared" ref="H189:H190" si="26">3566330/9</f>
        <v>396258.88888888888</v>
      </c>
      <c r="I189" s="350">
        <f t="shared" ref="I189:I190" si="27">23155550/9</f>
        <v>2572838.888888889</v>
      </c>
      <c r="J189" s="143">
        <f t="shared" ref="J189:J190" si="28">23820936/9</f>
        <v>2646770.6666666665</v>
      </c>
      <c r="K189" s="22">
        <v>14</v>
      </c>
      <c r="L189" s="36" t="s">
        <v>24</v>
      </c>
      <c r="M189" s="37">
        <f t="shared" si="17"/>
        <v>45025</v>
      </c>
      <c r="N189" s="36" t="s">
        <v>29</v>
      </c>
      <c r="O189" s="58">
        <v>45043</v>
      </c>
      <c r="P189" s="39">
        <f t="shared" si="18"/>
        <v>20</v>
      </c>
      <c r="Q189" s="40">
        <f t="shared" si="20"/>
        <v>6</v>
      </c>
      <c r="R189" s="41" t="s">
        <v>490</v>
      </c>
      <c r="S189" s="87"/>
      <c r="T189" s="88">
        <v>9</v>
      </c>
      <c r="U189" s="88"/>
    </row>
    <row r="190" spans="1:21" x14ac:dyDescent="0.45">
      <c r="A190" s="45" t="s">
        <v>491</v>
      </c>
      <c r="B190" s="14" t="s">
        <v>94</v>
      </c>
      <c r="C190" s="15" t="s">
        <v>492</v>
      </c>
      <c r="D190" s="16" t="s">
        <v>56</v>
      </c>
      <c r="E190" s="30">
        <v>45023</v>
      </c>
      <c r="F190" s="31">
        <v>45023</v>
      </c>
      <c r="G190" s="142">
        <f t="shared" si="25"/>
        <v>2250511.777777778</v>
      </c>
      <c r="H190" s="308">
        <f t="shared" si="26"/>
        <v>396258.88888888888</v>
      </c>
      <c r="I190" s="350">
        <f t="shared" si="27"/>
        <v>2572838.888888889</v>
      </c>
      <c r="J190" s="143">
        <f t="shared" si="28"/>
        <v>2646770.6666666665</v>
      </c>
      <c r="K190" s="22">
        <v>14</v>
      </c>
      <c r="L190" s="36" t="s">
        <v>24</v>
      </c>
      <c r="M190" s="37">
        <f t="shared" si="17"/>
        <v>45025</v>
      </c>
      <c r="N190" s="36" t="s">
        <v>29</v>
      </c>
      <c r="O190" s="58">
        <v>45043</v>
      </c>
      <c r="P190" s="39">
        <f t="shared" si="18"/>
        <v>20</v>
      </c>
      <c r="Q190" s="40">
        <f t="shared" si="20"/>
        <v>6</v>
      </c>
      <c r="R190" s="41" t="s">
        <v>490</v>
      </c>
      <c r="S190" s="87"/>
      <c r="T190" s="88">
        <v>8</v>
      </c>
      <c r="U190" s="88"/>
    </row>
    <row r="191" spans="1:21" x14ac:dyDescent="0.45">
      <c r="A191" s="29" t="s">
        <v>493</v>
      </c>
      <c r="B191" s="14" t="s">
        <v>21</v>
      </c>
      <c r="C191" s="15" t="s">
        <v>494</v>
      </c>
      <c r="D191" s="16" t="s">
        <v>23</v>
      </c>
      <c r="E191" s="30">
        <v>45026</v>
      </c>
      <c r="F191" s="43">
        <v>45030</v>
      </c>
      <c r="G191" s="19">
        <v>2070065</v>
      </c>
      <c r="H191" s="291">
        <v>2070065</v>
      </c>
      <c r="I191" s="342">
        <v>2057700</v>
      </c>
      <c r="J191" s="20">
        <v>2587295.6</v>
      </c>
      <c r="K191" s="22">
        <v>0</v>
      </c>
      <c r="L191" s="22" t="s">
        <v>24</v>
      </c>
      <c r="M191" s="37">
        <f t="shared" si="17"/>
        <v>45032</v>
      </c>
      <c r="N191" s="36" t="s">
        <v>29</v>
      </c>
      <c r="O191" s="24">
        <v>45043</v>
      </c>
      <c r="P191" s="39">
        <f t="shared" si="18"/>
        <v>17</v>
      </c>
      <c r="Q191" s="40">
        <f t="shared" si="20"/>
        <v>13</v>
      </c>
      <c r="R191" s="41" t="s">
        <v>495</v>
      </c>
      <c r="S191" s="20"/>
      <c r="T191" s="28">
        <v>5</v>
      </c>
      <c r="U191" s="28"/>
    </row>
    <row r="192" spans="1:21" x14ac:dyDescent="0.45">
      <c r="A192" s="54" t="s">
        <v>496</v>
      </c>
      <c r="B192" s="14" t="s">
        <v>497</v>
      </c>
      <c r="C192" s="15" t="s">
        <v>498</v>
      </c>
      <c r="D192" s="16" t="s">
        <v>390</v>
      </c>
      <c r="E192" s="30">
        <v>45028</v>
      </c>
      <c r="F192" s="30">
        <v>45028</v>
      </c>
      <c r="G192" s="169">
        <v>233750</v>
      </c>
      <c r="H192" s="307">
        <v>327123</v>
      </c>
      <c r="I192" s="351">
        <v>332590</v>
      </c>
      <c r="J192" s="170">
        <v>560873</v>
      </c>
      <c r="K192" s="22">
        <v>7</v>
      </c>
      <c r="L192" s="36" t="s">
        <v>24</v>
      </c>
      <c r="M192" s="37">
        <f t="shared" si="17"/>
        <v>45030</v>
      </c>
      <c r="N192" s="36" t="s">
        <v>29</v>
      </c>
      <c r="O192" s="38">
        <v>45041</v>
      </c>
      <c r="P192" s="39">
        <f t="shared" si="18"/>
        <v>13</v>
      </c>
      <c r="Q192" s="40">
        <f t="shared" si="20"/>
        <v>6</v>
      </c>
      <c r="R192" s="41" t="s">
        <v>499</v>
      </c>
      <c r="S192" s="33"/>
      <c r="T192" s="42">
        <v>3</v>
      </c>
      <c r="U192" s="42"/>
    </row>
    <row r="193" spans="1:21" x14ac:dyDescent="0.45">
      <c r="A193" s="138" t="s">
        <v>500</v>
      </c>
      <c r="B193" s="14" t="s">
        <v>388</v>
      </c>
      <c r="C193" s="15" t="s">
        <v>501</v>
      </c>
      <c r="D193" s="16" t="s">
        <v>390</v>
      </c>
      <c r="E193" s="30">
        <v>45030</v>
      </c>
      <c r="F193" s="30">
        <v>45030</v>
      </c>
      <c r="G193" s="169">
        <v>2260536</v>
      </c>
      <c r="H193" s="307">
        <v>359774</v>
      </c>
      <c r="I193" s="351">
        <v>1886156</v>
      </c>
      <c r="J193" s="170">
        <v>2620310</v>
      </c>
      <c r="K193" s="22">
        <v>0</v>
      </c>
      <c r="L193" s="36" t="s">
        <v>24</v>
      </c>
      <c r="M193" s="37">
        <f t="shared" si="17"/>
        <v>45032</v>
      </c>
      <c r="N193" s="36" t="s">
        <v>29</v>
      </c>
      <c r="O193" s="38">
        <v>45041</v>
      </c>
      <c r="P193" s="39">
        <f t="shared" si="18"/>
        <v>11</v>
      </c>
      <c r="Q193" s="40">
        <f t="shared" si="20"/>
        <v>11</v>
      </c>
      <c r="R193" s="41" t="s">
        <v>502</v>
      </c>
      <c r="S193" s="87"/>
      <c r="T193" s="88">
        <v>2</v>
      </c>
      <c r="U193" s="88"/>
    </row>
    <row r="194" spans="1:21" x14ac:dyDescent="0.45">
      <c r="A194" s="138" t="s">
        <v>503</v>
      </c>
      <c r="B194" s="14" t="s">
        <v>69</v>
      </c>
      <c r="C194" s="15" t="s">
        <v>504</v>
      </c>
      <c r="D194" s="16" t="s">
        <v>406</v>
      </c>
      <c r="E194" s="65">
        <v>45031</v>
      </c>
      <c r="F194" s="65">
        <v>45031</v>
      </c>
      <c r="G194" s="19">
        <v>0</v>
      </c>
      <c r="H194" s="313">
        <v>580083.80000000005</v>
      </c>
      <c r="I194" s="325">
        <v>335604</v>
      </c>
      <c r="J194" s="155">
        <v>580083.80000000005</v>
      </c>
      <c r="K194" s="102">
        <v>0</v>
      </c>
      <c r="L194" s="71" t="s">
        <v>24</v>
      </c>
      <c r="M194" s="72">
        <f t="shared" ref="M194:M245" si="29">F194+2</f>
        <v>45033</v>
      </c>
      <c r="N194" s="71" t="s">
        <v>29</v>
      </c>
      <c r="O194" s="73">
        <v>45043</v>
      </c>
      <c r="P194" s="74">
        <f t="shared" ref="P194:P257" si="30">O194-E194</f>
        <v>12</v>
      </c>
      <c r="Q194" s="75">
        <f t="shared" si="20"/>
        <v>12</v>
      </c>
      <c r="R194" s="76" t="s">
        <v>505</v>
      </c>
      <c r="S194" s="92"/>
      <c r="T194" s="93">
        <v>8</v>
      </c>
      <c r="U194" s="93"/>
    </row>
    <row r="195" spans="1:21" x14ac:dyDescent="0.45">
      <c r="A195" s="62" t="s">
        <v>506</v>
      </c>
      <c r="B195" s="14" t="s">
        <v>149</v>
      </c>
      <c r="C195" s="15" t="s">
        <v>507</v>
      </c>
      <c r="D195" s="16" t="s">
        <v>39</v>
      </c>
      <c r="E195" s="30">
        <v>45032</v>
      </c>
      <c r="F195" s="43">
        <v>45032</v>
      </c>
      <c r="G195" s="55">
        <f>4673956/2</f>
        <v>2336978</v>
      </c>
      <c r="H195" s="294">
        <f>1052600/2</f>
        <v>526300</v>
      </c>
      <c r="I195" s="292">
        <f>4139026/2</f>
        <v>2069513</v>
      </c>
      <c r="J195" s="57">
        <f>5726556/2</f>
        <v>2863278</v>
      </c>
      <c r="K195" s="36">
        <v>5</v>
      </c>
      <c r="L195" s="36" t="s">
        <v>24</v>
      </c>
      <c r="M195" s="37">
        <f t="shared" si="29"/>
        <v>45034</v>
      </c>
      <c r="N195" s="36" t="s">
        <v>29</v>
      </c>
      <c r="O195" s="38">
        <v>45041</v>
      </c>
      <c r="P195" s="39">
        <f t="shared" si="30"/>
        <v>9</v>
      </c>
      <c r="Q195" s="40">
        <f t="shared" si="20"/>
        <v>4</v>
      </c>
      <c r="R195" s="41"/>
      <c r="S195" s="87"/>
      <c r="T195" s="88">
        <v>3</v>
      </c>
      <c r="U195" s="88"/>
    </row>
    <row r="196" spans="1:21" x14ac:dyDescent="0.45">
      <c r="A196" s="13" t="s">
        <v>508</v>
      </c>
      <c r="B196" s="14" t="s">
        <v>107</v>
      </c>
      <c r="C196" s="15" t="s">
        <v>509</v>
      </c>
      <c r="D196" s="16" t="s">
        <v>23</v>
      </c>
      <c r="E196" s="17">
        <v>45030</v>
      </c>
      <c r="F196" s="50">
        <v>45030</v>
      </c>
      <c r="G196" s="19">
        <v>1714339</v>
      </c>
      <c r="H196" s="291">
        <v>524131</v>
      </c>
      <c r="I196" s="342">
        <v>1588369</v>
      </c>
      <c r="J196" s="20">
        <v>2238469.6</v>
      </c>
      <c r="K196" s="22">
        <v>0</v>
      </c>
      <c r="L196" s="22" t="s">
        <v>24</v>
      </c>
      <c r="M196" s="23">
        <f t="shared" si="29"/>
        <v>45032</v>
      </c>
      <c r="N196" s="22" t="s">
        <v>29</v>
      </c>
      <c r="O196" s="24">
        <v>45044</v>
      </c>
      <c r="P196" s="25">
        <f t="shared" si="30"/>
        <v>14</v>
      </c>
      <c r="Q196" s="26">
        <f t="shared" si="20"/>
        <v>14</v>
      </c>
      <c r="R196" s="27" t="s">
        <v>510</v>
      </c>
      <c r="S196" s="20"/>
      <c r="T196" s="28">
        <v>5</v>
      </c>
      <c r="U196" s="28"/>
    </row>
    <row r="197" spans="1:21" x14ac:dyDescent="0.45">
      <c r="A197" s="29" t="s">
        <v>511</v>
      </c>
      <c r="B197" s="14" t="s">
        <v>21</v>
      </c>
      <c r="C197" s="15" t="s">
        <v>512</v>
      </c>
      <c r="D197" s="16" t="s">
        <v>23</v>
      </c>
      <c r="E197" s="65">
        <v>45034</v>
      </c>
      <c r="F197" s="91">
        <v>45034</v>
      </c>
      <c r="G197" s="60">
        <v>662768</v>
      </c>
      <c r="H197" s="296">
        <v>388030.6</v>
      </c>
      <c r="I197" s="343">
        <v>702254</v>
      </c>
      <c r="J197" s="61">
        <v>1050798.6000000001</v>
      </c>
      <c r="K197" s="102">
        <v>5</v>
      </c>
      <c r="L197" s="71" t="s">
        <v>24</v>
      </c>
      <c r="M197" s="72">
        <f t="shared" si="29"/>
        <v>45036</v>
      </c>
      <c r="N197" s="71" t="s">
        <v>29</v>
      </c>
      <c r="O197" s="73">
        <v>45042</v>
      </c>
      <c r="P197" s="74">
        <f t="shared" si="30"/>
        <v>8</v>
      </c>
      <c r="Q197" s="75">
        <f t="shared" si="20"/>
        <v>3</v>
      </c>
      <c r="R197" s="76" t="s">
        <v>513</v>
      </c>
      <c r="S197" s="61"/>
      <c r="T197" s="77">
        <v>2</v>
      </c>
      <c r="U197" s="77"/>
    </row>
    <row r="198" spans="1:21" x14ac:dyDescent="0.45">
      <c r="A198" s="161" t="s">
        <v>514</v>
      </c>
      <c r="B198" s="14" t="s">
        <v>37</v>
      </c>
      <c r="C198" s="162" t="s">
        <v>515</v>
      </c>
      <c r="D198" s="16" t="s">
        <v>39</v>
      </c>
      <c r="E198" s="30">
        <v>45035</v>
      </c>
      <c r="F198" s="43">
        <v>45035</v>
      </c>
      <c r="G198" s="55" t="s">
        <v>516</v>
      </c>
      <c r="H198" s="294">
        <v>341446</v>
      </c>
      <c r="I198" s="292">
        <v>596596</v>
      </c>
      <c r="J198" s="57">
        <v>1193192</v>
      </c>
      <c r="K198" s="178">
        <v>0</v>
      </c>
      <c r="L198" s="178" t="s">
        <v>24</v>
      </c>
      <c r="M198" s="37">
        <f t="shared" si="29"/>
        <v>45037</v>
      </c>
      <c r="N198" s="36" t="s">
        <v>29</v>
      </c>
      <c r="O198" s="179">
        <v>45041</v>
      </c>
      <c r="P198" s="39">
        <f t="shared" si="30"/>
        <v>6</v>
      </c>
      <c r="Q198" s="40">
        <f t="shared" si="20"/>
        <v>6</v>
      </c>
      <c r="R198" s="41" t="s">
        <v>266</v>
      </c>
      <c r="S198" s="163"/>
      <c r="T198" s="164">
        <v>5</v>
      </c>
      <c r="U198" s="164"/>
    </row>
    <row r="199" spans="1:21" x14ac:dyDescent="0.45">
      <c r="A199" s="80" t="s">
        <v>517</v>
      </c>
      <c r="B199" s="14" t="s">
        <v>43</v>
      </c>
      <c r="C199" s="15" t="s">
        <v>518</v>
      </c>
      <c r="D199" s="16" t="s">
        <v>417</v>
      </c>
      <c r="E199" s="17">
        <v>45033</v>
      </c>
      <c r="F199" s="17">
        <v>45036</v>
      </c>
      <c r="G199" s="156">
        <v>208750</v>
      </c>
      <c r="H199" s="323">
        <v>422428</v>
      </c>
      <c r="I199" s="358">
        <v>391540</v>
      </c>
      <c r="J199" s="180">
        <v>631177</v>
      </c>
      <c r="K199" s="20">
        <v>7</v>
      </c>
      <c r="L199" s="22" t="s">
        <v>24</v>
      </c>
      <c r="M199" s="23">
        <f t="shared" si="29"/>
        <v>45038</v>
      </c>
      <c r="N199" s="22" t="s">
        <v>29</v>
      </c>
      <c r="O199" s="73">
        <v>45043</v>
      </c>
      <c r="P199" s="25">
        <f t="shared" si="30"/>
        <v>10</v>
      </c>
      <c r="Q199" s="26">
        <f t="shared" si="20"/>
        <v>0</v>
      </c>
      <c r="R199" s="27"/>
      <c r="S199" s="20"/>
      <c r="T199" s="28">
        <v>0</v>
      </c>
      <c r="U199" s="28"/>
    </row>
    <row r="200" spans="1:21" x14ac:dyDescent="0.45">
      <c r="A200" s="161" t="s">
        <v>519</v>
      </c>
      <c r="B200" s="14" t="s">
        <v>117</v>
      </c>
      <c r="C200" s="162" t="s">
        <v>520</v>
      </c>
      <c r="D200" s="16" t="s">
        <v>56</v>
      </c>
      <c r="E200" s="30">
        <v>45036</v>
      </c>
      <c r="F200" s="31">
        <v>45036</v>
      </c>
      <c r="G200" s="63">
        <v>1752466</v>
      </c>
      <c r="H200" s="293">
        <v>133690</v>
      </c>
      <c r="I200" s="344">
        <v>1886156</v>
      </c>
      <c r="J200" s="64">
        <v>2620310</v>
      </c>
      <c r="K200" s="163"/>
      <c r="L200" s="178" t="s">
        <v>24</v>
      </c>
      <c r="M200" s="37">
        <f t="shared" si="29"/>
        <v>45038</v>
      </c>
      <c r="N200" s="36" t="s">
        <v>29</v>
      </c>
      <c r="O200" s="179">
        <v>45041</v>
      </c>
      <c r="P200" s="39">
        <f t="shared" si="30"/>
        <v>5</v>
      </c>
      <c r="Q200" s="40">
        <f t="shared" si="20"/>
        <v>5</v>
      </c>
      <c r="R200" s="41"/>
      <c r="S200" s="163"/>
      <c r="T200" s="164">
        <v>0</v>
      </c>
      <c r="U200" s="164"/>
    </row>
    <row r="201" spans="1:21" x14ac:dyDescent="0.45">
      <c r="A201" s="29" t="s">
        <v>521</v>
      </c>
      <c r="B201" s="14" t="s">
        <v>522</v>
      </c>
      <c r="C201" s="15" t="s">
        <v>523</v>
      </c>
      <c r="D201" s="16" t="s">
        <v>23</v>
      </c>
      <c r="E201" s="65">
        <v>45036</v>
      </c>
      <c r="F201" s="91">
        <v>45036</v>
      </c>
      <c r="G201" s="84">
        <v>1355679</v>
      </c>
      <c r="H201" s="298">
        <v>545730.6</v>
      </c>
      <c r="I201" s="347">
        <v>1355679</v>
      </c>
      <c r="J201" s="85">
        <v>1984159.6</v>
      </c>
      <c r="K201" s="61"/>
      <c r="L201" s="71" t="s">
        <v>24</v>
      </c>
      <c r="M201" s="72">
        <f t="shared" si="29"/>
        <v>45038</v>
      </c>
      <c r="N201" s="71" t="s">
        <v>29</v>
      </c>
      <c r="O201" s="73">
        <v>45042</v>
      </c>
      <c r="P201" s="74">
        <f t="shared" si="30"/>
        <v>6</v>
      </c>
      <c r="Q201" s="75">
        <f t="shared" si="20"/>
        <v>6</v>
      </c>
      <c r="R201" s="76"/>
      <c r="S201" s="61"/>
      <c r="T201" s="77">
        <v>5</v>
      </c>
      <c r="U201" s="77"/>
    </row>
    <row r="202" spans="1:21" x14ac:dyDescent="0.45">
      <c r="A202" s="54" t="s">
        <v>524</v>
      </c>
      <c r="B202" s="14" t="s">
        <v>37</v>
      </c>
      <c r="C202" s="15" t="s">
        <v>525</v>
      </c>
      <c r="D202" s="16" t="s">
        <v>39</v>
      </c>
      <c r="E202" s="30">
        <v>45035</v>
      </c>
      <c r="F202" s="43">
        <v>45035</v>
      </c>
      <c r="G202" s="55">
        <v>208750</v>
      </c>
      <c r="H202" s="294">
        <v>556476.6</v>
      </c>
      <c r="I202" s="292">
        <v>213800</v>
      </c>
      <c r="J202" s="57">
        <f>G202+H202</f>
        <v>765226.6</v>
      </c>
      <c r="K202" s="33">
        <v>6</v>
      </c>
      <c r="L202" s="36" t="s">
        <v>24</v>
      </c>
      <c r="M202" s="37">
        <f t="shared" si="29"/>
        <v>45037</v>
      </c>
      <c r="N202" s="36" t="s">
        <v>29</v>
      </c>
      <c r="O202" s="38">
        <v>45042</v>
      </c>
      <c r="P202" s="39">
        <f t="shared" si="30"/>
        <v>7</v>
      </c>
      <c r="Q202" s="40">
        <f t="shared" si="20"/>
        <v>1</v>
      </c>
      <c r="R202" s="41" t="s">
        <v>526</v>
      </c>
      <c r="S202" s="33"/>
      <c r="T202" s="42">
        <v>0</v>
      </c>
      <c r="U202" s="42"/>
    </row>
    <row r="203" spans="1:21" x14ac:dyDescent="0.45">
      <c r="A203" s="80" t="s">
        <v>527</v>
      </c>
      <c r="B203" s="14" t="s">
        <v>230</v>
      </c>
      <c r="C203" s="15" t="s">
        <v>528</v>
      </c>
      <c r="D203" s="16" t="s">
        <v>417</v>
      </c>
      <c r="E203" s="181">
        <v>45035</v>
      </c>
      <c r="F203" s="17">
        <v>45035</v>
      </c>
      <c r="G203" s="156">
        <v>2023076</v>
      </c>
      <c r="H203" s="324">
        <v>358095</v>
      </c>
      <c r="I203" s="359">
        <v>1789386</v>
      </c>
      <c r="J203" s="182">
        <v>2381170</v>
      </c>
      <c r="K203" s="22">
        <v>0</v>
      </c>
      <c r="L203" s="22" t="s">
        <v>24</v>
      </c>
      <c r="M203" s="23">
        <f t="shared" si="29"/>
        <v>45037</v>
      </c>
      <c r="N203" s="22" t="s">
        <v>29</v>
      </c>
      <c r="O203" s="73">
        <v>45043</v>
      </c>
      <c r="P203" s="25">
        <f t="shared" si="30"/>
        <v>8</v>
      </c>
      <c r="Q203" s="26">
        <f t="shared" si="20"/>
        <v>8</v>
      </c>
      <c r="R203" s="27" t="s">
        <v>529</v>
      </c>
      <c r="S203" s="20"/>
      <c r="T203" s="28">
        <v>0</v>
      </c>
      <c r="U203" s="28"/>
    </row>
    <row r="204" spans="1:21" x14ac:dyDescent="0.45">
      <c r="A204" s="54" t="s">
        <v>530</v>
      </c>
      <c r="B204" s="14" t="s">
        <v>450</v>
      </c>
      <c r="C204" s="15" t="s">
        <v>531</v>
      </c>
      <c r="D204" s="16" t="s">
        <v>406</v>
      </c>
      <c r="E204" s="30">
        <v>45040</v>
      </c>
      <c r="F204" s="30">
        <v>45040</v>
      </c>
      <c r="G204" s="175">
        <v>0</v>
      </c>
      <c r="H204" s="317">
        <v>563020.6</v>
      </c>
      <c r="I204" s="355">
        <v>327046</v>
      </c>
      <c r="J204" s="165">
        <v>563020.6</v>
      </c>
      <c r="K204" s="22">
        <v>0</v>
      </c>
      <c r="L204" s="36" t="s">
        <v>24</v>
      </c>
      <c r="M204" s="37">
        <f t="shared" si="29"/>
        <v>45042</v>
      </c>
      <c r="N204" s="36" t="s">
        <v>29</v>
      </c>
      <c r="O204" s="38">
        <v>45042</v>
      </c>
      <c r="P204" s="39">
        <f t="shared" si="30"/>
        <v>2</v>
      </c>
      <c r="Q204" s="40">
        <f t="shared" si="20"/>
        <v>2</v>
      </c>
      <c r="R204" s="41"/>
      <c r="S204" s="33"/>
      <c r="T204" s="42">
        <v>0</v>
      </c>
      <c r="U204" s="42"/>
    </row>
    <row r="205" spans="1:21" x14ac:dyDescent="0.45">
      <c r="A205" s="54" t="s">
        <v>532</v>
      </c>
      <c r="B205" s="14" t="s">
        <v>450</v>
      </c>
      <c r="C205" s="15" t="s">
        <v>533</v>
      </c>
      <c r="D205" s="16" t="s">
        <v>406</v>
      </c>
      <c r="E205" s="30">
        <v>45040</v>
      </c>
      <c r="F205" s="30">
        <v>45040</v>
      </c>
      <c r="G205" s="153">
        <v>0</v>
      </c>
      <c r="H205" s="325">
        <v>5782217.2000000002</v>
      </c>
      <c r="I205" s="325">
        <v>338598</v>
      </c>
      <c r="J205" s="155">
        <v>5782217.2000000002</v>
      </c>
      <c r="K205" s="22">
        <v>0</v>
      </c>
      <c r="L205" s="36" t="s">
        <v>24</v>
      </c>
      <c r="M205" s="37">
        <f t="shared" si="29"/>
        <v>45042</v>
      </c>
      <c r="N205" s="36" t="s">
        <v>29</v>
      </c>
      <c r="O205" s="38">
        <v>45042</v>
      </c>
      <c r="P205" s="39">
        <f t="shared" si="30"/>
        <v>2</v>
      </c>
      <c r="Q205" s="40">
        <f t="shared" si="20"/>
        <v>2</v>
      </c>
      <c r="R205" s="41"/>
      <c r="S205" s="33"/>
      <c r="T205" s="42">
        <v>6</v>
      </c>
      <c r="U205" s="42"/>
    </row>
    <row r="206" spans="1:21" x14ac:dyDescent="0.45">
      <c r="A206" s="29" t="s">
        <v>534</v>
      </c>
      <c r="B206" s="14" t="s">
        <v>51</v>
      </c>
      <c r="C206" s="15" t="s">
        <v>535</v>
      </c>
      <c r="D206" s="16" t="s">
        <v>406</v>
      </c>
      <c r="E206" s="65">
        <v>45041</v>
      </c>
      <c r="F206" s="65">
        <v>45041</v>
      </c>
      <c r="G206" s="153">
        <v>1836579</v>
      </c>
      <c r="H206" s="325">
        <v>395324</v>
      </c>
      <c r="I206" s="325">
        <v>2635603</v>
      </c>
      <c r="J206" s="155">
        <v>2231903</v>
      </c>
      <c r="K206" s="102">
        <v>0</v>
      </c>
      <c r="L206" s="71" t="s">
        <v>24</v>
      </c>
      <c r="M206" s="72">
        <f t="shared" si="29"/>
        <v>45043</v>
      </c>
      <c r="N206" s="71" t="s">
        <v>29</v>
      </c>
      <c r="O206" s="73">
        <v>45042</v>
      </c>
      <c r="P206" s="74">
        <f t="shared" si="30"/>
        <v>1</v>
      </c>
      <c r="Q206" s="75">
        <f t="shared" si="20"/>
        <v>1</v>
      </c>
      <c r="R206" s="76"/>
      <c r="S206" s="61"/>
      <c r="T206" s="77">
        <v>5</v>
      </c>
      <c r="U206" s="77"/>
    </row>
    <row r="207" spans="1:21" x14ac:dyDescent="0.45">
      <c r="A207" s="62" t="s">
        <v>536</v>
      </c>
      <c r="B207" s="14" t="s">
        <v>128</v>
      </c>
      <c r="C207" s="15" t="s">
        <v>537</v>
      </c>
      <c r="D207" s="16" t="s">
        <v>39</v>
      </c>
      <c r="E207" s="30">
        <v>45041</v>
      </c>
      <c r="F207" s="43">
        <v>45041</v>
      </c>
      <c r="G207" s="59">
        <v>420756</v>
      </c>
      <c r="H207" s="295">
        <v>424115.6</v>
      </c>
      <c r="I207" s="292">
        <v>615806</v>
      </c>
      <c r="J207" s="57">
        <v>844871.6</v>
      </c>
      <c r="K207" s="36">
        <v>0</v>
      </c>
      <c r="L207" s="36" t="s">
        <v>24</v>
      </c>
      <c r="M207" s="37">
        <f t="shared" si="29"/>
        <v>45043</v>
      </c>
      <c r="N207" s="36" t="s">
        <v>29</v>
      </c>
      <c r="O207" s="38">
        <v>45043</v>
      </c>
      <c r="P207" s="39">
        <f t="shared" si="30"/>
        <v>2</v>
      </c>
      <c r="Q207" s="40">
        <f t="shared" si="20"/>
        <v>2</v>
      </c>
      <c r="R207" s="41"/>
      <c r="S207" s="33"/>
      <c r="T207" s="42">
        <v>5</v>
      </c>
      <c r="U207" s="42"/>
    </row>
    <row r="208" spans="1:21" x14ac:dyDescent="0.45">
      <c r="A208" s="80" t="s">
        <v>538</v>
      </c>
      <c r="B208" s="14" t="s">
        <v>27</v>
      </c>
      <c r="C208" s="15" t="s">
        <v>539</v>
      </c>
      <c r="D208" s="16" t="s">
        <v>406</v>
      </c>
      <c r="E208" s="17">
        <v>45035</v>
      </c>
      <c r="F208" s="17">
        <v>45035</v>
      </c>
      <c r="G208" s="153">
        <v>0</v>
      </c>
      <c r="H208" s="325">
        <v>749708.2</v>
      </c>
      <c r="I208" s="325">
        <v>518594</v>
      </c>
      <c r="J208" s="155">
        <v>749708.2</v>
      </c>
      <c r="K208" s="22">
        <v>4</v>
      </c>
      <c r="L208" s="22" t="s">
        <v>24</v>
      </c>
      <c r="M208" s="23">
        <f t="shared" si="29"/>
        <v>45037</v>
      </c>
      <c r="N208" s="22" t="s">
        <v>29</v>
      </c>
      <c r="O208" s="24">
        <v>45044</v>
      </c>
      <c r="P208" s="25">
        <f t="shared" si="30"/>
        <v>9</v>
      </c>
      <c r="Q208" s="26">
        <f t="shared" si="20"/>
        <v>5</v>
      </c>
      <c r="R208" s="27" t="s">
        <v>540</v>
      </c>
      <c r="S208" s="20"/>
      <c r="T208" s="28">
        <v>0</v>
      </c>
      <c r="U208" s="28"/>
    </row>
    <row r="209" spans="1:21" x14ac:dyDescent="0.45">
      <c r="A209" s="29" t="s">
        <v>541</v>
      </c>
      <c r="B209" s="14" t="s">
        <v>21</v>
      </c>
      <c r="C209" s="15" t="s">
        <v>542</v>
      </c>
      <c r="D209" s="16" t="s">
        <v>23</v>
      </c>
      <c r="E209" s="30">
        <v>45042</v>
      </c>
      <c r="F209" s="43">
        <v>45042</v>
      </c>
      <c r="G209" s="32">
        <v>0</v>
      </c>
      <c r="H209" s="293">
        <v>707817.6</v>
      </c>
      <c r="I209" s="292">
        <v>483150</v>
      </c>
      <c r="J209" s="33">
        <v>707817.6</v>
      </c>
      <c r="K209" s="22">
        <v>0</v>
      </c>
      <c r="L209" s="36" t="s">
        <v>24</v>
      </c>
      <c r="M209" s="37">
        <f t="shared" si="29"/>
        <v>45044</v>
      </c>
      <c r="N209" s="36" t="s">
        <v>29</v>
      </c>
      <c r="O209" s="38">
        <v>45044</v>
      </c>
      <c r="P209" s="39">
        <f t="shared" si="30"/>
        <v>2</v>
      </c>
      <c r="Q209" s="40">
        <f t="shared" si="20"/>
        <v>2</v>
      </c>
      <c r="R209" s="41"/>
      <c r="S209" s="33"/>
      <c r="T209" s="42">
        <v>12</v>
      </c>
      <c r="U209" s="42"/>
    </row>
    <row r="210" spans="1:21" x14ac:dyDescent="0.45">
      <c r="A210" s="54" t="s">
        <v>543</v>
      </c>
      <c r="B210" s="14" t="s">
        <v>27</v>
      </c>
      <c r="C210" s="15" t="s">
        <v>544</v>
      </c>
      <c r="D210" s="16" t="s">
        <v>406</v>
      </c>
      <c r="E210" s="30">
        <v>45042</v>
      </c>
      <c r="F210" s="30">
        <v>45042</v>
      </c>
      <c r="G210" s="153">
        <v>0</v>
      </c>
      <c r="H210" s="325">
        <v>555702.19999999995</v>
      </c>
      <c r="I210" s="325">
        <v>329448</v>
      </c>
      <c r="J210" s="155">
        <v>555702.19999999995</v>
      </c>
      <c r="K210" s="22">
        <v>0</v>
      </c>
      <c r="L210" s="36" t="s">
        <v>24</v>
      </c>
      <c r="M210" s="37">
        <f t="shared" si="29"/>
        <v>45044</v>
      </c>
      <c r="N210" s="36" t="s">
        <v>29</v>
      </c>
      <c r="O210" s="73">
        <v>45043</v>
      </c>
      <c r="P210" s="39">
        <f t="shared" si="30"/>
        <v>1</v>
      </c>
      <c r="Q210" s="40">
        <f t="shared" si="20"/>
        <v>1</v>
      </c>
      <c r="R210" s="41"/>
      <c r="S210" s="33"/>
      <c r="T210" s="42">
        <v>6</v>
      </c>
      <c r="U210" s="42"/>
    </row>
    <row r="211" spans="1:21" x14ac:dyDescent="0.45">
      <c r="A211" s="29" t="s">
        <v>545</v>
      </c>
      <c r="B211" s="14" t="s">
        <v>48</v>
      </c>
      <c r="C211" s="15" t="s">
        <v>546</v>
      </c>
      <c r="D211" s="16" t="s">
        <v>23</v>
      </c>
      <c r="E211" s="30">
        <v>45042</v>
      </c>
      <c r="F211" s="43">
        <v>45042</v>
      </c>
      <c r="G211" s="32">
        <v>1421529</v>
      </c>
      <c r="H211" s="293">
        <v>426727.6</v>
      </c>
      <c r="I211" s="292">
        <v>1105079</v>
      </c>
      <c r="J211" s="33">
        <v>1848256.6</v>
      </c>
      <c r="K211" s="22">
        <v>0</v>
      </c>
      <c r="L211" s="36" t="s">
        <v>24</v>
      </c>
      <c r="M211" s="37">
        <f t="shared" si="29"/>
        <v>45044</v>
      </c>
      <c r="N211" s="36" t="s">
        <v>29</v>
      </c>
      <c r="O211" s="38">
        <v>45043</v>
      </c>
      <c r="P211" s="39">
        <f t="shared" si="30"/>
        <v>1</v>
      </c>
      <c r="Q211" s="40">
        <f t="shared" si="20"/>
        <v>1</v>
      </c>
      <c r="R211" s="41"/>
      <c r="S211" s="33"/>
      <c r="T211" s="42">
        <v>3</v>
      </c>
      <c r="U211" s="42"/>
    </row>
    <row r="212" spans="1:21" x14ac:dyDescent="0.45">
      <c r="A212" s="183" t="s">
        <v>547</v>
      </c>
      <c r="B212" s="14" t="s">
        <v>388</v>
      </c>
      <c r="C212" s="44" t="s">
        <v>548</v>
      </c>
      <c r="D212" s="16" t="s">
        <v>390</v>
      </c>
      <c r="E212" s="30">
        <v>45041</v>
      </c>
      <c r="F212" s="65">
        <v>45041</v>
      </c>
      <c r="G212" s="169">
        <v>424506</v>
      </c>
      <c r="H212" s="307">
        <v>361035</v>
      </c>
      <c r="I212" s="351">
        <v>539666</v>
      </c>
      <c r="J212" s="170">
        <v>785541</v>
      </c>
      <c r="K212" s="22">
        <v>0</v>
      </c>
      <c r="L212" s="71" t="s">
        <v>24</v>
      </c>
      <c r="M212" s="37">
        <f t="shared" si="29"/>
        <v>45043</v>
      </c>
      <c r="N212" s="36" t="s">
        <v>29</v>
      </c>
      <c r="O212" s="65">
        <v>45042</v>
      </c>
      <c r="P212" s="39">
        <f t="shared" si="30"/>
        <v>1</v>
      </c>
      <c r="Q212" s="40">
        <f t="shared" si="20"/>
        <v>1</v>
      </c>
      <c r="R212" s="41"/>
      <c r="S212" s="61"/>
      <c r="T212" s="77">
        <v>3</v>
      </c>
      <c r="U212" s="77"/>
    </row>
    <row r="213" spans="1:21" x14ac:dyDescent="0.45">
      <c r="A213" s="138" t="s">
        <v>549</v>
      </c>
      <c r="B213" s="14" t="s">
        <v>388</v>
      </c>
      <c r="C213" s="44" t="s">
        <v>550</v>
      </c>
      <c r="D213" s="16" t="s">
        <v>390</v>
      </c>
      <c r="E213" s="30">
        <v>45041</v>
      </c>
      <c r="F213" s="65">
        <v>45041</v>
      </c>
      <c r="G213" s="184">
        <v>424506</v>
      </c>
      <c r="H213" s="307">
        <v>369513</v>
      </c>
      <c r="I213" s="351">
        <v>543746</v>
      </c>
      <c r="J213" s="156">
        <v>794019</v>
      </c>
      <c r="K213" s="22">
        <v>0</v>
      </c>
      <c r="L213" s="71" t="s">
        <v>24</v>
      </c>
      <c r="M213" s="37">
        <f t="shared" si="29"/>
        <v>45043</v>
      </c>
      <c r="N213" s="36" t="s">
        <v>29</v>
      </c>
      <c r="O213" s="65">
        <v>45042</v>
      </c>
      <c r="P213" s="39">
        <f t="shared" si="30"/>
        <v>1</v>
      </c>
      <c r="Q213" s="40">
        <f t="shared" si="20"/>
        <v>1</v>
      </c>
      <c r="R213" s="41"/>
      <c r="S213" s="61"/>
      <c r="T213" s="77">
        <v>0</v>
      </c>
      <c r="U213" s="77"/>
    </row>
    <row r="214" spans="1:21" x14ac:dyDescent="0.45">
      <c r="A214" s="138" t="s">
        <v>551</v>
      </c>
      <c r="B214" s="14" t="s">
        <v>94</v>
      </c>
      <c r="C214" s="44" t="s">
        <v>552</v>
      </c>
      <c r="D214" s="16" t="s">
        <v>56</v>
      </c>
      <c r="E214" s="65">
        <v>45020</v>
      </c>
      <c r="F214" s="66">
        <v>45039</v>
      </c>
      <c r="G214" s="67">
        <v>789529</v>
      </c>
      <c r="H214" s="296">
        <v>693611</v>
      </c>
      <c r="I214" s="345">
        <v>1217773</v>
      </c>
      <c r="J214" s="68">
        <v>1483140</v>
      </c>
      <c r="K214" s="102">
        <v>0</v>
      </c>
      <c r="L214" s="71" t="s">
        <v>24</v>
      </c>
      <c r="M214" s="72">
        <f t="shared" si="29"/>
        <v>45041</v>
      </c>
      <c r="N214" s="71" t="s">
        <v>29</v>
      </c>
      <c r="O214" s="65">
        <v>45042</v>
      </c>
      <c r="P214" s="74">
        <f t="shared" si="30"/>
        <v>22</v>
      </c>
      <c r="Q214" s="75">
        <f t="shared" ref="Q214:Q245" si="31">O214-F214-K214</f>
        <v>3</v>
      </c>
      <c r="R214" s="76"/>
      <c r="S214" s="61"/>
      <c r="T214" s="77">
        <v>15</v>
      </c>
      <c r="U214" s="77"/>
    </row>
    <row r="215" spans="1:21" x14ac:dyDescent="0.45">
      <c r="A215" s="62" t="s">
        <v>553</v>
      </c>
      <c r="B215" s="14" t="s">
        <v>128</v>
      </c>
      <c r="C215" s="144" t="s">
        <v>554</v>
      </c>
      <c r="D215" s="16" t="s">
        <v>39</v>
      </c>
      <c r="E215" s="30">
        <v>45023</v>
      </c>
      <c r="F215" s="43">
        <v>45034</v>
      </c>
      <c r="G215" s="55">
        <v>874730</v>
      </c>
      <c r="H215" s="294">
        <v>503096</v>
      </c>
      <c r="I215" s="292">
        <v>943520</v>
      </c>
      <c r="J215" s="57">
        <v>1377825.6</v>
      </c>
      <c r="K215" s="36">
        <v>6</v>
      </c>
      <c r="L215" s="36" t="s">
        <v>24</v>
      </c>
      <c r="M215" s="37">
        <f t="shared" si="29"/>
        <v>45036</v>
      </c>
      <c r="N215" s="71" t="s">
        <v>29</v>
      </c>
      <c r="O215" s="30">
        <v>45042</v>
      </c>
      <c r="P215" s="39">
        <f t="shared" si="30"/>
        <v>19</v>
      </c>
      <c r="Q215" s="40">
        <f t="shared" si="31"/>
        <v>2</v>
      </c>
      <c r="R215" s="41" t="s">
        <v>555</v>
      </c>
      <c r="S215" s="33"/>
      <c r="T215" s="42">
        <v>1</v>
      </c>
      <c r="U215" s="42"/>
    </row>
    <row r="216" spans="1:21" x14ac:dyDescent="0.45">
      <c r="A216" s="80" t="s">
        <v>556</v>
      </c>
      <c r="B216" s="14" t="s">
        <v>107</v>
      </c>
      <c r="C216" s="15" t="s">
        <v>557</v>
      </c>
      <c r="D216" s="16" t="s">
        <v>406</v>
      </c>
      <c r="E216" s="17">
        <v>45042</v>
      </c>
      <c r="F216" s="17">
        <v>45042</v>
      </c>
      <c r="G216" s="154">
        <v>1187696</v>
      </c>
      <c r="H216" s="325">
        <v>386234</v>
      </c>
      <c r="I216" s="325">
        <v>1092413</v>
      </c>
      <c r="J216" s="155">
        <v>1573930</v>
      </c>
      <c r="K216" s="22">
        <v>0</v>
      </c>
      <c r="L216" s="22" t="s">
        <v>24</v>
      </c>
      <c r="M216" s="23">
        <f t="shared" si="29"/>
        <v>45044</v>
      </c>
      <c r="N216" s="71" t="s">
        <v>29</v>
      </c>
      <c r="O216" s="24">
        <v>45044</v>
      </c>
      <c r="P216" s="25">
        <f t="shared" si="30"/>
        <v>2</v>
      </c>
      <c r="Q216" s="26">
        <f t="shared" si="31"/>
        <v>2</v>
      </c>
      <c r="R216" s="27"/>
      <c r="S216" s="20"/>
      <c r="T216" s="28">
        <v>0</v>
      </c>
      <c r="U216" s="28"/>
    </row>
    <row r="217" spans="1:21" x14ac:dyDescent="0.45">
      <c r="A217" s="54" t="s">
        <v>558</v>
      </c>
      <c r="B217" s="14" t="s">
        <v>107</v>
      </c>
      <c r="C217" s="15" t="s">
        <v>559</v>
      </c>
      <c r="D217" s="16" t="s">
        <v>406</v>
      </c>
      <c r="E217" s="30">
        <v>45043</v>
      </c>
      <c r="F217" s="30">
        <v>45043</v>
      </c>
      <c r="G217" s="154">
        <v>1122599</v>
      </c>
      <c r="H217" s="325">
        <v>394460</v>
      </c>
      <c r="I217" s="325">
        <v>1090874</v>
      </c>
      <c r="J217" s="155">
        <v>1517059</v>
      </c>
      <c r="K217" s="22">
        <v>0</v>
      </c>
      <c r="L217" s="36" t="s">
        <v>24</v>
      </c>
      <c r="M217" s="37">
        <f t="shared" si="29"/>
        <v>45045</v>
      </c>
      <c r="N217" s="71" t="s">
        <v>29</v>
      </c>
      <c r="O217" s="38">
        <v>45044</v>
      </c>
      <c r="P217" s="39">
        <f t="shared" si="30"/>
        <v>1</v>
      </c>
      <c r="Q217" s="40">
        <f t="shared" si="31"/>
        <v>1</v>
      </c>
      <c r="R217" s="41"/>
      <c r="S217" s="33"/>
      <c r="T217" s="42">
        <v>3</v>
      </c>
      <c r="U217" s="42"/>
    </row>
    <row r="218" spans="1:21" x14ac:dyDescent="0.45">
      <c r="A218" s="138" t="s">
        <v>560</v>
      </c>
      <c r="B218" s="14" t="s">
        <v>69</v>
      </c>
      <c r="C218" s="44" t="s">
        <v>561</v>
      </c>
      <c r="D218" s="16" t="s">
        <v>406</v>
      </c>
      <c r="E218" s="30">
        <v>45042</v>
      </c>
      <c r="F218" s="185">
        <v>45042</v>
      </c>
      <c r="G218" s="153">
        <v>0</v>
      </c>
      <c r="H218" s="325">
        <v>550113.80000000005</v>
      </c>
      <c r="I218" s="325">
        <v>321429</v>
      </c>
      <c r="J218" s="155">
        <v>550113.80000000005</v>
      </c>
      <c r="K218" s="22">
        <v>0</v>
      </c>
      <c r="L218" s="61" t="s">
        <v>24</v>
      </c>
      <c r="M218" s="37">
        <f t="shared" si="29"/>
        <v>45044</v>
      </c>
      <c r="N218" s="71" t="s">
        <v>29</v>
      </c>
      <c r="O218" s="185">
        <v>45042</v>
      </c>
      <c r="P218" s="39">
        <f t="shared" si="30"/>
        <v>0</v>
      </c>
      <c r="Q218" s="40">
        <f t="shared" si="31"/>
        <v>0</v>
      </c>
      <c r="R218" s="41"/>
      <c r="S218" s="61"/>
      <c r="T218" s="77">
        <v>0</v>
      </c>
      <c r="U218" s="77"/>
    </row>
    <row r="219" spans="1:21" x14ac:dyDescent="0.45">
      <c r="A219" s="62" t="s">
        <v>562</v>
      </c>
      <c r="B219" s="14" t="s">
        <v>94</v>
      </c>
      <c r="C219" s="44" t="s">
        <v>563</v>
      </c>
      <c r="D219" s="16" t="s">
        <v>56</v>
      </c>
      <c r="E219" s="30">
        <v>45043</v>
      </c>
      <c r="F219" s="31">
        <v>45043</v>
      </c>
      <c r="G219" s="142">
        <f>20254606/9</f>
        <v>2250511.777777778</v>
      </c>
      <c r="H219" s="308">
        <f>3566330/9</f>
        <v>396258.88888888888</v>
      </c>
      <c r="I219" s="350">
        <f>23155550/9</f>
        <v>2572838.888888889</v>
      </c>
      <c r="J219" s="143">
        <f>23820936/9</f>
        <v>2646770.6666666665</v>
      </c>
      <c r="K219" s="22">
        <v>0</v>
      </c>
      <c r="L219" s="33" t="s">
        <v>24</v>
      </c>
      <c r="M219" s="37">
        <f t="shared" si="29"/>
        <v>45045</v>
      </c>
      <c r="N219" s="71" t="s">
        <v>29</v>
      </c>
      <c r="O219" s="30">
        <v>45043</v>
      </c>
      <c r="P219" s="39">
        <f t="shared" si="30"/>
        <v>0</v>
      </c>
      <c r="Q219" s="40">
        <f t="shared" si="31"/>
        <v>0</v>
      </c>
      <c r="R219" s="41"/>
      <c r="S219" s="33"/>
      <c r="T219" s="42">
        <v>9</v>
      </c>
      <c r="U219" s="42"/>
    </row>
    <row r="220" spans="1:21" x14ac:dyDescent="0.45">
      <c r="A220" s="138" t="s">
        <v>564</v>
      </c>
      <c r="B220" s="14" t="s">
        <v>117</v>
      </c>
      <c r="C220" s="15" t="s">
        <v>565</v>
      </c>
      <c r="D220" s="16" t="s">
        <v>56</v>
      </c>
      <c r="E220" s="30">
        <v>45027</v>
      </c>
      <c r="F220" s="31">
        <v>45027</v>
      </c>
      <c r="G220" s="186">
        <v>2108663</v>
      </c>
      <c r="H220" s="326">
        <v>725737</v>
      </c>
      <c r="I220" s="326">
        <v>2587183</v>
      </c>
      <c r="J220" s="186">
        <v>2834401</v>
      </c>
      <c r="K220" s="36">
        <v>18</v>
      </c>
      <c r="L220" s="36" t="s">
        <v>24</v>
      </c>
      <c r="M220" s="187">
        <f t="shared" si="29"/>
        <v>45029</v>
      </c>
      <c r="N220" s="71" t="s">
        <v>29</v>
      </c>
      <c r="O220" s="73">
        <v>45045</v>
      </c>
      <c r="P220" s="39">
        <f t="shared" si="30"/>
        <v>18</v>
      </c>
      <c r="Q220" s="40">
        <f t="shared" si="31"/>
        <v>0</v>
      </c>
      <c r="R220" s="41" t="s">
        <v>566</v>
      </c>
      <c r="S220" s="33"/>
      <c r="T220" s="77">
        <v>12</v>
      </c>
      <c r="U220" s="42"/>
    </row>
    <row r="221" spans="1:21" x14ac:dyDescent="0.45">
      <c r="A221" s="62" t="s">
        <v>567</v>
      </c>
      <c r="B221" s="14" t="s">
        <v>58</v>
      </c>
      <c r="C221" s="15" t="s">
        <v>568</v>
      </c>
      <c r="D221" s="16" t="s">
        <v>39</v>
      </c>
      <c r="E221" s="65">
        <v>45032</v>
      </c>
      <c r="F221" s="65">
        <v>45032</v>
      </c>
      <c r="G221" s="186">
        <v>2479714</v>
      </c>
      <c r="H221" s="326">
        <v>499521</v>
      </c>
      <c r="I221" s="326">
        <v>2544929</v>
      </c>
      <c r="J221" s="186">
        <v>2979234</v>
      </c>
      <c r="K221" s="102">
        <v>16</v>
      </c>
      <c r="L221" s="71" t="s">
        <v>24</v>
      </c>
      <c r="M221" s="188">
        <f t="shared" si="29"/>
        <v>45034</v>
      </c>
      <c r="N221" s="189" t="s">
        <v>29</v>
      </c>
      <c r="O221" s="38">
        <v>45048</v>
      </c>
      <c r="P221" s="190">
        <f t="shared" si="30"/>
        <v>16</v>
      </c>
      <c r="Q221" s="75">
        <f t="shared" si="31"/>
        <v>0</v>
      </c>
      <c r="R221" s="76" t="s">
        <v>569</v>
      </c>
      <c r="S221" s="92"/>
      <c r="T221" s="88">
        <v>5</v>
      </c>
      <c r="U221" s="191"/>
    </row>
    <row r="222" spans="1:21" x14ac:dyDescent="0.45">
      <c r="A222" s="158" t="s">
        <v>570</v>
      </c>
      <c r="B222" s="14" t="s">
        <v>571</v>
      </c>
      <c r="C222" s="15" t="s">
        <v>572</v>
      </c>
      <c r="D222" s="16" t="s">
        <v>39</v>
      </c>
      <c r="E222" s="30">
        <v>45032</v>
      </c>
      <c r="F222" s="43">
        <v>45032</v>
      </c>
      <c r="G222" s="47">
        <f>7077806/3</f>
        <v>2359268.6666666665</v>
      </c>
      <c r="H222" s="294">
        <f>1336811/3</f>
        <v>445603.66666666669</v>
      </c>
      <c r="I222" s="292">
        <f>5988676/3</f>
        <v>1996225.3333333333</v>
      </c>
      <c r="J222" s="57">
        <f>8414617.8/3</f>
        <v>2804872.6</v>
      </c>
      <c r="K222" s="36">
        <v>8</v>
      </c>
      <c r="L222" s="36" t="s">
        <v>24</v>
      </c>
      <c r="M222" s="192">
        <f t="shared" si="29"/>
        <v>45034</v>
      </c>
      <c r="N222" s="71" t="s">
        <v>29</v>
      </c>
      <c r="O222" s="24">
        <v>45046</v>
      </c>
      <c r="P222" s="39">
        <f t="shared" si="30"/>
        <v>14</v>
      </c>
      <c r="Q222" s="40">
        <f t="shared" si="31"/>
        <v>6</v>
      </c>
      <c r="R222" s="41" t="s">
        <v>573</v>
      </c>
      <c r="S222" s="87"/>
      <c r="T222" s="53">
        <v>8</v>
      </c>
      <c r="U222" s="88"/>
    </row>
    <row r="223" spans="1:21" x14ac:dyDescent="0.45">
      <c r="A223" s="29" t="s">
        <v>574</v>
      </c>
      <c r="B223" s="14" t="s">
        <v>575</v>
      </c>
      <c r="C223" s="15" t="s">
        <v>576</v>
      </c>
      <c r="D223" s="16" t="s">
        <v>390</v>
      </c>
      <c r="E223" s="30">
        <v>45027</v>
      </c>
      <c r="F223" s="43">
        <v>45034</v>
      </c>
      <c r="G223" s="47">
        <v>1444326</v>
      </c>
      <c r="H223" s="307">
        <v>368252</v>
      </c>
      <c r="I223" s="351">
        <v>1041596</v>
      </c>
      <c r="J223" s="193">
        <v>1812578</v>
      </c>
      <c r="K223" s="36">
        <v>0</v>
      </c>
      <c r="L223" s="36" t="s">
        <v>24</v>
      </c>
      <c r="M223" s="192">
        <f t="shared" si="29"/>
        <v>45036</v>
      </c>
      <c r="N223" s="71" t="s">
        <v>29</v>
      </c>
      <c r="O223" s="73">
        <v>45046</v>
      </c>
      <c r="P223" s="39">
        <f t="shared" si="30"/>
        <v>19</v>
      </c>
      <c r="Q223" s="40">
        <f t="shared" si="31"/>
        <v>12</v>
      </c>
      <c r="R223" s="41" t="s">
        <v>577</v>
      </c>
      <c r="S223" s="33"/>
      <c r="T223" s="77">
        <v>4</v>
      </c>
      <c r="U223" s="42"/>
    </row>
    <row r="224" spans="1:21" x14ac:dyDescent="0.45">
      <c r="A224" s="54" t="s">
        <v>578</v>
      </c>
      <c r="B224" s="14" t="s">
        <v>48</v>
      </c>
      <c r="C224" s="15" t="s">
        <v>579</v>
      </c>
      <c r="D224" s="16" t="s">
        <v>23</v>
      </c>
      <c r="E224" s="97">
        <v>45038</v>
      </c>
      <c r="F224" s="97">
        <v>45038</v>
      </c>
      <c r="G224" s="194">
        <v>2327169</v>
      </c>
      <c r="H224" s="327">
        <v>461326</v>
      </c>
      <c r="I224" s="327">
        <v>1954439</v>
      </c>
      <c r="J224" s="195">
        <v>2788494.6</v>
      </c>
      <c r="K224" s="102">
        <v>0</v>
      </c>
      <c r="L224" s="102" t="s">
        <v>24</v>
      </c>
      <c r="M224" s="188">
        <f t="shared" si="29"/>
        <v>45040</v>
      </c>
      <c r="N224" s="189" t="s">
        <v>29</v>
      </c>
      <c r="O224" s="38">
        <v>45048</v>
      </c>
      <c r="P224" s="196">
        <f t="shared" si="30"/>
        <v>10</v>
      </c>
      <c r="Q224" s="106">
        <f t="shared" si="31"/>
        <v>10</v>
      </c>
      <c r="R224" s="107"/>
      <c r="S224" s="85"/>
      <c r="T224" s="42">
        <v>13</v>
      </c>
      <c r="U224" s="197"/>
    </row>
    <row r="225" spans="1:21" x14ac:dyDescent="0.45">
      <c r="A225" s="80" t="s">
        <v>580</v>
      </c>
      <c r="B225" s="14" t="s">
        <v>571</v>
      </c>
      <c r="C225" s="15" t="s">
        <v>581</v>
      </c>
      <c r="D225" s="16" t="s">
        <v>39</v>
      </c>
      <c r="E225" s="30">
        <v>45038</v>
      </c>
      <c r="F225" s="43">
        <v>45038</v>
      </c>
      <c r="G225" s="47">
        <f>7077806/3</f>
        <v>2359268.6666666665</v>
      </c>
      <c r="H225" s="294">
        <f>1336811/3</f>
        <v>445603.66666666669</v>
      </c>
      <c r="I225" s="292">
        <f>5988676/3</f>
        <v>1996225.3333333333</v>
      </c>
      <c r="J225" s="57">
        <f>8414617.8/3</f>
        <v>2804872.6</v>
      </c>
      <c r="K225" s="33">
        <v>3</v>
      </c>
      <c r="L225" s="36" t="s">
        <v>24</v>
      </c>
      <c r="M225" s="192">
        <f t="shared" si="29"/>
        <v>45040</v>
      </c>
      <c r="N225" s="71" t="s">
        <v>29</v>
      </c>
      <c r="O225" s="24">
        <v>45046</v>
      </c>
      <c r="P225" s="39">
        <f t="shared" si="30"/>
        <v>8</v>
      </c>
      <c r="Q225" s="40">
        <f t="shared" si="31"/>
        <v>5</v>
      </c>
      <c r="R225" s="41" t="s">
        <v>582</v>
      </c>
      <c r="S225" s="33"/>
      <c r="T225" s="28">
        <v>13</v>
      </c>
      <c r="U225" s="42"/>
    </row>
    <row r="226" spans="1:21" x14ac:dyDescent="0.45">
      <c r="A226" s="80" t="s">
        <v>583</v>
      </c>
      <c r="B226" s="14" t="s">
        <v>54</v>
      </c>
      <c r="C226" s="15" t="s">
        <v>584</v>
      </c>
      <c r="D226" s="16" t="s">
        <v>56</v>
      </c>
      <c r="E226" s="17">
        <v>45040</v>
      </c>
      <c r="F226" s="198">
        <v>45040</v>
      </c>
      <c r="G226" s="115">
        <v>997342</v>
      </c>
      <c r="H226" s="300">
        <v>712651</v>
      </c>
      <c r="I226" s="346">
        <v>1456912</v>
      </c>
      <c r="J226" s="82">
        <v>1709993</v>
      </c>
      <c r="K226" s="22">
        <v>0</v>
      </c>
      <c r="L226" s="22" t="s">
        <v>24</v>
      </c>
      <c r="M226" s="187">
        <f t="shared" si="29"/>
        <v>45042</v>
      </c>
      <c r="N226" s="71" t="s">
        <v>29</v>
      </c>
      <c r="O226" s="24">
        <v>45045</v>
      </c>
      <c r="P226" s="25">
        <f t="shared" si="30"/>
        <v>5</v>
      </c>
      <c r="Q226" s="26">
        <f t="shared" si="31"/>
        <v>5</v>
      </c>
      <c r="R226" s="27"/>
      <c r="S226" s="20"/>
      <c r="T226" s="28">
        <v>12</v>
      </c>
      <c r="U226" s="28"/>
    </row>
    <row r="227" spans="1:21" x14ac:dyDescent="0.45">
      <c r="A227" s="138" t="s">
        <v>585</v>
      </c>
      <c r="B227" s="14" t="s">
        <v>388</v>
      </c>
      <c r="C227" s="15" t="s">
        <v>586</v>
      </c>
      <c r="D227" s="16" t="s">
        <v>390</v>
      </c>
      <c r="E227" s="30">
        <v>45041</v>
      </c>
      <c r="F227" s="30">
        <v>45041</v>
      </c>
      <c r="G227" s="199">
        <v>1824056</v>
      </c>
      <c r="H227" s="307">
        <v>351296</v>
      </c>
      <c r="I227" s="351">
        <v>1564506</v>
      </c>
      <c r="J227" s="200">
        <v>2175352</v>
      </c>
      <c r="K227" s="22">
        <v>0</v>
      </c>
      <c r="L227" s="36" t="s">
        <v>24</v>
      </c>
      <c r="M227" s="187">
        <f t="shared" si="29"/>
        <v>45043</v>
      </c>
      <c r="N227" s="71" t="s">
        <v>29</v>
      </c>
      <c r="O227" s="38">
        <v>45046</v>
      </c>
      <c r="P227" s="39">
        <f t="shared" si="30"/>
        <v>5</v>
      </c>
      <c r="Q227" s="40">
        <f t="shared" si="31"/>
        <v>5</v>
      </c>
      <c r="R227" s="76"/>
      <c r="S227" s="33"/>
      <c r="T227" s="42">
        <v>5</v>
      </c>
      <c r="U227" s="42"/>
    </row>
    <row r="228" spans="1:21" x14ac:dyDescent="0.45">
      <c r="A228" s="54" t="s">
        <v>587</v>
      </c>
      <c r="B228" s="14" t="s">
        <v>51</v>
      </c>
      <c r="C228" s="15" t="s">
        <v>588</v>
      </c>
      <c r="D228" s="16" t="s">
        <v>406</v>
      </c>
      <c r="E228" s="30">
        <v>45040</v>
      </c>
      <c r="F228" s="30">
        <v>45040</v>
      </c>
      <c r="G228" s="19">
        <v>0</v>
      </c>
      <c r="H228" s="328"/>
      <c r="I228" s="360">
        <v>0</v>
      </c>
      <c r="J228" s="201">
        <v>0</v>
      </c>
      <c r="K228" s="22">
        <v>0</v>
      </c>
      <c r="L228" s="36" t="s">
        <v>24</v>
      </c>
      <c r="M228" s="187">
        <f t="shared" si="29"/>
        <v>45042</v>
      </c>
      <c r="N228" s="71" t="s">
        <v>29</v>
      </c>
      <c r="O228" s="38">
        <v>45047</v>
      </c>
      <c r="P228" s="39">
        <f t="shared" si="30"/>
        <v>7</v>
      </c>
      <c r="Q228" s="40">
        <f t="shared" si="31"/>
        <v>7</v>
      </c>
      <c r="R228" s="41"/>
      <c r="S228" s="33"/>
      <c r="T228" s="42">
        <v>0</v>
      </c>
      <c r="U228" s="42"/>
    </row>
    <row r="229" spans="1:21" x14ac:dyDescent="0.45">
      <c r="A229" s="54" t="s">
        <v>589</v>
      </c>
      <c r="B229" s="14" t="s">
        <v>94</v>
      </c>
      <c r="C229" s="15" t="s">
        <v>590</v>
      </c>
      <c r="D229" s="16" t="s">
        <v>56</v>
      </c>
      <c r="E229" s="30">
        <v>45041</v>
      </c>
      <c r="F229" s="174">
        <v>45041</v>
      </c>
      <c r="G229" s="142">
        <v>1224129</v>
      </c>
      <c r="H229" s="308">
        <v>682434</v>
      </c>
      <c r="I229" s="344">
        <v>1623605</v>
      </c>
      <c r="J229" s="64">
        <v>1906563</v>
      </c>
      <c r="K229" s="22">
        <v>0</v>
      </c>
      <c r="L229" s="36" t="s">
        <v>24</v>
      </c>
      <c r="M229" s="187">
        <f t="shared" si="29"/>
        <v>45043</v>
      </c>
      <c r="N229" s="71" t="s">
        <v>29</v>
      </c>
      <c r="O229" s="38">
        <v>45045</v>
      </c>
      <c r="P229" s="39">
        <f t="shared" si="30"/>
        <v>4</v>
      </c>
      <c r="Q229" s="40">
        <f t="shared" si="31"/>
        <v>4</v>
      </c>
      <c r="R229" s="41"/>
      <c r="S229" s="33"/>
      <c r="T229" s="42">
        <v>5</v>
      </c>
      <c r="U229" s="42"/>
    </row>
    <row r="230" spans="1:21" x14ac:dyDescent="0.45">
      <c r="A230" s="29" t="s">
        <v>591</v>
      </c>
      <c r="B230" s="14" t="s">
        <v>21</v>
      </c>
      <c r="C230" s="15" t="s">
        <v>592</v>
      </c>
      <c r="D230" s="16" t="s">
        <v>23</v>
      </c>
      <c r="E230" s="30">
        <v>45041</v>
      </c>
      <c r="F230" s="43">
        <v>45041</v>
      </c>
      <c r="G230" s="19">
        <v>2421868</v>
      </c>
      <c r="H230" s="291">
        <v>700904.2</v>
      </c>
      <c r="I230" s="342">
        <v>2304438</v>
      </c>
      <c r="J230" s="20">
        <v>3122772.2</v>
      </c>
      <c r="K230" s="22">
        <v>0</v>
      </c>
      <c r="L230" s="36" t="s">
        <v>24</v>
      </c>
      <c r="M230" s="187">
        <f t="shared" si="29"/>
        <v>45043</v>
      </c>
      <c r="N230" s="71" t="s">
        <v>29</v>
      </c>
      <c r="O230" s="38">
        <v>45044</v>
      </c>
      <c r="P230" s="39">
        <f t="shared" si="30"/>
        <v>3</v>
      </c>
      <c r="Q230" s="40">
        <f t="shared" si="31"/>
        <v>3</v>
      </c>
      <c r="R230" s="41"/>
      <c r="S230" s="33"/>
      <c r="T230" s="42">
        <v>6</v>
      </c>
      <c r="U230" s="42"/>
    </row>
    <row r="231" spans="1:21" x14ac:dyDescent="0.45">
      <c r="A231" s="54" t="s">
        <v>593</v>
      </c>
      <c r="B231" s="14" t="s">
        <v>230</v>
      </c>
      <c r="C231" s="15" t="s">
        <v>594</v>
      </c>
      <c r="D231" s="16" t="s">
        <v>417</v>
      </c>
      <c r="E231" s="30">
        <v>45041</v>
      </c>
      <c r="F231" s="30">
        <v>45041</v>
      </c>
      <c r="G231" s="156">
        <v>208750</v>
      </c>
      <c r="H231" s="329">
        <v>437545</v>
      </c>
      <c r="I231" s="361">
        <v>400060</v>
      </c>
      <c r="J231" s="160">
        <v>646294</v>
      </c>
      <c r="K231" s="22">
        <v>0</v>
      </c>
      <c r="L231" s="36" t="s">
        <v>24</v>
      </c>
      <c r="M231" s="187">
        <f t="shared" si="29"/>
        <v>45043</v>
      </c>
      <c r="N231" s="71" t="s">
        <v>29</v>
      </c>
      <c r="O231" s="73">
        <v>45045</v>
      </c>
      <c r="P231" s="39">
        <f t="shared" si="30"/>
        <v>4</v>
      </c>
      <c r="Q231" s="40">
        <f t="shared" si="31"/>
        <v>4</v>
      </c>
      <c r="R231" s="41"/>
      <c r="S231" s="33"/>
      <c r="T231" s="42">
        <v>13</v>
      </c>
      <c r="U231" s="42"/>
    </row>
    <row r="232" spans="1:21" x14ac:dyDescent="0.45">
      <c r="A232" s="29" t="s">
        <v>595</v>
      </c>
      <c r="B232" s="14" t="s">
        <v>21</v>
      </c>
      <c r="C232" s="15" t="s">
        <v>596</v>
      </c>
      <c r="D232" s="16" t="s">
        <v>23</v>
      </c>
      <c r="E232" s="30">
        <v>45041</v>
      </c>
      <c r="F232" s="43">
        <v>45041</v>
      </c>
      <c r="G232" s="32">
        <v>949981</v>
      </c>
      <c r="H232" s="293">
        <v>464381</v>
      </c>
      <c r="I232" s="292">
        <v>1142049</v>
      </c>
      <c r="J232" s="33">
        <v>1414362</v>
      </c>
      <c r="K232" s="22">
        <v>0</v>
      </c>
      <c r="L232" s="36" t="s">
        <v>24</v>
      </c>
      <c r="M232" s="187">
        <f t="shared" si="29"/>
        <v>45043</v>
      </c>
      <c r="N232" s="71" t="s">
        <v>29</v>
      </c>
      <c r="O232" s="38">
        <v>45045</v>
      </c>
      <c r="P232" s="39">
        <f t="shared" si="30"/>
        <v>4</v>
      </c>
      <c r="Q232" s="40">
        <f t="shared" si="31"/>
        <v>4</v>
      </c>
      <c r="R232" s="41"/>
      <c r="S232" s="33"/>
      <c r="T232" s="42">
        <v>3</v>
      </c>
      <c r="U232" s="42"/>
    </row>
    <row r="233" spans="1:21" x14ac:dyDescent="0.45">
      <c r="A233" s="29" t="s">
        <v>597</v>
      </c>
      <c r="B233" s="14" t="s">
        <v>175</v>
      </c>
      <c r="C233" s="15" t="s">
        <v>598</v>
      </c>
      <c r="D233" s="16" t="s">
        <v>23</v>
      </c>
      <c r="E233" s="30">
        <v>45043</v>
      </c>
      <c r="F233" s="43">
        <v>45043</v>
      </c>
      <c r="G233" s="32">
        <f>3005668/2</f>
        <v>1502834</v>
      </c>
      <c r="H233" s="293">
        <f>674011/2</f>
        <v>337005.5</v>
      </c>
      <c r="I233" s="292">
        <f>2725398/2</f>
        <v>1362699</v>
      </c>
      <c r="J233" s="33">
        <f>3679679/2</f>
        <v>1839839.5</v>
      </c>
      <c r="K233" s="22">
        <v>0</v>
      </c>
      <c r="L233" s="36" t="s">
        <v>24</v>
      </c>
      <c r="M233" s="187">
        <f t="shared" si="29"/>
        <v>45045</v>
      </c>
      <c r="N233" s="71" t="s">
        <v>29</v>
      </c>
      <c r="O233" s="38">
        <v>45045</v>
      </c>
      <c r="P233" s="39">
        <f t="shared" si="30"/>
        <v>2</v>
      </c>
      <c r="Q233" s="40">
        <f t="shared" si="31"/>
        <v>2</v>
      </c>
      <c r="R233" s="41"/>
      <c r="S233" s="33"/>
      <c r="T233" s="42">
        <v>20</v>
      </c>
      <c r="U233" s="42"/>
    </row>
    <row r="234" spans="1:21" x14ac:dyDescent="0.45">
      <c r="A234" s="54" t="s">
        <v>599</v>
      </c>
      <c r="B234" s="14" t="s">
        <v>69</v>
      </c>
      <c r="C234" s="15" t="s">
        <v>600</v>
      </c>
      <c r="D234" s="16" t="s">
        <v>406</v>
      </c>
      <c r="E234" s="30">
        <v>45043</v>
      </c>
      <c r="F234" s="30">
        <v>45045</v>
      </c>
      <c r="G234" s="19">
        <v>0</v>
      </c>
      <c r="H234" s="322"/>
      <c r="I234" s="353">
        <v>0</v>
      </c>
      <c r="J234" s="152">
        <v>0</v>
      </c>
      <c r="K234" s="22">
        <v>0</v>
      </c>
      <c r="L234" s="36" t="s">
        <v>24</v>
      </c>
      <c r="M234" s="187">
        <f t="shared" si="29"/>
        <v>45047</v>
      </c>
      <c r="N234" s="71" t="s">
        <v>29</v>
      </c>
      <c r="O234" s="38">
        <v>45046</v>
      </c>
      <c r="P234" s="39">
        <f t="shared" si="30"/>
        <v>3</v>
      </c>
      <c r="Q234" s="40">
        <f t="shared" si="31"/>
        <v>1</v>
      </c>
      <c r="R234" s="41"/>
      <c r="S234" s="33"/>
      <c r="T234" s="42">
        <v>0</v>
      </c>
      <c r="U234" s="42"/>
    </row>
    <row r="235" spans="1:21" x14ac:dyDescent="0.45">
      <c r="A235" s="54" t="s">
        <v>601</v>
      </c>
      <c r="B235" s="14" t="s">
        <v>27</v>
      </c>
      <c r="C235" s="15" t="s">
        <v>602</v>
      </c>
      <c r="D235" s="16" t="s">
        <v>406</v>
      </c>
      <c r="E235" s="30">
        <v>45044</v>
      </c>
      <c r="F235" s="30">
        <v>45044</v>
      </c>
      <c r="G235" s="19">
        <v>0</v>
      </c>
      <c r="H235" s="322"/>
      <c r="I235" s="361">
        <v>0</v>
      </c>
      <c r="J235" s="160">
        <v>0</v>
      </c>
      <c r="K235" s="22">
        <v>0</v>
      </c>
      <c r="L235" s="36" t="s">
        <v>24</v>
      </c>
      <c r="M235" s="187">
        <f t="shared" si="29"/>
        <v>45046</v>
      </c>
      <c r="N235" s="71" t="s">
        <v>29</v>
      </c>
      <c r="O235" s="38">
        <v>45047</v>
      </c>
      <c r="P235" s="39">
        <f t="shared" si="30"/>
        <v>3</v>
      </c>
      <c r="Q235" s="40">
        <f t="shared" si="31"/>
        <v>3</v>
      </c>
      <c r="R235" s="41"/>
      <c r="S235" s="33"/>
      <c r="T235" s="42">
        <v>7</v>
      </c>
      <c r="U235" s="42"/>
    </row>
    <row r="236" spans="1:21" x14ac:dyDescent="0.45">
      <c r="A236" s="29" t="s">
        <v>603</v>
      </c>
      <c r="B236" s="14" t="s">
        <v>450</v>
      </c>
      <c r="C236" s="15" t="s">
        <v>604</v>
      </c>
      <c r="D236" s="16" t="s">
        <v>406</v>
      </c>
      <c r="E236" s="30">
        <v>45045</v>
      </c>
      <c r="F236" s="43">
        <v>45045</v>
      </c>
      <c r="G236" s="32">
        <v>1937669</v>
      </c>
      <c r="H236" s="293">
        <v>495523.6</v>
      </c>
      <c r="I236" s="353" t="s">
        <v>605</v>
      </c>
      <c r="J236" s="202">
        <v>2887212.6</v>
      </c>
      <c r="K236" s="22">
        <v>0</v>
      </c>
      <c r="L236" s="71" t="s">
        <v>24</v>
      </c>
      <c r="M236" s="187">
        <f t="shared" si="29"/>
        <v>45047</v>
      </c>
      <c r="N236" s="71" t="s">
        <v>29</v>
      </c>
      <c r="O236" s="38">
        <v>45046</v>
      </c>
      <c r="P236" s="39">
        <f t="shared" si="30"/>
        <v>1</v>
      </c>
      <c r="Q236" s="40">
        <f t="shared" si="31"/>
        <v>1</v>
      </c>
      <c r="R236" s="76"/>
      <c r="S236" s="61"/>
      <c r="T236" s="77">
        <v>12</v>
      </c>
      <c r="U236" s="77"/>
    </row>
    <row r="237" spans="1:21" x14ac:dyDescent="0.45">
      <c r="A237" s="62" t="s">
        <v>606</v>
      </c>
      <c r="B237" s="14" t="s">
        <v>388</v>
      </c>
      <c r="C237" s="44" t="s">
        <v>607</v>
      </c>
      <c r="D237" s="16" t="s">
        <v>390</v>
      </c>
      <c r="E237" s="30">
        <v>45044</v>
      </c>
      <c r="F237" s="30">
        <v>45045</v>
      </c>
      <c r="G237" s="169">
        <v>233750</v>
      </c>
      <c r="H237" s="307">
        <v>420002</v>
      </c>
      <c r="I237" s="351">
        <v>401280</v>
      </c>
      <c r="J237" s="170">
        <v>653752</v>
      </c>
      <c r="K237" s="22">
        <v>0</v>
      </c>
      <c r="L237" s="36" t="s">
        <v>24</v>
      </c>
      <c r="M237" s="187">
        <f t="shared" si="29"/>
        <v>45047</v>
      </c>
      <c r="N237" s="71" t="s">
        <v>29</v>
      </c>
      <c r="O237" s="38">
        <v>45046</v>
      </c>
      <c r="P237" s="39">
        <f t="shared" si="30"/>
        <v>2</v>
      </c>
      <c r="Q237" s="40">
        <f t="shared" si="31"/>
        <v>1</v>
      </c>
      <c r="R237" s="33"/>
      <c r="S237" s="33"/>
      <c r="T237" s="42">
        <v>11</v>
      </c>
      <c r="U237" s="42"/>
    </row>
    <row r="238" spans="1:21" x14ac:dyDescent="0.45">
      <c r="A238" s="62" t="s">
        <v>608</v>
      </c>
      <c r="B238" s="14" t="s">
        <v>388</v>
      </c>
      <c r="C238" s="44" t="s">
        <v>609</v>
      </c>
      <c r="D238" s="16" t="s">
        <v>390</v>
      </c>
      <c r="E238" s="30">
        <v>45043</v>
      </c>
      <c r="F238" s="30">
        <v>45045</v>
      </c>
      <c r="G238" s="169">
        <v>233750</v>
      </c>
      <c r="H238" s="307">
        <v>407285</v>
      </c>
      <c r="I238" s="351">
        <v>395160</v>
      </c>
      <c r="J238" s="170">
        <v>641035</v>
      </c>
      <c r="K238" s="22">
        <v>0</v>
      </c>
      <c r="L238" s="36" t="s">
        <v>24</v>
      </c>
      <c r="M238" s="187">
        <f t="shared" si="29"/>
        <v>45047</v>
      </c>
      <c r="N238" s="71" t="s">
        <v>29</v>
      </c>
      <c r="O238" s="38">
        <v>45046</v>
      </c>
      <c r="P238" s="39">
        <f t="shared" si="30"/>
        <v>3</v>
      </c>
      <c r="Q238" s="40">
        <f t="shared" si="31"/>
        <v>1</v>
      </c>
      <c r="R238" s="33"/>
      <c r="S238" s="33"/>
      <c r="T238" s="42">
        <v>22</v>
      </c>
      <c r="U238" s="42"/>
    </row>
    <row r="239" spans="1:21" x14ac:dyDescent="0.45">
      <c r="A239" s="138" t="s">
        <v>610</v>
      </c>
      <c r="B239" s="14" t="s">
        <v>388</v>
      </c>
      <c r="C239" s="44" t="s">
        <v>611</v>
      </c>
      <c r="D239" s="16" t="s">
        <v>390</v>
      </c>
      <c r="E239" s="30">
        <v>45046</v>
      </c>
      <c r="F239" s="65">
        <v>45046</v>
      </c>
      <c r="G239" s="171">
        <v>233750</v>
      </c>
      <c r="H239" s="330">
        <v>360655.6</v>
      </c>
      <c r="I239" s="330">
        <v>372720</v>
      </c>
      <c r="J239" s="203">
        <v>594405.6</v>
      </c>
      <c r="K239" s="22">
        <v>0</v>
      </c>
      <c r="L239" s="71" t="s">
        <v>24</v>
      </c>
      <c r="M239" s="187">
        <f t="shared" si="29"/>
        <v>45048</v>
      </c>
      <c r="N239" s="71" t="s">
        <v>29</v>
      </c>
      <c r="O239" s="73">
        <v>45046</v>
      </c>
      <c r="P239" s="39">
        <f t="shared" si="30"/>
        <v>0</v>
      </c>
      <c r="Q239" s="40">
        <f t="shared" si="31"/>
        <v>0</v>
      </c>
      <c r="R239" s="61"/>
      <c r="S239" s="61"/>
      <c r="T239" s="77">
        <v>4</v>
      </c>
      <c r="U239" s="77"/>
    </row>
    <row r="240" spans="1:21" x14ac:dyDescent="0.45">
      <c r="A240" s="29" t="s">
        <v>612</v>
      </c>
      <c r="B240" s="14" t="s">
        <v>27</v>
      </c>
      <c r="C240" s="15" t="s">
        <v>613</v>
      </c>
      <c r="D240" s="16" t="s">
        <v>23</v>
      </c>
      <c r="E240" s="30">
        <v>45020</v>
      </c>
      <c r="F240" s="43">
        <v>45021</v>
      </c>
      <c r="G240" s="32">
        <v>2247488</v>
      </c>
      <c r="H240" s="293">
        <v>502120.6</v>
      </c>
      <c r="I240" s="292">
        <v>2142378</v>
      </c>
      <c r="J240" s="33">
        <v>2749608.6</v>
      </c>
      <c r="K240" s="22">
        <v>0</v>
      </c>
      <c r="L240" s="36" t="s">
        <v>24</v>
      </c>
      <c r="M240" s="187">
        <f t="shared" si="29"/>
        <v>45023</v>
      </c>
      <c r="N240" s="71" t="s">
        <v>29</v>
      </c>
      <c r="O240" s="38">
        <v>45046</v>
      </c>
      <c r="P240" s="39">
        <f t="shared" si="30"/>
        <v>26</v>
      </c>
      <c r="Q240" s="40">
        <f t="shared" si="31"/>
        <v>25</v>
      </c>
      <c r="R240" s="33" t="s">
        <v>582</v>
      </c>
      <c r="S240" s="33"/>
      <c r="T240" s="42">
        <v>6</v>
      </c>
      <c r="U240" s="42"/>
    </row>
    <row r="241" spans="1:21" x14ac:dyDescent="0.45">
      <c r="A241" s="29" t="s">
        <v>614</v>
      </c>
      <c r="B241" s="14" t="s">
        <v>175</v>
      </c>
      <c r="C241" s="15" t="s">
        <v>615</v>
      </c>
      <c r="D241" s="16" t="s">
        <v>23</v>
      </c>
      <c r="E241" s="65">
        <v>45034</v>
      </c>
      <c r="F241" s="91">
        <v>45042</v>
      </c>
      <c r="G241" s="60">
        <f>300566/2</f>
        <v>150283</v>
      </c>
      <c r="H241" s="296">
        <f>674011/2</f>
        <v>337005.5</v>
      </c>
      <c r="I241" s="343">
        <f>2725398/2</f>
        <v>1362699</v>
      </c>
      <c r="J241" s="61">
        <f>3679679/2</f>
        <v>1839839.5</v>
      </c>
      <c r="K241" s="102">
        <v>0</v>
      </c>
      <c r="L241" s="71" t="s">
        <v>24</v>
      </c>
      <c r="M241" s="188">
        <f t="shared" si="29"/>
        <v>45044</v>
      </c>
      <c r="N241" s="71" t="s">
        <v>29</v>
      </c>
      <c r="O241" s="73">
        <v>45046</v>
      </c>
      <c r="P241" s="74">
        <f t="shared" si="30"/>
        <v>12</v>
      </c>
      <c r="Q241" s="75">
        <f t="shared" si="31"/>
        <v>4</v>
      </c>
      <c r="R241" s="61"/>
      <c r="S241" s="61"/>
      <c r="T241" s="77">
        <v>20</v>
      </c>
      <c r="U241" s="77"/>
    </row>
    <row r="242" spans="1:21" x14ac:dyDescent="0.45">
      <c r="A242" s="62" t="s">
        <v>616</v>
      </c>
      <c r="B242" s="14" t="s">
        <v>128</v>
      </c>
      <c r="C242" s="44" t="s">
        <v>617</v>
      </c>
      <c r="D242" s="16" t="s">
        <v>39</v>
      </c>
      <c r="E242" s="30">
        <v>45030</v>
      </c>
      <c r="F242" s="43">
        <v>45043</v>
      </c>
      <c r="G242" s="59">
        <v>208750</v>
      </c>
      <c r="H242" s="295">
        <v>411470.6</v>
      </c>
      <c r="I242" s="292">
        <v>402150</v>
      </c>
      <c r="J242" s="57">
        <v>620220.6</v>
      </c>
      <c r="K242" s="36">
        <v>0</v>
      </c>
      <c r="L242" s="36" t="s">
        <v>24</v>
      </c>
      <c r="M242" s="192">
        <f t="shared" si="29"/>
        <v>45045</v>
      </c>
      <c r="N242" s="71" t="s">
        <v>29</v>
      </c>
      <c r="O242" s="38">
        <v>45045</v>
      </c>
      <c r="P242" s="39">
        <f t="shared" si="30"/>
        <v>15</v>
      </c>
      <c r="Q242" s="40">
        <f t="shared" si="31"/>
        <v>2</v>
      </c>
      <c r="R242" s="33"/>
      <c r="S242" s="33"/>
      <c r="T242" s="42">
        <v>0</v>
      </c>
      <c r="U242" s="42"/>
    </row>
    <row r="243" spans="1:21" x14ac:dyDescent="0.45">
      <c r="A243" s="94" t="s">
        <v>618</v>
      </c>
      <c r="B243" s="14" t="s">
        <v>27</v>
      </c>
      <c r="C243" s="44" t="s">
        <v>619</v>
      </c>
      <c r="D243" s="16" t="s">
        <v>406</v>
      </c>
      <c r="E243" s="17">
        <v>44835</v>
      </c>
      <c r="F243" s="204">
        <v>45043</v>
      </c>
      <c r="G243" s="19">
        <v>0</v>
      </c>
      <c r="H243" s="316">
        <v>578592.80000000005</v>
      </c>
      <c r="I243" s="352">
        <v>336543</v>
      </c>
      <c r="J243" s="150">
        <v>578592.80000000005</v>
      </c>
      <c r="K243" s="22">
        <v>0</v>
      </c>
      <c r="L243" s="102" t="s">
        <v>24</v>
      </c>
      <c r="M243" s="187">
        <f t="shared" si="29"/>
        <v>45045</v>
      </c>
      <c r="N243" s="71" t="s">
        <v>29</v>
      </c>
      <c r="O243" s="104">
        <v>45045</v>
      </c>
      <c r="P243" s="25">
        <f t="shared" si="30"/>
        <v>210</v>
      </c>
      <c r="Q243" s="26">
        <f t="shared" si="31"/>
        <v>2</v>
      </c>
      <c r="R243" s="85"/>
      <c r="S243" s="85"/>
      <c r="T243" s="108">
        <v>0</v>
      </c>
      <c r="U243" s="108"/>
    </row>
    <row r="244" spans="1:21" x14ac:dyDescent="0.45">
      <c r="A244" s="54" t="s">
        <v>620</v>
      </c>
      <c r="B244" s="14" t="s">
        <v>51</v>
      </c>
      <c r="C244" s="15" t="s">
        <v>621</v>
      </c>
      <c r="D244" s="16" t="s">
        <v>406</v>
      </c>
      <c r="E244" s="30">
        <v>45045</v>
      </c>
      <c r="F244" s="30">
        <v>45045</v>
      </c>
      <c r="G244" s="205">
        <v>0</v>
      </c>
      <c r="H244" s="331">
        <v>557819.1</v>
      </c>
      <c r="I244" s="325">
        <v>327920</v>
      </c>
      <c r="J244" s="155">
        <v>557819.1</v>
      </c>
      <c r="K244" s="22">
        <v>0</v>
      </c>
      <c r="L244" s="36" t="s">
        <v>24</v>
      </c>
      <c r="M244" s="187">
        <f t="shared" si="29"/>
        <v>45047</v>
      </c>
      <c r="N244" s="71" t="s">
        <v>29</v>
      </c>
      <c r="O244" s="73">
        <v>45047</v>
      </c>
      <c r="P244" s="39">
        <f t="shared" si="30"/>
        <v>2</v>
      </c>
      <c r="Q244" s="40">
        <f t="shared" si="31"/>
        <v>2</v>
      </c>
      <c r="R244" s="41"/>
      <c r="S244" s="33"/>
      <c r="T244" s="42">
        <v>0</v>
      </c>
      <c r="U244" s="42"/>
    </row>
    <row r="245" spans="1:21" x14ac:dyDescent="0.45">
      <c r="A245" s="138" t="s">
        <v>622</v>
      </c>
      <c r="B245" s="14" t="s">
        <v>230</v>
      </c>
      <c r="C245" s="44" t="s">
        <v>623</v>
      </c>
      <c r="D245" s="16" t="s">
        <v>417</v>
      </c>
      <c r="E245" s="30">
        <v>45013</v>
      </c>
      <c r="F245" s="206">
        <v>45043</v>
      </c>
      <c r="G245" s="207">
        <v>208750</v>
      </c>
      <c r="H245" s="332">
        <v>405150</v>
      </c>
      <c r="I245" s="360">
        <v>378660</v>
      </c>
      <c r="J245" s="201">
        <v>613900</v>
      </c>
      <c r="K245" s="22">
        <v>0</v>
      </c>
      <c r="L245" s="71" t="s">
        <v>24</v>
      </c>
      <c r="M245" s="188">
        <f t="shared" si="29"/>
        <v>45045</v>
      </c>
      <c r="N245" s="71" t="s">
        <v>29</v>
      </c>
      <c r="O245" s="73">
        <v>45048</v>
      </c>
      <c r="P245" s="39">
        <f t="shared" si="30"/>
        <v>35</v>
      </c>
      <c r="Q245" s="40">
        <f t="shared" si="31"/>
        <v>5</v>
      </c>
      <c r="R245" s="61"/>
      <c r="S245" s="61"/>
      <c r="T245" s="77">
        <v>0</v>
      </c>
      <c r="U245" s="77"/>
    </row>
    <row r="246" spans="1:21" x14ac:dyDescent="0.45">
      <c r="A246" s="54" t="s">
        <v>624</v>
      </c>
      <c r="B246" s="14" t="s">
        <v>79</v>
      </c>
      <c r="C246" s="15" t="s">
        <v>625</v>
      </c>
      <c r="D246" s="16" t="s">
        <v>23</v>
      </c>
      <c r="E246" s="65">
        <v>45021</v>
      </c>
      <c r="F246" s="30">
        <v>45021</v>
      </c>
      <c r="G246" s="19">
        <v>0</v>
      </c>
      <c r="H246" s="322">
        <v>0</v>
      </c>
      <c r="I246" s="343">
        <f>441125/2</f>
        <v>220562.5</v>
      </c>
      <c r="J246" s="208">
        <f>2203425/2</f>
        <v>1101712.5</v>
      </c>
      <c r="K246" s="22">
        <v>24</v>
      </c>
      <c r="L246" s="71" t="s">
        <v>24</v>
      </c>
      <c r="M246" s="187">
        <f t="shared" ref="M246:M254" si="32">F246+2</f>
        <v>45023</v>
      </c>
      <c r="N246" s="71" t="s">
        <v>29</v>
      </c>
      <c r="O246" s="58">
        <v>45051</v>
      </c>
      <c r="P246" s="39">
        <f t="shared" si="30"/>
        <v>30</v>
      </c>
      <c r="Q246" s="40">
        <f t="shared" ref="Q246:Q253" si="33">O246-F246-K246</f>
        <v>6</v>
      </c>
      <c r="R246" s="41" t="s">
        <v>626</v>
      </c>
      <c r="S246" s="33"/>
      <c r="T246" s="42">
        <v>8</v>
      </c>
      <c r="U246" s="42"/>
    </row>
    <row r="247" spans="1:21" x14ac:dyDescent="0.45">
      <c r="A247" s="138" t="s">
        <v>627</v>
      </c>
      <c r="B247" s="14" t="s">
        <v>54</v>
      </c>
      <c r="C247" s="15" t="s">
        <v>628</v>
      </c>
      <c r="D247" s="16" t="s">
        <v>56</v>
      </c>
      <c r="E247" s="65">
        <v>45033</v>
      </c>
      <c r="F247" s="30">
        <v>45033</v>
      </c>
      <c r="G247" s="160">
        <v>2551033</v>
      </c>
      <c r="H247" s="322">
        <v>736899</v>
      </c>
      <c r="I247" s="322">
        <v>3026231</v>
      </c>
      <c r="J247" s="208">
        <v>3287932</v>
      </c>
      <c r="K247" s="22">
        <v>6</v>
      </c>
      <c r="L247" s="36" t="s">
        <v>24</v>
      </c>
      <c r="M247" s="187">
        <f t="shared" si="32"/>
        <v>45035</v>
      </c>
      <c r="N247" s="71" t="s">
        <v>29</v>
      </c>
      <c r="O247" s="73">
        <v>45048</v>
      </c>
      <c r="P247" s="39">
        <f t="shared" si="30"/>
        <v>15</v>
      </c>
      <c r="Q247" s="40">
        <f t="shared" si="33"/>
        <v>9</v>
      </c>
      <c r="R247" s="76" t="s">
        <v>629</v>
      </c>
      <c r="S247" s="92"/>
      <c r="T247" s="93">
        <v>8</v>
      </c>
      <c r="U247" s="93"/>
    </row>
    <row r="248" spans="1:21" x14ac:dyDescent="0.45">
      <c r="A248" s="54" t="s">
        <v>630</v>
      </c>
      <c r="B248" s="14" t="s">
        <v>450</v>
      </c>
      <c r="C248" s="15" t="s">
        <v>631</v>
      </c>
      <c r="D248" s="16" t="s">
        <v>406</v>
      </c>
      <c r="E248" s="65">
        <v>45035</v>
      </c>
      <c r="F248" s="30">
        <v>45035</v>
      </c>
      <c r="G248" s="19">
        <v>0</v>
      </c>
      <c r="H248" s="322"/>
      <c r="I248" s="361">
        <v>0</v>
      </c>
      <c r="J248" s="160">
        <v>0</v>
      </c>
      <c r="K248" s="22">
        <v>0</v>
      </c>
      <c r="L248" s="36" t="s">
        <v>24</v>
      </c>
      <c r="M248" s="187">
        <f t="shared" si="32"/>
        <v>45037</v>
      </c>
      <c r="N248" s="189" t="s">
        <v>29</v>
      </c>
      <c r="O248" s="38">
        <v>45048</v>
      </c>
      <c r="P248" s="209">
        <f t="shared" si="30"/>
        <v>13</v>
      </c>
      <c r="Q248" s="40">
        <f t="shared" si="33"/>
        <v>13</v>
      </c>
      <c r="R248" s="41"/>
      <c r="S248" s="33"/>
      <c r="T248" s="42">
        <v>4</v>
      </c>
      <c r="U248" s="42"/>
    </row>
    <row r="249" spans="1:21" x14ac:dyDescent="0.45">
      <c r="A249" s="80" t="s">
        <v>632</v>
      </c>
      <c r="B249" s="14" t="s">
        <v>410</v>
      </c>
      <c r="C249" s="15" t="s">
        <v>633</v>
      </c>
      <c r="D249" s="16" t="s">
        <v>417</v>
      </c>
      <c r="E249" s="65">
        <v>45042</v>
      </c>
      <c r="F249" s="30">
        <v>45042</v>
      </c>
      <c r="G249" s="160">
        <v>241735</v>
      </c>
      <c r="H249" s="322">
        <v>504204</v>
      </c>
      <c r="I249" s="358">
        <v>535546</v>
      </c>
      <c r="J249" s="160">
        <v>745939</v>
      </c>
      <c r="K249" s="22">
        <v>0</v>
      </c>
      <c r="L249" s="22" t="s">
        <v>24</v>
      </c>
      <c r="M249" s="187">
        <f t="shared" si="32"/>
        <v>45044</v>
      </c>
      <c r="N249" s="71" t="s">
        <v>29</v>
      </c>
      <c r="O249" s="24">
        <v>45049</v>
      </c>
      <c r="P249" s="39">
        <f t="shared" si="30"/>
        <v>7</v>
      </c>
      <c r="Q249" s="40">
        <f t="shared" si="33"/>
        <v>7</v>
      </c>
      <c r="R249" s="27"/>
      <c r="S249" s="20"/>
      <c r="T249" s="28">
        <v>6</v>
      </c>
      <c r="U249" s="28"/>
    </row>
    <row r="250" spans="1:21" x14ac:dyDescent="0.45">
      <c r="A250" s="54" t="s">
        <v>634</v>
      </c>
      <c r="B250" s="14" t="s">
        <v>450</v>
      </c>
      <c r="C250" s="15" t="s">
        <v>635</v>
      </c>
      <c r="D250" s="16" t="s">
        <v>406</v>
      </c>
      <c r="E250" s="65">
        <v>45043</v>
      </c>
      <c r="F250" s="30">
        <v>45043</v>
      </c>
      <c r="G250" s="19">
        <v>0</v>
      </c>
      <c r="H250" s="333">
        <v>583675.19999999995</v>
      </c>
      <c r="I250" s="362">
        <v>358393</v>
      </c>
      <c r="J250" s="210">
        <v>583675.19999999995</v>
      </c>
      <c r="K250" s="22">
        <v>0</v>
      </c>
      <c r="L250" s="36" t="s">
        <v>24</v>
      </c>
      <c r="M250" s="187">
        <f t="shared" si="32"/>
        <v>45045</v>
      </c>
      <c r="N250" s="71" t="s">
        <v>29</v>
      </c>
      <c r="O250" s="73">
        <v>45049</v>
      </c>
      <c r="P250" s="39">
        <f t="shared" si="30"/>
        <v>6</v>
      </c>
      <c r="Q250" s="40">
        <f t="shared" si="33"/>
        <v>6</v>
      </c>
      <c r="R250" s="41"/>
      <c r="S250" s="33"/>
      <c r="T250" s="42">
        <v>0</v>
      </c>
      <c r="U250" s="42"/>
    </row>
    <row r="251" spans="1:21" x14ac:dyDescent="0.45">
      <c r="A251" s="13" t="s">
        <v>636</v>
      </c>
      <c r="B251" s="14" t="s">
        <v>94</v>
      </c>
      <c r="C251" s="15" t="s">
        <v>637</v>
      </c>
      <c r="D251" s="16" t="s">
        <v>56</v>
      </c>
      <c r="E251" s="65">
        <v>45044</v>
      </c>
      <c r="F251" s="30">
        <v>45044</v>
      </c>
      <c r="G251" s="19">
        <v>0</v>
      </c>
      <c r="H251" s="322">
        <v>0</v>
      </c>
      <c r="I251" s="322">
        <v>0</v>
      </c>
      <c r="J251" s="160">
        <v>0</v>
      </c>
      <c r="K251" s="22">
        <v>0</v>
      </c>
      <c r="L251" s="102" t="s">
        <v>24</v>
      </c>
      <c r="M251" s="187">
        <f t="shared" si="32"/>
        <v>45046</v>
      </c>
      <c r="N251" s="189" t="s">
        <v>29</v>
      </c>
      <c r="O251" s="38">
        <v>45048</v>
      </c>
      <c r="P251" s="209">
        <f t="shared" si="30"/>
        <v>4</v>
      </c>
      <c r="Q251" s="40">
        <f t="shared" si="33"/>
        <v>4</v>
      </c>
      <c r="R251" s="107"/>
      <c r="S251" s="85"/>
      <c r="T251" s="108">
        <v>10</v>
      </c>
      <c r="U251" s="108"/>
    </row>
    <row r="252" spans="1:21" x14ac:dyDescent="0.45">
      <c r="A252" s="54" t="s">
        <v>638</v>
      </c>
      <c r="B252" s="14" t="s">
        <v>639</v>
      </c>
      <c r="C252" s="15" t="s">
        <v>640</v>
      </c>
      <c r="D252" s="16" t="s">
        <v>390</v>
      </c>
      <c r="E252" s="65">
        <v>45046</v>
      </c>
      <c r="F252" s="30">
        <v>45046</v>
      </c>
      <c r="G252" s="160">
        <v>324300</v>
      </c>
      <c r="H252" s="322">
        <v>206601</v>
      </c>
      <c r="I252" s="361">
        <v>1102828</v>
      </c>
      <c r="J252" s="160">
        <v>530901</v>
      </c>
      <c r="K252" s="22">
        <v>0</v>
      </c>
      <c r="L252" s="36" t="s">
        <v>24</v>
      </c>
      <c r="M252" s="187">
        <f t="shared" si="32"/>
        <v>45048</v>
      </c>
      <c r="N252" s="71" t="s">
        <v>29</v>
      </c>
      <c r="O252" s="24">
        <v>45049</v>
      </c>
      <c r="P252" s="39">
        <f t="shared" si="30"/>
        <v>3</v>
      </c>
      <c r="Q252" s="40">
        <f t="shared" si="33"/>
        <v>3</v>
      </c>
      <c r="R252" s="41"/>
      <c r="S252" s="33"/>
      <c r="T252" s="42">
        <v>2</v>
      </c>
      <c r="U252" s="42"/>
    </row>
    <row r="253" spans="1:21" x14ac:dyDescent="0.45">
      <c r="A253" s="54" t="s">
        <v>641</v>
      </c>
      <c r="B253" s="14" t="s">
        <v>43</v>
      </c>
      <c r="C253" s="15" t="s">
        <v>642</v>
      </c>
      <c r="D253" s="16" t="s">
        <v>417</v>
      </c>
      <c r="E253" s="65">
        <v>45046</v>
      </c>
      <c r="F253" s="30">
        <v>45046</v>
      </c>
      <c r="G253" s="160">
        <v>324300</v>
      </c>
      <c r="H253" s="322">
        <v>206601</v>
      </c>
      <c r="I253" s="361">
        <v>1102828</v>
      </c>
      <c r="J253" s="160">
        <v>530901</v>
      </c>
      <c r="K253" s="22">
        <v>0</v>
      </c>
      <c r="L253" s="36" t="s">
        <v>24</v>
      </c>
      <c r="M253" s="187">
        <f t="shared" si="32"/>
        <v>45048</v>
      </c>
      <c r="N253" s="71" t="s">
        <v>29</v>
      </c>
      <c r="O253" s="38">
        <v>45049</v>
      </c>
      <c r="P253" s="39">
        <f t="shared" si="30"/>
        <v>3</v>
      </c>
      <c r="Q253" s="40">
        <f t="shared" si="33"/>
        <v>3</v>
      </c>
      <c r="R253" s="41" t="s">
        <v>643</v>
      </c>
      <c r="S253" s="33"/>
      <c r="T253" s="42">
        <v>3</v>
      </c>
      <c r="U253" s="42"/>
    </row>
    <row r="254" spans="1:21" x14ac:dyDescent="0.45">
      <c r="A254" s="211" t="s">
        <v>644</v>
      </c>
      <c r="B254" s="212"/>
      <c r="C254" s="213" t="s">
        <v>645</v>
      </c>
      <c r="D254" s="214" t="s">
        <v>390</v>
      </c>
      <c r="E254" s="215">
        <v>45044</v>
      </c>
      <c r="F254" s="215">
        <v>45044</v>
      </c>
      <c r="G254" s="216">
        <v>3043016</v>
      </c>
      <c r="H254" s="334">
        <v>359774</v>
      </c>
      <c r="I254" s="334">
        <v>2549726</v>
      </c>
      <c r="J254" s="216">
        <v>3402790</v>
      </c>
      <c r="K254" s="217">
        <v>2</v>
      </c>
      <c r="L254" s="218" t="s">
        <v>24</v>
      </c>
      <c r="M254" s="219">
        <f t="shared" si="32"/>
        <v>45046</v>
      </c>
      <c r="N254" s="220" t="s">
        <v>646</v>
      </c>
      <c r="O254" s="221"/>
      <c r="P254" s="222">
        <v>0</v>
      </c>
      <c r="Q254" s="223">
        <v>0</v>
      </c>
      <c r="R254" s="224" t="s">
        <v>422</v>
      </c>
      <c r="S254" s="217"/>
      <c r="T254" s="225">
        <v>9</v>
      </c>
      <c r="U254" s="225"/>
    </row>
    <row r="255" spans="1:21" x14ac:dyDescent="0.45">
      <c r="A255" s="138" t="s">
        <v>647</v>
      </c>
      <c r="B255" s="14" t="s">
        <v>94</v>
      </c>
      <c r="C255" s="44" t="s">
        <v>648</v>
      </c>
      <c r="D255" s="69" t="s">
        <v>56</v>
      </c>
      <c r="E255" s="226">
        <v>44869</v>
      </c>
      <c r="F255" s="206">
        <v>45040</v>
      </c>
      <c r="G255" s="19">
        <v>0</v>
      </c>
      <c r="H255" s="328">
        <v>0</v>
      </c>
      <c r="I255" s="360">
        <v>0</v>
      </c>
      <c r="J255" s="160">
        <v>0</v>
      </c>
      <c r="K255" s="22">
        <v>0</v>
      </c>
      <c r="L255" s="61" t="s">
        <v>24</v>
      </c>
      <c r="M255" s="227">
        <f t="shared" ref="M255:M296" si="34">F255+2</f>
        <v>45042</v>
      </c>
      <c r="N255" s="71" t="s">
        <v>29</v>
      </c>
      <c r="O255" s="73">
        <v>45048</v>
      </c>
      <c r="P255" s="39">
        <f>O255-E255</f>
        <v>179</v>
      </c>
      <c r="Q255" s="40">
        <f>O255-F255-K255</f>
        <v>8</v>
      </c>
      <c r="R255" s="76"/>
      <c r="S255" s="92"/>
      <c r="T255" s="93">
        <v>5</v>
      </c>
      <c r="U255" s="93"/>
    </row>
    <row r="256" spans="1:21" x14ac:dyDescent="0.45">
      <c r="A256" s="138" t="s">
        <v>649</v>
      </c>
      <c r="B256" s="14" t="s">
        <v>69</v>
      </c>
      <c r="C256" s="44" t="s">
        <v>650</v>
      </c>
      <c r="D256" s="69" t="s">
        <v>406</v>
      </c>
      <c r="E256" s="185">
        <v>44961</v>
      </c>
      <c r="F256" s="206">
        <v>45045</v>
      </c>
      <c r="G256" s="19">
        <v>0</v>
      </c>
      <c r="H256" s="328">
        <v>0</v>
      </c>
      <c r="I256" s="360">
        <v>0</v>
      </c>
      <c r="J256" s="160">
        <v>0</v>
      </c>
      <c r="K256" s="22">
        <v>0</v>
      </c>
      <c r="L256" s="61" t="s">
        <v>24</v>
      </c>
      <c r="M256" s="227">
        <f t="shared" si="34"/>
        <v>45047</v>
      </c>
      <c r="N256" s="71" t="s">
        <v>29</v>
      </c>
      <c r="O256" s="73">
        <v>45050</v>
      </c>
      <c r="P256" s="39">
        <f>O256-E256</f>
        <v>89</v>
      </c>
      <c r="Q256" s="40">
        <f>O256-F256-K256</f>
        <v>5</v>
      </c>
      <c r="R256" s="76"/>
      <c r="S256" s="61"/>
      <c r="T256" s="77">
        <v>4</v>
      </c>
      <c r="U256" s="77"/>
    </row>
    <row r="257" spans="1:21" x14ac:dyDescent="0.45">
      <c r="A257" s="138" t="s">
        <v>651</v>
      </c>
      <c r="B257" s="14" t="s">
        <v>117</v>
      </c>
      <c r="C257" s="44" t="s">
        <v>652</v>
      </c>
      <c r="D257" s="69" t="s">
        <v>56</v>
      </c>
      <c r="E257" s="185">
        <v>45043</v>
      </c>
      <c r="F257" s="185">
        <v>45043</v>
      </c>
      <c r="G257" s="19">
        <v>0</v>
      </c>
      <c r="H257" s="328">
        <v>0</v>
      </c>
      <c r="I257" s="360">
        <v>0</v>
      </c>
      <c r="J257" s="160">
        <v>0</v>
      </c>
      <c r="K257" s="22">
        <v>0</v>
      </c>
      <c r="L257" s="61" t="s">
        <v>24</v>
      </c>
      <c r="M257" s="227">
        <f t="shared" si="34"/>
        <v>45045</v>
      </c>
      <c r="N257" s="71" t="s">
        <v>29</v>
      </c>
      <c r="O257" s="73">
        <v>45049</v>
      </c>
      <c r="P257" s="39">
        <f>O257-E257</f>
        <v>6</v>
      </c>
      <c r="Q257" s="40">
        <f>O257-F257-K257</f>
        <v>6</v>
      </c>
      <c r="R257" s="76"/>
      <c r="S257" s="61"/>
      <c r="T257" s="77">
        <v>15</v>
      </c>
      <c r="U257" s="77"/>
    </row>
    <row r="258" spans="1:21" x14ac:dyDescent="0.45">
      <c r="A258" s="138" t="s">
        <v>653</v>
      </c>
      <c r="B258" s="14" t="s">
        <v>117</v>
      </c>
      <c r="C258" s="44" t="s">
        <v>654</v>
      </c>
      <c r="D258" s="69" t="s">
        <v>56</v>
      </c>
      <c r="E258" s="185">
        <v>45022</v>
      </c>
      <c r="F258" s="206">
        <v>45040</v>
      </c>
      <c r="G258" s="19">
        <v>0</v>
      </c>
      <c r="H258" s="328">
        <v>0</v>
      </c>
      <c r="I258" s="360">
        <v>0</v>
      </c>
      <c r="J258" s="160">
        <v>0</v>
      </c>
      <c r="K258" s="22">
        <v>0</v>
      </c>
      <c r="L258" s="61" t="s">
        <v>24</v>
      </c>
      <c r="M258" s="227">
        <f t="shared" si="34"/>
        <v>45042</v>
      </c>
      <c r="N258" s="71" t="s">
        <v>29</v>
      </c>
      <c r="O258" s="73">
        <v>45049</v>
      </c>
      <c r="P258" s="39">
        <f>O258-E258</f>
        <v>27</v>
      </c>
      <c r="Q258" s="40">
        <f>O258-F258-K258</f>
        <v>9</v>
      </c>
      <c r="R258" s="76"/>
      <c r="S258" s="61"/>
      <c r="T258" s="77">
        <v>17</v>
      </c>
      <c r="U258" s="77"/>
    </row>
    <row r="259" spans="1:21" x14ac:dyDescent="0.45">
      <c r="A259" s="211" t="s">
        <v>655</v>
      </c>
      <c r="B259" s="212"/>
      <c r="C259" s="213" t="s">
        <v>656</v>
      </c>
      <c r="D259" s="214" t="s">
        <v>23</v>
      </c>
      <c r="E259" s="228">
        <v>45019</v>
      </c>
      <c r="F259" s="215">
        <v>45019</v>
      </c>
      <c r="G259" s="229">
        <v>0</v>
      </c>
      <c r="H259" s="335">
        <v>2203425.4</v>
      </c>
      <c r="I259" s="335">
        <v>1762300</v>
      </c>
      <c r="J259" s="230">
        <v>2203425.4</v>
      </c>
      <c r="K259" s="231">
        <v>7</v>
      </c>
      <c r="L259" s="218" t="s">
        <v>657</v>
      </c>
      <c r="M259" s="219">
        <f t="shared" si="34"/>
        <v>45021</v>
      </c>
      <c r="N259" s="218" t="s">
        <v>658</v>
      </c>
      <c r="O259" s="232"/>
      <c r="P259" s="233"/>
      <c r="Q259" s="225"/>
      <c r="R259" s="234" t="s">
        <v>659</v>
      </c>
      <c r="S259" s="217"/>
      <c r="T259" s="225"/>
      <c r="U259" s="225"/>
    </row>
    <row r="260" spans="1:21" x14ac:dyDescent="0.45">
      <c r="A260" s="235" t="s">
        <v>660</v>
      </c>
      <c r="B260" s="212"/>
      <c r="C260" s="213" t="s">
        <v>661</v>
      </c>
      <c r="D260" s="214" t="s">
        <v>56</v>
      </c>
      <c r="E260" s="228">
        <v>45020</v>
      </c>
      <c r="F260" s="215">
        <v>45020</v>
      </c>
      <c r="G260" s="285">
        <v>0</v>
      </c>
      <c r="H260" s="336">
        <v>0</v>
      </c>
      <c r="I260" s="363">
        <v>0</v>
      </c>
      <c r="J260" s="236">
        <v>0</v>
      </c>
      <c r="K260" s="231">
        <v>10</v>
      </c>
      <c r="L260" s="218" t="s">
        <v>662</v>
      </c>
      <c r="M260" s="219">
        <f t="shared" si="34"/>
        <v>45022</v>
      </c>
      <c r="N260" s="218" t="s">
        <v>658</v>
      </c>
      <c r="O260" s="232"/>
      <c r="P260" s="233"/>
      <c r="Q260" s="225"/>
      <c r="R260" s="234" t="s">
        <v>663</v>
      </c>
      <c r="S260" s="217"/>
      <c r="T260" s="225"/>
      <c r="U260" s="225"/>
    </row>
    <row r="261" spans="1:21" x14ac:dyDescent="0.45">
      <c r="A261" s="54" t="s">
        <v>664</v>
      </c>
      <c r="B261" s="14" t="s">
        <v>21</v>
      </c>
      <c r="C261" s="15" t="s">
        <v>665</v>
      </c>
      <c r="D261" s="16" t="s">
        <v>23</v>
      </c>
      <c r="E261" s="65">
        <v>45020</v>
      </c>
      <c r="F261" s="30">
        <v>45020</v>
      </c>
      <c r="G261" s="19">
        <v>0</v>
      </c>
      <c r="H261" s="322">
        <v>0</v>
      </c>
      <c r="I261" s="292">
        <f>2056890/3</f>
        <v>685630</v>
      </c>
      <c r="J261" s="152">
        <f>8915488/3</f>
        <v>2971829.3333333335</v>
      </c>
      <c r="K261" s="22">
        <v>25</v>
      </c>
      <c r="L261" s="36" t="s">
        <v>24</v>
      </c>
      <c r="M261" s="187">
        <f t="shared" si="34"/>
        <v>45022</v>
      </c>
      <c r="N261" s="36" t="s">
        <v>29</v>
      </c>
      <c r="O261" s="58">
        <v>45054</v>
      </c>
      <c r="P261" s="237"/>
      <c r="Q261" s="42"/>
      <c r="R261" s="41" t="s">
        <v>487</v>
      </c>
      <c r="S261" s="33"/>
      <c r="T261" s="42"/>
      <c r="U261" s="42"/>
    </row>
    <row r="262" spans="1:21" x14ac:dyDescent="0.45">
      <c r="A262" s="211" t="s">
        <v>666</v>
      </c>
      <c r="B262" s="212"/>
      <c r="C262" s="213" t="s">
        <v>667</v>
      </c>
      <c r="D262" s="214" t="s">
        <v>56</v>
      </c>
      <c r="E262" s="228">
        <v>45021</v>
      </c>
      <c r="F262" s="215">
        <v>45021</v>
      </c>
      <c r="G262" s="285">
        <v>0</v>
      </c>
      <c r="H262" s="336">
        <v>0</v>
      </c>
      <c r="I262" s="364">
        <f>248874/2</f>
        <v>124437</v>
      </c>
      <c r="J262" s="238">
        <f>7446299/2</f>
        <v>3723149.5</v>
      </c>
      <c r="K262" s="231">
        <v>10</v>
      </c>
      <c r="L262" s="218" t="s">
        <v>668</v>
      </c>
      <c r="M262" s="219">
        <f t="shared" si="34"/>
        <v>45023</v>
      </c>
      <c r="N262" s="218" t="s">
        <v>658</v>
      </c>
      <c r="O262" s="232"/>
      <c r="P262" s="233"/>
      <c r="Q262" s="225"/>
      <c r="R262" s="234" t="s">
        <v>669</v>
      </c>
      <c r="S262" s="217"/>
      <c r="T262" s="225"/>
      <c r="U262" s="225"/>
    </row>
    <row r="263" spans="1:21" ht="79.150000000000006" x14ac:dyDescent="0.45">
      <c r="A263" s="239" t="s">
        <v>670</v>
      </c>
      <c r="B263" s="212"/>
      <c r="C263" s="213" t="s">
        <v>671</v>
      </c>
      <c r="D263" s="214" t="s">
        <v>23</v>
      </c>
      <c r="E263" s="228">
        <v>45022</v>
      </c>
      <c r="F263" s="215">
        <v>45022</v>
      </c>
      <c r="G263" s="285">
        <v>0</v>
      </c>
      <c r="H263" s="336">
        <v>0</v>
      </c>
      <c r="I263" s="365">
        <v>542026.19999999995</v>
      </c>
      <c r="J263" s="236">
        <v>3105744.2</v>
      </c>
      <c r="K263" s="231">
        <v>4</v>
      </c>
      <c r="L263" s="218" t="s">
        <v>668</v>
      </c>
      <c r="M263" s="219">
        <f t="shared" si="34"/>
        <v>45024</v>
      </c>
      <c r="N263" s="218" t="s">
        <v>658</v>
      </c>
      <c r="O263" s="225"/>
      <c r="P263" s="233"/>
      <c r="Q263" s="225"/>
      <c r="R263" s="240" t="s">
        <v>188</v>
      </c>
      <c r="S263" s="241"/>
      <c r="T263" s="242"/>
      <c r="U263" s="242"/>
    </row>
    <row r="264" spans="1:21" x14ac:dyDescent="0.45">
      <c r="A264" s="243" t="s">
        <v>672</v>
      </c>
      <c r="B264" s="212"/>
      <c r="C264" s="213" t="s">
        <v>673</v>
      </c>
      <c r="D264" s="214" t="s">
        <v>39</v>
      </c>
      <c r="E264" s="228">
        <v>45025</v>
      </c>
      <c r="F264" s="215">
        <v>45025</v>
      </c>
      <c r="G264" s="285">
        <v>0</v>
      </c>
      <c r="H264" s="336">
        <v>0</v>
      </c>
      <c r="I264" s="363">
        <v>0</v>
      </c>
      <c r="J264" s="236">
        <v>0</v>
      </c>
      <c r="K264" s="247">
        <v>8</v>
      </c>
      <c r="L264" s="220" t="s">
        <v>668</v>
      </c>
      <c r="M264" s="219">
        <f t="shared" si="34"/>
        <v>45027</v>
      </c>
      <c r="N264" s="220" t="s">
        <v>658</v>
      </c>
      <c r="O264" s="244"/>
      <c r="P264" s="248"/>
      <c r="Q264" s="244"/>
      <c r="R264" s="224" t="s">
        <v>674</v>
      </c>
      <c r="S264" s="246"/>
      <c r="T264" s="244"/>
      <c r="U264" s="244"/>
    </row>
    <row r="265" spans="1:21" x14ac:dyDescent="0.45">
      <c r="A265" s="249" t="s">
        <v>675</v>
      </c>
      <c r="B265" s="212"/>
      <c r="C265" s="213" t="s">
        <v>676</v>
      </c>
      <c r="D265" s="214" t="s">
        <v>39</v>
      </c>
      <c r="E265" s="228">
        <v>45027</v>
      </c>
      <c r="F265" s="215">
        <v>45027</v>
      </c>
      <c r="G265" s="285">
        <v>0</v>
      </c>
      <c r="H265" s="336">
        <v>0</v>
      </c>
      <c r="I265" s="363">
        <v>0</v>
      </c>
      <c r="J265" s="236">
        <v>0</v>
      </c>
      <c r="K265" s="231">
        <v>10</v>
      </c>
      <c r="L265" s="231" t="s">
        <v>668</v>
      </c>
      <c r="M265" s="219">
        <f t="shared" si="34"/>
        <v>45029</v>
      </c>
      <c r="N265" s="231" t="s">
        <v>658</v>
      </c>
      <c r="O265" s="250"/>
      <c r="P265" s="252"/>
      <c r="Q265" s="250"/>
      <c r="R265" s="253" t="s">
        <v>677</v>
      </c>
      <c r="S265" s="251"/>
      <c r="T265" s="250"/>
      <c r="U265" s="250"/>
    </row>
    <row r="266" spans="1:21" x14ac:dyDescent="0.45">
      <c r="A266" s="211" t="s">
        <v>678</v>
      </c>
      <c r="B266" s="212"/>
      <c r="C266" s="213" t="s">
        <v>679</v>
      </c>
      <c r="D266" s="214" t="s">
        <v>23</v>
      </c>
      <c r="E266" s="228">
        <v>45027</v>
      </c>
      <c r="F266" s="215">
        <v>45027</v>
      </c>
      <c r="G266" s="285">
        <v>0</v>
      </c>
      <c r="H266" s="336">
        <v>0</v>
      </c>
      <c r="I266" s="365">
        <f>4255049/2</f>
        <v>2127524.5</v>
      </c>
      <c r="J266" s="236">
        <f>5480804/2</f>
        <v>2740402</v>
      </c>
      <c r="K266" s="231">
        <v>21</v>
      </c>
      <c r="L266" s="218" t="s">
        <v>24</v>
      </c>
      <c r="M266" s="219">
        <f t="shared" si="34"/>
        <v>45029</v>
      </c>
      <c r="N266" s="218" t="s">
        <v>658</v>
      </c>
      <c r="O266" s="225"/>
      <c r="P266" s="233"/>
      <c r="Q266" s="225"/>
      <c r="R266" s="234" t="s">
        <v>680</v>
      </c>
      <c r="S266" s="217"/>
      <c r="T266" s="225"/>
      <c r="U266" s="225"/>
    </row>
    <row r="267" spans="1:21" x14ac:dyDescent="0.45">
      <c r="A267" s="211" t="s">
        <v>681</v>
      </c>
      <c r="B267" s="212"/>
      <c r="C267" s="213" t="s">
        <v>682</v>
      </c>
      <c r="D267" s="214" t="s">
        <v>56</v>
      </c>
      <c r="E267" s="228">
        <v>45027</v>
      </c>
      <c r="F267" s="215">
        <v>45027</v>
      </c>
      <c r="G267" s="285">
        <v>0</v>
      </c>
      <c r="H267" s="336">
        <v>0</v>
      </c>
      <c r="I267" s="363">
        <f>947036/2</f>
        <v>473518</v>
      </c>
      <c r="J267" s="236">
        <f>7964186/2</f>
        <v>3982093</v>
      </c>
      <c r="K267" s="231">
        <v>6</v>
      </c>
      <c r="L267" s="218" t="s">
        <v>683</v>
      </c>
      <c r="M267" s="219">
        <f t="shared" si="34"/>
        <v>45029</v>
      </c>
      <c r="N267" s="218" t="s">
        <v>658</v>
      </c>
      <c r="O267" s="225"/>
      <c r="P267" s="233"/>
      <c r="Q267" s="225"/>
      <c r="R267" s="234" t="s">
        <v>684</v>
      </c>
      <c r="S267" s="217"/>
      <c r="T267" s="225"/>
      <c r="U267" s="225"/>
    </row>
    <row r="268" spans="1:21" ht="79.150000000000006" x14ac:dyDescent="0.45">
      <c r="A268" s="211" t="s">
        <v>685</v>
      </c>
      <c r="B268" s="212"/>
      <c r="C268" s="213" t="s">
        <v>686</v>
      </c>
      <c r="D268" s="214" t="s">
        <v>56</v>
      </c>
      <c r="E268" s="228">
        <v>45028</v>
      </c>
      <c r="F268" s="215">
        <v>45028</v>
      </c>
      <c r="G268" s="285">
        <v>0</v>
      </c>
      <c r="H268" s="336">
        <v>0</v>
      </c>
      <c r="I268" s="363">
        <f xml:space="preserve"> 1090699/2</f>
        <v>545349.5</v>
      </c>
      <c r="J268" s="236">
        <f>8313664
/2</f>
        <v>4156832</v>
      </c>
      <c r="K268" s="231">
        <v>7</v>
      </c>
      <c r="L268" s="218" t="s">
        <v>683</v>
      </c>
      <c r="M268" s="219">
        <f t="shared" si="34"/>
        <v>45030</v>
      </c>
      <c r="N268" s="218" t="s">
        <v>658</v>
      </c>
      <c r="O268" s="225"/>
      <c r="P268" s="233"/>
      <c r="Q268" s="225"/>
      <c r="R268" s="240" t="s">
        <v>687</v>
      </c>
      <c r="S268" s="217"/>
      <c r="T268" s="225"/>
      <c r="U268" s="225"/>
    </row>
    <row r="269" spans="1:21" ht="79.150000000000006" x14ac:dyDescent="0.45">
      <c r="A269" s="211" t="s">
        <v>688</v>
      </c>
      <c r="B269" s="212"/>
      <c r="C269" s="213" t="s">
        <v>689</v>
      </c>
      <c r="D269" s="214" t="s">
        <v>56</v>
      </c>
      <c r="E269" s="228">
        <v>45027</v>
      </c>
      <c r="F269" s="215">
        <v>45029</v>
      </c>
      <c r="G269" s="285">
        <v>0</v>
      </c>
      <c r="H269" s="336">
        <v>0</v>
      </c>
      <c r="I269" s="363">
        <f xml:space="preserve"> 1090699/2</f>
        <v>545349.5</v>
      </c>
      <c r="J269" s="236">
        <f>8313664
/2</f>
        <v>4156832</v>
      </c>
      <c r="K269" s="231">
        <v>6</v>
      </c>
      <c r="L269" s="218" t="s">
        <v>683</v>
      </c>
      <c r="M269" s="219">
        <f t="shared" si="34"/>
        <v>45031</v>
      </c>
      <c r="N269" s="218" t="s">
        <v>658</v>
      </c>
      <c r="O269" s="225"/>
      <c r="P269" s="233"/>
      <c r="Q269" s="225"/>
      <c r="R269" s="240" t="s">
        <v>687</v>
      </c>
      <c r="S269" s="217"/>
      <c r="T269" s="225"/>
      <c r="U269" s="225"/>
    </row>
    <row r="270" spans="1:21" x14ac:dyDescent="0.45">
      <c r="A270" s="211" t="s">
        <v>690</v>
      </c>
      <c r="B270" s="212"/>
      <c r="C270" s="213" t="s">
        <v>691</v>
      </c>
      <c r="D270" s="214" t="s">
        <v>56</v>
      </c>
      <c r="E270" s="228">
        <v>45029</v>
      </c>
      <c r="F270" s="215">
        <v>45029</v>
      </c>
      <c r="G270" s="285">
        <v>0</v>
      </c>
      <c r="H270" s="336">
        <v>0</v>
      </c>
      <c r="I270" s="363">
        <f>947036/2</f>
        <v>473518</v>
      </c>
      <c r="J270" s="236">
        <f>7964186/2</f>
        <v>3982093</v>
      </c>
      <c r="K270" s="231">
        <v>7</v>
      </c>
      <c r="L270" s="218" t="s">
        <v>683</v>
      </c>
      <c r="M270" s="219">
        <f t="shared" si="34"/>
        <v>45031</v>
      </c>
      <c r="N270" s="218" t="s">
        <v>658</v>
      </c>
      <c r="O270" s="225"/>
      <c r="P270" s="233"/>
      <c r="Q270" s="225"/>
      <c r="R270" s="234" t="s">
        <v>684</v>
      </c>
      <c r="S270" s="217"/>
      <c r="T270" s="225"/>
      <c r="U270" s="225"/>
    </row>
    <row r="271" spans="1:21" x14ac:dyDescent="0.45">
      <c r="A271" s="211" t="s">
        <v>692</v>
      </c>
      <c r="B271" s="212" t="s">
        <v>693</v>
      </c>
      <c r="C271" s="213" t="s">
        <v>694</v>
      </c>
      <c r="D271" s="214" t="s">
        <v>56</v>
      </c>
      <c r="E271" s="228">
        <v>45029</v>
      </c>
      <c r="F271" s="215">
        <v>45029</v>
      </c>
      <c r="G271" s="285">
        <v>0</v>
      </c>
      <c r="H271" s="336">
        <v>0</v>
      </c>
      <c r="I271" s="363">
        <v>0</v>
      </c>
      <c r="J271" s="236">
        <v>0</v>
      </c>
      <c r="K271" s="231">
        <v>0</v>
      </c>
      <c r="L271" s="218" t="s">
        <v>695</v>
      </c>
      <c r="M271" s="219">
        <f t="shared" si="34"/>
        <v>45031</v>
      </c>
      <c r="N271" s="218" t="s">
        <v>658</v>
      </c>
      <c r="O271" s="225"/>
      <c r="P271" s="233"/>
      <c r="Q271" s="225"/>
      <c r="R271" s="234" t="s">
        <v>696</v>
      </c>
      <c r="S271" s="217"/>
      <c r="T271" s="225"/>
      <c r="U271" s="225"/>
    </row>
    <row r="272" spans="1:21" x14ac:dyDescent="0.45">
      <c r="A272" s="138" t="s">
        <v>697</v>
      </c>
      <c r="B272" s="14" t="s">
        <v>21</v>
      </c>
      <c r="C272" s="15" t="s">
        <v>698</v>
      </c>
      <c r="D272" s="16" t="s">
        <v>23</v>
      </c>
      <c r="E272" s="65">
        <v>45032</v>
      </c>
      <c r="F272" s="30">
        <v>45032</v>
      </c>
      <c r="G272" s="286">
        <v>0</v>
      </c>
      <c r="H272" s="322">
        <v>0</v>
      </c>
      <c r="I272" s="292">
        <v>2581749</v>
      </c>
      <c r="J272" s="152">
        <v>3599389.6</v>
      </c>
      <c r="K272" s="22">
        <v>14</v>
      </c>
      <c r="L272" s="36" t="s">
        <v>24</v>
      </c>
      <c r="M272" s="187">
        <f t="shared" si="34"/>
        <v>45034</v>
      </c>
      <c r="N272" s="36" t="s">
        <v>25</v>
      </c>
      <c r="O272" s="38">
        <v>45052</v>
      </c>
      <c r="P272" s="237"/>
      <c r="Q272" s="42"/>
      <c r="R272" s="41" t="s">
        <v>699</v>
      </c>
      <c r="S272" s="87"/>
      <c r="T272" s="88">
        <v>11</v>
      </c>
      <c r="U272" s="88"/>
    </row>
    <row r="273" spans="1:21" x14ac:dyDescent="0.45">
      <c r="A273" s="243" t="s">
        <v>700</v>
      </c>
      <c r="B273" s="212" t="s">
        <v>58</v>
      </c>
      <c r="C273" s="213" t="s">
        <v>701</v>
      </c>
      <c r="D273" s="214" t="s">
        <v>39</v>
      </c>
      <c r="E273" s="228">
        <v>45033</v>
      </c>
      <c r="F273" s="215">
        <v>45033</v>
      </c>
      <c r="G273" s="285">
        <v>0</v>
      </c>
      <c r="H273" s="336">
        <v>0</v>
      </c>
      <c r="I273" s="363">
        <v>0</v>
      </c>
      <c r="J273" s="236">
        <v>0</v>
      </c>
      <c r="K273" s="231">
        <v>23</v>
      </c>
      <c r="L273" s="218" t="s">
        <v>695</v>
      </c>
      <c r="M273" s="219">
        <f t="shared" si="34"/>
        <v>45035</v>
      </c>
      <c r="N273" s="218" t="s">
        <v>658</v>
      </c>
      <c r="O273" s="225"/>
      <c r="P273" s="233"/>
      <c r="Q273" s="225"/>
      <c r="R273" s="234" t="s">
        <v>702</v>
      </c>
      <c r="S273" s="241"/>
      <c r="T273" s="242"/>
      <c r="U273" s="242"/>
    </row>
    <row r="274" spans="1:21" x14ac:dyDescent="0.45">
      <c r="A274" s="211" t="s">
        <v>703</v>
      </c>
      <c r="B274" s="212"/>
      <c r="C274" s="213" t="s">
        <v>704</v>
      </c>
      <c r="D274" s="214" t="s">
        <v>56</v>
      </c>
      <c r="E274" s="228">
        <v>45034</v>
      </c>
      <c r="F274" s="215">
        <v>45034</v>
      </c>
      <c r="G274" s="285">
        <v>0</v>
      </c>
      <c r="H274" s="336">
        <v>0</v>
      </c>
      <c r="I274" s="363">
        <v>0</v>
      </c>
      <c r="J274" s="236">
        <v>0</v>
      </c>
      <c r="K274" s="231">
        <v>5</v>
      </c>
      <c r="L274" s="218" t="s">
        <v>683</v>
      </c>
      <c r="M274" s="219">
        <f t="shared" si="34"/>
        <v>45036</v>
      </c>
      <c r="N274" s="218" t="s">
        <v>658</v>
      </c>
      <c r="O274" s="225"/>
      <c r="P274" s="233"/>
      <c r="Q274" s="225"/>
      <c r="R274" s="234" t="s">
        <v>705</v>
      </c>
      <c r="S274" s="217"/>
      <c r="T274" s="225"/>
      <c r="U274" s="225"/>
    </row>
    <row r="275" spans="1:21" x14ac:dyDescent="0.45">
      <c r="A275" s="211" t="s">
        <v>706</v>
      </c>
      <c r="B275" s="212"/>
      <c r="C275" s="213" t="s">
        <v>707</v>
      </c>
      <c r="D275" s="214" t="s">
        <v>390</v>
      </c>
      <c r="E275" s="228">
        <v>45036</v>
      </c>
      <c r="F275" s="215">
        <v>45036</v>
      </c>
      <c r="G275" s="285">
        <v>0</v>
      </c>
      <c r="H275" s="336">
        <v>0</v>
      </c>
      <c r="I275" s="363">
        <v>0</v>
      </c>
      <c r="J275" s="236">
        <v>0</v>
      </c>
      <c r="K275" s="217">
        <v>6</v>
      </c>
      <c r="L275" s="218" t="s">
        <v>683</v>
      </c>
      <c r="M275" s="219">
        <f t="shared" si="34"/>
        <v>45038</v>
      </c>
      <c r="N275" s="218" t="s">
        <v>658</v>
      </c>
      <c r="O275" s="225"/>
      <c r="P275" s="233"/>
      <c r="Q275" s="225"/>
      <c r="R275" s="234" t="s">
        <v>708</v>
      </c>
      <c r="S275" s="217"/>
      <c r="T275" s="225"/>
      <c r="U275" s="225"/>
    </row>
    <row r="276" spans="1:21" x14ac:dyDescent="0.45">
      <c r="A276" s="211" t="s">
        <v>709</v>
      </c>
      <c r="B276" s="212"/>
      <c r="C276" s="213" t="s">
        <v>710</v>
      </c>
      <c r="D276" s="214" t="s">
        <v>56</v>
      </c>
      <c r="E276" s="228">
        <v>45031</v>
      </c>
      <c r="F276" s="215">
        <v>45035</v>
      </c>
      <c r="G276" s="285">
        <v>0</v>
      </c>
      <c r="H276" s="336">
        <v>0</v>
      </c>
      <c r="I276" s="363">
        <v>0</v>
      </c>
      <c r="J276" s="236">
        <v>0</v>
      </c>
      <c r="K276" s="217"/>
      <c r="L276" s="218" t="s">
        <v>695</v>
      </c>
      <c r="M276" s="219">
        <f t="shared" si="34"/>
        <v>45037</v>
      </c>
      <c r="N276" s="218" t="s">
        <v>658</v>
      </c>
      <c r="O276" s="225"/>
      <c r="P276" s="233"/>
      <c r="Q276" s="225"/>
      <c r="R276" s="234" t="s">
        <v>711</v>
      </c>
      <c r="S276" s="217"/>
      <c r="T276" s="225"/>
      <c r="U276" s="225"/>
    </row>
    <row r="277" spans="1:21" x14ac:dyDescent="0.45">
      <c r="A277" s="211" t="s">
        <v>712</v>
      </c>
      <c r="B277" s="212" t="s">
        <v>58</v>
      </c>
      <c r="C277" s="213" t="s">
        <v>713</v>
      </c>
      <c r="D277" s="214" t="s">
        <v>39</v>
      </c>
      <c r="E277" s="228">
        <v>45038</v>
      </c>
      <c r="F277" s="215">
        <v>45038</v>
      </c>
      <c r="G277" s="285">
        <v>0</v>
      </c>
      <c r="H277" s="336">
        <v>0</v>
      </c>
      <c r="I277" s="363">
        <v>0</v>
      </c>
      <c r="J277" s="236">
        <v>0</v>
      </c>
      <c r="K277" s="246">
        <v>3</v>
      </c>
      <c r="L277" s="220" t="s">
        <v>683</v>
      </c>
      <c r="M277" s="219">
        <f t="shared" si="34"/>
        <v>45040</v>
      </c>
      <c r="N277" s="220" t="s">
        <v>658</v>
      </c>
      <c r="O277" s="254"/>
      <c r="P277" s="255"/>
      <c r="Q277" s="254"/>
      <c r="R277" s="234" t="s">
        <v>714</v>
      </c>
      <c r="S277" s="217"/>
      <c r="T277" s="225"/>
      <c r="U277" s="225"/>
    </row>
    <row r="278" spans="1:21" x14ac:dyDescent="0.45">
      <c r="A278" s="256" t="s">
        <v>715</v>
      </c>
      <c r="B278" s="257" t="s">
        <v>94</v>
      </c>
      <c r="C278" s="258" t="s">
        <v>716</v>
      </c>
      <c r="D278" s="259" t="s">
        <v>56</v>
      </c>
      <c r="E278" s="260">
        <v>45040</v>
      </c>
      <c r="F278" s="261">
        <v>45040</v>
      </c>
      <c r="G278" s="262">
        <v>2314758</v>
      </c>
      <c r="H278" s="337">
        <v>607796</v>
      </c>
      <c r="I278" s="337">
        <v>2703876</v>
      </c>
      <c r="J278" s="262">
        <v>0</v>
      </c>
      <c r="K278" s="264">
        <v>14</v>
      </c>
      <c r="L278" s="178" t="s">
        <v>24</v>
      </c>
      <c r="M278" s="265">
        <f t="shared" si="34"/>
        <v>45042</v>
      </c>
      <c r="N278" s="266" t="s">
        <v>717</v>
      </c>
      <c r="O278" s="265">
        <v>45054</v>
      </c>
      <c r="P278" s="267"/>
      <c r="Q278" s="263"/>
      <c r="R278" s="266" t="s">
        <v>718</v>
      </c>
      <c r="S278" s="264"/>
      <c r="T278" s="263"/>
      <c r="U278" s="263"/>
    </row>
    <row r="279" spans="1:21" x14ac:dyDescent="0.45">
      <c r="A279" s="211" t="s">
        <v>719</v>
      </c>
      <c r="B279" s="212" t="s">
        <v>37</v>
      </c>
      <c r="C279" s="213" t="s">
        <v>720</v>
      </c>
      <c r="D279" s="214" t="s">
        <v>39</v>
      </c>
      <c r="E279" s="228">
        <v>45040</v>
      </c>
      <c r="F279" s="215">
        <v>45040</v>
      </c>
      <c r="G279" s="285">
        <v>0</v>
      </c>
      <c r="H279" s="336">
        <v>0</v>
      </c>
      <c r="I279" s="363">
        <v>0</v>
      </c>
      <c r="J279" s="236">
        <v>0</v>
      </c>
      <c r="K279" s="217">
        <v>15</v>
      </c>
      <c r="L279" s="218" t="s">
        <v>695</v>
      </c>
      <c r="M279" s="219">
        <f t="shared" si="34"/>
        <v>45042</v>
      </c>
      <c r="N279" s="220" t="s">
        <v>658</v>
      </c>
      <c r="O279" s="225"/>
      <c r="P279" s="233"/>
      <c r="Q279" s="225"/>
      <c r="R279" s="224" t="s">
        <v>721</v>
      </c>
      <c r="S279" s="217"/>
      <c r="T279" s="225"/>
      <c r="U279" s="225"/>
    </row>
    <row r="280" spans="1:21" x14ac:dyDescent="0.45">
      <c r="A280" s="211" t="s">
        <v>722</v>
      </c>
      <c r="B280" s="212" t="s">
        <v>54</v>
      </c>
      <c r="C280" s="213" t="s">
        <v>723</v>
      </c>
      <c r="D280" s="214" t="s">
        <v>56</v>
      </c>
      <c r="E280" s="228">
        <v>45041</v>
      </c>
      <c r="F280" s="215">
        <v>45041</v>
      </c>
      <c r="G280" s="229">
        <v>744462</v>
      </c>
      <c r="H280" s="336">
        <v>563425</v>
      </c>
      <c r="I280" s="336">
        <v>1024386</v>
      </c>
      <c r="J280" s="236">
        <v>0</v>
      </c>
      <c r="K280" s="217"/>
      <c r="L280" s="218" t="s">
        <v>695</v>
      </c>
      <c r="M280" s="219">
        <f t="shared" si="34"/>
        <v>45043</v>
      </c>
      <c r="N280" s="220" t="s">
        <v>658</v>
      </c>
      <c r="O280" s="225"/>
      <c r="P280" s="233"/>
      <c r="Q280" s="225"/>
      <c r="R280" s="224" t="s">
        <v>696</v>
      </c>
      <c r="S280" s="217"/>
      <c r="T280" s="225"/>
      <c r="U280" s="225"/>
    </row>
    <row r="281" spans="1:21" x14ac:dyDescent="0.45">
      <c r="A281" s="138" t="s">
        <v>724</v>
      </c>
      <c r="B281" s="14" t="s">
        <v>235</v>
      </c>
      <c r="C281" s="15" t="s">
        <v>725</v>
      </c>
      <c r="D281" s="16" t="s">
        <v>23</v>
      </c>
      <c r="E281" s="65">
        <v>44937</v>
      </c>
      <c r="F281" s="30">
        <v>45034</v>
      </c>
      <c r="G281" s="286">
        <v>0</v>
      </c>
      <c r="H281" s="322">
        <v>0</v>
      </c>
      <c r="I281" s="366">
        <v>1402930</v>
      </c>
      <c r="J281" s="268">
        <v>2182750.6</v>
      </c>
      <c r="K281" s="61">
        <v>8</v>
      </c>
      <c r="L281" s="71" t="s">
        <v>24</v>
      </c>
      <c r="M281" s="187">
        <f t="shared" si="34"/>
        <v>45036</v>
      </c>
      <c r="N281" s="36" t="s">
        <v>25</v>
      </c>
      <c r="O281" s="73">
        <v>45053</v>
      </c>
      <c r="P281" s="269"/>
      <c r="Q281" s="77"/>
      <c r="R281" s="76" t="s">
        <v>726</v>
      </c>
      <c r="S281" s="61"/>
      <c r="T281" s="77">
        <v>7</v>
      </c>
      <c r="U281" s="77"/>
    </row>
    <row r="282" spans="1:21" x14ac:dyDescent="0.45">
      <c r="A282" s="211" t="s">
        <v>727</v>
      </c>
      <c r="B282" s="270" t="s">
        <v>94</v>
      </c>
      <c r="C282" s="213" t="s">
        <v>728</v>
      </c>
      <c r="D282" s="214" t="s">
        <v>56</v>
      </c>
      <c r="E282" s="228">
        <v>45040</v>
      </c>
      <c r="F282" s="215">
        <v>45040</v>
      </c>
      <c r="G282" s="229">
        <v>7079766</v>
      </c>
      <c r="H282" s="336">
        <v>1551902</v>
      </c>
      <c r="I282" s="336">
        <v>8071615</v>
      </c>
      <c r="J282" s="229">
        <v>0</v>
      </c>
      <c r="K282" s="217"/>
      <c r="L282" s="218" t="s">
        <v>695</v>
      </c>
      <c r="M282" s="219">
        <f t="shared" si="34"/>
        <v>45042</v>
      </c>
      <c r="N282" s="218" t="s">
        <v>658</v>
      </c>
      <c r="O282" s="225"/>
      <c r="P282" s="233"/>
      <c r="Q282" s="225"/>
      <c r="R282" s="234" t="s">
        <v>729</v>
      </c>
      <c r="S282" s="217"/>
      <c r="T282" s="225"/>
      <c r="U282" s="225"/>
    </row>
    <row r="283" spans="1:21" x14ac:dyDescent="0.45">
      <c r="A283" s="211" t="s">
        <v>730</v>
      </c>
      <c r="B283" s="270" t="s">
        <v>94</v>
      </c>
      <c r="C283" s="213" t="s">
        <v>731</v>
      </c>
      <c r="D283" s="214" t="s">
        <v>56</v>
      </c>
      <c r="E283" s="228">
        <v>45041</v>
      </c>
      <c r="F283" s="215">
        <v>45041</v>
      </c>
      <c r="G283" s="229">
        <v>2131859</v>
      </c>
      <c r="H283" s="336">
        <v>725202</v>
      </c>
      <c r="I283" s="336">
        <v>2597104</v>
      </c>
      <c r="J283" s="229">
        <v>0</v>
      </c>
      <c r="K283" s="217"/>
      <c r="L283" s="218" t="s">
        <v>695</v>
      </c>
      <c r="M283" s="219">
        <f t="shared" si="34"/>
        <v>45043</v>
      </c>
      <c r="N283" s="218" t="s">
        <v>658</v>
      </c>
      <c r="O283" s="225"/>
      <c r="P283" s="233"/>
      <c r="Q283" s="225"/>
      <c r="R283" s="234" t="s">
        <v>582</v>
      </c>
      <c r="S283" s="217"/>
      <c r="T283" s="225"/>
      <c r="U283" s="225"/>
    </row>
    <row r="284" spans="1:21" ht="105.4" x14ac:dyDescent="0.45">
      <c r="A284" s="211" t="s">
        <v>732</v>
      </c>
      <c r="B284" s="212" t="s">
        <v>733</v>
      </c>
      <c r="C284" s="213" t="s">
        <v>734</v>
      </c>
      <c r="D284" s="214" t="s">
        <v>406</v>
      </c>
      <c r="E284" s="228">
        <v>45041</v>
      </c>
      <c r="F284" s="215">
        <v>45041</v>
      </c>
      <c r="G284" s="285">
        <v>0</v>
      </c>
      <c r="H284" s="336">
        <v>0</v>
      </c>
      <c r="I284" s="367">
        <v>0</v>
      </c>
      <c r="J284" s="236">
        <v>0</v>
      </c>
      <c r="K284" s="217"/>
      <c r="L284" s="218" t="s">
        <v>735</v>
      </c>
      <c r="M284" s="219">
        <f t="shared" si="34"/>
        <v>45043</v>
      </c>
      <c r="N284" s="218" t="s">
        <v>658</v>
      </c>
      <c r="O284" s="225"/>
      <c r="P284" s="233"/>
      <c r="Q284" s="225"/>
      <c r="R284" s="240" t="s">
        <v>736</v>
      </c>
      <c r="S284" s="217"/>
      <c r="T284" s="225"/>
      <c r="U284" s="225"/>
    </row>
    <row r="285" spans="1:21" x14ac:dyDescent="0.45">
      <c r="A285" s="211" t="s">
        <v>737</v>
      </c>
      <c r="B285" s="212"/>
      <c r="C285" s="213" t="s">
        <v>738</v>
      </c>
      <c r="D285" s="214" t="s">
        <v>56</v>
      </c>
      <c r="E285" s="228">
        <v>45042</v>
      </c>
      <c r="F285" s="215">
        <v>45042</v>
      </c>
      <c r="G285" s="229">
        <v>1929520</v>
      </c>
      <c r="H285" s="336">
        <v>761175</v>
      </c>
      <c r="I285" s="336">
        <v>2436514</v>
      </c>
      <c r="J285" s="229">
        <v>0</v>
      </c>
      <c r="K285" s="217"/>
      <c r="L285" s="218" t="s">
        <v>695</v>
      </c>
      <c r="M285" s="219">
        <f t="shared" si="34"/>
        <v>45044</v>
      </c>
      <c r="N285" s="218" t="s">
        <v>658</v>
      </c>
      <c r="O285" s="225"/>
      <c r="P285" s="233"/>
      <c r="Q285" s="225"/>
      <c r="R285" s="220" t="s">
        <v>718</v>
      </c>
      <c r="S285" s="217"/>
      <c r="T285" s="225"/>
      <c r="U285" s="225"/>
    </row>
    <row r="286" spans="1:21" x14ac:dyDescent="0.45">
      <c r="A286" s="211" t="s">
        <v>739</v>
      </c>
      <c r="B286" s="212"/>
      <c r="C286" s="213" t="s">
        <v>740</v>
      </c>
      <c r="D286" s="214" t="s">
        <v>390</v>
      </c>
      <c r="E286" s="228">
        <v>45042</v>
      </c>
      <c r="F286" s="215">
        <v>45042</v>
      </c>
      <c r="G286" s="285">
        <v>0</v>
      </c>
      <c r="H286" s="336">
        <v>0</v>
      </c>
      <c r="I286" s="336">
        <v>0</v>
      </c>
      <c r="J286" s="236">
        <v>0</v>
      </c>
      <c r="K286" s="217">
        <v>5</v>
      </c>
      <c r="L286" s="218" t="s">
        <v>683</v>
      </c>
      <c r="M286" s="219">
        <f t="shared" si="34"/>
        <v>45044</v>
      </c>
      <c r="N286" s="218" t="s">
        <v>658</v>
      </c>
      <c r="O286" s="225"/>
      <c r="P286" s="233"/>
      <c r="Q286" s="225"/>
      <c r="R286" s="234" t="s">
        <v>741</v>
      </c>
      <c r="S286" s="217"/>
      <c r="T286" s="225"/>
      <c r="U286" s="225"/>
    </row>
    <row r="287" spans="1:21" ht="92.25" x14ac:dyDescent="0.45">
      <c r="A287" s="54" t="s">
        <v>742</v>
      </c>
      <c r="B287" s="14" t="s">
        <v>743</v>
      </c>
      <c r="C287" s="15" t="s">
        <v>744</v>
      </c>
      <c r="D287" s="16" t="s">
        <v>406</v>
      </c>
      <c r="E287" s="65">
        <v>45042</v>
      </c>
      <c r="F287" s="30">
        <v>45042</v>
      </c>
      <c r="G287" s="286">
        <v>0</v>
      </c>
      <c r="H287" s="322">
        <v>0</v>
      </c>
      <c r="I287" s="322">
        <v>0</v>
      </c>
      <c r="J287" s="160">
        <v>0</v>
      </c>
      <c r="K287" s="33">
        <v>13</v>
      </c>
      <c r="L287" s="36" t="s">
        <v>745</v>
      </c>
      <c r="M287" s="187">
        <f t="shared" si="34"/>
        <v>45044</v>
      </c>
      <c r="N287" s="36" t="s">
        <v>658</v>
      </c>
      <c r="O287" s="38"/>
      <c r="P287" s="237"/>
      <c r="Q287" s="42"/>
      <c r="R287" s="271" t="s">
        <v>746</v>
      </c>
      <c r="S287" s="33"/>
      <c r="T287" s="42"/>
      <c r="U287" s="42"/>
    </row>
    <row r="288" spans="1:21" x14ac:dyDescent="0.45">
      <c r="A288" s="161" t="s">
        <v>747</v>
      </c>
      <c r="B288" s="257" t="s">
        <v>748</v>
      </c>
      <c r="C288" s="162" t="s">
        <v>749</v>
      </c>
      <c r="D288" s="259" t="s">
        <v>56</v>
      </c>
      <c r="E288" s="272">
        <v>45042</v>
      </c>
      <c r="F288" s="166">
        <v>45042</v>
      </c>
      <c r="G288" s="273">
        <v>0</v>
      </c>
      <c r="H288" s="338">
        <v>1360163</v>
      </c>
      <c r="I288" s="338">
        <v>1147572</v>
      </c>
      <c r="J288" s="273">
        <v>0</v>
      </c>
      <c r="K288" s="163">
        <v>12</v>
      </c>
      <c r="L288" s="178" t="s">
        <v>24</v>
      </c>
      <c r="M288" s="265">
        <f t="shared" si="34"/>
        <v>45044</v>
      </c>
      <c r="N288" s="178" t="s">
        <v>25</v>
      </c>
      <c r="O288" s="265">
        <v>45052</v>
      </c>
      <c r="P288" s="274"/>
      <c r="Q288" s="164"/>
      <c r="R288" s="275" t="s">
        <v>750</v>
      </c>
      <c r="S288" s="163"/>
      <c r="T288" s="164">
        <v>10</v>
      </c>
      <c r="U288" s="164"/>
    </row>
    <row r="289" spans="1:21" ht="79.150000000000006" x14ac:dyDescent="0.45">
      <c r="A289" s="276" t="s">
        <v>751</v>
      </c>
      <c r="B289" s="212" t="s">
        <v>79</v>
      </c>
      <c r="C289" s="213" t="s">
        <v>752</v>
      </c>
      <c r="D289" s="214" t="s">
        <v>406</v>
      </c>
      <c r="E289" s="228">
        <v>45042</v>
      </c>
      <c r="F289" s="215">
        <v>45042</v>
      </c>
      <c r="G289" s="285">
        <v>0</v>
      </c>
      <c r="H289" s="336">
        <v>0</v>
      </c>
      <c r="I289" s="336">
        <v>0</v>
      </c>
      <c r="J289" s="236">
        <v>0</v>
      </c>
      <c r="K289" s="246"/>
      <c r="L289" s="220" t="s">
        <v>735</v>
      </c>
      <c r="M289" s="219">
        <f t="shared" si="34"/>
        <v>45044</v>
      </c>
      <c r="N289" s="220" t="s">
        <v>658</v>
      </c>
      <c r="O289" s="244"/>
      <c r="P289" s="248"/>
      <c r="Q289" s="244"/>
      <c r="R289" s="277" t="s">
        <v>753</v>
      </c>
      <c r="S289" s="246"/>
      <c r="T289" s="244"/>
      <c r="U289" s="244"/>
    </row>
    <row r="290" spans="1:21" x14ac:dyDescent="0.45">
      <c r="A290" s="54" t="s">
        <v>754</v>
      </c>
      <c r="B290" s="14" t="s">
        <v>54</v>
      </c>
      <c r="C290" s="15" t="s">
        <v>755</v>
      </c>
      <c r="D290" s="16" t="s">
        <v>56</v>
      </c>
      <c r="E290" s="65">
        <v>45043</v>
      </c>
      <c r="F290" s="30">
        <v>45043</v>
      </c>
      <c r="G290" s="286">
        <v>0</v>
      </c>
      <c r="H290" s="322">
        <v>0</v>
      </c>
      <c r="I290" s="322">
        <v>0</v>
      </c>
      <c r="J290" s="160">
        <v>0</v>
      </c>
      <c r="K290" s="33"/>
      <c r="L290" s="36" t="s">
        <v>24</v>
      </c>
      <c r="M290" s="187">
        <f t="shared" si="34"/>
        <v>45045</v>
      </c>
      <c r="N290" s="36" t="s">
        <v>25</v>
      </c>
      <c r="O290" s="38">
        <v>45052</v>
      </c>
      <c r="P290" s="237"/>
      <c r="Q290" s="42"/>
      <c r="R290" s="41" t="s">
        <v>696</v>
      </c>
      <c r="S290" s="33"/>
      <c r="T290" s="42">
        <v>10</v>
      </c>
      <c r="U290" s="42"/>
    </row>
    <row r="291" spans="1:21" x14ac:dyDescent="0.45">
      <c r="A291" s="211" t="s">
        <v>756</v>
      </c>
      <c r="B291" s="212"/>
      <c r="C291" s="213" t="s">
        <v>757</v>
      </c>
      <c r="D291" s="214" t="s">
        <v>56</v>
      </c>
      <c r="E291" s="228">
        <v>45043</v>
      </c>
      <c r="F291" s="215">
        <v>45043</v>
      </c>
      <c r="G291" s="285">
        <v>0</v>
      </c>
      <c r="H291" s="336">
        <v>0</v>
      </c>
      <c r="I291" s="336">
        <v>0</v>
      </c>
      <c r="J291" s="229">
        <v>0</v>
      </c>
      <c r="K291" s="217"/>
      <c r="L291" s="218" t="s">
        <v>695</v>
      </c>
      <c r="M291" s="219">
        <f t="shared" si="34"/>
        <v>45045</v>
      </c>
      <c r="N291" s="218" t="s">
        <v>658</v>
      </c>
      <c r="O291" s="225"/>
      <c r="P291" s="233"/>
      <c r="Q291" s="225"/>
      <c r="R291" s="234" t="s">
        <v>422</v>
      </c>
      <c r="S291" s="217"/>
      <c r="T291" s="225"/>
      <c r="U291" s="225"/>
    </row>
    <row r="292" spans="1:21" x14ac:dyDescent="0.45">
      <c r="A292" s="161" t="s">
        <v>758</v>
      </c>
      <c r="B292" s="264" t="s">
        <v>117</v>
      </c>
      <c r="C292" s="162" t="s">
        <v>652</v>
      </c>
      <c r="D292" s="259" t="s">
        <v>56</v>
      </c>
      <c r="E292" s="272">
        <v>45043</v>
      </c>
      <c r="F292" s="166">
        <v>45043</v>
      </c>
      <c r="G292" s="273">
        <v>1886092</v>
      </c>
      <c r="H292" s="338">
        <v>710301</v>
      </c>
      <c r="I292" s="338">
        <v>2343312</v>
      </c>
      <c r="J292" s="273">
        <v>0</v>
      </c>
      <c r="K292" s="163">
        <v>5</v>
      </c>
      <c r="L292" s="178" t="s">
        <v>24</v>
      </c>
      <c r="M292" s="265">
        <f t="shared" si="34"/>
        <v>45045</v>
      </c>
      <c r="N292" s="178" t="s">
        <v>25</v>
      </c>
      <c r="O292" s="179">
        <v>45049</v>
      </c>
      <c r="P292" s="274"/>
      <c r="Q292" s="164"/>
      <c r="R292" s="275" t="s">
        <v>759</v>
      </c>
      <c r="S292" s="163"/>
      <c r="T292" s="164">
        <v>15</v>
      </c>
      <c r="U292" s="164"/>
    </row>
    <row r="293" spans="1:21" x14ac:dyDescent="0.45">
      <c r="A293" s="161" t="s">
        <v>760</v>
      </c>
      <c r="B293" s="278" t="s">
        <v>117</v>
      </c>
      <c r="C293" s="162" t="s">
        <v>761</v>
      </c>
      <c r="D293" s="259" t="s">
        <v>56</v>
      </c>
      <c r="E293" s="272">
        <v>45041</v>
      </c>
      <c r="F293" s="166">
        <v>45044</v>
      </c>
      <c r="G293" s="273">
        <v>860779</v>
      </c>
      <c r="H293" s="338">
        <v>563314</v>
      </c>
      <c r="I293" s="338">
        <v>1135271</v>
      </c>
      <c r="J293" s="273">
        <v>0</v>
      </c>
      <c r="K293" s="163">
        <v>11</v>
      </c>
      <c r="L293" s="178" t="s">
        <v>24</v>
      </c>
      <c r="M293" s="265">
        <f>F293+2</f>
        <v>45046</v>
      </c>
      <c r="N293" s="178" t="s">
        <v>25</v>
      </c>
      <c r="O293" s="164"/>
      <c r="P293" s="274"/>
      <c r="Q293" s="164"/>
      <c r="R293" s="275" t="s">
        <v>762</v>
      </c>
      <c r="S293" s="163"/>
      <c r="T293" s="164">
        <v>8</v>
      </c>
      <c r="U293" s="164"/>
    </row>
    <row r="294" spans="1:21" x14ac:dyDescent="0.45">
      <c r="A294" s="161" t="s">
        <v>763</v>
      </c>
      <c r="B294" s="278" t="s">
        <v>54</v>
      </c>
      <c r="C294" s="162" t="s">
        <v>764</v>
      </c>
      <c r="D294" s="259" t="s">
        <v>56</v>
      </c>
      <c r="E294" s="272">
        <v>45044</v>
      </c>
      <c r="F294" s="166">
        <v>45044</v>
      </c>
      <c r="G294" s="273">
        <v>2119086</v>
      </c>
      <c r="H294" s="338">
        <v>662373</v>
      </c>
      <c r="I294" s="338">
        <v>2534276</v>
      </c>
      <c r="J294" s="273">
        <v>0</v>
      </c>
      <c r="K294" s="163">
        <v>8</v>
      </c>
      <c r="L294" s="178" t="s">
        <v>24</v>
      </c>
      <c r="M294" s="265">
        <f t="shared" si="34"/>
        <v>45046</v>
      </c>
      <c r="N294" s="178" t="s">
        <v>25</v>
      </c>
      <c r="O294" s="179">
        <v>45052</v>
      </c>
      <c r="P294" s="274"/>
      <c r="Q294" s="164"/>
      <c r="R294" s="275" t="s">
        <v>765</v>
      </c>
      <c r="S294" s="163"/>
      <c r="T294" s="164">
        <v>8</v>
      </c>
      <c r="U294" s="164"/>
    </row>
    <row r="295" spans="1:21" x14ac:dyDescent="0.45">
      <c r="A295" s="276" t="s">
        <v>766</v>
      </c>
      <c r="B295" s="212" t="s">
        <v>128</v>
      </c>
      <c r="C295" s="213" t="s">
        <v>767</v>
      </c>
      <c r="D295" s="214" t="s">
        <v>390</v>
      </c>
      <c r="E295" s="228">
        <v>45046</v>
      </c>
      <c r="F295" s="215">
        <v>45046</v>
      </c>
      <c r="G295" s="285">
        <v>0</v>
      </c>
      <c r="H295" s="336">
        <v>0</v>
      </c>
      <c r="I295" s="368">
        <v>0</v>
      </c>
      <c r="J295" s="245">
        <v>0</v>
      </c>
      <c r="K295" s="246"/>
      <c r="L295" s="220" t="s">
        <v>695</v>
      </c>
      <c r="M295" s="219">
        <f t="shared" si="34"/>
        <v>45048</v>
      </c>
      <c r="N295" s="220" t="s">
        <v>658</v>
      </c>
      <c r="O295" s="244"/>
      <c r="P295" s="248"/>
      <c r="Q295" s="244"/>
      <c r="R295" s="224" t="s">
        <v>696</v>
      </c>
      <c r="S295" s="246"/>
      <c r="T295" s="244"/>
      <c r="U295" s="244"/>
    </row>
    <row r="296" spans="1:21" x14ac:dyDescent="0.45">
      <c r="A296" s="138" t="s">
        <v>768</v>
      </c>
      <c r="B296" s="14" t="s">
        <v>450</v>
      </c>
      <c r="C296" s="69" t="s">
        <v>769</v>
      </c>
      <c r="D296" s="61" t="s">
        <v>406</v>
      </c>
      <c r="E296" s="65">
        <v>44746</v>
      </c>
      <c r="F296" s="65">
        <v>45044</v>
      </c>
      <c r="G296" s="287">
        <v>0</v>
      </c>
      <c r="H296" s="328">
        <v>0</v>
      </c>
      <c r="I296" s="360">
        <v>0</v>
      </c>
      <c r="J296" s="201">
        <v>0</v>
      </c>
      <c r="K296" s="61"/>
      <c r="L296" s="71" t="s">
        <v>24</v>
      </c>
      <c r="M296" s="227">
        <f t="shared" si="34"/>
        <v>45046</v>
      </c>
      <c r="N296" s="36" t="s">
        <v>25</v>
      </c>
      <c r="O296" s="73">
        <v>45052</v>
      </c>
      <c r="P296" s="269"/>
      <c r="Q296" s="77"/>
      <c r="R296" s="76" t="s">
        <v>696</v>
      </c>
      <c r="S296" s="61"/>
      <c r="T296" s="77">
        <v>0</v>
      </c>
      <c r="U296" s="77"/>
    </row>
    <row r="297" spans="1:21" x14ac:dyDescent="0.45">
      <c r="A297" s="246" t="s">
        <v>770</v>
      </c>
      <c r="B297" s="246"/>
      <c r="C297" s="246" t="s">
        <v>771</v>
      </c>
      <c r="D297" s="246" t="s">
        <v>23</v>
      </c>
      <c r="E297" s="228">
        <v>44987</v>
      </c>
      <c r="F297" s="228">
        <v>45046</v>
      </c>
      <c r="G297" s="288">
        <v>0</v>
      </c>
      <c r="H297" s="339">
        <v>0</v>
      </c>
      <c r="I297" s="368">
        <v>0</v>
      </c>
      <c r="J297" s="245">
        <v>0</v>
      </c>
      <c r="K297" s="246"/>
      <c r="L297" s="246" t="s">
        <v>772</v>
      </c>
      <c r="M297" s="279">
        <f>F297+2</f>
        <v>45048</v>
      </c>
      <c r="N297" s="246" t="s">
        <v>773</v>
      </c>
      <c r="O297" s="244"/>
      <c r="P297" s="248"/>
      <c r="Q297" s="244"/>
      <c r="R297" s="224" t="s">
        <v>696</v>
      </c>
      <c r="S297" s="246"/>
      <c r="T297" s="244"/>
      <c r="U297" s="244"/>
    </row>
    <row r="298" spans="1:21" x14ac:dyDescent="0.45">
      <c r="A298" s="33" t="s">
        <v>774</v>
      </c>
      <c r="B298" s="33" t="s">
        <v>54</v>
      </c>
      <c r="C298" s="280" t="s">
        <v>775</v>
      </c>
      <c r="D298" s="33" t="s">
        <v>56</v>
      </c>
      <c r="E298" s="226">
        <v>45027</v>
      </c>
      <c r="F298" s="281">
        <v>45044</v>
      </c>
      <c r="G298" s="287">
        <v>0</v>
      </c>
      <c r="H298" s="328">
        <v>0</v>
      </c>
      <c r="I298" s="360">
        <v>0</v>
      </c>
      <c r="J298" s="201">
        <v>0</v>
      </c>
      <c r="K298" s="61"/>
      <c r="L298" s="71" t="s">
        <v>24</v>
      </c>
      <c r="M298" s="227">
        <f>F298+2</f>
        <v>45046</v>
      </c>
      <c r="N298" s="61" t="s">
        <v>773</v>
      </c>
      <c r="O298" s="38">
        <v>45024</v>
      </c>
      <c r="P298" s="237"/>
      <c r="Q298" s="42"/>
      <c r="R298" s="33"/>
      <c r="S298" s="33"/>
      <c r="T298" s="42"/>
      <c r="U298" s="42"/>
    </row>
    <row r="299" spans="1:21" x14ac:dyDescent="0.45">
      <c r="A299" s="282" t="s">
        <v>776</v>
      </c>
      <c r="B299" s="20" t="s">
        <v>54</v>
      </c>
      <c r="C299" s="83" t="s">
        <v>777</v>
      </c>
      <c r="D299" s="33" t="s">
        <v>390</v>
      </c>
      <c r="E299" s="226">
        <v>45027</v>
      </c>
      <c r="F299" s="281">
        <v>45044</v>
      </c>
      <c r="G299" s="287">
        <v>0</v>
      </c>
      <c r="H299" s="328">
        <v>0</v>
      </c>
      <c r="I299" s="360">
        <v>0</v>
      </c>
      <c r="J299" s="201">
        <v>0</v>
      </c>
      <c r="K299" s="61"/>
      <c r="L299" s="71" t="s">
        <v>24</v>
      </c>
      <c r="M299" s="227">
        <f>F299+2</f>
        <v>45046</v>
      </c>
      <c r="N299" s="61" t="s">
        <v>773</v>
      </c>
      <c r="O299" s="38">
        <v>45024</v>
      </c>
      <c r="P299" s="283"/>
      <c r="Q299" s="284"/>
      <c r="R299" s="282"/>
      <c r="S299" s="282"/>
      <c r="T299" s="284"/>
      <c r="U299" s="284"/>
    </row>
  </sheetData>
  <autoFilter ref="A1:U299" xr:uid="{00000000-0001-0000-0000-000000000000}"/>
  <conditionalFormatting sqref="C299 C296:C297 C255:C263 C245:C246 C237:C239 C242:C243 C212:C214 C218:C219 C162:C165 C183:C190 C120:C125 C127:C133 C84:C85 C88:C94 C1:C69">
    <cfRule type="duplicateValues" dxfId="19" priority="19"/>
  </conditionalFormatting>
  <conditionalFormatting sqref="C299 C296:C297 C263 C255:C258 C245 C237:C239 C242:C243 C212:C214 C189:C190 C218:C219 C162:C165 C183:C185 C133 C120:C125 C94 C127:C130 C84:C85 C88:C90 C63:C69 C55 C44:C51 C27 C1:C8">
    <cfRule type="duplicateValues" dxfId="18" priority="20"/>
  </conditionalFormatting>
  <conditionalFormatting sqref="A1:A299">
    <cfRule type="duplicateValues" dxfId="17" priority="18"/>
  </conditionalFormatting>
  <conditionalFormatting sqref="A1:A299">
    <cfRule type="duplicateValues" dxfId="16" priority="17"/>
  </conditionalFormatting>
  <conditionalFormatting sqref="A1:A299">
    <cfRule type="duplicateValues" dxfId="15" priority="16"/>
  </conditionalFormatting>
  <conditionalFormatting sqref="C9">
    <cfRule type="duplicateValues" dxfId="14" priority="2"/>
  </conditionalFormatting>
  <conditionalFormatting sqref="C10">
    <cfRule type="duplicateValues" dxfId="13" priority="3"/>
  </conditionalFormatting>
  <conditionalFormatting sqref="C11:C13">
    <cfRule type="duplicateValues" dxfId="12" priority="4"/>
  </conditionalFormatting>
  <conditionalFormatting sqref="C14:C16">
    <cfRule type="duplicateValues" dxfId="11" priority="5"/>
  </conditionalFormatting>
  <conditionalFormatting sqref="C17">
    <cfRule type="duplicateValues" dxfId="10" priority="6"/>
  </conditionalFormatting>
  <conditionalFormatting sqref="C18">
    <cfRule type="duplicateValues" dxfId="9" priority="7"/>
  </conditionalFormatting>
  <conditionalFormatting sqref="C19">
    <cfRule type="duplicateValues" dxfId="8" priority="8"/>
  </conditionalFormatting>
  <conditionalFormatting sqref="C20">
    <cfRule type="duplicateValues" dxfId="7" priority="9"/>
  </conditionalFormatting>
  <conditionalFormatting sqref="C21">
    <cfRule type="duplicateValues" dxfId="6" priority="10"/>
  </conditionalFormatting>
  <conditionalFormatting sqref="C22">
    <cfRule type="duplicateValues" dxfId="5" priority="11"/>
  </conditionalFormatting>
  <conditionalFormatting sqref="C23">
    <cfRule type="duplicateValues" dxfId="4" priority="12"/>
  </conditionalFormatting>
  <conditionalFormatting sqref="C24">
    <cfRule type="duplicateValues" dxfId="3" priority="13"/>
  </conditionalFormatting>
  <conditionalFormatting sqref="C25">
    <cfRule type="duplicateValues" dxfId="2" priority="14"/>
  </conditionalFormatting>
  <conditionalFormatting sqref="C26">
    <cfRule type="duplicateValues" dxfId="1" priority="15"/>
  </conditionalFormatting>
  <conditionalFormatting sqref="C259:C262 C246 C186:C188 C131:C132 C91:C93 C56:C62 C52:C54 C28:C43">
    <cfRule type="duplicateValues" dxfId="0" priority="1"/>
  </conditionalFormatting>
  <pageMargins left="0.7" right="0.7" top="0.75" bottom="0.75" header="0.3" footer="0.3"/>
  <headerFooter>
    <oddFooter>&amp;L_x000D_&amp;1#&amp;"Calibri"&amp;10&amp;K000000 Sensitivity: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marvin</cp:lastModifiedBy>
  <cp:revision/>
  <dcterms:created xsi:type="dcterms:W3CDTF">2023-05-10T09:57:28Z</dcterms:created>
  <dcterms:modified xsi:type="dcterms:W3CDTF">2023-05-11T07:40:39Z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310d7d-6047-4ff9-b5ce-71e5a0ff4d2b_Enabled">
    <vt:lpwstr>true</vt:lpwstr>
  </property>
  <property fmtid="{D5CDD505-2E9C-101B-9397-08002B2CF9AE}" pid="3" name="MSIP_Label_b4310d7d-6047-4ff9-b5ce-71e5a0ff4d2b_SetDate">
    <vt:lpwstr>2023-05-10T10:01:47Z</vt:lpwstr>
  </property>
  <property fmtid="{D5CDD505-2E9C-101B-9397-08002B2CF9AE}" pid="4" name="MSIP_Label_b4310d7d-6047-4ff9-b5ce-71e5a0ff4d2b_Method">
    <vt:lpwstr>Privileged</vt:lpwstr>
  </property>
  <property fmtid="{D5CDD505-2E9C-101B-9397-08002B2CF9AE}" pid="5" name="MSIP_Label_b4310d7d-6047-4ff9-b5ce-71e5a0ff4d2b_Name">
    <vt:lpwstr>b4310d7d-6047-4ff9-b5ce-71e5a0ff4d2b</vt:lpwstr>
  </property>
  <property fmtid="{D5CDD505-2E9C-101B-9397-08002B2CF9AE}" pid="6" name="MSIP_Label_b4310d7d-6047-4ff9-b5ce-71e5a0ff4d2b_SiteId">
    <vt:lpwstr>c9b9cb50-3644-4db4-a267-fa84df2f4ceb</vt:lpwstr>
  </property>
  <property fmtid="{D5CDD505-2E9C-101B-9397-08002B2CF9AE}" pid="7" name="MSIP_Label_b4310d7d-6047-4ff9-b5ce-71e5a0ff4d2b_ActionId">
    <vt:lpwstr>d147ed23-f5de-47d5-b1c3-a555e790be40</vt:lpwstr>
  </property>
  <property fmtid="{D5CDD505-2E9C-101B-9397-08002B2CF9AE}" pid="8" name="MSIP_Label_b4310d7d-6047-4ff9-b5ce-71e5a0ff4d2b_ContentBits">
    <vt:lpwstr>2</vt:lpwstr>
  </property>
</Properties>
</file>