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ml.chartshap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050" windowHeight="10950" activeTab="1"/>
  </bookViews>
  <sheets>
    <sheet name="说明" sheetId="1" r:id="rId1"/>
    <sheet name="高度比" sheetId="2" r:id="rId2"/>
    <sheet name="宽度比" sheetId="3" r:id="rId3"/>
    <sheet name="面积比" sheetId="4" r:id="rId4"/>
  </sheets>
  <calcPr calcId="144525"/>
</workbook>
</file>

<file path=xl/sharedStrings.xml><?xml version="1.0" encoding="utf-8"?>
<sst xmlns="http://schemas.openxmlformats.org/spreadsheetml/2006/main" count="22">
  <si>
    <t>北京银瀑技术有限公司</t>
  </si>
  <si>
    <t>不同焦距与距离下目标占画面比例</t>
  </si>
  <si>
    <t>编写人</t>
  </si>
  <si>
    <t>苗忍涛</t>
  </si>
  <si>
    <t>编制日期</t>
  </si>
  <si>
    <t>数据采集人</t>
  </si>
  <si>
    <t>周金旺、苗忍涛、徐圣雷</t>
  </si>
  <si>
    <t>数据采集日期</t>
  </si>
  <si>
    <t>目的：
    收集不同厂家摄像头在各个焦距情况下，通过调节摄像头与目标的水平距离来获取目标在不同焦距下的目标占画面的比例。为以后各项目的测试和数据采集做参考。</t>
  </si>
  <si>
    <t>NO</t>
  </si>
  <si>
    <r>
      <rPr>
        <sz val="11"/>
        <color theme="1"/>
        <rFont val="宋体"/>
        <charset val="134"/>
      </rPr>
      <t>编制</t>
    </r>
    <r>
      <rPr>
        <sz val="12"/>
        <rFont val="Arial"/>
        <charset val="134"/>
      </rPr>
      <t>/</t>
    </r>
    <r>
      <rPr>
        <sz val="12"/>
        <rFont val="宋体"/>
        <charset val="134"/>
      </rPr>
      <t>变更</t>
    </r>
    <r>
      <rPr>
        <sz val="12"/>
        <rFont val="Arial"/>
        <charset val="134"/>
      </rPr>
      <t xml:space="preserve">                      </t>
    </r>
    <r>
      <rPr>
        <sz val="12"/>
        <rFont val="宋体"/>
        <charset val="134"/>
      </rPr>
      <t>日期</t>
    </r>
  </si>
  <si>
    <t>变更理由</t>
  </si>
  <si>
    <t>变更内容</t>
  </si>
  <si>
    <t>版本</t>
  </si>
  <si>
    <r>
      <rPr>
        <sz val="11"/>
        <color theme="1"/>
        <rFont val="宋体"/>
        <charset val="134"/>
      </rPr>
      <t>编制/</t>
    </r>
    <r>
      <rPr>
        <sz val="12"/>
        <rFont val="宋体"/>
        <charset val="134"/>
      </rPr>
      <t>修改人</t>
    </r>
  </si>
  <si>
    <t>新编</t>
  </si>
  <si>
    <t>v1.0</t>
  </si>
  <si>
    <r>
      <rPr>
        <sz val="9"/>
        <rFont val="Times New Roman"/>
        <charset val="134"/>
      </rPr>
      <t xml:space="preserve">      </t>
    </r>
    <r>
      <rPr>
        <sz val="9"/>
        <rFont val="宋体"/>
        <charset val="134"/>
      </rPr>
      <t>本文中的所有信息归北京银瀑技术有限公司所有，未经允许，不得外传</t>
    </r>
  </si>
  <si>
    <t xml:space="preserve">        距离
    比例
焦距</t>
  </si>
  <si>
    <t>备注：
1、前提
   a、摄像头和目标均放置于地面之上，摄像头光轴与地面水平并且光轴位于物体中心；
   b、目标为20*20的圆形风扇，画面为1920*1080分别率；
2、距离
   摄像头距离目标的距离
3、焦距
   2.8mm    4mm    6mm    12mm
4、比例
   目标在画面中的高度与画面高度（1080）的比值</t>
  </si>
  <si>
    <t>备注：
1、前提
   a、摄像头和目标均放置于地面之上，摄像头光轴与地面水平并且光轴位于物体中心；
   b、目标为20*20的圆形风扇，画面为1920*1080分别率；
2、距离
   摄像头距离目标的距离
3、焦距
   2.8mm    4mm    6mm    12mm
4、比例
   目标在画面中的宽度与画面宽度（1920）的比值</t>
  </si>
  <si>
    <t>备注：
1、前提
   a、摄像头和目标均放置于地面之上，摄像头光轴与地面水平并且光轴位于物体中心；
   b、目标为20*20的圆形风扇，画面为1920*1080分别率；
2、距离
   摄像头距离目标的距离
3、焦距
   2.8mm    4mm    6mm    12mm
4、比例
   目标在画面中的面积（高度*宽度）与画面面积（1920*1080）的比值</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</si>
</sst>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1">
    <font>
      <sz val="11"/>
      <color theme="1"/>
      <name val="宋体"/>
      <charset val="134"/>
      <scheme val="minor"/>
    </font>
    <font>
      <sz val="11"/>
      <color rgb="FF006100"/>
      <name val="宋体"/>
      <charset val="134"/>
      <scheme val="minor"/>
    </font>
    <font>
      <sz val="12"/>
      <name val="Times New Roman"/>
      <charset val="134"/>
    </font>
    <font>
      <b/>
      <sz val="18"/>
      <name val="宋体"/>
      <charset val="134"/>
    </font>
    <font>
      <sz val="12"/>
      <name val="Arial"/>
      <charset val="134"/>
    </font>
    <font>
      <sz val="16"/>
      <name val="宋体"/>
      <charset val="134"/>
    </font>
    <font>
      <sz val="12"/>
      <name val="宋体"/>
      <charset val="134"/>
    </font>
    <font>
      <sz val="10"/>
      <name val="宋体"/>
      <charset val="134"/>
    </font>
    <font>
      <sz val="10"/>
      <name val="Arial"/>
      <charset val="134"/>
    </font>
    <font>
      <sz val="10"/>
      <name val="Times New Roman"/>
      <charset val="134"/>
    </font>
    <font>
      <sz val="9"/>
      <name val="Times New Roman"/>
      <charset val="134"/>
    </font>
    <font>
      <sz val="11"/>
      <color theme="1"/>
      <name val="宋体"/>
      <charset val="0"/>
      <scheme val="minor"/>
    </font>
    <font>
      <b/>
      <sz val="11"/>
      <color rgb="FFFA7D00"/>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FFFFFF"/>
      <name val="宋体"/>
      <charset val="0"/>
      <scheme val="minor"/>
    </font>
    <font>
      <sz val="11"/>
      <color rgb="FF9C6500"/>
      <name val="宋体"/>
      <charset val="0"/>
      <scheme val="minor"/>
    </font>
    <font>
      <b/>
      <sz val="11"/>
      <color rgb="FF3F3F3F"/>
      <name val="宋体"/>
      <charset val="0"/>
      <scheme val="minor"/>
    </font>
    <font>
      <sz val="11"/>
      <color theme="1"/>
      <name val="宋体"/>
      <charset val="134"/>
    </font>
    <font>
      <sz val="9"/>
      <name val="宋体"/>
      <charset val="134"/>
    </font>
  </fonts>
  <fills count="36">
    <fill>
      <patternFill patternType="none"/>
    </fill>
    <fill>
      <patternFill patternType="gray125"/>
    </fill>
    <fill>
      <patternFill patternType="solid">
        <fgColor rgb="FFC6EFCE"/>
        <bgColor indexed="64"/>
      </patternFill>
    </fill>
    <fill>
      <patternFill patternType="solid">
        <fgColor indexed="22"/>
        <bgColor indexed="64"/>
      </patternFill>
    </fill>
    <fill>
      <patternFill patternType="solid">
        <fgColor indexed="9"/>
        <bgColor indexed="64"/>
      </patternFill>
    </fill>
    <fill>
      <patternFill patternType="solid">
        <fgColor indexed="41"/>
        <bgColor indexed="64"/>
      </patternFill>
    </fill>
    <fill>
      <patternFill patternType="solid">
        <fgColor theme="9"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7"/>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rgb="FFFFEB9C"/>
        <bgColor indexed="64"/>
      </patternFill>
    </fill>
  </fills>
  <borders count="31">
    <border>
      <left/>
      <right/>
      <top/>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42" fontId="0" fillId="0" borderId="0" applyFont="0" applyFill="0" applyBorder="0" applyAlignment="0" applyProtection="0">
      <alignment vertical="center"/>
    </xf>
    <xf numFmtId="0" fontId="11" fillId="26" borderId="0" applyNumberFormat="0" applyBorder="0" applyAlignment="0" applyProtection="0">
      <alignment vertical="center"/>
    </xf>
    <xf numFmtId="0" fontId="25" fillId="27" borderId="2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7"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13" fillId="21"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0" borderId="26" applyNumberFormat="0" applyFont="0" applyAlignment="0" applyProtection="0">
      <alignment vertical="center"/>
    </xf>
    <xf numFmtId="0" fontId="13" fillId="9"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24" applyNumberFormat="0" applyFill="0" applyAlignment="0" applyProtection="0">
      <alignment vertical="center"/>
    </xf>
    <xf numFmtId="0" fontId="14" fillId="0" borderId="24" applyNumberFormat="0" applyFill="0" applyAlignment="0" applyProtection="0">
      <alignment vertical="center"/>
    </xf>
    <xf numFmtId="0" fontId="13" fillId="31" borderId="0" applyNumberFormat="0" applyBorder="0" applyAlignment="0" applyProtection="0">
      <alignment vertical="center"/>
    </xf>
    <xf numFmtId="0" fontId="19" fillId="0" borderId="27" applyNumberFormat="0" applyFill="0" applyAlignment="0" applyProtection="0">
      <alignment vertical="center"/>
    </xf>
    <xf numFmtId="0" fontId="13" fillId="8" borderId="0" applyNumberFormat="0" applyBorder="0" applyAlignment="0" applyProtection="0">
      <alignment vertical="center"/>
    </xf>
    <xf numFmtId="0" fontId="28" fillId="7" borderId="30" applyNumberFormat="0" applyAlignment="0" applyProtection="0">
      <alignment vertical="center"/>
    </xf>
    <xf numFmtId="0" fontId="12" fillId="7" borderId="23" applyNumberFormat="0" applyAlignment="0" applyProtection="0">
      <alignment vertical="center"/>
    </xf>
    <xf numFmtId="0" fontId="26" fillId="30" borderId="29" applyNumberFormat="0" applyAlignment="0" applyProtection="0">
      <alignment vertical="center"/>
    </xf>
    <xf numFmtId="0" fontId="11" fillId="25" borderId="0" applyNumberFormat="0" applyBorder="0" applyAlignment="0" applyProtection="0">
      <alignment vertical="center"/>
    </xf>
    <xf numFmtId="0" fontId="13" fillId="24" borderId="0" applyNumberFormat="0" applyBorder="0" applyAlignment="0" applyProtection="0">
      <alignment vertical="center"/>
    </xf>
    <xf numFmtId="0" fontId="22" fillId="0" borderId="28" applyNumberFormat="0" applyFill="0" applyAlignment="0" applyProtection="0">
      <alignment vertical="center"/>
    </xf>
    <xf numFmtId="0" fontId="17" fillId="0" borderId="25" applyNumberFormat="0" applyFill="0" applyAlignment="0" applyProtection="0">
      <alignment vertical="center"/>
    </xf>
    <xf numFmtId="0" fontId="1" fillId="2" borderId="0" applyNumberFormat="0" applyBorder="0" applyAlignment="0" applyProtection="0">
      <alignment vertical="center"/>
    </xf>
    <xf numFmtId="0" fontId="27" fillId="35" borderId="0" applyNumberFormat="0" applyBorder="0" applyAlignment="0" applyProtection="0">
      <alignment vertical="center"/>
    </xf>
    <xf numFmtId="0" fontId="11" fillId="23" borderId="0" applyNumberFormat="0" applyBorder="0" applyAlignment="0" applyProtection="0">
      <alignment vertical="center"/>
    </xf>
    <xf numFmtId="0" fontId="13" fillId="16" borderId="0" applyNumberFormat="0" applyBorder="0" applyAlignment="0" applyProtection="0">
      <alignment vertical="center"/>
    </xf>
    <xf numFmtId="0" fontId="11" fillId="12" borderId="0" applyNumberFormat="0" applyBorder="0" applyAlignment="0" applyProtection="0">
      <alignment vertical="center"/>
    </xf>
    <xf numFmtId="0" fontId="11" fillId="22" borderId="0" applyNumberFormat="0" applyBorder="0" applyAlignment="0" applyProtection="0">
      <alignment vertical="center"/>
    </xf>
    <xf numFmtId="0" fontId="11" fillId="15" borderId="0" applyNumberFormat="0" applyBorder="0" applyAlignment="0" applyProtection="0">
      <alignment vertical="center"/>
    </xf>
    <xf numFmtId="0" fontId="11" fillId="19" borderId="0" applyNumberFormat="0" applyBorder="0" applyAlignment="0" applyProtection="0">
      <alignment vertical="center"/>
    </xf>
    <xf numFmtId="0" fontId="13" fillId="34" borderId="0" applyNumberFormat="0" applyBorder="0" applyAlignment="0" applyProtection="0">
      <alignment vertical="center"/>
    </xf>
    <xf numFmtId="0" fontId="13" fillId="29" borderId="0" applyNumberFormat="0" applyBorder="0" applyAlignment="0" applyProtection="0">
      <alignment vertical="center"/>
    </xf>
    <xf numFmtId="0" fontId="11" fillId="18" borderId="0" applyNumberFormat="0" applyBorder="0" applyAlignment="0" applyProtection="0">
      <alignment vertical="center"/>
    </xf>
    <xf numFmtId="0" fontId="11" fillId="14" borderId="0" applyNumberFormat="0" applyBorder="0" applyAlignment="0" applyProtection="0">
      <alignment vertical="center"/>
    </xf>
    <xf numFmtId="0" fontId="13" fillId="11" borderId="0" applyNumberFormat="0" applyBorder="0" applyAlignment="0" applyProtection="0">
      <alignment vertical="center"/>
    </xf>
    <xf numFmtId="0" fontId="11" fillId="33" borderId="0" applyNumberFormat="0" applyBorder="0" applyAlignment="0" applyProtection="0">
      <alignment vertical="center"/>
    </xf>
    <xf numFmtId="0" fontId="13" fillId="32" borderId="0" applyNumberFormat="0" applyBorder="0" applyAlignment="0" applyProtection="0">
      <alignment vertical="center"/>
    </xf>
    <xf numFmtId="0" fontId="13" fillId="28" borderId="0" applyNumberFormat="0" applyBorder="0" applyAlignment="0" applyProtection="0">
      <alignment vertical="center"/>
    </xf>
    <xf numFmtId="0" fontId="11" fillId="6" borderId="0" applyNumberFormat="0" applyBorder="0" applyAlignment="0" applyProtection="0">
      <alignment vertical="center"/>
    </xf>
    <xf numFmtId="0" fontId="13" fillId="10" borderId="0" applyNumberFormat="0" applyBorder="0" applyAlignment="0" applyProtection="0">
      <alignment vertical="center"/>
    </xf>
    <xf numFmtId="0" fontId="6" fillId="0" borderId="0"/>
    <xf numFmtId="0" fontId="2" fillId="0" borderId="0"/>
  </cellStyleXfs>
  <cellXfs count="43">
    <xf numFmtId="0" fontId="0" fillId="0" borderId="0" xfId="0"/>
    <xf numFmtId="0" fontId="1" fillId="2" borderId="1" xfId="31" applyBorder="1" applyAlignment="1">
      <alignment horizontal="left" wrapText="1"/>
    </xf>
    <xf numFmtId="0" fontId="1" fillId="2" borderId="2" xfId="31" applyBorder="1" applyAlignment="1">
      <alignment horizontal="center" vertical="center"/>
    </xf>
    <xf numFmtId="0" fontId="1" fillId="2" borderId="3" xfId="31" applyBorder="1" applyAlignment="1">
      <alignment horizontal="center" vertical="center"/>
    </xf>
    <xf numFmtId="0" fontId="1" fillId="2" borderId="4" xfId="31" applyBorder="1" applyAlignment="1">
      <alignment horizontal="center" vertical="center"/>
    </xf>
    <xf numFmtId="0" fontId="0" fillId="0" borderId="5" xfId="0" applyBorder="1" applyAlignment="1">
      <alignment horizontal="center" vertical="center"/>
    </xf>
    <xf numFmtId="0" fontId="1" fillId="2" borderId="6" xfId="31" applyBorder="1" applyAlignment="1">
      <alignment horizontal="center" vertical="center"/>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Fill="1"/>
    <xf numFmtId="0" fontId="1" fillId="2" borderId="12" xfId="31"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1" fillId="2" borderId="16" xfId="31" applyBorder="1" applyAlignment="1">
      <alignment horizontal="center" vertical="center"/>
    </xf>
    <xf numFmtId="0" fontId="0" fillId="0" borderId="17" xfId="0" applyBorder="1" applyAlignment="1">
      <alignment horizontal="center" vertical="center"/>
    </xf>
    <xf numFmtId="0" fontId="2" fillId="3" borderId="0" xfId="50" applyFill="1"/>
    <xf numFmtId="0" fontId="3" fillId="4" borderId="0" xfId="50" applyFont="1" applyFill="1" applyBorder="1" applyAlignment="1">
      <alignment horizontal="center" vertical="center" wrapText="1"/>
    </xf>
    <xf numFmtId="0" fontId="2" fillId="3" borderId="0" xfId="50" applyFill="1" applyBorder="1"/>
    <xf numFmtId="0" fontId="4" fillId="3" borderId="0" xfId="50" applyFont="1" applyFill="1" applyBorder="1" applyAlignment="1">
      <alignment horizontal="center" vertical="center" wrapText="1"/>
    </xf>
    <xf numFmtId="0" fontId="5" fillId="5" borderId="18" xfId="50" applyFont="1" applyFill="1" applyBorder="1" applyAlignment="1">
      <alignment horizontal="center" vertical="center" wrapText="1"/>
    </xf>
    <xf numFmtId="0" fontId="5" fillId="5" borderId="19" xfId="50" applyFont="1" applyFill="1" applyBorder="1" applyAlignment="1">
      <alignment horizontal="center" vertical="center" wrapText="1"/>
    </xf>
    <xf numFmtId="0" fontId="6" fillId="4" borderId="20" xfId="50" applyFont="1" applyFill="1" applyBorder="1" applyAlignment="1">
      <alignment vertical="center" wrapText="1"/>
    </xf>
    <xf numFmtId="0" fontId="6" fillId="4" borderId="18" xfId="50" applyFont="1" applyFill="1" applyBorder="1" applyAlignment="1">
      <alignment horizontal="left" vertical="center" wrapText="1"/>
    </xf>
    <xf numFmtId="0" fontId="6" fillId="4" borderId="5" xfId="50" applyFont="1" applyFill="1" applyBorder="1" applyAlignment="1">
      <alignment horizontal="left" vertical="center" wrapText="1"/>
    </xf>
    <xf numFmtId="14" fontId="6" fillId="4" borderId="18" xfId="50" applyNumberFormat="1" applyFont="1" applyFill="1" applyBorder="1" applyAlignment="1">
      <alignment horizontal="left" vertical="center" wrapText="1"/>
    </xf>
    <xf numFmtId="0" fontId="4" fillId="3" borderId="0" xfId="50" applyFont="1" applyFill="1" applyAlignment="1">
      <alignment horizontal="justify" vertical="center"/>
    </xf>
    <xf numFmtId="0" fontId="6" fillId="4" borderId="0" xfId="50" applyFont="1" applyFill="1" applyBorder="1" applyAlignment="1">
      <alignment horizontal="left" vertical="top" wrapText="1"/>
    </xf>
    <xf numFmtId="0" fontId="6" fillId="4" borderId="21" xfId="50" applyFont="1" applyFill="1" applyBorder="1" applyAlignment="1">
      <alignment horizontal="left" vertical="top" wrapText="1"/>
    </xf>
    <xf numFmtId="0" fontId="4" fillId="4" borderId="20" xfId="50" applyFont="1" applyFill="1" applyBorder="1" applyAlignment="1">
      <alignment horizontal="center" vertical="center" wrapText="1"/>
    </xf>
    <xf numFmtId="0" fontId="0" fillId="4" borderId="20" xfId="50" applyFont="1" applyFill="1" applyBorder="1" applyAlignment="1">
      <alignment horizontal="center" vertical="center" wrapText="1"/>
    </xf>
    <xf numFmtId="0" fontId="7" fillId="3" borderId="0" xfId="50" applyFont="1" applyFill="1"/>
    <xf numFmtId="0" fontId="8" fillId="4" borderId="20" xfId="50" applyFont="1" applyFill="1" applyBorder="1" applyAlignment="1">
      <alignment horizontal="center" vertical="center" wrapText="1"/>
    </xf>
    <xf numFmtId="14" fontId="8" fillId="4" borderId="20" xfId="50" applyNumberFormat="1" applyFont="1" applyFill="1" applyBorder="1" applyAlignment="1">
      <alignment horizontal="center" vertical="center" wrapText="1"/>
    </xf>
    <xf numFmtId="0" fontId="7" fillId="4" borderId="20" xfId="50" applyFont="1" applyFill="1" applyBorder="1" applyAlignment="1">
      <alignment horizontal="center" vertical="center" wrapText="1"/>
    </xf>
    <xf numFmtId="0" fontId="9" fillId="0" borderId="20" xfId="50" applyFont="1" applyBorder="1" applyAlignment="1">
      <alignment horizontal="center" vertical="center" wrapText="1"/>
    </xf>
    <xf numFmtId="0" fontId="7" fillId="4" borderId="20" xfId="50" applyFont="1" applyFill="1" applyBorder="1" applyAlignment="1">
      <alignment horizontal="justify" vertical="top" wrapText="1"/>
    </xf>
    <xf numFmtId="0" fontId="10" fillId="0" borderId="22" xfId="49" applyFont="1" applyBorder="1" applyAlignment="1">
      <alignment horizontal="center" vertical="center"/>
    </xf>
    <xf numFmtId="0" fontId="0" fillId="0" borderId="0" xfId="0"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0 2 2" xfId="49"/>
    <cellStyle name="常规_持续改进程序1.2" xfId="5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"2.8mm焦距"</c:f>
              <c:strCache>
                <c:ptCount val="1"/>
                <c:pt idx="0">
                  <c:v>2.8mm焦距</c:v>
                </c:pt>
              </c:strCache>
            </c:strRef>
          </c:tx>
          <c:dLbls>
            <c:delete val="1"/>
          </c:dLbls>
          <c:cat>
            <c:numRef>
              <c:f>高度比!$C$3:$Q$3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高度比!$C$4:$Q$4</c:f>
              <c:numCache>
                <c:formatCode>General</c:formatCode>
                <c:ptCount val="15"/>
                <c:pt idx="0" c:formatCode="General">
                  <c:v>0.378703703703704</c:v>
                </c:pt>
                <c:pt idx="1" c:formatCode="General">
                  <c:v>0.194444444444444</c:v>
                </c:pt>
                <c:pt idx="2" c:formatCode="General">
                  <c:v>0.130555555555556</c:v>
                </c:pt>
                <c:pt idx="3" c:formatCode="General">
                  <c:v>0.0981481481481482</c:v>
                </c:pt>
                <c:pt idx="4" c:formatCode="General">
                  <c:v>0.0796296296296296</c:v>
                </c:pt>
                <c:pt idx="5" c:formatCode="General">
                  <c:v>0.0675925925925926</c:v>
                </c:pt>
                <c:pt idx="6" c:formatCode="General">
                  <c:v>0.0564814814814815</c:v>
                </c:pt>
                <c:pt idx="7" c:formatCode="General">
                  <c:v>0.0490740740740741</c:v>
                </c:pt>
                <c:pt idx="8" c:formatCode="General">
                  <c:v>0.0453703703703704</c:v>
                </c:pt>
                <c:pt idx="9" c:formatCode="General">
                  <c:v>0.0407407407407407</c:v>
                </c:pt>
                <c:pt idx="10" c:formatCode="General">
                  <c:v>0.037037037037037</c:v>
                </c:pt>
                <c:pt idx="11" c:formatCode="General">
                  <c:v>0.0333333333333333</c:v>
                </c:pt>
                <c:pt idx="12" c:formatCode="General">
                  <c:v>0.0305555555555556</c:v>
                </c:pt>
                <c:pt idx="13" c:formatCode="General">
                  <c:v>0.0287037037037037</c:v>
                </c:pt>
                <c:pt idx="14" c:formatCode="General">
                  <c:v>0.0277777777777778</c:v>
                </c:pt>
              </c:numCache>
            </c:numRef>
          </c:val>
          <c:smooth val="0"/>
        </c:ser>
        <c:ser>
          <c:idx val="1"/>
          <c:order val="1"/>
          <c:tx>
            <c:strRef>
              <c:f>"   4mm焦距"</c:f>
              <c:strCache>
                <c:ptCount val="1"/>
                <c:pt idx="0">
                  <c:v>   4mm焦距</c:v>
                </c:pt>
              </c:strCache>
            </c:strRef>
          </c:tx>
          <c:dLbls>
            <c:delete val="1"/>
          </c:dLbls>
          <c:cat>
            <c:numRef>
              <c:f>高度比!$C$3:$Q$3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高度比!$C$5:$Q$5</c:f>
              <c:numCache>
                <c:formatCode>General</c:formatCode>
                <c:ptCount val="15"/>
                <c:pt idx="0" c:formatCode="General">
                  <c:v>0.481481481481481</c:v>
                </c:pt>
                <c:pt idx="1" c:formatCode="General">
                  <c:v>0.240740740740741</c:v>
                </c:pt>
                <c:pt idx="2" c:formatCode="General">
                  <c:v>0.155555555555556</c:v>
                </c:pt>
                <c:pt idx="3" c:formatCode="General">
                  <c:v>0.12037037037037</c:v>
                </c:pt>
                <c:pt idx="4" c:formatCode="General">
                  <c:v>0.0953703703703704</c:v>
                </c:pt>
                <c:pt idx="5" c:formatCode="General">
                  <c:v>0.0805555555555556</c:v>
                </c:pt>
                <c:pt idx="6" c:formatCode="General">
                  <c:v>0.0666666666666667</c:v>
                </c:pt>
                <c:pt idx="7" c:formatCode="General">
                  <c:v>0.0592592592592593</c:v>
                </c:pt>
                <c:pt idx="8" c:formatCode="General">
                  <c:v>0.0527777777777778</c:v>
                </c:pt>
                <c:pt idx="9" c:formatCode="General">
                  <c:v>0.0481481481481481</c:v>
                </c:pt>
                <c:pt idx="10" c:formatCode="General">
                  <c:v>0.0435185185185185</c:v>
                </c:pt>
                <c:pt idx="11" c:formatCode="General">
                  <c:v>0.0398148148148148</c:v>
                </c:pt>
                <c:pt idx="12" c:formatCode="General">
                  <c:v>0.037037037037037</c:v>
                </c:pt>
                <c:pt idx="13" c:formatCode="General">
                  <c:v>0.0351851851851852</c:v>
                </c:pt>
                <c:pt idx="14" c:formatCode="General">
                  <c:v>0.0333333333333333</c:v>
                </c:pt>
              </c:numCache>
            </c:numRef>
          </c:val>
          <c:smooth val="0"/>
        </c:ser>
        <c:ser>
          <c:idx val="2"/>
          <c:order val="2"/>
          <c:tx>
            <c:strRef>
              <c:f>"   6mm焦距"</c:f>
              <c:strCache>
                <c:ptCount val="1"/>
                <c:pt idx="0">
                  <c:v>   6mm焦距</c:v>
                </c:pt>
              </c:strCache>
            </c:strRef>
          </c:tx>
          <c:dLbls>
            <c:delete val="1"/>
          </c:dLbls>
          <c:cat>
            <c:numRef>
              <c:f>高度比!$C$3:$Q$3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高度比!$C$6:$Q$6</c:f>
              <c:numCache>
                <c:formatCode>General</c:formatCode>
                <c:ptCount val="15"/>
                <c:pt idx="0" c:formatCode="General">
                  <c:v>0.648148148148148</c:v>
                </c:pt>
                <c:pt idx="1" c:formatCode="General">
                  <c:v>0.343518518518519</c:v>
                </c:pt>
                <c:pt idx="2" c:formatCode="General">
                  <c:v>0.233333333333333</c:v>
                </c:pt>
                <c:pt idx="3" c:formatCode="General">
                  <c:v>0.174074074074074</c:v>
                </c:pt>
                <c:pt idx="4" c:formatCode="General">
                  <c:v>0.140740740740741</c:v>
                </c:pt>
                <c:pt idx="5" c:formatCode="General">
                  <c:v>0.117592592592593</c:v>
                </c:pt>
                <c:pt idx="6" c:formatCode="General">
                  <c:v>0.1</c:v>
                </c:pt>
                <c:pt idx="7" c:formatCode="General">
                  <c:v>0.0888888888888889</c:v>
                </c:pt>
                <c:pt idx="8" c:formatCode="General">
                  <c:v>0.0787037037037037</c:v>
                </c:pt>
                <c:pt idx="9" c:formatCode="General">
                  <c:v>0.0712962962962963</c:v>
                </c:pt>
                <c:pt idx="10" c:formatCode="General">
                  <c:v>0.0638888888888889</c:v>
                </c:pt>
                <c:pt idx="11" c:formatCode="General">
                  <c:v>0.0592592592592593</c:v>
                </c:pt>
                <c:pt idx="12" c:formatCode="General">
                  <c:v>0.0537037037037037</c:v>
                </c:pt>
                <c:pt idx="13" c:formatCode="General">
                  <c:v>0.0490740740740741</c:v>
                </c:pt>
                <c:pt idx="14" c:formatCode="General">
                  <c:v>0.0462962962962963</c:v>
                </c:pt>
              </c:numCache>
            </c:numRef>
          </c:val>
          <c:smooth val="0"/>
        </c:ser>
        <c:ser>
          <c:idx val="3"/>
          <c:order val="3"/>
          <c:tx>
            <c:strRef>
              <c:f>" 12mm焦距"</c:f>
              <c:strCache>
                <c:ptCount val="1"/>
                <c:pt idx="0">
                  <c:v> 12mm焦距</c:v>
                </c:pt>
              </c:strCache>
            </c:strRef>
          </c:tx>
          <c:dLbls>
            <c:delete val="1"/>
          </c:dLbls>
          <c:cat>
            <c:numRef>
              <c:f>高度比!$C$3:$Q$3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高度比!$C$7:$Q$7</c:f>
              <c:numCache>
                <c:formatCode>General</c:formatCode>
                <c:ptCount val="15"/>
                <c:pt idx="0" c:formatCode="General">
                  <c:v>0.982407407407407</c:v>
                </c:pt>
                <c:pt idx="1" c:formatCode="General">
                  <c:v>0.498148148148148</c:v>
                </c:pt>
                <c:pt idx="2" c:formatCode="General">
                  <c:v>0.332407407407407</c:v>
                </c:pt>
                <c:pt idx="3" c:formatCode="General">
                  <c:v>0.250925925925926</c:v>
                </c:pt>
                <c:pt idx="4" c:formatCode="General">
                  <c:v>0.200925925925926</c:v>
                </c:pt>
                <c:pt idx="5" c:formatCode="General">
                  <c:v>0.165740740740741</c:v>
                </c:pt>
                <c:pt idx="6" c:formatCode="General">
                  <c:v>0.14537037037037</c:v>
                </c:pt>
                <c:pt idx="7" c:formatCode="General">
                  <c:v>0.125925925925926</c:v>
                </c:pt>
                <c:pt idx="8" c:formatCode="General">
                  <c:v>0.112037037037037</c:v>
                </c:pt>
                <c:pt idx="9" c:formatCode="General">
                  <c:v>0.101851851851852</c:v>
                </c:pt>
                <c:pt idx="10" c:formatCode="General">
                  <c:v>0.0925925925925926</c:v>
                </c:pt>
                <c:pt idx="11" c:formatCode="General">
                  <c:v>0.0851851851851852</c:v>
                </c:pt>
                <c:pt idx="12" c:formatCode="General">
                  <c:v>0.0787037037037037</c:v>
                </c:pt>
                <c:pt idx="13" c:formatCode="General">
                  <c:v>0.0722222222222222</c:v>
                </c:pt>
                <c:pt idx="14" c:formatCode="General">
                  <c:v>0.0685185185185185</c:v>
                </c:pt>
              </c:numCache>
            </c:numRef>
          </c:val>
          <c:smooth val="0"/>
        </c:ser>
        <c:dLbls>
          <c:showLegendKey val="0"/>
          <c:showVal val="0"/>
          <c:showCatName val="0"/>
          <c:showSerName val="0"/>
          <c:showPercent val="0"/>
          <c:showBubbleSize val="0"/>
        </c:dLbls>
        <c:marker val="1"/>
        <c:smooth val="0"/>
        <c:axId val="200128000"/>
        <c:axId val="200129536"/>
      </c:lineChart>
      <c:catAx>
        <c:axId val="200128000"/>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0129536"/>
        <c:crosses val="autoZero"/>
        <c:auto val="1"/>
        <c:lblAlgn val="ctr"/>
        <c:lblOffset val="100"/>
        <c:noMultiLvlLbl val="0"/>
      </c:catAx>
      <c:valAx>
        <c:axId val="200129536"/>
        <c:scaling>
          <c:orientation val="minMax"/>
          <c:max val="1"/>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00128000"/>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"2.8mm焦距"</c:f>
              <c:strCache>
                <c:ptCount val="1"/>
                <c:pt idx="0">
                  <c:v>2.8mm焦距</c:v>
                </c:pt>
              </c:strCache>
            </c:strRef>
          </c:tx>
          <c:dLbls>
            <c:delete val="1"/>
          </c:dLbls>
          <c:cat>
            <c:numRef>
              <c:f>宽度比!$C$3:$Q$3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宽度比!$C$4:$Q$4</c:f>
              <c:numCache>
                <c:formatCode>General</c:formatCode>
                <c:ptCount val="15"/>
                <c:pt idx="0" c:formatCode="General">
                  <c:v>0.213020833333333</c:v>
                </c:pt>
                <c:pt idx="1" c:formatCode="General">
                  <c:v>0.109375</c:v>
                </c:pt>
                <c:pt idx="2" c:formatCode="General">
                  <c:v>0.0734375</c:v>
                </c:pt>
                <c:pt idx="3" c:formatCode="General">
                  <c:v>0.0552083333333333</c:v>
                </c:pt>
                <c:pt idx="4" c:formatCode="General">
                  <c:v>0.0447916666666667</c:v>
                </c:pt>
                <c:pt idx="5" c:formatCode="General">
                  <c:v>0.0380208333333333</c:v>
                </c:pt>
                <c:pt idx="6" c:formatCode="General">
                  <c:v>0.0317708333333333</c:v>
                </c:pt>
                <c:pt idx="7" c:formatCode="General">
                  <c:v>0.0276041666666667</c:v>
                </c:pt>
                <c:pt idx="8" c:formatCode="General">
                  <c:v>0.0255208333333333</c:v>
                </c:pt>
                <c:pt idx="9" c:formatCode="General">
                  <c:v>0.0229166666666667</c:v>
                </c:pt>
                <c:pt idx="10" c:formatCode="General">
                  <c:v>0.0208333333333333</c:v>
                </c:pt>
                <c:pt idx="11" c:formatCode="General">
                  <c:v>0.01875</c:v>
                </c:pt>
                <c:pt idx="12" c:formatCode="General">
                  <c:v>0.0171875</c:v>
                </c:pt>
                <c:pt idx="13" c:formatCode="General">
                  <c:v>0.0161458333333333</c:v>
                </c:pt>
                <c:pt idx="14" c:formatCode="General">
                  <c:v>0.015625</c:v>
                </c:pt>
              </c:numCache>
            </c:numRef>
          </c:val>
          <c:smooth val="0"/>
        </c:ser>
        <c:ser>
          <c:idx val="1"/>
          <c:order val="1"/>
          <c:tx>
            <c:strRef>
              <c:f>"   4mm焦距"</c:f>
              <c:strCache>
                <c:ptCount val="1"/>
                <c:pt idx="0">
                  <c:v>   4mm焦距</c:v>
                </c:pt>
              </c:strCache>
            </c:strRef>
          </c:tx>
          <c:dLbls>
            <c:delete val="1"/>
          </c:dLbls>
          <c:cat>
            <c:numRef>
              <c:f>宽度比!$C$3:$Q$3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宽度比!$C$5:$Q$5</c:f>
              <c:numCache>
                <c:formatCode>General</c:formatCode>
                <c:ptCount val="15"/>
                <c:pt idx="0" c:formatCode="General">
                  <c:v>0.270833333333333</c:v>
                </c:pt>
                <c:pt idx="1" c:formatCode="General">
                  <c:v>0.135416666666667</c:v>
                </c:pt>
                <c:pt idx="2" c:formatCode="General">
                  <c:v>0.0875</c:v>
                </c:pt>
                <c:pt idx="3" c:formatCode="General">
                  <c:v>0.0677083333333333</c:v>
                </c:pt>
                <c:pt idx="4" c:formatCode="General">
                  <c:v>0.0536458333333333</c:v>
                </c:pt>
                <c:pt idx="5" c:formatCode="General">
                  <c:v>0.0453125</c:v>
                </c:pt>
                <c:pt idx="6" c:formatCode="General">
                  <c:v>0.0375</c:v>
                </c:pt>
                <c:pt idx="7" c:formatCode="General">
                  <c:v>0.0333333333333333</c:v>
                </c:pt>
                <c:pt idx="8" c:formatCode="General">
                  <c:v>0.0296875</c:v>
                </c:pt>
                <c:pt idx="9" c:formatCode="General">
                  <c:v>0.0270833333333333</c:v>
                </c:pt>
                <c:pt idx="10" c:formatCode="General">
                  <c:v>0.0244791666666667</c:v>
                </c:pt>
                <c:pt idx="11" c:formatCode="General">
                  <c:v>0.0223958333333333</c:v>
                </c:pt>
                <c:pt idx="12" c:formatCode="General">
                  <c:v>0.0208333333333333</c:v>
                </c:pt>
                <c:pt idx="13" c:formatCode="General">
                  <c:v>0.0197916666666667</c:v>
                </c:pt>
                <c:pt idx="14" c:formatCode="General">
                  <c:v>0.01875</c:v>
                </c:pt>
              </c:numCache>
            </c:numRef>
          </c:val>
          <c:smooth val="0"/>
        </c:ser>
        <c:ser>
          <c:idx val="2"/>
          <c:order val="2"/>
          <c:tx>
            <c:strRef>
              <c:f>"   6mm焦距"</c:f>
              <c:strCache>
                <c:ptCount val="1"/>
                <c:pt idx="0">
                  <c:v>   6mm焦距</c:v>
                </c:pt>
              </c:strCache>
            </c:strRef>
          </c:tx>
          <c:dLbls>
            <c:delete val="1"/>
          </c:dLbls>
          <c:cat>
            <c:numRef>
              <c:f>宽度比!$C$3:$Q$3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宽度比!$C$6:$Q$6</c:f>
              <c:numCache>
                <c:formatCode>General</c:formatCode>
                <c:ptCount val="15"/>
                <c:pt idx="0" c:formatCode="General">
                  <c:v>0.364583333333333</c:v>
                </c:pt>
                <c:pt idx="1" c:formatCode="General">
                  <c:v>0.193229166666667</c:v>
                </c:pt>
                <c:pt idx="2" c:formatCode="General">
                  <c:v>0.13125</c:v>
                </c:pt>
                <c:pt idx="3" c:formatCode="General">
                  <c:v>0.0979166666666667</c:v>
                </c:pt>
                <c:pt idx="4" c:formatCode="General">
                  <c:v>0.0791666666666667</c:v>
                </c:pt>
                <c:pt idx="5" c:formatCode="General">
                  <c:v>0.0661458333333333</c:v>
                </c:pt>
                <c:pt idx="6" c:formatCode="General">
                  <c:v>0.05625</c:v>
                </c:pt>
                <c:pt idx="7" c:formatCode="General">
                  <c:v>0.05</c:v>
                </c:pt>
                <c:pt idx="8" c:formatCode="General">
                  <c:v>0.0442708333333333</c:v>
                </c:pt>
                <c:pt idx="9" c:formatCode="General">
                  <c:v>0.0401041666666667</c:v>
                </c:pt>
                <c:pt idx="10" c:formatCode="General">
                  <c:v>0.0359375</c:v>
                </c:pt>
                <c:pt idx="11" c:formatCode="General">
                  <c:v>0.0333333333333333</c:v>
                </c:pt>
                <c:pt idx="12" c:formatCode="General">
                  <c:v>0.0302083333333333</c:v>
                </c:pt>
                <c:pt idx="13" c:formatCode="General">
                  <c:v>0.0276041666666667</c:v>
                </c:pt>
                <c:pt idx="14" c:formatCode="General">
                  <c:v>0.0260416666666667</c:v>
                </c:pt>
              </c:numCache>
            </c:numRef>
          </c:val>
          <c:smooth val="0"/>
        </c:ser>
        <c:ser>
          <c:idx val="3"/>
          <c:order val="3"/>
          <c:tx>
            <c:strRef>
              <c:f>" 12mm焦距"</c:f>
              <c:strCache>
                <c:ptCount val="1"/>
                <c:pt idx="0">
                  <c:v> 12mm焦距</c:v>
                </c:pt>
              </c:strCache>
            </c:strRef>
          </c:tx>
          <c:dLbls>
            <c:delete val="1"/>
          </c:dLbls>
          <c:cat>
            <c:numRef>
              <c:f>宽度比!$C$3:$Q$3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宽度比!$C$7:$Q$7</c:f>
              <c:numCache>
                <c:formatCode>General</c:formatCode>
                <c:ptCount val="15"/>
                <c:pt idx="0" c:formatCode="General">
                  <c:v>0.552604166666667</c:v>
                </c:pt>
                <c:pt idx="1" c:formatCode="General">
                  <c:v>0.280208333333333</c:v>
                </c:pt>
                <c:pt idx="2" c:formatCode="General">
                  <c:v>0.186979166666667</c:v>
                </c:pt>
                <c:pt idx="3" c:formatCode="General">
                  <c:v>0.141145833333333</c:v>
                </c:pt>
                <c:pt idx="4" c:formatCode="General">
                  <c:v>0.113020833333333</c:v>
                </c:pt>
                <c:pt idx="5" c:formatCode="General">
                  <c:v>0.0932291666666667</c:v>
                </c:pt>
                <c:pt idx="6" c:formatCode="General">
                  <c:v>0.0817708333333333</c:v>
                </c:pt>
                <c:pt idx="7" c:formatCode="General">
                  <c:v>0.0708333333333333</c:v>
                </c:pt>
                <c:pt idx="8" c:formatCode="General">
                  <c:v>0.0630208333333333</c:v>
                </c:pt>
                <c:pt idx="9" c:formatCode="General">
                  <c:v>0.0572916666666667</c:v>
                </c:pt>
                <c:pt idx="10" c:formatCode="General">
                  <c:v>0.0520833333333333</c:v>
                </c:pt>
                <c:pt idx="11" c:formatCode="General">
                  <c:v>0.0479166666666667</c:v>
                </c:pt>
                <c:pt idx="12" c:formatCode="General">
                  <c:v>0.0442708333333333</c:v>
                </c:pt>
                <c:pt idx="13" c:formatCode="General">
                  <c:v>0.040625</c:v>
                </c:pt>
                <c:pt idx="14" c:formatCode="General">
                  <c:v>0.0385416666666667</c:v>
                </c:pt>
              </c:numCache>
            </c:numRef>
          </c:val>
          <c:smooth val="0"/>
        </c:ser>
        <c:dLbls>
          <c:showLegendKey val="0"/>
          <c:showVal val="0"/>
          <c:showCatName val="0"/>
          <c:showSerName val="0"/>
          <c:showPercent val="0"/>
          <c:showBubbleSize val="0"/>
        </c:dLbls>
        <c:marker val="1"/>
        <c:smooth val="0"/>
        <c:axId val="253926016"/>
        <c:axId val="253940096"/>
      </c:lineChart>
      <c:catAx>
        <c:axId val="253926016"/>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3940096"/>
        <c:crosses val="autoZero"/>
        <c:auto val="1"/>
        <c:lblAlgn val="ctr"/>
        <c:lblOffset val="100"/>
        <c:noMultiLvlLbl val="0"/>
      </c:catAx>
      <c:valAx>
        <c:axId val="253940096"/>
        <c:scaling>
          <c:orientation val="minMax"/>
          <c:min val="0"/>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3926016"/>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"2.8mm焦距"</c:f>
              <c:strCache>
                <c:ptCount val="1"/>
                <c:pt idx="0">
                  <c:v>2.8mm焦距</c:v>
                </c:pt>
              </c:strCache>
            </c:strRef>
          </c:tx>
          <c:dLbls>
            <c:delete val="1"/>
          </c:dLbls>
          <c:cat>
            <c:numRef>
              <c:f>面积比!$C$3:$Q$3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面积比!$C$4:$Q$4</c:f>
              <c:numCache>
                <c:formatCode>General</c:formatCode>
                <c:ptCount val="15"/>
                <c:pt idx="0" c:formatCode="General">
                  <c:v>0.0806717785493827</c:v>
                </c:pt>
                <c:pt idx="1" c:formatCode="General">
                  <c:v>0.0212673611111111</c:v>
                </c:pt>
                <c:pt idx="2" c:formatCode="General">
                  <c:v>0.00958767361111111</c:v>
                </c:pt>
                <c:pt idx="3" c:formatCode="General">
                  <c:v>0.00541859567901235</c:v>
                </c:pt>
                <c:pt idx="4" c:formatCode="General">
                  <c:v>0.00356674382716049</c:v>
                </c:pt>
                <c:pt idx="5" c:formatCode="General">
                  <c:v>0.00256992669753086</c:v>
                </c:pt>
                <c:pt idx="6" c:formatCode="General">
                  <c:v>0.0017944637345679</c:v>
                </c:pt>
                <c:pt idx="7" c:formatCode="General">
                  <c:v>0.00135464891975309</c:v>
                </c:pt>
                <c:pt idx="8" c:formatCode="General">
                  <c:v>0.00115788966049383</c:v>
                </c:pt>
                <c:pt idx="9" c:formatCode="General">
                  <c:v>0.000933641975308642</c:v>
                </c:pt>
                <c:pt idx="10" c:formatCode="General">
                  <c:v>0.000771604938271605</c:v>
                </c:pt>
                <c:pt idx="11" c:formatCode="General">
                  <c:v>0.000625</c:v>
                </c:pt>
                <c:pt idx="12" c:formatCode="General">
                  <c:v>0.000525173611111111</c:v>
                </c:pt>
                <c:pt idx="13" c:formatCode="General">
                  <c:v>0.000463445216049383</c:v>
                </c:pt>
                <c:pt idx="14" c:formatCode="General">
                  <c:v>0.000434027777777778</c:v>
                </c:pt>
              </c:numCache>
            </c:numRef>
          </c:val>
          <c:smooth val="0"/>
        </c:ser>
        <c:ser>
          <c:idx val="1"/>
          <c:order val="1"/>
          <c:tx>
            <c:strRef>
              <c:f>"   4mm焦距"</c:f>
              <c:strCache>
                <c:ptCount val="1"/>
                <c:pt idx="0">
                  <c:v>   4mm焦距</c:v>
                </c:pt>
              </c:strCache>
            </c:strRef>
          </c:tx>
          <c:dLbls>
            <c:delete val="1"/>
          </c:dLbls>
          <c:cat>
            <c:numRef>
              <c:f>面积比!$C$3:$Q$3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面积比!$C$5:$Q$5</c:f>
              <c:numCache>
                <c:formatCode>General</c:formatCode>
                <c:ptCount val="15"/>
                <c:pt idx="0" c:formatCode="General">
                  <c:v>0.130401234567901</c:v>
                </c:pt>
                <c:pt idx="1" c:formatCode="General">
                  <c:v>0.0326003086419753</c:v>
                </c:pt>
                <c:pt idx="2" c:formatCode="General">
                  <c:v>0.0136111111111111</c:v>
                </c:pt>
                <c:pt idx="3" c:formatCode="General">
                  <c:v>0.00815007716049383</c:v>
                </c:pt>
                <c:pt idx="4" c:formatCode="General">
                  <c:v>0.00511622299382716</c:v>
                </c:pt>
                <c:pt idx="5" c:formatCode="General">
                  <c:v>0.00365017361111111</c:v>
                </c:pt>
                <c:pt idx="6" c:formatCode="General">
                  <c:v>0.0025</c:v>
                </c:pt>
                <c:pt idx="7" c:formatCode="General">
                  <c:v>0.00197530864197531</c:v>
                </c:pt>
                <c:pt idx="8" c:formatCode="General">
                  <c:v>0.00156684027777778</c:v>
                </c:pt>
                <c:pt idx="9" c:formatCode="General">
                  <c:v>0.00130401234567901</c:v>
                </c:pt>
                <c:pt idx="10" c:formatCode="General">
                  <c:v>0.00106529706790123</c:v>
                </c:pt>
                <c:pt idx="11" c:formatCode="General">
                  <c:v>0.000891685956790123</c:v>
                </c:pt>
                <c:pt idx="12" c:formatCode="General">
                  <c:v>0.000771604938271605</c:v>
                </c:pt>
                <c:pt idx="13" c:formatCode="General">
                  <c:v>0.000696373456790123</c:v>
                </c:pt>
                <c:pt idx="14" c:formatCode="General">
                  <c:v>0.000625</c:v>
                </c:pt>
              </c:numCache>
            </c:numRef>
          </c:val>
          <c:smooth val="0"/>
        </c:ser>
        <c:ser>
          <c:idx val="2"/>
          <c:order val="2"/>
          <c:tx>
            <c:strRef>
              <c:f>"   6mm焦距"</c:f>
              <c:strCache>
                <c:ptCount val="1"/>
                <c:pt idx="0">
                  <c:v>   6mm焦距</c:v>
                </c:pt>
              </c:strCache>
            </c:strRef>
          </c:tx>
          <c:dLbls>
            <c:delete val="1"/>
          </c:dLbls>
          <c:cat>
            <c:numRef>
              <c:f>面积比!$C$3:$Q$3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面积比!$C$6:$Q$6</c:f>
              <c:numCache>
                <c:formatCode>General</c:formatCode>
                <c:ptCount val="15"/>
                <c:pt idx="0" c:formatCode="General">
                  <c:v>0.236304012345679</c:v>
                </c:pt>
                <c:pt idx="1" c:formatCode="General">
                  <c:v>0.0663777970679012</c:v>
                </c:pt>
                <c:pt idx="2" c:formatCode="General">
                  <c:v>0.030625</c:v>
                </c:pt>
                <c:pt idx="3" c:formatCode="General">
                  <c:v>0.0170447530864198</c:v>
                </c:pt>
                <c:pt idx="4" c:formatCode="General">
                  <c:v>0.011141975308642</c:v>
                </c:pt>
                <c:pt idx="5" c:formatCode="General">
                  <c:v>0.0077782600308642</c:v>
                </c:pt>
                <c:pt idx="6" c:formatCode="General">
                  <c:v>0.005625</c:v>
                </c:pt>
                <c:pt idx="7" c:formatCode="General">
                  <c:v>0.00444444444444444</c:v>
                </c:pt>
                <c:pt idx="8" c:formatCode="General">
                  <c:v>0.00348427854938272</c:v>
                </c:pt>
                <c:pt idx="9" c:formatCode="General">
                  <c:v>0.00285927854938272</c:v>
                </c:pt>
                <c:pt idx="10" c:formatCode="General">
                  <c:v>0.00229600694444444</c:v>
                </c:pt>
                <c:pt idx="11" c:formatCode="General">
                  <c:v>0.00197530864197531</c:v>
                </c:pt>
                <c:pt idx="12" c:formatCode="General">
                  <c:v>0.00162229938271605</c:v>
                </c:pt>
                <c:pt idx="13" c:formatCode="General">
                  <c:v>0.00135464891975309</c:v>
                </c:pt>
                <c:pt idx="14" c:formatCode="General">
                  <c:v>0.00120563271604938</c:v>
                </c:pt>
              </c:numCache>
            </c:numRef>
          </c:val>
          <c:smooth val="0"/>
        </c:ser>
        <c:ser>
          <c:idx val="3"/>
          <c:order val="3"/>
          <c:tx>
            <c:strRef>
              <c:f>" 12mm焦距"</c:f>
              <c:strCache>
                <c:ptCount val="1"/>
                <c:pt idx="0">
                  <c:v> 12mm焦距</c:v>
                </c:pt>
              </c:strCache>
            </c:strRef>
          </c:tx>
          <c:dLbls>
            <c:delete val="1"/>
          </c:dLbls>
          <c:cat>
            <c:numRef>
              <c:f>面积比!$C$3:$Q$3</c:f>
              <c:numCache>
                <c:formatCode>General</c:formatCode>
                <c:ptCount val="15"/>
                <c:pt idx="0">
                  <c:v>0.5</c:v>
                </c:pt>
                <c:pt idx="1">
                  <c:v>1</c:v>
                </c:pt>
                <c:pt idx="2">
                  <c:v>1.5</c:v>
                </c:pt>
                <c:pt idx="3">
                  <c:v>2</c:v>
                </c:pt>
                <c:pt idx="4">
                  <c:v>2.5</c:v>
                </c:pt>
                <c:pt idx="5">
                  <c:v>3</c:v>
                </c:pt>
                <c:pt idx="6">
                  <c:v>3.5</c:v>
                </c:pt>
                <c:pt idx="7">
                  <c:v>4</c:v>
                </c:pt>
                <c:pt idx="8">
                  <c:v>4.5</c:v>
                </c:pt>
                <c:pt idx="9">
                  <c:v>5</c:v>
                </c:pt>
                <c:pt idx="10">
                  <c:v>5.5</c:v>
                </c:pt>
                <c:pt idx="11">
                  <c:v>6</c:v>
                </c:pt>
                <c:pt idx="12">
                  <c:v>6.5</c:v>
                </c:pt>
                <c:pt idx="13">
                  <c:v>7</c:v>
                </c:pt>
                <c:pt idx="14">
                  <c:v>7.5</c:v>
                </c:pt>
              </c:numCache>
            </c:numRef>
          </c:cat>
          <c:val>
            <c:numRef>
              <c:f>面积比!$C$7:$Q$7</c:f>
              <c:numCache>
                <c:formatCode>General</c:formatCode>
                <c:ptCount val="15"/>
                <c:pt idx="0" c:formatCode="General">
                  <c:v>0.542882426697531</c:v>
                </c:pt>
                <c:pt idx="1" c:formatCode="General">
                  <c:v>0.139585262345679</c:v>
                </c:pt>
                <c:pt idx="2" c:formatCode="General">
                  <c:v>0.0621532600308642</c:v>
                </c:pt>
                <c:pt idx="3" c:formatCode="General">
                  <c:v>0.0354171489197531</c:v>
                </c:pt>
                <c:pt idx="4" c:formatCode="General">
                  <c:v>0.0227088155864198</c:v>
                </c:pt>
                <c:pt idx="5" c:formatCode="General">
                  <c:v>0.0154518711419753</c:v>
                </c:pt>
                <c:pt idx="6" c:formatCode="General">
                  <c:v>0.0118870563271605</c:v>
                </c:pt>
                <c:pt idx="7" c:formatCode="General">
                  <c:v>0.00891975308641975</c:v>
                </c:pt>
                <c:pt idx="8" c:formatCode="General">
                  <c:v>0.00706066743827161</c:v>
                </c:pt>
                <c:pt idx="9" c:formatCode="General">
                  <c:v>0.00583526234567901</c:v>
                </c:pt>
                <c:pt idx="10" c:formatCode="General">
                  <c:v>0.00482253086419753</c:v>
                </c:pt>
                <c:pt idx="11" c:formatCode="General">
                  <c:v>0.00408179012345679</c:v>
                </c:pt>
                <c:pt idx="12" c:formatCode="General">
                  <c:v>0.00348427854938272</c:v>
                </c:pt>
                <c:pt idx="13" c:formatCode="General">
                  <c:v>0.00293402777777778</c:v>
                </c:pt>
                <c:pt idx="14" c:formatCode="General">
                  <c:v>0.00264081790123457</c:v>
                </c:pt>
              </c:numCache>
            </c:numRef>
          </c:val>
          <c:smooth val="0"/>
        </c:ser>
        <c:dLbls>
          <c:showLegendKey val="0"/>
          <c:showVal val="0"/>
          <c:showCatName val="0"/>
          <c:showSerName val="0"/>
          <c:showPercent val="0"/>
          <c:showBubbleSize val="0"/>
        </c:dLbls>
        <c:marker val="1"/>
        <c:smooth val="0"/>
        <c:axId val="258478080"/>
        <c:axId val="258479616"/>
      </c:lineChart>
      <c:catAx>
        <c:axId val="258478080"/>
        <c:scaling>
          <c:orientation val="minMax"/>
        </c:scaling>
        <c:delete val="0"/>
        <c:axPos val="b"/>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479616"/>
        <c:crosses val="autoZero"/>
        <c:auto val="1"/>
        <c:lblAlgn val="ctr"/>
        <c:lblOffset val="100"/>
        <c:noMultiLvlLbl val="0"/>
      </c:catAx>
      <c:valAx>
        <c:axId val="258479616"/>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258478080"/>
        <c:crosses val="autoZero"/>
        <c:crossBetween val="between"/>
      </c:valAx>
    </c:plotArea>
    <c:legend>
      <c:legendPos val="r"/>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0</xdr:row>
      <xdr:rowOff>0</xdr:rowOff>
    </xdr:from>
    <xdr:to>
      <xdr:col>2</xdr:col>
      <xdr:colOff>133350</xdr:colOff>
      <xdr:row>0</xdr:row>
      <xdr:rowOff>0</xdr:rowOff>
    </xdr:to>
    <xdr:pic>
      <xdr:nvPicPr>
        <xdr:cNvPr id="2" name="Picture 3"/>
        <xdr:cNvPicPr>
          <a:picLocks noChangeAspect="1" noChangeArrowheads="1"/>
        </xdr:cNvPicPr>
      </xdr:nvPicPr>
      <xdr:blipFill>
        <a:blip r:embed="rId1"/>
        <a:srcRect/>
        <a:stretch>
          <a:fillRect/>
        </a:stretch>
      </xdr:blipFill>
      <xdr:spPr>
        <a:xfrm>
          <a:off x="428625" y="0"/>
          <a:ext cx="1095375" cy="0"/>
        </a:xfrm>
        <a:prstGeom prst="rect">
          <a:avLst/>
        </a:prstGeom>
        <a:noFill/>
        <a:ln w="1">
          <a:noFill/>
          <a:miter lim="800000"/>
          <a:headEnd/>
          <a:tailEnd/>
        </a:ln>
      </xdr:spPr>
    </xdr:pic>
    <xdr:clientData/>
  </xdr:twoCellAnchor>
  <xdr:twoCellAnchor editAs="oneCell">
    <xdr:from>
      <xdr:col>1</xdr:col>
      <xdr:colOff>0</xdr:colOff>
      <xdr:row>0</xdr:row>
      <xdr:rowOff>0</xdr:rowOff>
    </xdr:from>
    <xdr:to>
      <xdr:col>2</xdr:col>
      <xdr:colOff>133350</xdr:colOff>
      <xdr:row>0</xdr:row>
      <xdr:rowOff>0</xdr:rowOff>
    </xdr:to>
    <xdr:pic>
      <xdr:nvPicPr>
        <xdr:cNvPr id="3" name="Picture 4"/>
        <xdr:cNvPicPr>
          <a:picLocks noChangeAspect="1" noChangeArrowheads="1"/>
        </xdr:cNvPicPr>
      </xdr:nvPicPr>
      <xdr:blipFill>
        <a:blip r:embed="rId1"/>
        <a:srcRect/>
        <a:stretch>
          <a:fillRect/>
        </a:stretch>
      </xdr:blipFill>
      <xdr:spPr>
        <a:xfrm>
          <a:off x="428625" y="0"/>
          <a:ext cx="1095375" cy="0"/>
        </a:xfrm>
        <a:prstGeom prst="rect">
          <a:avLst/>
        </a:prstGeom>
        <a:noFill/>
        <a:ln w="1">
          <a:noFill/>
          <a:miter lim="800000"/>
          <a:headEnd/>
          <a:tailEnd/>
        </a:ln>
      </xdr:spPr>
    </xdr:pic>
    <xdr:clientData/>
  </xdr:twoCellAnchor>
  <xdr:twoCellAnchor editAs="oneCell">
    <xdr:from>
      <xdr:col>1</xdr:col>
      <xdr:colOff>0</xdr:colOff>
      <xdr:row>0</xdr:row>
      <xdr:rowOff>66675</xdr:rowOff>
    </xdr:from>
    <xdr:to>
      <xdr:col>2</xdr:col>
      <xdr:colOff>133350</xdr:colOff>
      <xdr:row>0</xdr:row>
      <xdr:rowOff>66675</xdr:rowOff>
    </xdr:to>
    <xdr:pic>
      <xdr:nvPicPr>
        <xdr:cNvPr id="5" name="Picture 3"/>
        <xdr:cNvPicPr>
          <a:picLocks noChangeAspect="1" noChangeArrowheads="1"/>
        </xdr:cNvPicPr>
      </xdr:nvPicPr>
      <xdr:blipFill>
        <a:blip r:embed="rId1"/>
        <a:srcRect/>
        <a:stretch>
          <a:fillRect/>
        </a:stretch>
      </xdr:blipFill>
      <xdr:spPr>
        <a:xfrm>
          <a:off x="428625" y="66675"/>
          <a:ext cx="1095375" cy="0"/>
        </a:xfrm>
        <a:prstGeom prst="rect">
          <a:avLst/>
        </a:prstGeom>
        <a:noFill/>
        <a:ln w="1">
          <a:noFill/>
          <a:miter lim="800000"/>
          <a:headEnd/>
          <a:tailEnd/>
        </a:ln>
      </xdr:spPr>
    </xdr:pic>
    <xdr:clientData/>
  </xdr:twoCellAnchor>
  <xdr:twoCellAnchor editAs="oneCell">
    <xdr:from>
      <xdr:col>1</xdr:col>
      <xdr:colOff>0</xdr:colOff>
      <xdr:row>0</xdr:row>
      <xdr:rowOff>66675</xdr:rowOff>
    </xdr:from>
    <xdr:to>
      <xdr:col>2</xdr:col>
      <xdr:colOff>133350</xdr:colOff>
      <xdr:row>0</xdr:row>
      <xdr:rowOff>66675</xdr:rowOff>
    </xdr:to>
    <xdr:pic>
      <xdr:nvPicPr>
        <xdr:cNvPr id="6" name="Picture 4"/>
        <xdr:cNvPicPr>
          <a:picLocks noChangeAspect="1" noChangeArrowheads="1"/>
        </xdr:cNvPicPr>
      </xdr:nvPicPr>
      <xdr:blipFill>
        <a:blip r:embed="rId1"/>
        <a:srcRect/>
        <a:stretch>
          <a:fillRect/>
        </a:stretch>
      </xdr:blipFill>
      <xdr:spPr>
        <a:xfrm>
          <a:off x="428625" y="66675"/>
          <a:ext cx="1095375" cy="0"/>
        </a:xfrm>
        <a:prstGeom prst="rect">
          <a:avLst/>
        </a:prstGeom>
        <a:noFill/>
        <a:ln w="1">
          <a:noFill/>
          <a:miter lim="800000"/>
          <a:headEnd/>
          <a:tailEnd/>
        </a:ln>
      </xdr:spPr>
    </xdr:pic>
    <xdr:clientData/>
  </xdr:twoCellAnchor>
  <xdr:twoCellAnchor editAs="oneCell">
    <xdr:from>
      <xdr:col>1</xdr:col>
      <xdr:colOff>39331</xdr:colOff>
      <xdr:row>0</xdr:row>
      <xdr:rowOff>57150</xdr:rowOff>
    </xdr:from>
    <xdr:to>
      <xdr:col>2</xdr:col>
      <xdr:colOff>590549</xdr:colOff>
      <xdr:row>0</xdr:row>
      <xdr:rowOff>466725</xdr:rowOff>
    </xdr:to>
    <xdr:pic>
      <xdr:nvPicPr>
        <xdr:cNvPr id="7" name="Picture 1"/>
        <xdr:cNvPicPr>
          <a:picLocks noChangeArrowheads="1"/>
        </xdr:cNvPicPr>
      </xdr:nvPicPr>
      <xdr:blipFill>
        <a:blip r:embed="rId2" cstate="print">
          <a:extLst>
            <a:ext uri="{28A0092B-C50C-407E-A947-70E740481C1C}">
              <a14:useLocalDpi xmlns:a14="http://schemas.microsoft.com/office/drawing/2010/main" val="0"/>
            </a:ext>
          </a:extLst>
        </a:blip>
        <a:stretch>
          <a:fillRect/>
        </a:stretch>
      </xdr:blipFill>
      <xdr:spPr>
        <a:xfrm>
          <a:off x="467360" y="57150"/>
          <a:ext cx="1513205" cy="409575"/>
        </a:xfrm>
        <a:prstGeom prst="rect">
          <a:avLst/>
        </a:prstGeom>
        <a:noFill/>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304800</xdr:colOff>
      <xdr:row>1</xdr:row>
      <xdr:rowOff>161925</xdr:rowOff>
    </xdr:from>
    <xdr:to>
      <xdr:col>1</xdr:col>
      <xdr:colOff>942975</xdr:colOff>
      <xdr:row>2</xdr:row>
      <xdr:rowOff>276225</xdr:rowOff>
    </xdr:to>
    <xdr:cxnSp>
      <xdr:nvCxnSpPr>
        <xdr:cNvPr id="7" name="直接连接符 6"/>
        <xdr:cNvCxnSpPr/>
      </xdr:nvCxnSpPr>
      <xdr:spPr>
        <a:xfrm>
          <a:off x="304800" y="333375"/>
          <a:ext cx="952500" cy="295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304800</xdr:colOff>
      <xdr:row>1</xdr:row>
      <xdr:rowOff>161925</xdr:rowOff>
    </xdr:from>
    <xdr:to>
      <xdr:col>1</xdr:col>
      <xdr:colOff>542925</xdr:colOff>
      <xdr:row>3</xdr:row>
      <xdr:rowOff>9525</xdr:rowOff>
    </xdr:to>
    <xdr:cxnSp>
      <xdr:nvCxnSpPr>
        <xdr:cNvPr id="10" name="直接连接符 9"/>
        <xdr:cNvCxnSpPr/>
      </xdr:nvCxnSpPr>
      <xdr:spPr>
        <a:xfrm>
          <a:off x="304800" y="333375"/>
          <a:ext cx="55245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57149</xdr:colOff>
      <xdr:row>2</xdr:row>
      <xdr:rowOff>4761</xdr:rowOff>
    </xdr:from>
    <xdr:to>
      <xdr:col>28</xdr:col>
      <xdr:colOff>180975</xdr:colOff>
      <xdr:row>19</xdr:row>
      <xdr:rowOff>28575</xdr:rowOff>
    </xdr:to>
    <xdr:graphicFrame>
      <xdr:nvGraphicFramePr>
        <xdr:cNvPr id="17" name="图表 16"/>
        <xdr:cNvGraphicFramePr/>
      </xdr:nvGraphicFramePr>
      <xdr:xfrm>
        <a:off x="14496415" y="356870"/>
        <a:ext cx="7668260" cy="46348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20</xdr:col>
      <xdr:colOff>200025</xdr:colOff>
      <xdr:row>2</xdr:row>
      <xdr:rowOff>161925</xdr:rowOff>
    </xdr:from>
    <xdr:ext cx="3584058" cy="275717"/>
    <xdr:sp>
      <xdr:nvSpPr>
        <xdr:cNvPr id="2" name="TextBox 1"/>
        <xdr:cNvSpPr txBox="1"/>
      </xdr:nvSpPr>
      <xdr:spPr>
        <a:xfrm>
          <a:off x="16697325" y="514350"/>
          <a:ext cx="3583940" cy="2755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t>不同焦距下目标在画面中高度与画面高度比值的曲线图</a:t>
          </a:r>
          <a:endParaRPr lang="en-US" altLang="zh-CN" sz="1100" b="1"/>
        </a:p>
      </xdr:txBody>
    </xdr:sp>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304800</xdr:colOff>
      <xdr:row>1</xdr:row>
      <xdr:rowOff>161925</xdr:rowOff>
    </xdr:from>
    <xdr:to>
      <xdr:col>1</xdr:col>
      <xdr:colOff>942975</xdr:colOff>
      <xdr:row>2</xdr:row>
      <xdr:rowOff>276225</xdr:rowOff>
    </xdr:to>
    <xdr:cxnSp>
      <xdr:nvCxnSpPr>
        <xdr:cNvPr id="2" name="直接连接符 1"/>
        <xdr:cNvCxnSpPr/>
      </xdr:nvCxnSpPr>
      <xdr:spPr>
        <a:xfrm>
          <a:off x="304800" y="333375"/>
          <a:ext cx="952500" cy="295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304800</xdr:colOff>
      <xdr:row>1</xdr:row>
      <xdr:rowOff>161925</xdr:rowOff>
    </xdr:from>
    <xdr:to>
      <xdr:col>1</xdr:col>
      <xdr:colOff>542925</xdr:colOff>
      <xdr:row>3</xdr:row>
      <xdr:rowOff>9525</xdr:rowOff>
    </xdr:to>
    <xdr:cxnSp>
      <xdr:nvCxnSpPr>
        <xdr:cNvPr id="3" name="直接连接符 2"/>
        <xdr:cNvCxnSpPr/>
      </xdr:nvCxnSpPr>
      <xdr:spPr>
        <a:xfrm>
          <a:off x="304800" y="333375"/>
          <a:ext cx="55245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47624</xdr:colOff>
      <xdr:row>2</xdr:row>
      <xdr:rowOff>4761</xdr:rowOff>
    </xdr:from>
    <xdr:to>
      <xdr:col>28</xdr:col>
      <xdr:colOff>171450</xdr:colOff>
      <xdr:row>19</xdr:row>
      <xdr:rowOff>38100</xdr:rowOff>
    </xdr:to>
    <xdr:graphicFrame>
      <xdr:nvGraphicFramePr>
        <xdr:cNvPr id="4" name="图表 3"/>
        <xdr:cNvGraphicFramePr/>
      </xdr:nvGraphicFramePr>
      <xdr:xfrm>
        <a:off x="11619865" y="356870"/>
        <a:ext cx="7668260" cy="46443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0.29358</cdr:x>
      <cdr:y>0.07484</cdr:y>
    </cdr:from>
    <cdr:to>
      <cdr:x>0.76101</cdr:x>
      <cdr:y>0.13446</cdr:y>
    </cdr:to>
    <cdr:sp>
      <cdr:nvSpPr>
        <cdr:cNvPr id="2" name="矩形 1"/>
        <cdr:cNvSpPr/>
      </cdr:nvSpPr>
      <cdr:spPr xmlns:a="http://schemas.openxmlformats.org/drawingml/2006/main">
        <a:xfrm xmlns:a="http://schemas.openxmlformats.org/drawingml/2006/main">
          <a:off x="2251075" y="346075"/>
          <a:ext cx="3584058" cy="275717"/>
        </a:xfrm>
        <a:prstGeom xmlns:a="http://schemas.openxmlformats.org/drawingml/2006/main" prst="rect">
          <a:avLst/>
        </a:prstGeom>
        <a:no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xmlns:a="http://schemas.openxmlformats.org/drawingml/2006/main">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zh-CN" altLang="en-US" sz="1100" b="1"/>
            <a:t>不同焦距下目标在画面中宽度与画面宽度比值的曲线图</a:t>
          </a:r>
          <a:endParaRPr lang="en-US" altLang="zh-CN" sz="1100" b="1"/>
        </a:p>
      </cdr:txBody>
    </cdr:sp>
  </cdr:relSizeAnchor>
</c:userShapes>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304800</xdr:colOff>
      <xdr:row>1</xdr:row>
      <xdr:rowOff>161925</xdr:rowOff>
    </xdr:from>
    <xdr:to>
      <xdr:col>1</xdr:col>
      <xdr:colOff>942975</xdr:colOff>
      <xdr:row>2</xdr:row>
      <xdr:rowOff>276225</xdr:rowOff>
    </xdr:to>
    <xdr:cxnSp>
      <xdr:nvCxnSpPr>
        <xdr:cNvPr id="2" name="直接连接符 1"/>
        <xdr:cNvCxnSpPr/>
      </xdr:nvCxnSpPr>
      <xdr:spPr>
        <a:xfrm>
          <a:off x="304800" y="333375"/>
          <a:ext cx="952500" cy="2952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304800</xdr:colOff>
      <xdr:row>1</xdr:row>
      <xdr:rowOff>161925</xdr:rowOff>
    </xdr:from>
    <xdr:to>
      <xdr:col>1</xdr:col>
      <xdr:colOff>542925</xdr:colOff>
      <xdr:row>3</xdr:row>
      <xdr:rowOff>9525</xdr:rowOff>
    </xdr:to>
    <xdr:cxnSp>
      <xdr:nvCxnSpPr>
        <xdr:cNvPr id="3" name="直接连接符 2"/>
        <xdr:cNvCxnSpPr/>
      </xdr:nvCxnSpPr>
      <xdr:spPr>
        <a:xfrm>
          <a:off x="304800" y="333375"/>
          <a:ext cx="552450" cy="542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47624</xdr:colOff>
      <xdr:row>1</xdr:row>
      <xdr:rowOff>166686</xdr:rowOff>
    </xdr:from>
    <xdr:to>
      <xdr:col>28</xdr:col>
      <xdr:colOff>171450</xdr:colOff>
      <xdr:row>19</xdr:row>
      <xdr:rowOff>19050</xdr:rowOff>
    </xdr:to>
    <xdr:graphicFrame>
      <xdr:nvGraphicFramePr>
        <xdr:cNvPr id="4" name="图表 3"/>
        <xdr:cNvGraphicFramePr/>
      </xdr:nvGraphicFramePr>
      <xdr:xfrm>
        <a:off x="15487015" y="337820"/>
        <a:ext cx="7668260" cy="46443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0.24265</cdr:x>
      <cdr:y>0.07896</cdr:y>
    </cdr:from>
    <cdr:to>
      <cdr:x>0.78397</cdr:x>
      <cdr:y>0.13858</cdr:y>
    </cdr:to>
    <cdr:sp>
      <cdr:nvSpPr>
        <cdr:cNvPr id="2" name="矩形 1"/>
        <cdr:cNvSpPr/>
      </cdr:nvSpPr>
      <cdr:spPr xmlns:a="http://schemas.openxmlformats.org/drawingml/2006/main">
        <a:xfrm xmlns:a="http://schemas.openxmlformats.org/drawingml/2006/main">
          <a:off x="1860550" y="365125"/>
          <a:ext cx="4150623" cy="275717"/>
        </a:xfrm>
        <a:prstGeom xmlns:a="http://schemas.openxmlformats.org/drawingml/2006/main" prst="rect">
          <a:avLst/>
        </a:prstGeom>
        <a:noFill/>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xmlns:a="http://schemas.openxmlformats.org/drawingml/2006/main">
        <a:bodyPr wrap="none" rtlCol="0" anchor="t">
          <a:sp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r>
            <a:rPr lang="zh-CN" altLang="en-US" sz="1100" b="1"/>
            <a:t>不同焦距下目标在画面中像素面积与画面像素面积比值的曲线图</a:t>
          </a:r>
          <a:endParaRPr lang="en-US" altLang="zh-CN" sz="1100" b="1"/>
        </a:p>
      </cdr:txBody>
    </cdr:sp>
  </cdr:relSizeAnchor>
</c:userShape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P27"/>
  <sheetViews>
    <sheetView topLeftCell="A7" workbookViewId="0">
      <selection activeCell="N9" sqref="N9"/>
    </sheetView>
  </sheetViews>
  <sheetFormatPr defaultColWidth="9" defaultRowHeight="13.5"/>
  <cols>
    <col min="1" max="1" width="5.625" customWidth="1"/>
    <col min="2" max="7" width="12.625" customWidth="1"/>
    <col min="8" max="8" width="5.625" customWidth="1"/>
  </cols>
  <sheetData>
    <row r="1" ht="39.95" customHeight="1" spans="1:8">
      <c r="A1" s="20"/>
      <c r="B1" s="20"/>
      <c r="C1" s="20"/>
      <c r="D1" s="20"/>
      <c r="E1" s="20"/>
      <c r="F1" s="20"/>
      <c r="G1" s="20"/>
      <c r="H1" s="20"/>
    </row>
    <row r="2" ht="30" customHeight="1" spans="1:8">
      <c r="A2" s="20"/>
      <c r="B2" s="21" t="s">
        <v>0</v>
      </c>
      <c r="C2" s="21"/>
      <c r="D2" s="21"/>
      <c r="E2" s="21"/>
      <c r="F2" s="21"/>
      <c r="G2" s="21"/>
      <c r="H2" s="20"/>
    </row>
    <row r="3" ht="15.75" spans="1:8">
      <c r="A3" s="20"/>
      <c r="B3" s="21"/>
      <c r="C3" s="21"/>
      <c r="D3" s="21"/>
      <c r="E3" s="21"/>
      <c r="F3" s="21"/>
      <c r="G3" s="21"/>
      <c r="H3" s="20"/>
    </row>
    <row r="4" ht="15.75" spans="1:8">
      <c r="A4" s="22"/>
      <c r="B4" s="23"/>
      <c r="C4" s="23"/>
      <c r="D4" s="22"/>
      <c r="E4" s="22"/>
      <c r="F4" s="22"/>
      <c r="G4" s="22"/>
      <c r="H4" s="20"/>
    </row>
    <row r="5" ht="30" customHeight="1" spans="1:16">
      <c r="A5" s="20"/>
      <c r="B5" s="24" t="s">
        <v>1</v>
      </c>
      <c r="C5" s="25"/>
      <c r="D5" s="25"/>
      <c r="E5" s="25"/>
      <c r="F5" s="25"/>
      <c r="G5" s="25"/>
      <c r="H5" s="20"/>
      <c r="P5" s="42"/>
    </row>
    <row r="6" ht="24.95" customHeight="1" spans="1:16">
      <c r="A6" s="20"/>
      <c r="B6" s="26" t="s">
        <v>2</v>
      </c>
      <c r="C6" s="27" t="s">
        <v>3</v>
      </c>
      <c r="D6" s="28"/>
      <c r="E6" s="26" t="s">
        <v>4</v>
      </c>
      <c r="F6" s="29">
        <v>42595</v>
      </c>
      <c r="G6" s="28"/>
      <c r="H6" s="20"/>
      <c r="P6" s="42"/>
    </row>
    <row r="7" ht="24.95" customHeight="1" spans="1:16">
      <c r="A7" s="20"/>
      <c r="B7" s="26" t="s">
        <v>5</v>
      </c>
      <c r="C7" s="27" t="s">
        <v>6</v>
      </c>
      <c r="D7" s="28"/>
      <c r="E7" s="26" t="s">
        <v>7</v>
      </c>
      <c r="F7" s="29">
        <v>42594</v>
      </c>
      <c r="G7" s="28"/>
      <c r="H7" s="20"/>
      <c r="P7" s="42"/>
    </row>
    <row r="8" ht="24.95" customHeight="1" spans="1:16">
      <c r="A8" s="20"/>
      <c r="B8" s="30"/>
      <c r="C8" s="20"/>
      <c r="D8" s="20"/>
      <c r="E8" s="20"/>
      <c r="F8" s="20"/>
      <c r="G8" s="20"/>
      <c r="H8" s="20"/>
      <c r="P8" s="42"/>
    </row>
    <row r="9" ht="24.95" customHeight="1" spans="1:16">
      <c r="A9" s="20"/>
      <c r="B9" s="31" t="s">
        <v>8</v>
      </c>
      <c r="C9" s="31"/>
      <c r="D9" s="31"/>
      <c r="E9" s="31"/>
      <c r="F9" s="31"/>
      <c r="G9" s="31"/>
      <c r="H9" s="20"/>
      <c r="L9" s="42"/>
      <c r="M9" s="42"/>
      <c r="N9" s="42"/>
      <c r="O9" s="42"/>
      <c r="P9" s="42"/>
    </row>
    <row r="10" ht="24.95" customHeight="1" spans="1:8">
      <c r="A10" s="20"/>
      <c r="B10" s="31"/>
      <c r="C10" s="31"/>
      <c r="D10" s="31"/>
      <c r="E10" s="31"/>
      <c r="F10" s="31"/>
      <c r="G10" s="31"/>
      <c r="H10" s="20"/>
    </row>
    <row r="11" ht="24.95" customHeight="1" spans="1:8">
      <c r="A11" s="20"/>
      <c r="B11" s="31"/>
      <c r="C11" s="31"/>
      <c r="D11" s="31"/>
      <c r="E11" s="31"/>
      <c r="F11" s="31"/>
      <c r="G11" s="31"/>
      <c r="H11" s="20"/>
    </row>
    <row r="12" ht="24.95" customHeight="1" spans="1:8">
      <c r="A12" s="20"/>
      <c r="B12" s="31"/>
      <c r="C12" s="31"/>
      <c r="D12" s="31"/>
      <c r="E12" s="31"/>
      <c r="F12" s="31"/>
      <c r="G12" s="31"/>
      <c r="H12" s="20"/>
    </row>
    <row r="13" ht="24.95" customHeight="1" spans="1:8">
      <c r="A13" s="20"/>
      <c r="B13" s="32"/>
      <c r="C13" s="32"/>
      <c r="D13" s="32"/>
      <c r="E13" s="32"/>
      <c r="F13" s="32"/>
      <c r="G13" s="32"/>
      <c r="H13" s="20"/>
    </row>
    <row r="14" ht="24.95" customHeight="1" spans="1:8">
      <c r="A14" s="20"/>
      <c r="B14" s="30"/>
      <c r="C14" s="20"/>
      <c r="D14" s="20"/>
      <c r="E14" s="20"/>
      <c r="F14" s="20"/>
      <c r="G14" s="20"/>
      <c r="H14" s="20"/>
    </row>
    <row r="15" ht="33" customHeight="1" spans="1:8">
      <c r="A15" s="20"/>
      <c r="B15" s="33" t="s">
        <v>9</v>
      </c>
      <c r="C15" s="34" t="s">
        <v>10</v>
      </c>
      <c r="D15" s="34" t="s">
        <v>11</v>
      </c>
      <c r="E15" s="34" t="s">
        <v>12</v>
      </c>
      <c r="F15" s="34" t="s">
        <v>13</v>
      </c>
      <c r="G15" s="34" t="s">
        <v>14</v>
      </c>
      <c r="H15" s="20"/>
    </row>
    <row r="16" ht="24.95" customHeight="1" spans="1:8">
      <c r="A16" s="35"/>
      <c r="B16" s="36">
        <v>1</v>
      </c>
      <c r="C16" s="37">
        <v>42595</v>
      </c>
      <c r="D16" s="38" t="s">
        <v>15</v>
      </c>
      <c r="E16" s="38"/>
      <c r="F16" s="39" t="s">
        <v>16</v>
      </c>
      <c r="G16" s="38" t="s">
        <v>3</v>
      </c>
      <c r="H16" s="20"/>
    </row>
    <row r="17" ht="24.95" customHeight="1" spans="1:8">
      <c r="A17" s="20"/>
      <c r="B17" s="36"/>
      <c r="C17" s="37"/>
      <c r="D17" s="38"/>
      <c r="E17" s="38"/>
      <c r="F17" s="39"/>
      <c r="G17" s="38"/>
      <c r="H17" s="20"/>
    </row>
    <row r="18" ht="24.95" customHeight="1" spans="1:8">
      <c r="A18" s="20"/>
      <c r="B18" s="36"/>
      <c r="C18" s="37"/>
      <c r="D18" s="38"/>
      <c r="E18" s="40"/>
      <c r="F18" s="39"/>
      <c r="G18" s="38"/>
      <c r="H18" s="20"/>
    </row>
    <row r="19" ht="24.95" customHeight="1" spans="1:8">
      <c r="A19" s="20"/>
      <c r="B19" s="36"/>
      <c r="C19" s="37"/>
      <c r="D19" s="38"/>
      <c r="E19" s="40"/>
      <c r="F19" s="39"/>
      <c r="G19" s="38"/>
      <c r="H19" s="20"/>
    </row>
    <row r="20" ht="24.95" customHeight="1" spans="1:8">
      <c r="A20" s="20"/>
      <c r="B20" s="36"/>
      <c r="C20" s="37"/>
      <c r="D20" s="38"/>
      <c r="E20" s="40"/>
      <c r="F20" s="39"/>
      <c r="G20" s="38"/>
      <c r="H20" s="20"/>
    </row>
    <row r="21" ht="24.95" customHeight="1" spans="1:8">
      <c r="A21" s="20"/>
      <c r="B21" s="36"/>
      <c r="C21" s="37"/>
      <c r="D21" s="38"/>
      <c r="E21" s="40"/>
      <c r="F21" s="39"/>
      <c r="G21" s="38"/>
      <c r="H21" s="20"/>
    </row>
    <row r="22" ht="24.95" customHeight="1" spans="1:8">
      <c r="A22" s="20"/>
      <c r="B22" s="36"/>
      <c r="C22" s="37"/>
      <c r="D22" s="38"/>
      <c r="E22" s="40"/>
      <c r="F22" s="39"/>
      <c r="G22" s="38"/>
      <c r="H22" s="20"/>
    </row>
    <row r="23" ht="24.95" customHeight="1" spans="1:8">
      <c r="A23" s="20"/>
      <c r="B23" s="36"/>
      <c r="C23" s="37"/>
      <c r="D23" s="38"/>
      <c r="E23" s="40"/>
      <c r="F23" s="39"/>
      <c r="G23" s="38"/>
      <c r="H23" s="20"/>
    </row>
    <row r="24" ht="24.95" customHeight="1" spans="1:8">
      <c r="A24" s="20"/>
      <c r="B24" s="36"/>
      <c r="C24" s="37"/>
      <c r="D24" s="38"/>
      <c r="E24" s="40"/>
      <c r="F24" s="39"/>
      <c r="G24" s="38"/>
      <c r="H24" s="20"/>
    </row>
    <row r="25" ht="36" customHeight="1" spans="1:8">
      <c r="A25" s="20"/>
      <c r="B25" s="41" t="s">
        <v>17</v>
      </c>
      <c r="C25" s="41"/>
      <c r="D25" s="41"/>
      <c r="E25" s="41"/>
      <c r="F25" s="41"/>
      <c r="G25" s="41"/>
      <c r="H25" s="20"/>
    </row>
    <row r="26" ht="24.95" customHeight="1" spans="1:8">
      <c r="A26" s="20"/>
      <c r="B26" s="20"/>
      <c r="C26" s="20"/>
      <c r="D26" s="20"/>
      <c r="E26" s="20"/>
      <c r="F26" s="20"/>
      <c r="G26" s="20"/>
      <c r="H26" s="20"/>
    </row>
    <row r="27" ht="24.95" customHeight="1" spans="1:8">
      <c r="A27" s="20"/>
      <c r="B27" s="20"/>
      <c r="C27" s="20"/>
      <c r="D27" s="20"/>
      <c r="E27" s="20"/>
      <c r="F27" s="20"/>
      <c r="G27" s="20"/>
      <c r="H27" s="20"/>
    </row>
  </sheetData>
  <mergeCells count="8">
    <mergeCell ref="B5:G5"/>
    <mergeCell ref="C6:D6"/>
    <mergeCell ref="F6:G6"/>
    <mergeCell ref="C7:D7"/>
    <mergeCell ref="F7:G7"/>
    <mergeCell ref="B25:G25"/>
    <mergeCell ref="B2:G3"/>
    <mergeCell ref="B9:G13"/>
  </mergeCells>
  <pageMargins left="1" right="1" top="1" bottom="1" header="0.5" footer="0.5"/>
  <pageSetup paperSize="9" scale="93" fitToHeight="0"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19"/>
  <sheetViews>
    <sheetView tabSelected="1" topLeftCell="D1" workbookViewId="0">
      <selection activeCell="I42" sqref="I42"/>
    </sheetView>
  </sheetViews>
  <sheetFormatPr defaultColWidth="9" defaultRowHeight="13.5"/>
  <cols>
    <col min="1" max="1" width="4.125" customWidth="1"/>
    <col min="2" max="2" width="12.75" customWidth="1"/>
    <col min="3" max="7" width="12.625"/>
    <col min="8" max="8" width="11.5"/>
    <col min="11" max="12" width="12.625"/>
    <col min="13" max="13" width="11.5"/>
    <col min="14" max="14" width="12.625"/>
    <col min="16" max="16" width="12.625"/>
  </cols>
  <sheetData>
    <row r="2" ht="14.25"/>
    <row r="3" ht="40.5" spans="2:17">
      <c r="B3" s="1" t="s">
        <v>18</v>
      </c>
      <c r="C3" s="2">
        <v>0.5</v>
      </c>
      <c r="D3" s="3">
        <v>1</v>
      </c>
      <c r="E3" s="3">
        <v>1.5</v>
      </c>
      <c r="F3" s="3">
        <v>2</v>
      </c>
      <c r="G3" s="3">
        <v>2.5</v>
      </c>
      <c r="H3" s="3">
        <v>3</v>
      </c>
      <c r="I3" s="3">
        <v>3.5</v>
      </c>
      <c r="J3" s="3">
        <v>4</v>
      </c>
      <c r="K3" s="3">
        <v>4.5</v>
      </c>
      <c r="L3" s="3">
        <v>5</v>
      </c>
      <c r="M3" s="3">
        <v>5.5</v>
      </c>
      <c r="N3" s="3">
        <v>6</v>
      </c>
      <c r="O3" s="3">
        <v>6.5</v>
      </c>
      <c r="P3" s="3">
        <v>7</v>
      </c>
      <c r="Q3" s="14">
        <v>7.5</v>
      </c>
    </row>
    <row r="4" ht="39.95" customHeight="1" spans="2:17">
      <c r="B4" s="4">
        <v>2.8</v>
      </c>
      <c r="C4" s="5">
        <f>409/1080</f>
        <v>0.378703703703704</v>
      </c>
      <c r="D4" s="5">
        <f>210/1080</f>
        <v>0.194444444444444</v>
      </c>
      <c r="E4" s="5">
        <f>141/1080</f>
        <v>0.130555555555556</v>
      </c>
      <c r="F4" s="5">
        <f>106/1080</f>
        <v>0.0981481481481482</v>
      </c>
      <c r="G4" s="5">
        <f>86/1080</f>
        <v>0.0796296296296296</v>
      </c>
      <c r="H4" s="5">
        <f>73/1080</f>
        <v>0.0675925925925926</v>
      </c>
      <c r="I4" s="5">
        <f>61/1080</f>
        <v>0.0564814814814815</v>
      </c>
      <c r="J4" s="5">
        <f>53/1080</f>
        <v>0.0490740740740741</v>
      </c>
      <c r="K4" s="5">
        <f>49/1080</f>
        <v>0.0453703703703704</v>
      </c>
      <c r="L4" s="5">
        <f>44/1080</f>
        <v>0.0407407407407407</v>
      </c>
      <c r="M4" s="5">
        <f>40/1080</f>
        <v>0.037037037037037</v>
      </c>
      <c r="N4" s="5">
        <f>36/1080</f>
        <v>0.0333333333333333</v>
      </c>
      <c r="O4" s="5">
        <f>33/1080</f>
        <v>0.0305555555555556</v>
      </c>
      <c r="P4" s="5">
        <f>31/1080</f>
        <v>0.0287037037037037</v>
      </c>
      <c r="Q4" s="5">
        <f>30/1080</f>
        <v>0.0277777777777778</v>
      </c>
    </row>
    <row r="5" ht="39.95" customHeight="1" spans="2:17">
      <c r="B5" s="4">
        <v>4</v>
      </c>
      <c r="C5" s="5">
        <f>520/1080</f>
        <v>0.481481481481481</v>
      </c>
      <c r="D5" s="5">
        <f>260/1080</f>
        <v>0.240740740740741</v>
      </c>
      <c r="E5" s="5">
        <f>168/1080</f>
        <v>0.155555555555556</v>
      </c>
      <c r="F5" s="5">
        <f>130/1080</f>
        <v>0.12037037037037</v>
      </c>
      <c r="G5" s="5">
        <f>103/1080</f>
        <v>0.0953703703703704</v>
      </c>
      <c r="H5" s="5">
        <f>87/1080</f>
        <v>0.0805555555555556</v>
      </c>
      <c r="I5" s="5">
        <f>72/1080</f>
        <v>0.0666666666666667</v>
      </c>
      <c r="J5" s="5">
        <f>64/1080</f>
        <v>0.0592592592592593</v>
      </c>
      <c r="K5" s="5">
        <f>57/1080</f>
        <v>0.0527777777777778</v>
      </c>
      <c r="L5" s="5">
        <f>52/1080</f>
        <v>0.0481481481481481</v>
      </c>
      <c r="M5" s="5">
        <f>47/1080</f>
        <v>0.0435185185185185</v>
      </c>
      <c r="N5" s="5">
        <f>43/1080</f>
        <v>0.0398148148148148</v>
      </c>
      <c r="O5" s="5">
        <f>40/1080</f>
        <v>0.037037037037037</v>
      </c>
      <c r="P5" s="5">
        <f>38/1080</f>
        <v>0.0351851851851852</v>
      </c>
      <c r="Q5" s="5">
        <f>36/1080</f>
        <v>0.0333333333333333</v>
      </c>
    </row>
    <row r="6" ht="39.95" customHeight="1" spans="2:17">
      <c r="B6" s="4">
        <v>6</v>
      </c>
      <c r="C6" s="5">
        <f>700/1080</f>
        <v>0.648148148148148</v>
      </c>
      <c r="D6" s="5">
        <f>371/1080</f>
        <v>0.343518518518519</v>
      </c>
      <c r="E6" s="5">
        <f>252/1080</f>
        <v>0.233333333333333</v>
      </c>
      <c r="F6" s="5">
        <f>188/1080</f>
        <v>0.174074074074074</v>
      </c>
      <c r="G6" s="5">
        <f>152/1080</f>
        <v>0.140740740740741</v>
      </c>
      <c r="H6" s="5">
        <f>127/1080</f>
        <v>0.117592592592593</v>
      </c>
      <c r="I6" s="5">
        <f>108/1080</f>
        <v>0.1</v>
      </c>
      <c r="J6" s="5">
        <f>96/1080</f>
        <v>0.0888888888888889</v>
      </c>
      <c r="K6" s="5">
        <f>85/1080</f>
        <v>0.0787037037037037</v>
      </c>
      <c r="L6" s="5">
        <f>77/1080</f>
        <v>0.0712962962962963</v>
      </c>
      <c r="M6" s="5">
        <f>69/1080</f>
        <v>0.0638888888888889</v>
      </c>
      <c r="N6" s="5">
        <f>64/1080</f>
        <v>0.0592592592592593</v>
      </c>
      <c r="O6" s="5">
        <f>58/1080</f>
        <v>0.0537037037037037</v>
      </c>
      <c r="P6" s="5">
        <f>53/1080</f>
        <v>0.0490740740740741</v>
      </c>
      <c r="Q6" s="5">
        <f>50/1080</f>
        <v>0.0462962962962963</v>
      </c>
    </row>
    <row r="7" ht="39.95" customHeight="1" spans="2:17">
      <c r="B7" s="18">
        <v>12</v>
      </c>
      <c r="C7" s="19">
        <f>1061/1080</f>
        <v>0.982407407407407</v>
      </c>
      <c r="D7" s="19">
        <f>538/1080</f>
        <v>0.498148148148148</v>
      </c>
      <c r="E7" s="19">
        <f>359/1080</f>
        <v>0.332407407407407</v>
      </c>
      <c r="F7" s="19">
        <f>271/1080</f>
        <v>0.250925925925926</v>
      </c>
      <c r="G7" s="19">
        <f>217/1080</f>
        <v>0.200925925925926</v>
      </c>
      <c r="H7" s="19">
        <f>179/1080</f>
        <v>0.165740740740741</v>
      </c>
      <c r="I7" s="19">
        <f>157/1080</f>
        <v>0.14537037037037</v>
      </c>
      <c r="J7" s="19">
        <f>136/1080</f>
        <v>0.125925925925926</v>
      </c>
      <c r="K7" s="19">
        <f>121/1080</f>
        <v>0.112037037037037</v>
      </c>
      <c r="L7" s="19">
        <f>110/1080</f>
        <v>0.101851851851852</v>
      </c>
      <c r="M7" s="19">
        <f>100/1080</f>
        <v>0.0925925925925926</v>
      </c>
      <c r="N7" s="19">
        <f>92/1080</f>
        <v>0.0851851851851852</v>
      </c>
      <c r="O7" s="19">
        <f>85/1080</f>
        <v>0.0787037037037037</v>
      </c>
      <c r="P7" s="19">
        <f>78/1080</f>
        <v>0.0722222222222222</v>
      </c>
      <c r="Q7" s="19">
        <f>74/1080</f>
        <v>0.0685185185185185</v>
      </c>
    </row>
    <row r="8" spans="2:17">
      <c r="B8" s="7" t="s">
        <v>19</v>
      </c>
      <c r="C8" s="8"/>
      <c r="D8" s="8"/>
      <c r="E8" s="8"/>
      <c r="F8" s="8"/>
      <c r="G8" s="8"/>
      <c r="H8" s="8"/>
      <c r="I8" s="8"/>
      <c r="J8" s="8"/>
      <c r="K8" s="8"/>
      <c r="L8" s="8"/>
      <c r="M8" s="8"/>
      <c r="N8" s="8"/>
      <c r="O8" s="8"/>
      <c r="P8" s="8"/>
      <c r="Q8" s="15"/>
    </row>
    <row r="9" spans="2:17">
      <c r="B9" s="9"/>
      <c r="C9" s="10"/>
      <c r="D9" s="10"/>
      <c r="E9" s="10"/>
      <c r="F9" s="10"/>
      <c r="G9" s="10"/>
      <c r="H9" s="10"/>
      <c r="I9" s="10"/>
      <c r="J9" s="10"/>
      <c r="K9" s="10"/>
      <c r="L9" s="10"/>
      <c r="M9" s="10"/>
      <c r="N9" s="10"/>
      <c r="O9" s="10"/>
      <c r="P9" s="10"/>
      <c r="Q9" s="16"/>
    </row>
    <row r="10" spans="2:17">
      <c r="B10" s="9"/>
      <c r="C10" s="10"/>
      <c r="D10" s="10"/>
      <c r="E10" s="10"/>
      <c r="F10" s="10"/>
      <c r="G10" s="10"/>
      <c r="H10" s="10"/>
      <c r="I10" s="10"/>
      <c r="J10" s="10"/>
      <c r="K10" s="10"/>
      <c r="L10" s="10"/>
      <c r="M10" s="10"/>
      <c r="N10" s="10"/>
      <c r="O10" s="10"/>
      <c r="P10" s="10"/>
      <c r="Q10" s="16"/>
    </row>
    <row r="11" spans="2:17">
      <c r="B11" s="9"/>
      <c r="C11" s="10"/>
      <c r="D11" s="10"/>
      <c r="E11" s="10"/>
      <c r="F11" s="10"/>
      <c r="G11" s="10"/>
      <c r="H11" s="10"/>
      <c r="I11" s="10"/>
      <c r="J11" s="10"/>
      <c r="K11" s="10"/>
      <c r="L11" s="10"/>
      <c r="M11" s="10"/>
      <c r="N11" s="10"/>
      <c r="O11" s="10"/>
      <c r="P11" s="10"/>
      <c r="Q11" s="16"/>
    </row>
    <row r="12" spans="2:17">
      <c r="B12" s="9"/>
      <c r="C12" s="10"/>
      <c r="D12" s="10"/>
      <c r="E12" s="10"/>
      <c r="F12" s="10"/>
      <c r="G12" s="10"/>
      <c r="H12" s="10"/>
      <c r="I12" s="10"/>
      <c r="J12" s="10"/>
      <c r="K12" s="10"/>
      <c r="L12" s="10"/>
      <c r="M12" s="10"/>
      <c r="N12" s="10"/>
      <c r="O12" s="10"/>
      <c r="P12" s="10"/>
      <c r="Q12" s="16"/>
    </row>
    <row r="13" spans="2:17">
      <c r="B13" s="9"/>
      <c r="C13" s="10"/>
      <c r="D13" s="10"/>
      <c r="E13" s="10"/>
      <c r="F13" s="10"/>
      <c r="G13" s="10"/>
      <c r="H13" s="10"/>
      <c r="I13" s="10"/>
      <c r="J13" s="10"/>
      <c r="K13" s="10"/>
      <c r="L13" s="10"/>
      <c r="M13" s="10"/>
      <c r="N13" s="10"/>
      <c r="O13" s="10"/>
      <c r="P13" s="10"/>
      <c r="Q13" s="16"/>
    </row>
    <row r="14" spans="2:17">
      <c r="B14" s="9"/>
      <c r="C14" s="10"/>
      <c r="D14" s="10"/>
      <c r="E14" s="10"/>
      <c r="F14" s="10"/>
      <c r="G14" s="10"/>
      <c r="H14" s="10"/>
      <c r="I14" s="10"/>
      <c r="J14" s="10"/>
      <c r="K14" s="10"/>
      <c r="L14" s="10"/>
      <c r="M14" s="10"/>
      <c r="N14" s="10"/>
      <c r="O14" s="10"/>
      <c r="P14" s="10"/>
      <c r="Q14" s="16"/>
    </row>
    <row r="15" spans="2:17">
      <c r="B15" s="9"/>
      <c r="C15" s="10"/>
      <c r="D15" s="10"/>
      <c r="E15" s="10"/>
      <c r="F15" s="10"/>
      <c r="G15" s="10"/>
      <c r="H15" s="10"/>
      <c r="I15" s="10"/>
      <c r="J15" s="10"/>
      <c r="K15" s="10"/>
      <c r="L15" s="10"/>
      <c r="M15" s="10"/>
      <c r="N15" s="10"/>
      <c r="O15" s="10"/>
      <c r="P15" s="10"/>
      <c r="Q15" s="16"/>
    </row>
    <row r="16" spans="2:17">
      <c r="B16" s="9"/>
      <c r="C16" s="10"/>
      <c r="D16" s="10"/>
      <c r="E16" s="10"/>
      <c r="F16" s="10"/>
      <c r="G16" s="10"/>
      <c r="H16" s="10"/>
      <c r="I16" s="10"/>
      <c r="J16" s="10"/>
      <c r="K16" s="10"/>
      <c r="L16" s="10"/>
      <c r="M16" s="10"/>
      <c r="N16" s="10"/>
      <c r="O16" s="10"/>
      <c r="P16" s="10"/>
      <c r="Q16" s="16"/>
    </row>
    <row r="17" spans="2:17">
      <c r="B17" s="9"/>
      <c r="C17" s="10"/>
      <c r="D17" s="10"/>
      <c r="E17" s="10"/>
      <c r="F17" s="10"/>
      <c r="G17" s="10"/>
      <c r="H17" s="10"/>
      <c r="I17" s="10"/>
      <c r="J17" s="10"/>
      <c r="K17" s="10"/>
      <c r="L17" s="10"/>
      <c r="M17" s="10"/>
      <c r="N17" s="10"/>
      <c r="O17" s="10"/>
      <c r="P17" s="10"/>
      <c r="Q17" s="16"/>
    </row>
    <row r="18" spans="2:17">
      <c r="B18" s="9"/>
      <c r="C18" s="10"/>
      <c r="D18" s="10"/>
      <c r="E18" s="10"/>
      <c r="F18" s="10"/>
      <c r="G18" s="10"/>
      <c r="H18" s="10"/>
      <c r="I18" s="10"/>
      <c r="J18" s="10"/>
      <c r="K18" s="10"/>
      <c r="L18" s="10"/>
      <c r="M18" s="10"/>
      <c r="N18" s="10"/>
      <c r="O18" s="10"/>
      <c r="P18" s="10"/>
      <c r="Q18" s="16"/>
    </row>
    <row r="19" ht="14.25" spans="2:17">
      <c r="B19" s="11"/>
      <c r="C19" s="12"/>
      <c r="D19" s="12"/>
      <c r="E19" s="12"/>
      <c r="F19" s="12"/>
      <c r="G19" s="12"/>
      <c r="H19" s="12"/>
      <c r="I19" s="12"/>
      <c r="J19" s="12"/>
      <c r="K19" s="12"/>
      <c r="L19" s="12"/>
      <c r="M19" s="12"/>
      <c r="N19" s="12"/>
      <c r="O19" s="12"/>
      <c r="P19" s="12"/>
      <c r="Q19" s="17"/>
    </row>
  </sheetData>
  <mergeCells count="1">
    <mergeCell ref="B8:Q19"/>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19"/>
  <sheetViews>
    <sheetView topLeftCell="A5" workbookViewId="0">
      <selection activeCell="F23" sqref="F23"/>
    </sheetView>
  </sheetViews>
  <sheetFormatPr defaultColWidth="9" defaultRowHeight="13.5"/>
  <cols>
    <col min="1" max="1" width="4.125" customWidth="1"/>
    <col min="2" max="2" width="12.75" customWidth="1"/>
  </cols>
  <sheetData>
    <row r="2" ht="14.25"/>
    <row r="3" ht="40.5" spans="2:17">
      <c r="B3" s="1" t="s">
        <v>18</v>
      </c>
      <c r="C3" s="2">
        <v>0.5</v>
      </c>
      <c r="D3" s="3">
        <v>1</v>
      </c>
      <c r="E3" s="3">
        <v>1.5</v>
      </c>
      <c r="F3" s="3">
        <v>2</v>
      </c>
      <c r="G3" s="3">
        <v>2.5</v>
      </c>
      <c r="H3" s="3">
        <v>3</v>
      </c>
      <c r="I3" s="3">
        <v>3.5</v>
      </c>
      <c r="J3" s="3">
        <v>4</v>
      </c>
      <c r="K3" s="3">
        <v>4.5</v>
      </c>
      <c r="L3" s="3">
        <v>5</v>
      </c>
      <c r="M3" s="3">
        <v>5.5</v>
      </c>
      <c r="N3" s="3">
        <v>6</v>
      </c>
      <c r="O3" s="3">
        <v>6.5</v>
      </c>
      <c r="P3" s="3">
        <v>7</v>
      </c>
      <c r="Q3" s="14">
        <v>7.5</v>
      </c>
    </row>
    <row r="4" ht="39.95" customHeight="1" spans="2:17">
      <c r="B4" s="4">
        <v>2.8</v>
      </c>
      <c r="C4" s="5">
        <f>409/1920</f>
        <v>0.213020833333333</v>
      </c>
      <c r="D4" s="5">
        <f>210/1920</f>
        <v>0.109375</v>
      </c>
      <c r="E4" s="5">
        <f>141/1920</f>
        <v>0.0734375</v>
      </c>
      <c r="F4" s="5">
        <f>106/1920</f>
        <v>0.0552083333333333</v>
      </c>
      <c r="G4" s="5">
        <f>86/1920</f>
        <v>0.0447916666666667</v>
      </c>
      <c r="H4" s="5">
        <f>73/1920</f>
        <v>0.0380208333333333</v>
      </c>
      <c r="I4" s="5">
        <f>61/1920</f>
        <v>0.0317708333333333</v>
      </c>
      <c r="J4" s="5">
        <f>53/1920</f>
        <v>0.0276041666666667</v>
      </c>
      <c r="K4" s="5">
        <f>49/1920</f>
        <v>0.0255208333333333</v>
      </c>
      <c r="L4" s="5">
        <f>44/1920</f>
        <v>0.0229166666666667</v>
      </c>
      <c r="M4" s="5">
        <f>40/1920</f>
        <v>0.0208333333333333</v>
      </c>
      <c r="N4" s="5">
        <f>36/1920</f>
        <v>0.01875</v>
      </c>
      <c r="O4" s="5">
        <f>33/1920</f>
        <v>0.0171875</v>
      </c>
      <c r="P4" s="5">
        <f>31/1920</f>
        <v>0.0161458333333333</v>
      </c>
      <c r="Q4" s="5">
        <f>30/1920</f>
        <v>0.015625</v>
      </c>
    </row>
    <row r="5" ht="39.95" customHeight="1" spans="2:17">
      <c r="B5" s="4">
        <v>4</v>
      </c>
      <c r="C5" s="5">
        <f>520/1920</f>
        <v>0.270833333333333</v>
      </c>
      <c r="D5" s="5">
        <f>260/1920</f>
        <v>0.135416666666667</v>
      </c>
      <c r="E5" s="5">
        <f>168/1920</f>
        <v>0.0875</v>
      </c>
      <c r="F5" s="5">
        <f>130/1920</f>
        <v>0.0677083333333333</v>
      </c>
      <c r="G5" s="5">
        <f>103/1920</f>
        <v>0.0536458333333333</v>
      </c>
      <c r="H5" s="5">
        <f>87/1920</f>
        <v>0.0453125</v>
      </c>
      <c r="I5" s="5">
        <f>72/1920</f>
        <v>0.0375</v>
      </c>
      <c r="J5" s="5">
        <f>64/1920</f>
        <v>0.0333333333333333</v>
      </c>
      <c r="K5" s="5">
        <f>57/1920</f>
        <v>0.0296875</v>
      </c>
      <c r="L5" s="5">
        <f>52/1920</f>
        <v>0.0270833333333333</v>
      </c>
      <c r="M5" s="5">
        <f>47/1920</f>
        <v>0.0244791666666667</v>
      </c>
      <c r="N5" s="5">
        <f>43/1920</f>
        <v>0.0223958333333333</v>
      </c>
      <c r="O5" s="5">
        <f>40/1920</f>
        <v>0.0208333333333333</v>
      </c>
      <c r="P5" s="5">
        <f>38/1920</f>
        <v>0.0197916666666667</v>
      </c>
      <c r="Q5" s="5">
        <f>36/1920</f>
        <v>0.01875</v>
      </c>
    </row>
    <row r="6" ht="39.95" customHeight="1" spans="2:17">
      <c r="B6" s="4">
        <v>6</v>
      </c>
      <c r="C6" s="5">
        <f>700/1920</f>
        <v>0.364583333333333</v>
      </c>
      <c r="D6" s="5">
        <f>371/1920</f>
        <v>0.193229166666667</v>
      </c>
      <c r="E6" s="5">
        <f>252/1920</f>
        <v>0.13125</v>
      </c>
      <c r="F6" s="5">
        <f>188/1920</f>
        <v>0.0979166666666667</v>
      </c>
      <c r="G6" s="5">
        <f>152/1920</f>
        <v>0.0791666666666667</v>
      </c>
      <c r="H6" s="5">
        <f>127/1920</f>
        <v>0.0661458333333333</v>
      </c>
      <c r="I6" s="5">
        <f>108/1920</f>
        <v>0.05625</v>
      </c>
      <c r="J6" s="5">
        <f>96/1920</f>
        <v>0.05</v>
      </c>
      <c r="K6" s="5">
        <f>85/1920</f>
        <v>0.0442708333333333</v>
      </c>
      <c r="L6" s="5">
        <f>77/1920</f>
        <v>0.0401041666666667</v>
      </c>
      <c r="M6" s="5">
        <f>69/1920</f>
        <v>0.0359375</v>
      </c>
      <c r="N6" s="5">
        <f>64/1920</f>
        <v>0.0333333333333333</v>
      </c>
      <c r="O6" s="5">
        <f>58/1920</f>
        <v>0.0302083333333333</v>
      </c>
      <c r="P6" s="5">
        <f>53/1920</f>
        <v>0.0276041666666667</v>
      </c>
      <c r="Q6" s="5">
        <f>50/1920</f>
        <v>0.0260416666666667</v>
      </c>
    </row>
    <row r="7" ht="39.95" customHeight="1" spans="2:17">
      <c r="B7" s="6">
        <v>12</v>
      </c>
      <c r="C7" s="5">
        <f>1061/1920</f>
        <v>0.552604166666667</v>
      </c>
      <c r="D7" s="5">
        <f>538/1920</f>
        <v>0.280208333333333</v>
      </c>
      <c r="E7" s="5">
        <f>359/1920</f>
        <v>0.186979166666667</v>
      </c>
      <c r="F7" s="5">
        <f>271/1920</f>
        <v>0.141145833333333</v>
      </c>
      <c r="G7" s="5">
        <f>217/1920</f>
        <v>0.113020833333333</v>
      </c>
      <c r="H7" s="5">
        <f>179/1920</f>
        <v>0.0932291666666667</v>
      </c>
      <c r="I7" s="5">
        <f>157/1920</f>
        <v>0.0817708333333333</v>
      </c>
      <c r="J7" s="5">
        <f>136/1920</f>
        <v>0.0708333333333333</v>
      </c>
      <c r="K7" s="5">
        <f>121/1920</f>
        <v>0.0630208333333333</v>
      </c>
      <c r="L7" s="5">
        <f>110/1920</f>
        <v>0.0572916666666667</v>
      </c>
      <c r="M7" s="5">
        <f>100/1920</f>
        <v>0.0520833333333333</v>
      </c>
      <c r="N7" s="5">
        <f>92/1920</f>
        <v>0.0479166666666667</v>
      </c>
      <c r="O7" s="5">
        <f>85/1920</f>
        <v>0.0442708333333333</v>
      </c>
      <c r="P7" s="5">
        <f>78/1920</f>
        <v>0.040625</v>
      </c>
      <c r="Q7" s="5">
        <f>74/1920</f>
        <v>0.0385416666666667</v>
      </c>
    </row>
    <row r="8" spans="2:17">
      <c r="B8" s="7" t="s">
        <v>20</v>
      </c>
      <c r="C8" s="8"/>
      <c r="D8" s="8"/>
      <c r="E8" s="8"/>
      <c r="F8" s="8"/>
      <c r="G8" s="8"/>
      <c r="H8" s="8"/>
      <c r="I8" s="8"/>
      <c r="J8" s="8"/>
      <c r="K8" s="8"/>
      <c r="L8" s="8"/>
      <c r="M8" s="8"/>
      <c r="N8" s="8"/>
      <c r="O8" s="8"/>
      <c r="P8" s="8"/>
      <c r="Q8" s="15"/>
    </row>
    <row r="9" spans="2:17">
      <c r="B9" s="9"/>
      <c r="C9" s="10"/>
      <c r="D9" s="10"/>
      <c r="E9" s="10"/>
      <c r="F9" s="10"/>
      <c r="G9" s="10"/>
      <c r="H9" s="10"/>
      <c r="I9" s="10"/>
      <c r="J9" s="10"/>
      <c r="K9" s="10"/>
      <c r="L9" s="10"/>
      <c r="M9" s="10"/>
      <c r="N9" s="10"/>
      <c r="O9" s="10"/>
      <c r="P9" s="10"/>
      <c r="Q9" s="16"/>
    </row>
    <row r="10" spans="2:17">
      <c r="B10" s="9"/>
      <c r="C10" s="10"/>
      <c r="D10" s="10"/>
      <c r="E10" s="10"/>
      <c r="F10" s="10"/>
      <c r="G10" s="10"/>
      <c r="H10" s="10"/>
      <c r="I10" s="10"/>
      <c r="J10" s="10"/>
      <c r="K10" s="10"/>
      <c r="L10" s="10"/>
      <c r="M10" s="10"/>
      <c r="N10" s="10"/>
      <c r="O10" s="10"/>
      <c r="P10" s="10"/>
      <c r="Q10" s="16"/>
    </row>
    <row r="11" spans="2:17">
      <c r="B11" s="9"/>
      <c r="C11" s="10"/>
      <c r="D11" s="10"/>
      <c r="E11" s="10"/>
      <c r="F11" s="10"/>
      <c r="G11" s="10"/>
      <c r="H11" s="10"/>
      <c r="I11" s="10"/>
      <c r="J11" s="10"/>
      <c r="K11" s="10"/>
      <c r="L11" s="10"/>
      <c r="M11" s="10"/>
      <c r="N11" s="10"/>
      <c r="O11" s="10"/>
      <c r="P11" s="10"/>
      <c r="Q11" s="16"/>
    </row>
    <row r="12" spans="2:17">
      <c r="B12" s="9"/>
      <c r="C12" s="10"/>
      <c r="D12" s="10"/>
      <c r="E12" s="10"/>
      <c r="F12" s="10"/>
      <c r="G12" s="10"/>
      <c r="H12" s="10"/>
      <c r="I12" s="10"/>
      <c r="J12" s="10"/>
      <c r="K12" s="10"/>
      <c r="L12" s="10"/>
      <c r="M12" s="10"/>
      <c r="N12" s="10"/>
      <c r="O12" s="10"/>
      <c r="P12" s="10"/>
      <c r="Q12" s="16"/>
    </row>
    <row r="13" spans="2:17">
      <c r="B13" s="9"/>
      <c r="C13" s="10"/>
      <c r="D13" s="10"/>
      <c r="E13" s="10"/>
      <c r="F13" s="10"/>
      <c r="G13" s="10"/>
      <c r="H13" s="10"/>
      <c r="I13" s="10"/>
      <c r="J13" s="10"/>
      <c r="K13" s="10"/>
      <c r="L13" s="10"/>
      <c r="M13" s="10"/>
      <c r="N13" s="10"/>
      <c r="O13" s="10"/>
      <c r="P13" s="10"/>
      <c r="Q13" s="16"/>
    </row>
    <row r="14" spans="2:17">
      <c r="B14" s="9"/>
      <c r="C14" s="10"/>
      <c r="D14" s="10"/>
      <c r="E14" s="10"/>
      <c r="F14" s="10"/>
      <c r="G14" s="10"/>
      <c r="H14" s="10"/>
      <c r="I14" s="10"/>
      <c r="J14" s="10"/>
      <c r="K14" s="10"/>
      <c r="L14" s="10"/>
      <c r="M14" s="10"/>
      <c r="N14" s="10"/>
      <c r="O14" s="10"/>
      <c r="P14" s="10"/>
      <c r="Q14" s="16"/>
    </row>
    <row r="15" spans="2:17">
      <c r="B15" s="9"/>
      <c r="C15" s="10"/>
      <c r="D15" s="10"/>
      <c r="E15" s="10"/>
      <c r="F15" s="10"/>
      <c r="G15" s="10"/>
      <c r="H15" s="10"/>
      <c r="I15" s="10"/>
      <c r="J15" s="10"/>
      <c r="K15" s="10"/>
      <c r="L15" s="10"/>
      <c r="M15" s="10"/>
      <c r="N15" s="10"/>
      <c r="O15" s="10"/>
      <c r="P15" s="10"/>
      <c r="Q15" s="16"/>
    </row>
    <row r="16" spans="2:17">
      <c r="B16" s="9"/>
      <c r="C16" s="10"/>
      <c r="D16" s="10"/>
      <c r="E16" s="10"/>
      <c r="F16" s="10"/>
      <c r="G16" s="10"/>
      <c r="H16" s="10"/>
      <c r="I16" s="10"/>
      <c r="J16" s="10"/>
      <c r="K16" s="10"/>
      <c r="L16" s="10"/>
      <c r="M16" s="10"/>
      <c r="N16" s="10"/>
      <c r="O16" s="10"/>
      <c r="P16" s="10"/>
      <c r="Q16" s="16"/>
    </row>
    <row r="17" spans="2:17">
      <c r="B17" s="9"/>
      <c r="C17" s="10"/>
      <c r="D17" s="10"/>
      <c r="E17" s="10"/>
      <c r="F17" s="10"/>
      <c r="G17" s="10"/>
      <c r="H17" s="10"/>
      <c r="I17" s="10"/>
      <c r="J17" s="10"/>
      <c r="K17" s="10"/>
      <c r="L17" s="10"/>
      <c r="M17" s="10"/>
      <c r="N17" s="10"/>
      <c r="O17" s="10"/>
      <c r="P17" s="10"/>
      <c r="Q17" s="16"/>
    </row>
    <row r="18" spans="2:17">
      <c r="B18" s="9"/>
      <c r="C18" s="10"/>
      <c r="D18" s="10"/>
      <c r="E18" s="10"/>
      <c r="F18" s="10"/>
      <c r="G18" s="10"/>
      <c r="H18" s="10"/>
      <c r="I18" s="10"/>
      <c r="J18" s="10"/>
      <c r="K18" s="10"/>
      <c r="L18" s="10"/>
      <c r="M18" s="10"/>
      <c r="N18" s="10"/>
      <c r="O18" s="10"/>
      <c r="P18" s="10"/>
      <c r="Q18" s="16"/>
    </row>
    <row r="19" ht="14.25" spans="2:17">
      <c r="B19" s="11"/>
      <c r="C19" s="12"/>
      <c r="D19" s="12"/>
      <c r="E19" s="12"/>
      <c r="F19" s="12"/>
      <c r="G19" s="12"/>
      <c r="H19" s="12"/>
      <c r="I19" s="12"/>
      <c r="J19" s="12"/>
      <c r="K19" s="12"/>
      <c r="L19" s="12"/>
      <c r="M19" s="12"/>
      <c r="N19" s="12"/>
      <c r="O19" s="12"/>
      <c r="P19" s="12"/>
      <c r="Q19" s="17"/>
    </row>
  </sheetData>
  <mergeCells count="1">
    <mergeCell ref="B8:Q19"/>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Q24"/>
  <sheetViews>
    <sheetView workbookViewId="0">
      <selection activeCell="G24" sqref="G24"/>
    </sheetView>
  </sheetViews>
  <sheetFormatPr defaultColWidth="9" defaultRowHeight="13.5"/>
  <cols>
    <col min="1" max="1" width="4.125" customWidth="1"/>
    <col min="2" max="2" width="12.75" customWidth="1"/>
    <col min="3" max="16" width="12.625"/>
  </cols>
  <sheetData>
    <row r="2" ht="14.25"/>
    <row r="3" ht="40.5" spans="2:17">
      <c r="B3" s="1" t="s">
        <v>18</v>
      </c>
      <c r="C3" s="2">
        <v>0.5</v>
      </c>
      <c r="D3" s="3">
        <v>1</v>
      </c>
      <c r="E3" s="3">
        <v>1.5</v>
      </c>
      <c r="F3" s="3">
        <v>2</v>
      </c>
      <c r="G3" s="3">
        <v>2.5</v>
      </c>
      <c r="H3" s="3">
        <v>3</v>
      </c>
      <c r="I3" s="3">
        <v>3.5</v>
      </c>
      <c r="J3" s="3">
        <v>4</v>
      </c>
      <c r="K3" s="3">
        <v>4.5</v>
      </c>
      <c r="L3" s="3">
        <v>5</v>
      </c>
      <c r="M3" s="3">
        <v>5.5</v>
      </c>
      <c r="N3" s="3">
        <v>6</v>
      </c>
      <c r="O3" s="3">
        <v>6.5</v>
      </c>
      <c r="P3" s="3">
        <v>7</v>
      </c>
      <c r="Q3" s="14">
        <v>7.5</v>
      </c>
    </row>
    <row r="4" ht="39.95" customHeight="1" spans="2:17">
      <c r="B4" s="4">
        <v>2.8</v>
      </c>
      <c r="C4" s="5">
        <f>(409*409)/(1920*1080)</f>
        <v>0.0806717785493827</v>
      </c>
      <c r="D4" s="5">
        <f>(210*210)/(1920*1080)</f>
        <v>0.0212673611111111</v>
      </c>
      <c r="E4" s="5">
        <f>(141*141)/(1920*1080)</f>
        <v>0.00958767361111111</v>
      </c>
      <c r="F4" s="5">
        <f>(106*106)/(1920*1080)</f>
        <v>0.00541859567901235</v>
      </c>
      <c r="G4" s="5">
        <f>(86*86)/(1920*1080)</f>
        <v>0.00356674382716049</v>
      </c>
      <c r="H4" s="5">
        <f>(73*73)/(1920*1080)</f>
        <v>0.00256992669753086</v>
      </c>
      <c r="I4" s="5">
        <f>(61*61)/(1920*1080)</f>
        <v>0.0017944637345679</v>
      </c>
      <c r="J4" s="5">
        <f>(53*53)/(1920*1080)</f>
        <v>0.00135464891975309</v>
      </c>
      <c r="K4" s="5">
        <f>(49*49)/(1920*1080)</f>
        <v>0.00115788966049383</v>
      </c>
      <c r="L4" s="5">
        <f>(44*44)/(1920*1080)</f>
        <v>0.000933641975308642</v>
      </c>
      <c r="M4" s="5">
        <f>(40*40)/(1920*1080)</f>
        <v>0.000771604938271605</v>
      </c>
      <c r="N4" s="5">
        <f>(36*36)/(1920*1080)</f>
        <v>0.000625</v>
      </c>
      <c r="O4" s="5">
        <f>(33*33)/(1920*1080)</f>
        <v>0.000525173611111111</v>
      </c>
      <c r="P4" s="5">
        <f>(31*31)/(1920*1080)</f>
        <v>0.000463445216049383</v>
      </c>
      <c r="Q4" s="5">
        <f>(30*30)/(1920*1080)</f>
        <v>0.000434027777777778</v>
      </c>
    </row>
    <row r="5" ht="39.95" customHeight="1" spans="2:17">
      <c r="B5" s="4">
        <v>4</v>
      </c>
      <c r="C5" s="5">
        <f>(520*520)/(1920*1080)</f>
        <v>0.130401234567901</v>
      </c>
      <c r="D5" s="5">
        <f>(260*260)/(1920*1080)</f>
        <v>0.0326003086419753</v>
      </c>
      <c r="E5" s="5">
        <f>(168*168)/(1920*1080)</f>
        <v>0.0136111111111111</v>
      </c>
      <c r="F5" s="5">
        <f>(130*130)/(1920*1080)</f>
        <v>0.00815007716049383</v>
      </c>
      <c r="G5" s="5">
        <f>(103*103)/(1920*1080)</f>
        <v>0.00511622299382716</v>
      </c>
      <c r="H5" s="5">
        <f>(87*87)/(1920*1080)</f>
        <v>0.00365017361111111</v>
      </c>
      <c r="I5" s="5">
        <f>(72*72)/(1920*1080)</f>
        <v>0.0025</v>
      </c>
      <c r="J5" s="5">
        <f>(64*64)/(1920*1080)</f>
        <v>0.00197530864197531</v>
      </c>
      <c r="K5" s="5">
        <f>(57*57)/(1920*1080)</f>
        <v>0.00156684027777778</v>
      </c>
      <c r="L5" s="5">
        <f>(52*52)/(1920*1080)</f>
        <v>0.00130401234567901</v>
      </c>
      <c r="M5" s="5">
        <f>(47*47)/(1920*1080)</f>
        <v>0.00106529706790123</v>
      </c>
      <c r="N5" s="5">
        <f>(43*43)/(1920*1080)</f>
        <v>0.000891685956790123</v>
      </c>
      <c r="O5" s="5">
        <f>(40*40)/(1920*1080)</f>
        <v>0.000771604938271605</v>
      </c>
      <c r="P5" s="5">
        <f>(38*38)/(1920*1080)</f>
        <v>0.000696373456790123</v>
      </c>
      <c r="Q5" s="5">
        <f>(36*36)/(1920*1080)</f>
        <v>0.000625</v>
      </c>
    </row>
    <row r="6" ht="39.95" customHeight="1" spans="2:17">
      <c r="B6" s="4">
        <v>6</v>
      </c>
      <c r="C6" s="5">
        <f>(700*700)/(1920*1080)</f>
        <v>0.236304012345679</v>
      </c>
      <c r="D6" s="5">
        <f>(371*371)/(1920*1080)</f>
        <v>0.0663777970679012</v>
      </c>
      <c r="E6" s="5">
        <f>(252*252)/(1920*1080)</f>
        <v>0.030625</v>
      </c>
      <c r="F6" s="5">
        <f>(188*188)/(1920*1080)</f>
        <v>0.0170447530864198</v>
      </c>
      <c r="G6" s="5">
        <f>(152*152)/(1920*1080)</f>
        <v>0.011141975308642</v>
      </c>
      <c r="H6" s="5">
        <f>(127*127)/(1920*1080)</f>
        <v>0.0077782600308642</v>
      </c>
      <c r="I6" s="5">
        <f>(108*108)/(1920*1080)</f>
        <v>0.005625</v>
      </c>
      <c r="J6" s="5">
        <f>(96*96)/(1920*1080)</f>
        <v>0.00444444444444444</v>
      </c>
      <c r="K6" s="5">
        <f>(85*85)/(1920*1080)</f>
        <v>0.00348427854938272</v>
      </c>
      <c r="L6" s="5">
        <f>(77*77)/(1920*1080)</f>
        <v>0.00285927854938272</v>
      </c>
      <c r="M6" s="5">
        <f>(69*69)/(1920*1080)</f>
        <v>0.00229600694444444</v>
      </c>
      <c r="N6" s="5">
        <f>(64*64)/(1920*1080)</f>
        <v>0.00197530864197531</v>
      </c>
      <c r="O6" s="5">
        <f>(58*58)/(1920*1080)</f>
        <v>0.00162229938271605</v>
      </c>
      <c r="P6" s="5">
        <f>(53*53)/(1920*1080)</f>
        <v>0.00135464891975309</v>
      </c>
      <c r="Q6" s="5">
        <f>(50*50)/(1920*1080)</f>
        <v>0.00120563271604938</v>
      </c>
    </row>
    <row r="7" ht="39.95" customHeight="1" spans="2:17">
      <c r="B7" s="6">
        <v>12</v>
      </c>
      <c r="C7" s="5">
        <f>(1061*1061)/(1920*1080)</f>
        <v>0.542882426697531</v>
      </c>
      <c r="D7" s="5">
        <f>(538*538)/(1920*1080)</f>
        <v>0.139585262345679</v>
      </c>
      <c r="E7" s="5">
        <f>(359*359)/(1920*1080)</f>
        <v>0.0621532600308642</v>
      </c>
      <c r="F7" s="5">
        <f>(271*271)/(1920*1080)</f>
        <v>0.0354171489197531</v>
      </c>
      <c r="G7" s="5">
        <f>(217*217)/(1920*1080)</f>
        <v>0.0227088155864198</v>
      </c>
      <c r="H7" s="5">
        <f>(179*179)/(1920*1080)</f>
        <v>0.0154518711419753</v>
      </c>
      <c r="I7" s="5">
        <f>(157*157)/(1920*1080)</f>
        <v>0.0118870563271605</v>
      </c>
      <c r="J7" s="5">
        <f>(136*136)/(1920*1080)</f>
        <v>0.00891975308641975</v>
      </c>
      <c r="K7" s="5">
        <f>(121*121)/(1920*1080)</f>
        <v>0.00706066743827161</v>
      </c>
      <c r="L7" s="5">
        <f>(110*110)/(1920*1080)</f>
        <v>0.00583526234567901</v>
      </c>
      <c r="M7" s="5">
        <f>(100*100)/(1920*1080)</f>
        <v>0.00482253086419753</v>
      </c>
      <c r="N7" s="5">
        <f>(92*92)/(1920*1080)</f>
        <v>0.00408179012345679</v>
      </c>
      <c r="O7" s="5">
        <f>(85*85)/(1920*1080)</f>
        <v>0.00348427854938272</v>
      </c>
      <c r="P7" s="5">
        <f>(78*78)/(1920*1080)</f>
        <v>0.00293402777777778</v>
      </c>
      <c r="Q7" s="5">
        <f>(74*74)/(1920*1080)</f>
        <v>0.00264081790123457</v>
      </c>
    </row>
    <row r="8" spans="2:17">
      <c r="B8" s="7" t="s">
        <v>21</v>
      </c>
      <c r="C8" s="8"/>
      <c r="D8" s="8"/>
      <c r="E8" s="8"/>
      <c r="F8" s="8"/>
      <c r="G8" s="8"/>
      <c r="H8" s="8"/>
      <c r="I8" s="8"/>
      <c r="J8" s="8"/>
      <c r="K8" s="8"/>
      <c r="L8" s="8"/>
      <c r="M8" s="8"/>
      <c r="N8" s="8"/>
      <c r="O8" s="8"/>
      <c r="P8" s="8"/>
      <c r="Q8" s="15"/>
    </row>
    <row r="9" spans="2:17">
      <c r="B9" s="9"/>
      <c r="C9" s="10"/>
      <c r="D9" s="10"/>
      <c r="E9" s="10"/>
      <c r="F9" s="10"/>
      <c r="G9" s="10"/>
      <c r="H9" s="10"/>
      <c r="I9" s="10"/>
      <c r="J9" s="10"/>
      <c r="K9" s="10"/>
      <c r="L9" s="10"/>
      <c r="M9" s="10"/>
      <c r="N9" s="10"/>
      <c r="O9" s="10"/>
      <c r="P9" s="10"/>
      <c r="Q9" s="16"/>
    </row>
    <row r="10" spans="2:17">
      <c r="B10" s="9"/>
      <c r="C10" s="10"/>
      <c r="D10" s="10"/>
      <c r="E10" s="10"/>
      <c r="F10" s="10"/>
      <c r="G10" s="10"/>
      <c r="H10" s="10"/>
      <c r="I10" s="10"/>
      <c r="J10" s="10"/>
      <c r="K10" s="10"/>
      <c r="L10" s="10"/>
      <c r="M10" s="10"/>
      <c r="N10" s="10"/>
      <c r="O10" s="10"/>
      <c r="P10" s="10"/>
      <c r="Q10" s="16"/>
    </row>
    <row r="11" spans="2:17">
      <c r="B11" s="9"/>
      <c r="C11" s="10"/>
      <c r="D11" s="10"/>
      <c r="E11" s="10"/>
      <c r="F11" s="10"/>
      <c r="G11" s="10"/>
      <c r="H11" s="10"/>
      <c r="I11" s="10"/>
      <c r="J11" s="10"/>
      <c r="K11" s="10"/>
      <c r="L11" s="10"/>
      <c r="M11" s="10"/>
      <c r="N11" s="10"/>
      <c r="O11" s="10"/>
      <c r="P11" s="10"/>
      <c r="Q11" s="16"/>
    </row>
    <row r="12" spans="2:17">
      <c r="B12" s="9"/>
      <c r="C12" s="10"/>
      <c r="D12" s="10"/>
      <c r="E12" s="10"/>
      <c r="F12" s="10"/>
      <c r="G12" s="10"/>
      <c r="H12" s="10"/>
      <c r="I12" s="10"/>
      <c r="J12" s="10"/>
      <c r="K12" s="10"/>
      <c r="L12" s="10"/>
      <c r="M12" s="10"/>
      <c r="N12" s="10"/>
      <c r="O12" s="10"/>
      <c r="P12" s="10"/>
      <c r="Q12" s="16"/>
    </row>
    <row r="13" spans="2:17">
      <c r="B13" s="9"/>
      <c r="C13" s="10"/>
      <c r="D13" s="10"/>
      <c r="E13" s="10"/>
      <c r="F13" s="10"/>
      <c r="G13" s="10"/>
      <c r="H13" s="10"/>
      <c r="I13" s="10"/>
      <c r="J13" s="10"/>
      <c r="K13" s="10"/>
      <c r="L13" s="10"/>
      <c r="M13" s="10"/>
      <c r="N13" s="10"/>
      <c r="O13" s="10"/>
      <c r="P13" s="10"/>
      <c r="Q13" s="16"/>
    </row>
    <row r="14" spans="2:17">
      <c r="B14" s="9"/>
      <c r="C14" s="10"/>
      <c r="D14" s="10"/>
      <c r="E14" s="10"/>
      <c r="F14" s="10"/>
      <c r="G14" s="10"/>
      <c r="H14" s="10"/>
      <c r="I14" s="10"/>
      <c r="J14" s="10"/>
      <c r="K14" s="10"/>
      <c r="L14" s="10"/>
      <c r="M14" s="10"/>
      <c r="N14" s="10"/>
      <c r="O14" s="10"/>
      <c r="P14" s="10"/>
      <c r="Q14" s="16"/>
    </row>
    <row r="15" spans="2:17">
      <c r="B15" s="9"/>
      <c r="C15" s="10"/>
      <c r="D15" s="10"/>
      <c r="E15" s="10"/>
      <c r="F15" s="10"/>
      <c r="G15" s="10"/>
      <c r="H15" s="10"/>
      <c r="I15" s="10"/>
      <c r="J15" s="10"/>
      <c r="K15" s="10"/>
      <c r="L15" s="10"/>
      <c r="M15" s="10"/>
      <c r="N15" s="10"/>
      <c r="O15" s="10"/>
      <c r="P15" s="10"/>
      <c r="Q15" s="16"/>
    </row>
    <row r="16" spans="2:17">
      <c r="B16" s="9"/>
      <c r="C16" s="10"/>
      <c r="D16" s="10"/>
      <c r="E16" s="10"/>
      <c r="F16" s="10"/>
      <c r="G16" s="10"/>
      <c r="H16" s="10"/>
      <c r="I16" s="10"/>
      <c r="J16" s="10"/>
      <c r="K16" s="10"/>
      <c r="L16" s="10"/>
      <c r="M16" s="10"/>
      <c r="N16" s="10"/>
      <c r="O16" s="10"/>
      <c r="P16" s="10"/>
      <c r="Q16" s="16"/>
    </row>
    <row r="17" spans="2:17">
      <c r="B17" s="9"/>
      <c r="C17" s="10"/>
      <c r="D17" s="10"/>
      <c r="E17" s="10"/>
      <c r="F17" s="10"/>
      <c r="G17" s="10"/>
      <c r="H17" s="10"/>
      <c r="I17" s="10"/>
      <c r="J17" s="10"/>
      <c r="K17" s="10"/>
      <c r="L17" s="10"/>
      <c r="M17" s="10"/>
      <c r="N17" s="10"/>
      <c r="O17" s="10"/>
      <c r="P17" s="10"/>
      <c r="Q17" s="16"/>
    </row>
    <row r="18" spans="2:17">
      <c r="B18" s="9"/>
      <c r="C18" s="10"/>
      <c r="D18" s="10"/>
      <c r="E18" s="10"/>
      <c r="F18" s="10"/>
      <c r="G18" s="10"/>
      <c r="H18" s="10"/>
      <c r="I18" s="10"/>
      <c r="J18" s="10"/>
      <c r="K18" s="10"/>
      <c r="L18" s="10"/>
      <c r="M18" s="10"/>
      <c r="N18" s="10"/>
      <c r="O18" s="10"/>
      <c r="P18" s="10"/>
      <c r="Q18" s="16"/>
    </row>
    <row r="19" ht="14.25" spans="2:17">
      <c r="B19" s="11"/>
      <c r="C19" s="12"/>
      <c r="D19" s="12"/>
      <c r="E19" s="12"/>
      <c r="F19" s="12"/>
      <c r="G19" s="12"/>
      <c r="H19" s="12"/>
      <c r="I19" s="12"/>
      <c r="J19" s="12"/>
      <c r="K19" s="12"/>
      <c r="L19" s="12"/>
      <c r="M19" s="12"/>
      <c r="N19" s="12"/>
      <c r="O19" s="12"/>
      <c r="P19" s="12"/>
      <c r="Q19" s="17"/>
    </row>
    <row r="23" spans="3:17">
      <c r="C23" s="13"/>
      <c r="D23" s="13"/>
      <c r="E23" s="13"/>
      <c r="F23" s="13"/>
      <c r="G23" s="13"/>
      <c r="H23" s="13"/>
      <c r="I23" s="13"/>
      <c r="J23" s="13"/>
      <c r="K23" s="13"/>
      <c r="L23" s="13"/>
      <c r="M23" s="13"/>
      <c r="N23" s="13"/>
      <c r="O23" s="13"/>
      <c r="P23" s="13"/>
      <c r="Q23" s="13"/>
    </row>
    <row r="24" spans="3:17">
      <c r="C24" s="13"/>
      <c r="D24" s="13"/>
      <c r="E24" s="13"/>
      <c r="F24" s="13"/>
      <c r="G24" s="13"/>
      <c r="H24" s="13"/>
      <c r="I24" s="13"/>
      <c r="J24" s="13"/>
      <c r="K24" s="13"/>
      <c r="L24" s="13"/>
      <c r="M24" s="13"/>
      <c r="N24" s="13"/>
      <c r="O24" s="13"/>
      <c r="P24" s="13"/>
      <c r="Q24" s="13"/>
    </row>
  </sheetData>
  <mergeCells count="1">
    <mergeCell ref="B8:Q19"/>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说明</vt:lpstr>
      <vt:lpstr>高度比</vt:lpstr>
      <vt:lpstr>宽度比</vt:lpstr>
      <vt:lpstr>面积比</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2016-08-15T08:48:19Z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abb63791-6cff-4d46-9b9c-c35b3c59dbb6</vt:lpwstr>
  </property>
  <property fmtid="{D5CDD505-2E9C-101B-9397-08002B2CF9AE}" pid="3" name="KSOProductBuildVer">
    <vt:lpwstr>2052-10.1.0.5850</vt:lpwstr>
  </property>
</Properties>
</file>