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1"/>
  <workbookPr defaultThemeVersion="124226"/>
  <xr:revisionPtr revIDLastSave="0" documentId="13_ncr:1000001_{2C4CF554-FA81-0245-ACD8-16925132ABEE}" xr6:coauthVersionLast="47" xr6:coauthVersionMax="47" xr10:uidLastSave="{00000000-0000-0000-0000-000000000000}"/>
  <bookViews>
    <workbookView xWindow="240" yWindow="15" windowWidth="16095" windowHeight="9660" activeTab="4" xr2:uid="{00000000-000D-0000-FFFF-FFFF00000000}"/>
  </bookViews>
  <sheets>
    <sheet name="Tables" sheetId="1" r:id="rId1"/>
    <sheet name="Local Tax Library" sheetId="2" r:id="rId2"/>
    <sheet name="Inputs" sheetId="3" r:id="rId3"/>
    <sheet name="Calculations" sheetId="4" r:id="rId4"/>
    <sheet name="Results" sheetId="5" r:id="rId5"/>
  </sheets>
  <definedNames>
    <definedName name="AddMedRate">Tables!$P$3</definedName>
    <definedName name="AddMedThresholdMFJ">Tables!$O$3</definedName>
    <definedName name="AddMedThresholdSingle">Tables!$N$3</definedName>
    <definedName name="AfterTaxAnnual">Inputs!$B$23</definedName>
    <definedName name="AnnualSalary">Inputs!$B$9</definedName>
    <definedName name="CityOverride">Inputs!$B$13</definedName>
    <definedName name="CityRateUsed">Calculations!$B$8</definedName>
    <definedName name="FilingStatus">Inputs!$B$10</definedName>
    <definedName name="FSADep">Inputs!$B$20</definedName>
    <definedName name="FSAHealth">Inputs!$B$19</definedName>
    <definedName name="HealthAnnual">Inputs!$B$21</definedName>
    <definedName name="HourlyRate">Inputs!$B$6</definedName>
    <definedName name="HoursPerWeek">Inputs!$B$7</definedName>
    <definedName name="HSA">Inputs!$B$18</definedName>
    <definedName name="KMode">Inputs!$B$15</definedName>
    <definedName name="KRothEntry">Inputs!$B$17</definedName>
    <definedName name="KTradEntry">Inputs!$B$16</definedName>
    <definedName name="LocationProfile">Inputs!$B$11</definedName>
    <definedName name="MedRate">Tables!$M$3</definedName>
    <definedName name="OtherPretax">Inputs!$B$22</definedName>
    <definedName name="PayType">Inputs!$B$5</definedName>
    <definedName name="ProfileNames">'Local Tax Library'!$A$4:$A$1000</definedName>
    <definedName name="ProfileTable">'Local Tax Library'!$A$4:$E$1000</definedName>
    <definedName name="SchoolOverride">Inputs!$B$14</definedName>
    <definedName name="SchoolRateUsed">Calculations!$B$9</definedName>
    <definedName name="SSBase">Tables!$K$3</definedName>
    <definedName name="SSRate">Tables!$L$3</definedName>
    <definedName name="StateOverride">Inputs!$B$12</definedName>
    <definedName name="StateRateUsed">Calculations!$B$7</definedName>
    <definedName name="StdDed">INDEX(Tables!$B$3:$B$5, MATCH(FilingStatus, Tables!$A$3:$A$5, 0))</definedName>
    <definedName name="VADisabilityMonthly">Inputs!$B$24</definedName>
    <definedName name="WeeksPerYear">Inputs!$B$8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4" i="4"/>
  <c r="B17" i="4"/>
  <c r="B19" i="4"/>
  <c r="A28" i="4"/>
  <c r="C28" i="4"/>
  <c r="B28" i="4"/>
  <c r="D28" i="4"/>
  <c r="E28" i="4"/>
  <c r="B24" i="4"/>
  <c r="B36" i="4"/>
  <c r="B37" i="4"/>
  <c r="B38" i="4"/>
  <c r="B39" i="4"/>
  <c r="B7" i="4"/>
  <c r="B41" i="4"/>
  <c r="B8" i="4"/>
  <c r="B42" i="4"/>
  <c r="B9" i="4"/>
  <c r="B43" i="4"/>
  <c r="B44" i="4"/>
  <c r="B48" i="4"/>
  <c r="B15" i="4"/>
  <c r="B50" i="4"/>
  <c r="B52" i="4"/>
  <c r="B53" i="4"/>
  <c r="B56" i="4"/>
  <c r="B35" i="5"/>
  <c r="B55" i="4"/>
  <c r="B34" i="5"/>
  <c r="B54" i="4"/>
  <c r="B33" i="5"/>
  <c r="B32" i="5"/>
  <c r="B31" i="5"/>
  <c r="B28" i="5"/>
  <c r="B27" i="5"/>
  <c r="B26" i="5"/>
  <c r="B25" i="5"/>
  <c r="B22" i="5"/>
  <c r="B21" i="5"/>
  <c r="B20" i="5"/>
  <c r="B19" i="5"/>
  <c r="B16" i="5"/>
  <c r="B15" i="5"/>
  <c r="B14" i="5"/>
  <c r="B11" i="5"/>
  <c r="B10" i="5"/>
  <c r="B7" i="5"/>
  <c r="B6" i="5"/>
  <c r="B5" i="5"/>
  <c r="B4" i="5"/>
  <c r="B46" i="4"/>
  <c r="A34" i="4"/>
  <c r="C34" i="4"/>
  <c r="B34" i="4"/>
  <c r="D34" i="4"/>
  <c r="E34" i="4"/>
  <c r="A33" i="4"/>
  <c r="C33" i="4"/>
  <c r="B33" i="4"/>
  <c r="D33" i="4"/>
  <c r="E33" i="4"/>
  <c r="A32" i="4"/>
  <c r="C32" i="4"/>
  <c r="B32" i="4"/>
  <c r="D32" i="4"/>
  <c r="E32" i="4"/>
  <c r="A31" i="4"/>
  <c r="C31" i="4"/>
  <c r="B31" i="4"/>
  <c r="D31" i="4"/>
  <c r="E31" i="4"/>
  <c r="A30" i="4"/>
  <c r="C30" i="4"/>
  <c r="B30" i="4"/>
  <c r="D30" i="4"/>
  <c r="E30" i="4"/>
  <c r="A29" i="4"/>
  <c r="C29" i="4"/>
  <c r="B29" i="4"/>
  <c r="D29" i="4"/>
  <c r="E29" i="4"/>
  <c r="B21" i="4"/>
  <c r="B22" i="4"/>
  <c r="B5" i="4"/>
  <c r="B4" i="4"/>
  <c r="B3" i="4"/>
</calcChain>
</file>

<file path=xl/sharedStrings.xml><?xml version="1.0" encoding="utf-8"?>
<sst xmlns="http://schemas.openxmlformats.org/spreadsheetml/2006/main" count="192" uniqueCount="142">
  <si>
    <t>Standard Deduction 2025</t>
  </si>
  <si>
    <t>Filing Status</t>
  </si>
  <si>
    <t>Amount</t>
  </si>
  <si>
    <t>Single</t>
  </si>
  <si>
    <t>Married Filing Jointly</t>
  </si>
  <si>
    <t>Head of Household</t>
  </si>
  <si>
    <t>2025 Federal Brackets</t>
  </si>
  <si>
    <t>Bracket #</t>
  </si>
  <si>
    <t>Rate</t>
  </si>
  <si>
    <t>Lower Bound</t>
  </si>
  <si>
    <t>Upper Bound</t>
  </si>
  <si>
    <t>FICA &amp; Medicare (2025)</t>
  </si>
  <si>
    <t>Social Security Wage Base</t>
  </si>
  <si>
    <t>SS Rate (employee)</t>
  </si>
  <si>
    <t>Medicare Rate</t>
  </si>
  <si>
    <t>Additional Medicare Threshold (Single)</t>
  </si>
  <si>
    <t>Additional Medicare Threshold (MFJ)</t>
  </si>
  <si>
    <t>Additional Medicare Rate</t>
  </si>
  <si>
    <t>Location Profiles — GA, SC, NC, OH (editable/expandable)</t>
  </si>
  <si>
    <t>Profile Name</t>
  </si>
  <si>
    <t>State Abbrev</t>
  </si>
  <si>
    <t>State Effective Rate</t>
  </si>
  <si>
    <t>City/Muni Rate</t>
  </si>
  <si>
    <t>School/Local Rate</t>
  </si>
  <si>
    <t>Springfield, OH</t>
  </si>
  <si>
    <t>OH</t>
  </si>
  <si>
    <t>Columbus, OH</t>
  </si>
  <si>
    <t>Cleveland, OH</t>
  </si>
  <si>
    <t>Atlanta, GA</t>
  </si>
  <si>
    <t>GA</t>
  </si>
  <si>
    <t>Savannah, GA</t>
  </si>
  <si>
    <t>Charleston, SC</t>
  </si>
  <si>
    <t>SC</t>
  </si>
  <si>
    <t>Columbia, SC</t>
  </si>
  <si>
    <t>Charlotte, NC</t>
  </si>
  <si>
    <t>NC</t>
  </si>
  <si>
    <t>Raleigh, NC</t>
  </si>
  <si>
    <t>Reference Links — Official Pages</t>
  </si>
  <si>
    <t>Georgia Dept. of Revenue — Individual Income Tax</t>
  </si>
  <si>
    <t>https://dor.georgia.gov/taxes/individual-income-tax</t>
  </si>
  <si>
    <t>South Carolina Dept. of Revenue — Individual Income Tax</t>
  </si>
  <si>
    <t>https://dor.sc.gov/tax/individual-income-tax</t>
  </si>
  <si>
    <t>North Carolina Dept. of Revenue — Tax Rate Schedules</t>
  </si>
  <si>
    <t>https://www.ncdor.gov/taxes-forms/individual-income-tax/tax-rate-schedules</t>
  </si>
  <si>
    <t>Ohio Dept. of Taxation — School District Income Tax Rates</t>
  </si>
  <si>
    <t>https://tax.ohio.gov/individual/get-a-form/school-district-income-tax-rates</t>
  </si>
  <si>
    <t>Take-Home Pay Calculator (2025) — v2.2</t>
  </si>
  <si>
    <t>Generated on 2025-08-08</t>
  </si>
  <si>
    <t>Input</t>
  </si>
  <si>
    <t>Value</t>
  </si>
  <si>
    <t>Notes</t>
  </si>
  <si>
    <t>Pay Type (Salary/Hourly)</t>
  </si>
  <si>
    <t>Hourly</t>
  </si>
  <si>
    <t>Choose 'Salary' or 'Hourly'</t>
  </si>
  <si>
    <t>Hourly Rate (if Hourly)</t>
  </si>
  <si>
    <t>Your hourly pay.</t>
  </si>
  <si>
    <t>Hours per Week (if Hourly)</t>
  </si>
  <si>
    <t>Typical hours per week.</t>
  </si>
  <si>
    <t>Weeks per Year</t>
  </si>
  <si>
    <t>Usually 52.</t>
  </si>
  <si>
    <t>Annual Salary (if Salary)</t>
  </si>
  <si>
    <t>Your annual salary.</t>
  </si>
  <si>
    <t>Select your filing status.</t>
  </si>
  <si>
    <t>Location Profile</t>
  </si>
  <si>
    <t>Choose a saved profile from the 'Local Tax Library' sheet.</t>
  </si>
  <si>
    <t>Override: State Effective Income Tax Rate</t>
  </si>
  <si>
    <t>Leave blank to use the profile value.</t>
  </si>
  <si>
    <t>Override: City/Municipal Income Tax Rate</t>
  </si>
  <si>
    <t>Override: School/Local Income Tax Rate</t>
  </si>
  <si>
    <t>401(k) Entry Mode</t>
  </si>
  <si>
    <t>Percent</t>
  </si>
  <si>
    <t>Choose 'Percent' or '$/yr'</t>
  </si>
  <si>
    <t>401(k) Traditional (pre-tax)</t>
  </si>
  <si>
    <t>Enter % or $/yr based on mode.</t>
  </si>
  <si>
    <t>401(k) Roth (post-tax)</t>
  </si>
  <si>
    <t>HSA (annual pre-tax)</t>
  </si>
  <si>
    <t>Health Savings Account contributions.</t>
  </si>
  <si>
    <t>FSA Healthcare (annual pre-tax)</t>
  </si>
  <si>
    <t>Flexible Spending Account (health).</t>
  </si>
  <si>
    <t>FSA Dependent Care (annual pre-tax)</t>
  </si>
  <si>
    <t>Dependent Care FSA.</t>
  </si>
  <si>
    <t>Health Premiums (annual pre-tax)</t>
  </si>
  <si>
    <t>Medical/dental/vision premiums.</t>
  </si>
  <si>
    <t>Other Pre-tax (annual)</t>
  </si>
  <si>
    <t>Any other pre-tax amounts.</t>
  </si>
  <si>
    <t>After-tax Deductions (annual)</t>
  </si>
  <si>
    <t>Union dues, Roth IRA, insurance, etc.</t>
  </si>
  <si>
    <t>VA Disability (monthly, non-taxable add)</t>
  </si>
  <si>
    <t>Added to net monthly take-home.</t>
  </si>
  <si>
    <t>Profile-derived Rates</t>
  </si>
  <si>
    <t>State Effective Rate (from profile)</t>
  </si>
  <si>
    <t>City/Muni Rate (from profile)</t>
  </si>
  <si>
    <t>School/Local Rate (from profile)</t>
  </si>
  <si>
    <t>State Effective Rate Used</t>
  </si>
  <si>
    <t>City/Muni Rate Used</t>
  </si>
  <si>
    <t>School/Local Rate Used</t>
  </si>
  <si>
    <t>Gross Pay</t>
  </si>
  <si>
    <t>401(k) Traditional (pre-tax) — resolved</t>
  </si>
  <si>
    <t>401(k) Roth (post-tax) — resolved</t>
  </si>
  <si>
    <t>Pre-tax Total (HSA + FSAs + Health + Other + 401k Traditional)</t>
  </si>
  <si>
    <t>Wages After Pre-tax</t>
  </si>
  <si>
    <t>Standard Deduction (per filing status)</t>
  </si>
  <si>
    <t>Federal Taxable Income</t>
  </si>
  <si>
    <t>Estimated Federal Income Tax</t>
  </si>
  <si>
    <t>Helper: Bracket Calc</t>
  </si>
  <si>
    <t>Lower</t>
  </si>
  <si>
    <t>Upper</t>
  </si>
  <si>
    <t>Taxable Portion</t>
  </si>
  <si>
    <t>Tax for Bracket</t>
  </si>
  <si>
    <t>Social Security (6.2% up to base)</t>
  </si>
  <si>
    <t>Medicare (1.45%)</t>
  </si>
  <si>
    <t>Additional Medicare (0.9%)</t>
  </si>
  <si>
    <t>Total FICA</t>
  </si>
  <si>
    <t>State Income Tax (effective)</t>
  </si>
  <si>
    <t>City/Municipal Tax</t>
  </si>
  <si>
    <t>School/Local Tax</t>
  </si>
  <si>
    <t>Total State &amp; Local</t>
  </si>
  <si>
    <t>Total Taxes (Federal + FICA + State/Local)</t>
  </si>
  <si>
    <t>Net Take-Home BEFORE post-tax deductions (Annual)</t>
  </si>
  <si>
    <t>Post-tax Deductions (Roth 401k + After-tax)</t>
  </si>
  <si>
    <t>Final Net Take-Home (Annual)</t>
  </si>
  <si>
    <t>Final Net Take-Home (Monthly)</t>
  </si>
  <si>
    <t>Final Net Take-Home (Biweekly)</t>
  </si>
  <si>
    <t>Final Net Take-Home (Weekly)</t>
  </si>
  <si>
    <t>Final Net Take-Home incl. VA Disability (Monthly)</t>
  </si>
  <si>
    <t>Your Estimated Take-Home Pay — v2.2</t>
  </si>
  <si>
    <t>Location Rates Used</t>
  </si>
  <si>
    <t>Selected Profile</t>
  </si>
  <si>
    <t>City/Municipal Rate</t>
  </si>
  <si>
    <t>Federal Summary</t>
  </si>
  <si>
    <t>Standard Deduction (2025)</t>
  </si>
  <si>
    <t>Payroll Taxes (FICA)</t>
  </si>
  <si>
    <t>Social Security</t>
  </si>
  <si>
    <t>Medicare (incl. additional)</t>
  </si>
  <si>
    <t>State &amp; Local</t>
  </si>
  <si>
    <t>Contributions &amp; Deductions</t>
  </si>
  <si>
    <t>Pre-tax (HSA/FSAs/Health/Other excl. 401k Trad)</t>
  </si>
  <si>
    <t>Net Take-Home</t>
  </si>
  <si>
    <t>How to use</t>
  </si>
  <si>
    <t>Pick a Location Profile on Inputs (GA, SC, NC, OH preloaded). Add more on 'Local Tax Library'.</t>
  </si>
  <si>
    <t>Set 401(k) mode to Percent or $/yr. Enter Traditional (pre-tax) and Roth (post-tax) separately.</t>
  </si>
  <si>
    <t>Enter HSA/FSAs/health/other pre-tax; add any after-tax deductions. Results update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</si>
</sst>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rgb="FF6666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0" fontId="0" fillId="0" borderId="0" xfId="0" applyNumberFormat="1"/>
    <xf numFmtId="0" fontId="3" fillId="0" borderId="0" xfId="1" applyAlignment="1" applyProtection="1"/>
    <xf numFmtId="0" fontId="4" fillId="0" borderId="0" xfId="0" applyFont="1"/>
    <xf numFmtId="164" fontId="0" fillId="0" borderId="0" xfId="0" applyNumberFormat="1"/>
    <xf numFmtId="0" fontId="1" fillId="0" borderId="0" xfId="0" applyFo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dor.gov/taxes-forms/individual-income-tax/tax-rate-schedules" TargetMode="External"/><Relationship Id="rId2" Type="http://schemas.openxmlformats.org/officeDocument/2006/relationships/hyperlink" Target="https://dor.sc.gov/tax/individual-income-tax" TargetMode="External"/><Relationship Id="rId1" Type="http://schemas.openxmlformats.org/officeDocument/2006/relationships/hyperlink" Target="https://dor.georgia.gov/taxes/individual-income-tax" TargetMode="External"/><Relationship Id="rId4" Type="http://schemas.openxmlformats.org/officeDocument/2006/relationships/hyperlink" Target="https://tax.ohio.gov/individual/get-a-form/school-district-income-tax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/>
  </sheetViews>
  <sheetFormatPr defaultRowHeight="15" x14ac:dyDescent="0.2"/>
  <sheetData>
    <row r="1" spans="1:16" x14ac:dyDescent="0.2">
      <c r="A1" s="1" t="s">
        <v>0</v>
      </c>
      <c r="E1" s="1" t="s">
        <v>6</v>
      </c>
      <c r="K1" s="1" t="s">
        <v>11</v>
      </c>
    </row>
    <row r="2" spans="1:16" x14ac:dyDescent="0.2">
      <c r="A2" s="1" t="s">
        <v>1</v>
      </c>
      <c r="B2" s="1" t="s">
        <v>2</v>
      </c>
      <c r="E2" s="1" t="s">
        <v>1</v>
      </c>
      <c r="F2" s="1" t="s">
        <v>7</v>
      </c>
      <c r="G2" s="1" t="s">
        <v>8</v>
      </c>
      <c r="H2" s="1" t="s">
        <v>9</v>
      </c>
      <c r="I2" s="1" t="s">
        <v>10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1:16" x14ac:dyDescent="0.2">
      <c r="A3" t="s">
        <v>3</v>
      </c>
      <c r="B3">
        <v>15000</v>
      </c>
      <c r="E3" t="s">
        <v>3</v>
      </c>
      <c r="F3">
        <v>1</v>
      </c>
      <c r="G3">
        <v>0.1</v>
      </c>
      <c r="H3">
        <v>0</v>
      </c>
      <c r="I3">
        <v>11925</v>
      </c>
      <c r="K3">
        <v>176100</v>
      </c>
      <c r="L3">
        <v>6.2E-2</v>
      </c>
      <c r="M3">
        <v>1.4500000000000001E-2</v>
      </c>
      <c r="N3">
        <v>200000</v>
      </c>
      <c r="O3">
        <v>250000</v>
      </c>
      <c r="P3">
        <v>8.9999999999999993E-3</v>
      </c>
    </row>
    <row r="4" spans="1:16" x14ac:dyDescent="0.2">
      <c r="A4" t="s">
        <v>4</v>
      </c>
      <c r="B4">
        <v>30000</v>
      </c>
      <c r="E4" t="s">
        <v>3</v>
      </c>
      <c r="F4">
        <v>2</v>
      </c>
      <c r="G4">
        <v>0.12</v>
      </c>
      <c r="H4">
        <v>11925</v>
      </c>
      <c r="I4">
        <v>48475</v>
      </c>
    </row>
    <row r="5" spans="1:16" x14ac:dyDescent="0.2">
      <c r="A5" t="s">
        <v>5</v>
      </c>
      <c r="B5">
        <v>22500</v>
      </c>
      <c r="E5" t="s">
        <v>3</v>
      </c>
      <c r="F5">
        <v>3</v>
      </c>
      <c r="G5">
        <v>0.22</v>
      </c>
      <c r="H5">
        <v>48475</v>
      </c>
      <c r="I5">
        <v>103350</v>
      </c>
    </row>
    <row r="6" spans="1:16" x14ac:dyDescent="0.2">
      <c r="E6" t="s">
        <v>3</v>
      </c>
      <c r="F6">
        <v>4</v>
      </c>
      <c r="G6">
        <v>0.24</v>
      </c>
      <c r="H6">
        <v>103350</v>
      </c>
      <c r="I6">
        <v>197300</v>
      </c>
    </row>
    <row r="7" spans="1:16" x14ac:dyDescent="0.2">
      <c r="E7" t="s">
        <v>3</v>
      </c>
      <c r="F7">
        <v>5</v>
      </c>
      <c r="G7">
        <v>0.32</v>
      </c>
      <c r="H7">
        <v>197300</v>
      </c>
      <c r="I7">
        <v>251300</v>
      </c>
    </row>
    <row r="8" spans="1:16" x14ac:dyDescent="0.2">
      <c r="E8" t="s">
        <v>3</v>
      </c>
      <c r="F8">
        <v>6</v>
      </c>
      <c r="G8">
        <v>0.35</v>
      </c>
      <c r="H8">
        <v>251300</v>
      </c>
      <c r="I8">
        <v>626350</v>
      </c>
    </row>
    <row r="9" spans="1:16" x14ac:dyDescent="0.2">
      <c r="E9" t="s">
        <v>3</v>
      </c>
      <c r="F9">
        <v>7</v>
      </c>
      <c r="G9">
        <v>0.37</v>
      </c>
      <c r="H9">
        <v>626350</v>
      </c>
    </row>
    <row r="10" spans="1:16" x14ac:dyDescent="0.2">
      <c r="E10" t="s">
        <v>4</v>
      </c>
      <c r="F10">
        <v>1</v>
      </c>
      <c r="G10">
        <v>0.1</v>
      </c>
      <c r="H10">
        <v>0</v>
      </c>
      <c r="I10">
        <v>23850</v>
      </c>
    </row>
    <row r="11" spans="1:16" x14ac:dyDescent="0.2">
      <c r="E11" t="s">
        <v>4</v>
      </c>
      <c r="F11">
        <v>2</v>
      </c>
      <c r="G11">
        <v>0.12</v>
      </c>
      <c r="H11">
        <v>23850</v>
      </c>
      <c r="I11">
        <v>96950</v>
      </c>
    </row>
    <row r="12" spans="1:16" x14ac:dyDescent="0.2">
      <c r="E12" t="s">
        <v>4</v>
      </c>
      <c r="F12">
        <v>3</v>
      </c>
      <c r="G12">
        <v>0.22</v>
      </c>
      <c r="H12">
        <v>96950</v>
      </c>
      <c r="I12">
        <v>206700</v>
      </c>
    </row>
    <row r="13" spans="1:16" x14ac:dyDescent="0.2">
      <c r="E13" t="s">
        <v>4</v>
      </c>
      <c r="F13">
        <v>4</v>
      </c>
      <c r="G13">
        <v>0.24</v>
      </c>
      <c r="H13">
        <v>206700</v>
      </c>
      <c r="I13">
        <v>394600</v>
      </c>
    </row>
    <row r="14" spans="1:16" x14ac:dyDescent="0.2">
      <c r="E14" t="s">
        <v>4</v>
      </c>
      <c r="F14">
        <v>5</v>
      </c>
      <c r="G14">
        <v>0.32</v>
      </c>
      <c r="H14">
        <v>394600</v>
      </c>
      <c r="I14">
        <v>502600</v>
      </c>
    </row>
    <row r="15" spans="1:16" x14ac:dyDescent="0.2">
      <c r="E15" t="s">
        <v>4</v>
      </c>
      <c r="F15">
        <v>6</v>
      </c>
      <c r="G15">
        <v>0.35</v>
      </c>
      <c r="H15">
        <v>502600</v>
      </c>
      <c r="I15">
        <v>751600</v>
      </c>
    </row>
    <row r="16" spans="1:16" x14ac:dyDescent="0.2">
      <c r="E16" t="s">
        <v>4</v>
      </c>
      <c r="F16">
        <v>7</v>
      </c>
      <c r="G16">
        <v>0.37</v>
      </c>
      <c r="H16">
        <v>751600</v>
      </c>
    </row>
    <row r="17" spans="5:9" x14ac:dyDescent="0.2">
      <c r="E17" t="s">
        <v>5</v>
      </c>
      <c r="F17">
        <v>1</v>
      </c>
      <c r="G17">
        <v>0.1</v>
      </c>
      <c r="H17">
        <v>0</v>
      </c>
      <c r="I17">
        <v>17000</v>
      </c>
    </row>
    <row r="18" spans="5:9" x14ac:dyDescent="0.2">
      <c r="E18" t="s">
        <v>5</v>
      </c>
      <c r="F18">
        <v>2</v>
      </c>
      <c r="G18">
        <v>0.12</v>
      </c>
      <c r="H18">
        <v>17000</v>
      </c>
      <c r="I18">
        <v>68450</v>
      </c>
    </row>
    <row r="19" spans="5:9" x14ac:dyDescent="0.2">
      <c r="E19" t="s">
        <v>5</v>
      </c>
      <c r="F19">
        <v>3</v>
      </c>
      <c r="G19">
        <v>0.22</v>
      </c>
      <c r="H19">
        <v>68450</v>
      </c>
      <c r="I19">
        <v>100500</v>
      </c>
    </row>
    <row r="20" spans="5:9" x14ac:dyDescent="0.2">
      <c r="E20" t="s">
        <v>5</v>
      </c>
      <c r="F20">
        <v>4</v>
      </c>
      <c r="G20">
        <v>0.24</v>
      </c>
      <c r="H20">
        <v>100500</v>
      </c>
      <c r="I20">
        <v>201700</v>
      </c>
    </row>
    <row r="21" spans="5:9" x14ac:dyDescent="0.2">
      <c r="E21" t="s">
        <v>5</v>
      </c>
      <c r="F21">
        <v>5</v>
      </c>
      <c r="G21">
        <v>0.32</v>
      </c>
      <c r="H21">
        <v>201700</v>
      </c>
      <c r="I21">
        <v>254100</v>
      </c>
    </row>
    <row r="22" spans="5:9" x14ac:dyDescent="0.2">
      <c r="E22" t="s">
        <v>5</v>
      </c>
      <c r="F22">
        <v>6</v>
      </c>
      <c r="G22">
        <v>0.35</v>
      </c>
      <c r="H22">
        <v>254100</v>
      </c>
      <c r="I22">
        <v>626350</v>
      </c>
    </row>
    <row r="23" spans="5:9" x14ac:dyDescent="0.2">
      <c r="E23" t="s">
        <v>5</v>
      </c>
      <c r="F23">
        <v>7</v>
      </c>
      <c r="G23">
        <v>0.37</v>
      </c>
      <c r="H23">
        <v>626350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5" x14ac:dyDescent="0.2"/>
  <cols>
    <col min="1" max="5" width="30.66796875" customWidth="1"/>
  </cols>
  <sheetData>
    <row r="1" spans="1:5" ht="18.75" x14ac:dyDescent="0.25">
      <c r="A1" s="2" t="s">
        <v>18</v>
      </c>
    </row>
    <row r="3" spans="1:5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</row>
    <row r="4" spans="1:5" x14ac:dyDescent="0.2">
      <c r="A4" t="s">
        <v>24</v>
      </c>
      <c r="B4" t="s">
        <v>25</v>
      </c>
      <c r="C4" s="3">
        <v>2.5999999999999999E-2</v>
      </c>
      <c r="D4" s="3">
        <v>2.4E-2</v>
      </c>
      <c r="E4" s="3">
        <v>0.01</v>
      </c>
    </row>
    <row r="5" spans="1:5" x14ac:dyDescent="0.2">
      <c r="A5" t="s">
        <v>26</v>
      </c>
      <c r="B5" t="s">
        <v>25</v>
      </c>
      <c r="C5" s="3">
        <v>2.5999999999999999E-2</v>
      </c>
      <c r="D5" s="3">
        <v>2.5000000000000001E-2</v>
      </c>
      <c r="E5" s="3">
        <v>0</v>
      </c>
    </row>
    <row r="6" spans="1:5" x14ac:dyDescent="0.2">
      <c r="A6" t="s">
        <v>27</v>
      </c>
      <c r="B6" t="s">
        <v>25</v>
      </c>
      <c r="C6" s="3">
        <v>2.5999999999999999E-2</v>
      </c>
      <c r="D6" s="3">
        <v>0.02</v>
      </c>
      <c r="E6" s="3">
        <v>0</v>
      </c>
    </row>
    <row r="7" spans="1:5" x14ac:dyDescent="0.2">
      <c r="A7" t="s">
        <v>28</v>
      </c>
      <c r="B7" t="s">
        <v>29</v>
      </c>
      <c r="C7" s="3">
        <v>5.3900000000000003E-2</v>
      </c>
      <c r="D7" s="3">
        <v>0</v>
      </c>
      <c r="E7" s="3">
        <v>0</v>
      </c>
    </row>
    <row r="8" spans="1:5" x14ac:dyDescent="0.2">
      <c r="A8" t="s">
        <v>30</v>
      </c>
      <c r="B8" t="s">
        <v>29</v>
      </c>
      <c r="C8" s="3">
        <v>5.3900000000000003E-2</v>
      </c>
      <c r="D8" s="3">
        <v>0</v>
      </c>
      <c r="E8" s="3">
        <v>0</v>
      </c>
    </row>
    <row r="9" spans="1:5" x14ac:dyDescent="0.2">
      <c r="A9" t="s">
        <v>31</v>
      </c>
      <c r="B9" t="s">
        <v>32</v>
      </c>
      <c r="C9" s="3">
        <v>6.4000000000000001E-2</v>
      </c>
      <c r="D9" s="3">
        <v>0</v>
      </c>
      <c r="E9" s="3">
        <v>0</v>
      </c>
    </row>
    <row r="10" spans="1:5" x14ac:dyDescent="0.2">
      <c r="A10" t="s">
        <v>33</v>
      </c>
      <c r="B10" t="s">
        <v>32</v>
      </c>
      <c r="C10" s="3">
        <v>6.4000000000000001E-2</v>
      </c>
      <c r="D10" s="3">
        <v>0</v>
      </c>
      <c r="E10" s="3">
        <v>0</v>
      </c>
    </row>
    <row r="11" spans="1:5" x14ac:dyDescent="0.2">
      <c r="A11" t="s">
        <v>34</v>
      </c>
      <c r="B11" t="s">
        <v>35</v>
      </c>
      <c r="C11" s="3">
        <v>4.4999999999999998E-2</v>
      </c>
      <c r="D11" s="3">
        <v>0</v>
      </c>
      <c r="E11" s="3">
        <v>0</v>
      </c>
    </row>
    <row r="12" spans="1:5" x14ac:dyDescent="0.2">
      <c r="A12" t="s">
        <v>36</v>
      </c>
      <c r="B12" t="s">
        <v>35</v>
      </c>
      <c r="C12" s="3">
        <v>4.4999999999999998E-2</v>
      </c>
      <c r="D12" s="3">
        <v>0</v>
      </c>
      <c r="E12" s="3">
        <v>0</v>
      </c>
    </row>
    <row r="15" spans="1:5" x14ac:dyDescent="0.2">
      <c r="A15" s="1" t="s">
        <v>37</v>
      </c>
    </row>
    <row r="16" spans="1:5" x14ac:dyDescent="0.2">
      <c r="A16" t="s">
        <v>38</v>
      </c>
      <c r="B16" s="4" t="s">
        <v>39</v>
      </c>
    </row>
    <row r="17" spans="1:2" x14ac:dyDescent="0.2">
      <c r="A17" t="s">
        <v>40</v>
      </c>
      <c r="B17" s="4" t="s">
        <v>41</v>
      </c>
    </row>
    <row r="18" spans="1:2" x14ac:dyDescent="0.2">
      <c r="A18" t="s">
        <v>42</v>
      </c>
      <c r="B18" s="4" t="s">
        <v>43</v>
      </c>
    </row>
    <row r="19" spans="1:2" x14ac:dyDescent="0.2">
      <c r="A19" t="s">
        <v>44</v>
      </c>
      <c r="B19" s="4" t="s">
        <v>45</v>
      </c>
    </row>
  </sheetData>
  <hyperlinks>
    <hyperlink ref="B16" r:id="rId1" xr:uid="{00000000-0004-0000-0100-000000000000}"/>
    <hyperlink ref="B17" r:id="rId2" xr:uid="{00000000-0004-0000-0100-000001000000}"/>
    <hyperlink ref="B18" r:id="rId3" xr:uid="{00000000-0004-0000-0100-000002000000}"/>
    <hyperlink ref="B19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topLeftCell="A5" workbookViewId="0">
      <selection activeCell="B25" sqref="B25"/>
    </sheetView>
  </sheetViews>
  <sheetFormatPr defaultRowHeight="15" x14ac:dyDescent="0.2"/>
  <cols>
    <col min="1" max="1" width="44.66015625" customWidth="1"/>
    <col min="2" max="2" width="26.76953125" customWidth="1"/>
    <col min="3" max="3" width="56.765625" customWidth="1"/>
  </cols>
  <sheetData>
    <row r="1" spans="1:3" ht="18.75" x14ac:dyDescent="0.25">
      <c r="A1" s="2" t="s">
        <v>46</v>
      </c>
    </row>
    <row r="2" spans="1:3" x14ac:dyDescent="0.2">
      <c r="A2" s="5" t="s">
        <v>47</v>
      </c>
    </row>
    <row r="4" spans="1:3" x14ac:dyDescent="0.2">
      <c r="A4" s="1" t="s">
        <v>48</v>
      </c>
      <c r="B4" s="1" t="s">
        <v>49</v>
      </c>
      <c r="C4" s="1" t="s">
        <v>50</v>
      </c>
    </row>
    <row r="5" spans="1:3" x14ac:dyDescent="0.2">
      <c r="A5" t="s">
        <v>51</v>
      </c>
      <c r="B5" t="s">
        <v>52</v>
      </c>
      <c r="C5" t="s">
        <v>53</v>
      </c>
    </row>
    <row r="6" spans="1:3" x14ac:dyDescent="0.2">
      <c r="A6" t="s">
        <v>54</v>
      </c>
      <c r="B6" s="3">
        <v>45</v>
      </c>
      <c r="C6" t="s">
        <v>55</v>
      </c>
    </row>
    <row r="7" spans="1:3" x14ac:dyDescent="0.2">
      <c r="A7" t="s">
        <v>56</v>
      </c>
      <c r="B7" s="6">
        <v>40</v>
      </c>
      <c r="C7" t="s">
        <v>57</v>
      </c>
    </row>
    <row r="8" spans="1:3" x14ac:dyDescent="0.2">
      <c r="A8" t="s">
        <v>58</v>
      </c>
      <c r="B8">
        <v>52</v>
      </c>
      <c r="C8" t="s">
        <v>59</v>
      </c>
    </row>
    <row r="9" spans="1:3" x14ac:dyDescent="0.2">
      <c r="A9" t="s">
        <v>60</v>
      </c>
      <c r="B9" s="6">
        <v>140000</v>
      </c>
      <c r="C9" t="s">
        <v>61</v>
      </c>
    </row>
    <row r="10" spans="1:3" x14ac:dyDescent="0.2">
      <c r="A10" t="s">
        <v>1</v>
      </c>
      <c r="B10" t="s">
        <v>5</v>
      </c>
      <c r="C10" t="s">
        <v>62</v>
      </c>
    </row>
    <row r="11" spans="1:3" x14ac:dyDescent="0.2">
      <c r="A11" t="s">
        <v>63</v>
      </c>
      <c r="B11" t="s">
        <v>36</v>
      </c>
      <c r="C11" t="s">
        <v>64</v>
      </c>
    </row>
    <row r="12" spans="1:3" x14ac:dyDescent="0.2">
      <c r="A12" t="s">
        <v>65</v>
      </c>
      <c r="B12" s="3">
        <v>2.5999999999999999E-2</v>
      </c>
      <c r="C12" t="s">
        <v>66</v>
      </c>
    </row>
    <row r="13" spans="1:3" x14ac:dyDescent="0.2">
      <c r="A13" t="s">
        <v>67</v>
      </c>
      <c r="B13" s="3">
        <v>2.4E-2</v>
      </c>
      <c r="C13" t="s">
        <v>66</v>
      </c>
    </row>
    <row r="14" spans="1:3" x14ac:dyDescent="0.2">
      <c r="A14" t="s">
        <v>68</v>
      </c>
      <c r="B14" s="3">
        <v>0.01</v>
      </c>
      <c r="C14" t="s">
        <v>66</v>
      </c>
    </row>
    <row r="15" spans="1:3" x14ac:dyDescent="0.2">
      <c r="A15" t="s">
        <v>69</v>
      </c>
      <c r="B15" t="s">
        <v>70</v>
      </c>
      <c r="C15" t="s">
        <v>71</v>
      </c>
    </row>
    <row r="16" spans="1:3" x14ac:dyDescent="0.2">
      <c r="A16" t="s">
        <v>72</v>
      </c>
      <c r="B16" s="3">
        <v>0.05</v>
      </c>
      <c r="C16" t="s">
        <v>73</v>
      </c>
    </row>
    <row r="17" spans="1:3" x14ac:dyDescent="0.2">
      <c r="A17" t="s">
        <v>74</v>
      </c>
      <c r="B17" s="3">
        <v>0</v>
      </c>
      <c r="C17" t="s">
        <v>73</v>
      </c>
    </row>
    <row r="18" spans="1:3" x14ac:dyDescent="0.2">
      <c r="A18" t="s">
        <v>75</v>
      </c>
      <c r="B18" s="6">
        <v>0</v>
      </c>
      <c r="C18" t="s">
        <v>76</v>
      </c>
    </row>
    <row r="19" spans="1:3" x14ac:dyDescent="0.2">
      <c r="A19" t="s">
        <v>77</v>
      </c>
      <c r="B19" s="6">
        <v>0</v>
      </c>
      <c r="C19" t="s">
        <v>78</v>
      </c>
    </row>
    <row r="20" spans="1:3" x14ac:dyDescent="0.2">
      <c r="A20" t="s">
        <v>79</v>
      </c>
      <c r="B20" s="6">
        <v>0</v>
      </c>
      <c r="C20" t="s">
        <v>80</v>
      </c>
    </row>
    <row r="21" spans="1:3" x14ac:dyDescent="0.2">
      <c r="A21" t="s">
        <v>81</v>
      </c>
      <c r="B21" s="6">
        <v>0</v>
      </c>
      <c r="C21" t="s">
        <v>82</v>
      </c>
    </row>
    <row r="22" spans="1:3" x14ac:dyDescent="0.2">
      <c r="A22" t="s">
        <v>83</v>
      </c>
      <c r="B22" s="6">
        <v>0</v>
      </c>
      <c r="C22" t="s">
        <v>84</v>
      </c>
    </row>
    <row r="23" spans="1:3" x14ac:dyDescent="0.2">
      <c r="A23" t="s">
        <v>85</v>
      </c>
      <c r="B23" s="6">
        <v>0</v>
      </c>
      <c r="C23" t="s">
        <v>86</v>
      </c>
    </row>
    <row r="24" spans="1:3" x14ac:dyDescent="0.2">
      <c r="A24" t="s">
        <v>87</v>
      </c>
      <c r="B24" s="6">
        <v>0</v>
      </c>
      <c r="C24" t="s">
        <v>88</v>
      </c>
    </row>
    <row r="25" spans="1:3" x14ac:dyDescent="0.2">
      <c r="B25" s="8"/>
    </row>
  </sheetData>
  <dataValidations count="4">
    <dataValidation type="list" allowBlank="1" showInputMessage="1" showErrorMessage="1" sqref="B5" xr:uid="{00000000-0002-0000-0200-000000000000}">
      <formula1>"Salary,Hourly"</formula1>
    </dataValidation>
    <dataValidation type="list" allowBlank="1" showInputMessage="1" showErrorMessage="1" sqref="B10" xr:uid="{00000000-0002-0000-0200-000001000000}">
      <formula1>"Single,Married Filing Jointly,Head of Household"</formula1>
    </dataValidation>
    <dataValidation type="list" allowBlank="1" showInputMessage="1" showErrorMessage="1" sqref="B11" xr:uid="{00000000-0002-0000-0200-000002000000}">
      <formula1>ProfileNames</formula1>
    </dataValidation>
    <dataValidation type="list" allowBlank="1" showInputMessage="1" showErrorMessage="1" sqref="B15" xr:uid="{00000000-0002-0000-0200-000003000000}">
      <formula1>"Percent,$/yr"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6"/>
  <sheetViews>
    <sheetView workbookViewId="0"/>
  </sheetViews>
  <sheetFormatPr defaultRowHeight="15" x14ac:dyDescent="0.2"/>
  <cols>
    <col min="1" max="1" width="50.71484375" customWidth="1"/>
    <col min="2" max="2" width="26.76953125" customWidth="1"/>
  </cols>
  <sheetData>
    <row r="2" spans="1:2" x14ac:dyDescent="0.2">
      <c r="A2" s="1" t="s">
        <v>89</v>
      </c>
    </row>
    <row r="3" spans="1:2" x14ac:dyDescent="0.2">
      <c r="A3" t="s">
        <v>90</v>
      </c>
      <c r="B3" s="3">
        <f>IFERROR(INDEX('Local Tax Library'!$C$4:$C$1000, MATCH(LocationProfile, 'Local Tax Library'!$A$4:$A$1000, 0)), "")</f>
        <v>4.4999999999999998E-2</v>
      </c>
    </row>
    <row r="4" spans="1:2" x14ac:dyDescent="0.2">
      <c r="A4" t="s">
        <v>91</v>
      </c>
      <c r="B4" s="3">
        <f>IFERROR(INDEX('Local Tax Library'!$D$4:$D$1000, MATCH(LocationProfile, 'Local Tax Library'!$A$4:$A$1000, 0)), "")</f>
        <v>0</v>
      </c>
    </row>
    <row r="5" spans="1:2" x14ac:dyDescent="0.2">
      <c r="A5" t="s">
        <v>92</v>
      </c>
      <c r="B5" s="3">
        <f>IFERROR(INDEX('Local Tax Library'!$E$4:$E$1000, MATCH(LocationProfile, 'Local Tax Library'!$A$4:$A$1000, 0)), "")</f>
        <v>0</v>
      </c>
    </row>
    <row r="7" spans="1:2" x14ac:dyDescent="0.2">
      <c r="A7" s="7" t="s">
        <v>93</v>
      </c>
      <c r="B7" s="3">
        <f>IF(StateOverride="", B3, StateOverride)</f>
        <v>2.5999999999999999E-2</v>
      </c>
    </row>
    <row r="8" spans="1:2" x14ac:dyDescent="0.2">
      <c r="A8" s="7" t="s">
        <v>94</v>
      </c>
      <c r="B8" s="3">
        <f>IF(CityOverride="", B4, CityOverride)</f>
        <v>2.4E-2</v>
      </c>
    </row>
    <row r="9" spans="1:2" x14ac:dyDescent="0.2">
      <c r="A9" s="7" t="s">
        <v>95</v>
      </c>
      <c r="B9" s="3">
        <f>IF(SchoolOverride="", B5, SchoolOverride)</f>
        <v>0.01</v>
      </c>
    </row>
    <row r="12" spans="1:2" x14ac:dyDescent="0.2">
      <c r="A12" s="7" t="s">
        <v>96</v>
      </c>
      <c r="B12" s="6">
        <f>IF(PayType="Hourly", HourlyRate*HoursPerWeek*WeeksPerYear, AnnualSalary)</f>
        <v>93600</v>
      </c>
    </row>
    <row r="14" spans="1:2" x14ac:dyDescent="0.2">
      <c r="A14" s="7" t="s">
        <v>97</v>
      </c>
      <c r="B14" s="6">
        <f>IF(KMode="Percent", B12*KTradEntry, KTradEntry)</f>
        <v>4680</v>
      </c>
    </row>
    <row r="15" spans="1:2" x14ac:dyDescent="0.2">
      <c r="A15" s="7" t="s">
        <v>98</v>
      </c>
      <c r="B15" s="6">
        <f>IF(KMode="Percent", B12*KRothEntry, KRothEntry)</f>
        <v>0</v>
      </c>
    </row>
    <row r="17" spans="1:5" x14ac:dyDescent="0.2">
      <c r="A17" s="7" t="s">
        <v>99</v>
      </c>
      <c r="B17" s="6">
        <f>HSA+FSAHealth+FSADep+HealthAnnual+OtherPretax+B14</f>
        <v>4680</v>
      </c>
    </row>
    <row r="19" spans="1:5" x14ac:dyDescent="0.2">
      <c r="A19" s="7" t="s">
        <v>100</v>
      </c>
      <c r="B19" s="6">
        <f>B12-B17</f>
        <v>88920</v>
      </c>
    </row>
    <row r="21" spans="1:5" x14ac:dyDescent="0.2">
      <c r="A21" s="7" t="s">
        <v>101</v>
      </c>
      <c r="B21" s="6">
        <f>StdDed</f>
        <v>22500</v>
      </c>
    </row>
    <row r="22" spans="1:5" x14ac:dyDescent="0.2">
      <c r="A22" s="7" t="s">
        <v>102</v>
      </c>
      <c r="B22" s="6">
        <f>MAX(0,B19-B21)</f>
        <v>66420</v>
      </c>
    </row>
    <row r="24" spans="1:5" x14ac:dyDescent="0.2">
      <c r="A24" s="7" t="s">
        <v>103</v>
      </c>
      <c r="B24" s="6" t="e">
        <f>SUM(E28:E34)</f>
        <v>#VALUE!</v>
      </c>
    </row>
    <row r="26" spans="1:5" x14ac:dyDescent="0.2">
      <c r="A26" s="1" t="s">
        <v>104</v>
      </c>
    </row>
    <row r="27" spans="1:5" x14ac:dyDescent="0.2">
      <c r="A27" s="1" t="s">
        <v>8</v>
      </c>
      <c r="B27" s="1" t="s">
        <v>105</v>
      </c>
      <c r="C27" s="1" t="s">
        <v>106</v>
      </c>
      <c r="D27" s="1" t="s">
        <v>107</v>
      </c>
      <c r="E27" s="1" t="s">
        <v>108</v>
      </c>
    </row>
    <row r="28" spans="1:5" x14ac:dyDescent="0.2">
      <c r="A28" s="3" t="e">
        <f>INDEX(Tables!$G$3:$G$23, MATCH(1, (Tables!$E$3:$E$23=FilingStatus)*(Tables!$F$3:$F$23=1), 0))</f>
        <v>#VALUE!</v>
      </c>
      <c r="B28" s="6" t="e">
        <f>INDEX(Tables!$H$3:$H$23, MATCH(1, (Tables!$E$3:$E$23=FilingStatus)*(Tables!$F$3:$F$23=1), 0))</f>
        <v>#VALUE!</v>
      </c>
      <c r="C28" s="6" t="e">
        <f>INDEX(Tables!$I$3:$I$23, MATCH(1, (Tables!$E$3:$E$23=FilingStatus)*(Tables!$F$3:$F$23=1), 0))</f>
        <v>#VALUE!</v>
      </c>
      <c r="D28" s="6" t="e">
        <f>MAX(0, MIN(IF(C28="", B22, C28), B22) - B28)</f>
        <v>#VALUE!</v>
      </c>
      <c r="E28" s="6" t="e">
        <f>A28*D28</f>
        <v>#VALUE!</v>
      </c>
    </row>
    <row r="29" spans="1:5" x14ac:dyDescent="0.2">
      <c r="A29" s="3" t="e">
        <f>INDEX(Tables!$G$3:$G$23, MATCH(1, (Tables!$E$3:$E$23=FilingStatus)*(Tables!$F$3:$F$23=2), 0))</f>
        <v>#VALUE!</v>
      </c>
      <c r="B29" s="6" t="e">
        <f>INDEX(Tables!$H$3:$H$23, MATCH(1, (Tables!$E$3:$E$23=FilingStatus)*(Tables!$F$3:$F$23=2), 0))</f>
        <v>#VALUE!</v>
      </c>
      <c r="C29" s="6" t="e">
        <f>INDEX(Tables!$I$3:$I$23, MATCH(1, (Tables!$E$3:$E$23=FilingStatus)*(Tables!$F$3:$F$23=2), 0))</f>
        <v>#VALUE!</v>
      </c>
      <c r="D29" s="6" t="e">
        <f>MAX(0, MIN(IF(C29="", B22, C29), B22) - B29)</f>
        <v>#VALUE!</v>
      </c>
      <c r="E29" s="6" t="e">
        <f>A29*D29</f>
        <v>#VALUE!</v>
      </c>
    </row>
    <row r="30" spans="1:5" x14ac:dyDescent="0.2">
      <c r="A30" s="3" t="e">
        <f>INDEX(Tables!$G$3:$G$23, MATCH(1, (Tables!$E$3:$E$23=FilingStatus)*(Tables!$F$3:$F$23=3), 0))</f>
        <v>#VALUE!</v>
      </c>
      <c r="B30" s="6" t="e">
        <f>INDEX(Tables!$H$3:$H$23, MATCH(1, (Tables!$E$3:$E$23=FilingStatus)*(Tables!$F$3:$F$23=3), 0))</f>
        <v>#VALUE!</v>
      </c>
      <c r="C30" s="6" t="e">
        <f>INDEX(Tables!$I$3:$I$23, MATCH(1, (Tables!$E$3:$E$23=FilingStatus)*(Tables!$F$3:$F$23=3), 0))</f>
        <v>#VALUE!</v>
      </c>
      <c r="D30" s="6" t="e">
        <f>MAX(0, MIN(IF(C30="", B22, C30), B22) - B30)</f>
        <v>#VALUE!</v>
      </c>
      <c r="E30" s="6" t="e">
        <f>A30*D30</f>
        <v>#VALUE!</v>
      </c>
    </row>
    <row r="31" spans="1:5" x14ac:dyDescent="0.2">
      <c r="A31" s="3" t="e">
        <f>INDEX(Tables!$G$3:$G$23, MATCH(1, (Tables!$E$3:$E$23=FilingStatus)*(Tables!$F$3:$F$23=4), 0))</f>
        <v>#VALUE!</v>
      </c>
      <c r="B31" s="6" t="e">
        <f>INDEX(Tables!$H$3:$H$23, MATCH(1, (Tables!$E$3:$E$23=FilingStatus)*(Tables!$F$3:$F$23=4), 0))</f>
        <v>#VALUE!</v>
      </c>
      <c r="C31" s="6" t="e">
        <f>INDEX(Tables!$I$3:$I$23, MATCH(1, (Tables!$E$3:$E$23=FilingStatus)*(Tables!$F$3:$F$23=4), 0))</f>
        <v>#VALUE!</v>
      </c>
      <c r="D31" s="6" t="e">
        <f>MAX(0, MIN(IF(C31="", B22, C31), B22) - B31)</f>
        <v>#VALUE!</v>
      </c>
      <c r="E31" s="6" t="e">
        <f>A31*D31</f>
        <v>#VALUE!</v>
      </c>
    </row>
    <row r="32" spans="1:5" x14ac:dyDescent="0.2">
      <c r="A32" s="3" t="e">
        <f>INDEX(Tables!$G$3:$G$23, MATCH(1, (Tables!$E$3:$E$23=FilingStatus)*(Tables!$F$3:$F$23=5), 0))</f>
        <v>#VALUE!</v>
      </c>
      <c r="B32" s="6" t="e">
        <f>INDEX(Tables!$H$3:$H$23, MATCH(1, (Tables!$E$3:$E$23=FilingStatus)*(Tables!$F$3:$F$23=5), 0))</f>
        <v>#VALUE!</v>
      </c>
      <c r="C32" s="6" t="e">
        <f>INDEX(Tables!$I$3:$I$23, MATCH(1, (Tables!$E$3:$E$23=FilingStatus)*(Tables!$F$3:$F$23=5), 0))</f>
        <v>#VALUE!</v>
      </c>
      <c r="D32" s="6" t="e">
        <f>MAX(0, MIN(IF(C32="", B22, C32), B22) - B32)</f>
        <v>#VALUE!</v>
      </c>
      <c r="E32" s="6" t="e">
        <f>A32*D32</f>
        <v>#VALUE!</v>
      </c>
    </row>
    <row r="33" spans="1:5" x14ac:dyDescent="0.2">
      <c r="A33" s="3" t="e">
        <f>INDEX(Tables!$G$3:$G$23, MATCH(1, (Tables!$E$3:$E$23=FilingStatus)*(Tables!$F$3:$F$23=6), 0))</f>
        <v>#VALUE!</v>
      </c>
      <c r="B33" s="6" t="e">
        <f>INDEX(Tables!$H$3:$H$23, MATCH(1, (Tables!$E$3:$E$23=FilingStatus)*(Tables!$F$3:$F$23=6), 0))</f>
        <v>#VALUE!</v>
      </c>
      <c r="C33" s="6" t="e">
        <f>INDEX(Tables!$I$3:$I$23, MATCH(1, (Tables!$E$3:$E$23=FilingStatus)*(Tables!$F$3:$F$23=6), 0))</f>
        <v>#VALUE!</v>
      </c>
      <c r="D33" s="6" t="e">
        <f>MAX(0, MIN(IF(C33="", B22, C33), B22) - B33)</f>
        <v>#VALUE!</v>
      </c>
      <c r="E33" s="6" t="e">
        <f>A33*D33</f>
        <v>#VALUE!</v>
      </c>
    </row>
    <row r="34" spans="1:5" x14ac:dyDescent="0.2">
      <c r="A34" s="3" t="e">
        <f>INDEX(Tables!$G$3:$G$23, MATCH(1, (Tables!$E$3:$E$23=FilingStatus)*(Tables!$F$3:$F$23=7), 0))</f>
        <v>#VALUE!</v>
      </c>
      <c r="B34" s="6" t="e">
        <f>INDEX(Tables!$H$3:$H$23, MATCH(1, (Tables!$E$3:$E$23=FilingStatus)*(Tables!$F$3:$F$23=7), 0))</f>
        <v>#VALUE!</v>
      </c>
      <c r="C34" s="6" t="e">
        <f>INDEX(Tables!$I$3:$I$23, MATCH(1, (Tables!$E$3:$E$23=FilingStatus)*(Tables!$F$3:$F$23=7), 0))</f>
        <v>#VALUE!</v>
      </c>
      <c r="D34" s="6" t="e">
        <f>MAX(0, MIN(IF(C34="", B22, C34), B22) - B34)</f>
        <v>#VALUE!</v>
      </c>
      <c r="E34" s="6" t="e">
        <f>A34*D34</f>
        <v>#VALUE!</v>
      </c>
    </row>
    <row r="36" spans="1:5" x14ac:dyDescent="0.2">
      <c r="A36" s="7" t="s">
        <v>109</v>
      </c>
      <c r="B36" s="6">
        <f>SSRate*MIN(B19, SSBase)</f>
        <v>5513.04</v>
      </c>
    </row>
    <row r="37" spans="1:5" x14ac:dyDescent="0.2">
      <c r="A37" s="7" t="s">
        <v>110</v>
      </c>
      <c r="B37" s="6">
        <f>MedRate*B19</f>
        <v>1289.3400000000001</v>
      </c>
    </row>
    <row r="38" spans="1:5" x14ac:dyDescent="0.2">
      <c r="A38" s="7" t="s">
        <v>111</v>
      </c>
      <c r="B38" s="6">
        <f>AddMedRate*MAX(0, B19-IF(FilingStatus="Married Filing Jointly", AddMedThresholdMFJ, AddMedThresholdSingle))</f>
        <v>0</v>
      </c>
    </row>
    <row r="39" spans="1:5" x14ac:dyDescent="0.2">
      <c r="A39" s="7" t="s">
        <v>112</v>
      </c>
      <c r="B39" s="6">
        <f>SUM(B36:B38)</f>
        <v>6802.38</v>
      </c>
    </row>
    <row r="41" spans="1:5" x14ac:dyDescent="0.2">
      <c r="A41" s="7" t="s">
        <v>113</v>
      </c>
      <c r="B41" s="6">
        <f>StateRateUsed*B19</f>
        <v>2311.92</v>
      </c>
    </row>
    <row r="42" spans="1:5" x14ac:dyDescent="0.2">
      <c r="A42" s="7" t="s">
        <v>114</v>
      </c>
      <c r="B42" s="6">
        <f>CityRateUsed*B19</f>
        <v>2134.08</v>
      </c>
    </row>
    <row r="43" spans="1:5" x14ac:dyDescent="0.2">
      <c r="A43" s="7" t="s">
        <v>115</v>
      </c>
      <c r="B43" s="6">
        <f>SchoolRateUsed*B19</f>
        <v>889.2</v>
      </c>
    </row>
    <row r="44" spans="1:5" x14ac:dyDescent="0.2">
      <c r="A44" s="7" t="s">
        <v>116</v>
      </c>
      <c r="B44" s="6">
        <f>SUM(B41:B43)</f>
        <v>5335.2</v>
      </c>
    </row>
    <row r="46" spans="1:5" x14ac:dyDescent="0.2">
      <c r="A46" s="7" t="s">
        <v>117</v>
      </c>
      <c r="B46" s="6" t="e">
        <f>B24+B39+B44</f>
        <v>#VALUE!</v>
      </c>
    </row>
    <row r="48" spans="1:5" x14ac:dyDescent="0.2">
      <c r="A48" s="7" t="s">
        <v>118</v>
      </c>
      <c r="B48" s="6" t="e">
        <f>B19 - (B24+B39+B44)</f>
        <v>#VALUE!</v>
      </c>
    </row>
    <row r="50" spans="1:2" x14ac:dyDescent="0.2">
      <c r="A50" s="7" t="s">
        <v>119</v>
      </c>
      <c r="B50" s="6">
        <f>B15 + AfterTaxAnnual</f>
        <v>0</v>
      </c>
    </row>
    <row r="52" spans="1:2" x14ac:dyDescent="0.2">
      <c r="A52" s="7" t="s">
        <v>120</v>
      </c>
      <c r="B52" s="6" t="e">
        <f>B48 - B50</f>
        <v>#VALUE!</v>
      </c>
    </row>
    <row r="53" spans="1:2" x14ac:dyDescent="0.2">
      <c r="A53" s="7" t="s">
        <v>121</v>
      </c>
      <c r="B53" s="6" t="e">
        <f>B52/12</f>
        <v>#VALUE!</v>
      </c>
    </row>
    <row r="54" spans="1:2" x14ac:dyDescent="0.2">
      <c r="A54" s="7" t="s">
        <v>122</v>
      </c>
      <c r="B54" s="6" t="e">
        <f>B52/26</f>
        <v>#VALUE!</v>
      </c>
    </row>
    <row r="55" spans="1:2" x14ac:dyDescent="0.2">
      <c r="A55" s="7" t="s">
        <v>123</v>
      </c>
      <c r="B55" s="6" t="e">
        <f>B52/52</f>
        <v>#VALUE!</v>
      </c>
    </row>
    <row r="56" spans="1:2" x14ac:dyDescent="0.2">
      <c r="A56" s="7" t="s">
        <v>124</v>
      </c>
      <c r="B56" s="6" t="e">
        <f>B53+VADisabilityMonthly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tabSelected="1" workbookViewId="0"/>
  </sheetViews>
  <sheetFormatPr defaultRowHeight="15" x14ac:dyDescent="0.2"/>
  <cols>
    <col min="1" max="1" width="52.73046875" customWidth="1"/>
    <col min="2" max="2" width="26.76953125" customWidth="1"/>
  </cols>
  <sheetData>
    <row r="1" spans="1:2" ht="18.75" x14ac:dyDescent="0.25">
      <c r="A1" s="2" t="s">
        <v>125</v>
      </c>
    </row>
    <row r="3" spans="1:2" x14ac:dyDescent="0.2">
      <c r="A3" s="1" t="s">
        <v>126</v>
      </c>
    </row>
    <row r="4" spans="1:2" x14ac:dyDescent="0.2">
      <c r="A4" t="s">
        <v>127</v>
      </c>
      <c r="B4" t="str">
        <f>LocationProfile</f>
        <v>Raleigh, NC</v>
      </c>
    </row>
    <row r="5" spans="1:2" x14ac:dyDescent="0.2">
      <c r="A5" t="s">
        <v>21</v>
      </c>
      <c r="B5" s="3">
        <f>Calculations!B7</f>
        <v>2.5999999999999999E-2</v>
      </c>
    </row>
    <row r="6" spans="1:2" x14ac:dyDescent="0.2">
      <c r="A6" t="s">
        <v>128</v>
      </c>
      <c r="B6" s="3">
        <f>Calculations!B8</f>
        <v>2.4E-2</v>
      </c>
    </row>
    <row r="7" spans="1:2" x14ac:dyDescent="0.2">
      <c r="A7" t="s">
        <v>23</v>
      </c>
      <c r="B7" s="3">
        <f>Calculations!B9</f>
        <v>0.01</v>
      </c>
    </row>
    <row r="9" spans="1:2" x14ac:dyDescent="0.2">
      <c r="A9" s="1" t="s">
        <v>129</v>
      </c>
    </row>
    <row r="10" spans="1:2" x14ac:dyDescent="0.2">
      <c r="A10" t="s">
        <v>130</v>
      </c>
      <c r="B10" s="6">
        <f>StdDed</f>
        <v>22500</v>
      </c>
    </row>
    <row r="11" spans="1:2" x14ac:dyDescent="0.2">
      <c r="A11" t="s">
        <v>103</v>
      </c>
      <c r="B11" s="6" t="e">
        <f>Calculations!B24</f>
        <v>#VALUE!</v>
      </c>
    </row>
    <row r="13" spans="1:2" x14ac:dyDescent="0.2">
      <c r="A13" s="1" t="s">
        <v>131</v>
      </c>
    </row>
    <row r="14" spans="1:2" x14ac:dyDescent="0.2">
      <c r="A14" t="s">
        <v>132</v>
      </c>
      <c r="B14" s="6">
        <f>Calculations!B36</f>
        <v>5513.04</v>
      </c>
    </row>
    <row r="15" spans="1:2" x14ac:dyDescent="0.2">
      <c r="A15" t="s">
        <v>133</v>
      </c>
      <c r="B15" s="6">
        <f>Calculations!B37+Calculations!B38</f>
        <v>1289.3400000000001</v>
      </c>
    </row>
    <row r="16" spans="1:2" x14ac:dyDescent="0.2">
      <c r="A16" t="s">
        <v>112</v>
      </c>
      <c r="B16" s="6">
        <f>Calculations!B39</f>
        <v>6802.38</v>
      </c>
    </row>
    <row r="18" spans="1:2" x14ac:dyDescent="0.2">
      <c r="A18" s="1" t="s">
        <v>134</v>
      </c>
    </row>
    <row r="19" spans="1:2" x14ac:dyDescent="0.2">
      <c r="A19" t="s">
        <v>113</v>
      </c>
      <c r="B19" s="6">
        <f>Calculations!B41</f>
        <v>2311.92</v>
      </c>
    </row>
    <row r="20" spans="1:2" x14ac:dyDescent="0.2">
      <c r="A20" t="s">
        <v>114</v>
      </c>
      <c r="B20" s="6">
        <f>Calculations!B42</f>
        <v>2134.08</v>
      </c>
    </row>
    <row r="21" spans="1:2" x14ac:dyDescent="0.2">
      <c r="A21" t="s">
        <v>115</v>
      </c>
      <c r="B21" s="6">
        <f>Calculations!B43</f>
        <v>889.2</v>
      </c>
    </row>
    <row r="22" spans="1:2" x14ac:dyDescent="0.2">
      <c r="A22" t="s">
        <v>116</v>
      </c>
      <c r="B22" s="6">
        <f>Calculations!B44</f>
        <v>5335.2</v>
      </c>
    </row>
    <row r="24" spans="1:2" x14ac:dyDescent="0.2">
      <c r="A24" s="1" t="s">
        <v>135</v>
      </c>
    </row>
    <row r="25" spans="1:2" x14ac:dyDescent="0.2">
      <c r="A25" t="s">
        <v>97</v>
      </c>
      <c r="B25" s="6">
        <f>Calculations!B14</f>
        <v>4680</v>
      </c>
    </row>
    <row r="26" spans="1:2" x14ac:dyDescent="0.2">
      <c r="A26" t="s">
        <v>98</v>
      </c>
      <c r="B26" s="6">
        <f>Calculations!B15</f>
        <v>0</v>
      </c>
    </row>
    <row r="27" spans="1:2" x14ac:dyDescent="0.2">
      <c r="A27" t="s">
        <v>136</v>
      </c>
      <c r="B27" s="6">
        <f>Calculations!B17 - Calculations!B14</f>
        <v>0</v>
      </c>
    </row>
    <row r="28" spans="1:2" x14ac:dyDescent="0.2">
      <c r="A28" t="s">
        <v>85</v>
      </c>
      <c r="B28" s="6">
        <f>AfterTaxAnnual</f>
        <v>0</v>
      </c>
    </row>
    <row r="30" spans="1:2" x14ac:dyDescent="0.2">
      <c r="A30" s="1" t="s">
        <v>137</v>
      </c>
    </row>
    <row r="31" spans="1:2" x14ac:dyDescent="0.2">
      <c r="A31" t="s">
        <v>120</v>
      </c>
      <c r="B31" s="6" t="e">
        <f>Calculations!B52</f>
        <v>#VALUE!</v>
      </c>
    </row>
    <row r="32" spans="1:2" x14ac:dyDescent="0.2">
      <c r="A32" t="s">
        <v>121</v>
      </c>
      <c r="B32" s="6" t="e">
        <f>Calculations!B53</f>
        <v>#VALUE!</v>
      </c>
    </row>
    <row r="33" spans="1:2" x14ac:dyDescent="0.2">
      <c r="A33" t="s">
        <v>122</v>
      </c>
      <c r="B33" s="6" t="e">
        <f>Calculations!B54</f>
        <v>#VALUE!</v>
      </c>
    </row>
    <row r="34" spans="1:2" x14ac:dyDescent="0.2">
      <c r="A34" t="s">
        <v>123</v>
      </c>
      <c r="B34" s="6" t="e">
        <f>Calculations!B55</f>
        <v>#VALUE!</v>
      </c>
    </row>
    <row r="35" spans="1:2" x14ac:dyDescent="0.2">
      <c r="A35" t="s">
        <v>124</v>
      </c>
      <c r="B35" s="6" t="e">
        <f>Calculations!B56</f>
        <v>#VALUE!</v>
      </c>
    </row>
    <row r="37" spans="1:2" x14ac:dyDescent="0.2">
      <c r="A37" s="1" t="s">
        <v>138</v>
      </c>
    </row>
    <row r="38" spans="1:2" x14ac:dyDescent="0.2">
      <c r="A38" s="5" t="s">
        <v>139</v>
      </c>
    </row>
    <row r="39" spans="1:2" x14ac:dyDescent="0.2">
      <c r="A39" s="5" t="s">
        <v>140</v>
      </c>
    </row>
    <row r="40" spans="1:2" x14ac:dyDescent="0.2">
      <c r="A40" s="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Tables</vt:lpstr>
      <vt:lpstr>Local Tax Library</vt:lpstr>
      <vt:lpstr>Inputs</vt:lpstr>
      <vt:lpstr>Calculations</vt:lpstr>
      <vt:lpstr>Results</vt:lpstr>
      <vt:lpstr>AddMedRate</vt:lpstr>
      <vt:lpstr>AddMedThresholdMFJ</vt:lpstr>
      <vt:lpstr>AddMedThresholdSingle</vt:lpstr>
      <vt:lpstr>AfterTaxAnnual</vt:lpstr>
      <vt:lpstr>AnnualSalary</vt:lpstr>
      <vt:lpstr>CityOverride</vt:lpstr>
      <vt:lpstr>CityRateUsed</vt:lpstr>
      <vt:lpstr>FilingStatus</vt:lpstr>
      <vt:lpstr>FSADep</vt:lpstr>
      <vt:lpstr>FSAHealth</vt:lpstr>
      <vt:lpstr>HealthAnnual</vt:lpstr>
      <vt:lpstr>HourlyRate</vt:lpstr>
      <vt:lpstr>HoursPerWeek</vt:lpstr>
      <vt:lpstr>HSA</vt:lpstr>
      <vt:lpstr>KMode</vt:lpstr>
      <vt:lpstr>KRothEntry</vt:lpstr>
      <vt:lpstr>KTradEntry</vt:lpstr>
      <vt:lpstr>LocationProfile</vt:lpstr>
      <vt:lpstr>MedRate</vt:lpstr>
      <vt:lpstr>OtherPretax</vt:lpstr>
      <vt:lpstr>PayType</vt:lpstr>
      <vt:lpstr>ProfileNames</vt:lpstr>
      <vt:lpstr>ProfileTable</vt:lpstr>
      <vt:lpstr>SchoolOverride</vt:lpstr>
      <vt:lpstr>SchoolRateUsed</vt:lpstr>
      <vt:lpstr>SSBase</vt:lpstr>
      <vt:lpstr>SSRate</vt:lpstr>
      <vt:lpstr>StateOverride</vt:lpstr>
      <vt:lpstr>StateRateUsed</vt:lpstr>
      <vt:lpstr>VADisabilityMonthly</vt:lpstr>
      <vt:lpstr>WeeksPerYear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2025-08-08T20:55:30Z</dcterms:created>
  <dcterms:modified xsi:type="dcterms:W3CDTF">2025-08-08T20:55:30Z</dcterms:modified>
</cp:coreProperties>
</file>