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gram PLTS\"/>
    </mc:Choice>
  </mc:AlternateContent>
  <xr:revisionPtr revIDLastSave="0" documentId="13_ncr:1_{D312DD32-83A0-49D9-A052-695F7504CBE9}" xr6:coauthVersionLast="47" xr6:coauthVersionMax="47" xr10:uidLastSave="{00000000-0000-0000-0000-000000000000}"/>
  <bookViews>
    <workbookView xWindow="-120" yWindow="-120" windowWidth="20730" windowHeight="11040" firstSheet="4" activeTab="6" xr2:uid="{00000000-000D-0000-FFFF-FFFF00000000}"/>
  </bookViews>
  <sheets>
    <sheet name="on grid menjual" sheetId="1" r:id="rId1"/>
    <sheet name="hybrid menjual" sheetId="15" r:id="rId2"/>
    <sheet name="ongrid" sheetId="17" r:id="rId3"/>
    <sheet name="hybrid" sheetId="16" r:id="rId4"/>
    <sheet name="aktual on grid menjual" sheetId="19" r:id="rId5"/>
    <sheet name="aktual hybrid menjual" sheetId="20" r:id="rId6"/>
    <sheet name="aktual ongrid" sheetId="22" r:id="rId7"/>
    <sheet name="aktual hybrid" sheetId="21" r:id="rId8"/>
    <sheet name="LCOE" sheetId="18" r:id="rId9"/>
  </sheets>
  <definedNames>
    <definedName name="ExtraCredit">#REF!</definedName>
    <definedName name="Fruit">#REF!</definedName>
    <definedName name="Items">#REF!</definedName>
    <definedName name="Meat">#REF!</definedName>
    <definedName name="MoreFruit">#REF!</definedName>
    <definedName name="MoreItem">#REF!</definedName>
    <definedName name="MoreItems">#REF!</definedName>
    <definedName name="SUMExtraCredit">#REF!</definedName>
    <definedName name="SUMIF">#REF!</definedName>
    <definedName name="SUMIFExtraCredit">#REF!</definedName>
    <definedName name="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0" l="1"/>
  <c r="G4" i="19"/>
  <c r="G5" i="16"/>
  <c r="F5" i="17"/>
  <c r="G5" i="15"/>
  <c r="G5" i="1"/>
  <c r="F5" i="19"/>
  <c r="I29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6" i="17"/>
  <c r="I5" i="17"/>
  <c r="I4" i="18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6" i="21"/>
  <c r="I5" i="21"/>
  <c r="I16" i="22"/>
  <c r="I8" i="22"/>
  <c r="I9" i="22"/>
  <c r="I10" i="22"/>
  <c r="I11" i="22"/>
  <c r="I12" i="22"/>
  <c r="I13" i="22"/>
  <c r="I14" i="22"/>
  <c r="I15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7" i="22"/>
  <c r="I6" i="22"/>
  <c r="I5" i="22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7" i="20"/>
  <c r="J6" i="20"/>
  <c r="J5" i="20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5" i="19"/>
  <c r="J4" i="19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6" i="16"/>
  <c r="J5" i="16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6" i="15"/>
  <c r="J5" i="15"/>
  <c r="J29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7" i="1"/>
  <c r="J6" i="1"/>
  <c r="J5" i="1"/>
  <c r="E6" i="1"/>
  <c r="G48" i="21" l="1"/>
  <c r="G47" i="21"/>
  <c r="G45" i="21"/>
  <c r="G44" i="21"/>
  <c r="G43" i="21"/>
  <c r="G42" i="21"/>
  <c r="G40" i="21"/>
  <c r="F39" i="21"/>
  <c r="G39" i="21" s="1"/>
  <c r="F38" i="21"/>
  <c r="G38" i="21" s="1"/>
  <c r="F37" i="21"/>
  <c r="G37" i="21" s="1"/>
  <c r="F36" i="21"/>
  <c r="G36" i="21" s="1"/>
  <c r="G35" i="21"/>
  <c r="G34" i="21"/>
  <c r="G33" i="21"/>
  <c r="E29" i="21"/>
  <c r="F29" i="21" s="1"/>
  <c r="E28" i="21"/>
  <c r="F28" i="21" s="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F5" i="21"/>
  <c r="G66" i="22"/>
  <c r="F65" i="22"/>
  <c r="E65" i="22"/>
  <c r="E67" i="22" s="1"/>
  <c r="D65" i="22"/>
  <c r="C65" i="22"/>
  <c r="G64" i="22"/>
  <c r="G63" i="22"/>
  <c r="G62" i="22"/>
  <c r="G61" i="22"/>
  <c r="F60" i="22"/>
  <c r="G60" i="22" s="1"/>
  <c r="F59" i="22"/>
  <c r="G59" i="22" s="1"/>
  <c r="F58" i="22"/>
  <c r="G58" i="22" s="1"/>
  <c r="F57" i="22"/>
  <c r="G57" i="22" s="1"/>
  <c r="G56" i="22"/>
  <c r="G55" i="22"/>
  <c r="G54" i="22"/>
  <c r="E29" i="22"/>
  <c r="F29" i="22" s="1"/>
  <c r="E28" i="22"/>
  <c r="F28" i="22" s="1"/>
  <c r="E27" i="22"/>
  <c r="F27" i="22" s="1"/>
  <c r="E26" i="22"/>
  <c r="F26" i="22" s="1"/>
  <c r="E25" i="22"/>
  <c r="F25" i="22" s="1"/>
  <c r="F24" i="22"/>
  <c r="E24" i="22"/>
  <c r="E23" i="22"/>
  <c r="F23" i="22" s="1"/>
  <c r="E22" i="22"/>
  <c r="F22" i="22" s="1"/>
  <c r="E21" i="22"/>
  <c r="F21" i="22" s="1"/>
  <c r="E20" i="22"/>
  <c r="F20" i="22" s="1"/>
  <c r="E19" i="22"/>
  <c r="F19" i="22" s="1"/>
  <c r="E18" i="22"/>
  <c r="F18" i="22" s="1"/>
  <c r="E17" i="22"/>
  <c r="F17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E7" i="22"/>
  <c r="F7" i="22" s="1"/>
  <c r="F6" i="22"/>
  <c r="E6" i="22"/>
  <c r="F5" i="22"/>
  <c r="G48" i="20"/>
  <c r="G47" i="20"/>
  <c r="F46" i="20"/>
  <c r="E46" i="20"/>
  <c r="E49" i="20" s="1"/>
  <c r="D46" i="20"/>
  <c r="G45" i="20"/>
  <c r="G44" i="20"/>
  <c r="G43" i="20"/>
  <c r="G42" i="20"/>
  <c r="G40" i="20"/>
  <c r="G39" i="20"/>
  <c r="G38" i="20"/>
  <c r="G37" i="20"/>
  <c r="G36" i="20"/>
  <c r="G35" i="20"/>
  <c r="G34" i="20"/>
  <c r="G33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G11" i="20" s="1"/>
  <c r="E10" i="20"/>
  <c r="G10" i="20" s="1"/>
  <c r="E9" i="20"/>
  <c r="E8" i="20"/>
  <c r="E7" i="20"/>
  <c r="F6" i="20"/>
  <c r="F7" i="20" s="1"/>
  <c r="F8" i="20" s="1"/>
  <c r="F9" i="20" s="1"/>
  <c r="F10" i="20" s="1"/>
  <c r="F11" i="20" s="1"/>
  <c r="E6" i="20"/>
  <c r="F2" i="20"/>
  <c r="E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F6" i="19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E5" i="19"/>
  <c r="G5" i="19" s="1"/>
  <c r="G6" i="20" l="1"/>
  <c r="G7" i="20"/>
  <c r="G59" i="19"/>
  <c r="D3" i="19" s="1"/>
  <c r="G8" i="20"/>
  <c r="G9" i="20"/>
  <c r="G46" i="20"/>
  <c r="G49" i="20" s="1"/>
  <c r="F30" i="21"/>
  <c r="E30" i="21"/>
  <c r="F30" i="22"/>
  <c r="G65" i="22"/>
  <c r="G67" i="22" s="1"/>
  <c r="F12" i="20"/>
  <c r="F13" i="20" s="1"/>
  <c r="F14" i="20" s="1"/>
  <c r="F15" i="20" s="1"/>
  <c r="G15" i="20" s="1"/>
  <c r="E30" i="20"/>
  <c r="E6" i="19"/>
  <c r="G6" i="19" s="1"/>
  <c r="C4" i="20" l="1"/>
  <c r="K4" i="20"/>
  <c r="G12" i="20"/>
  <c r="G14" i="20"/>
  <c r="G13" i="20"/>
  <c r="C3" i="19"/>
  <c r="H4" i="20"/>
  <c r="I4" i="20" s="1"/>
  <c r="C4" i="22"/>
  <c r="D4" i="22"/>
  <c r="F16" i="20"/>
  <c r="G16" i="20" s="1"/>
  <c r="D28" i="20"/>
  <c r="D16" i="20"/>
  <c r="D12" i="20"/>
  <c r="H12" i="20" s="1"/>
  <c r="D8" i="20"/>
  <c r="H8" i="20" s="1"/>
  <c r="D4" i="20"/>
  <c r="D10" i="20"/>
  <c r="H10" i="20" s="1"/>
  <c r="D5" i="20"/>
  <c r="D26" i="20"/>
  <c r="D22" i="20"/>
  <c r="D6" i="20"/>
  <c r="H6" i="20" s="1"/>
  <c r="D21" i="20"/>
  <c r="D17" i="20"/>
  <c r="D9" i="20"/>
  <c r="H9" i="20" s="1"/>
  <c r="D27" i="20"/>
  <c r="D23" i="20"/>
  <c r="D24" i="20" s="1"/>
  <c r="D19" i="20"/>
  <c r="D15" i="20"/>
  <c r="D11" i="20"/>
  <c r="H11" i="20" s="1"/>
  <c r="D7" i="20"/>
  <c r="H7" i="20" s="1"/>
  <c r="D18" i="20"/>
  <c r="D29" i="20"/>
  <c r="D25" i="20"/>
  <c r="D13" i="20"/>
  <c r="H13" i="20" s="1"/>
  <c r="H3" i="19"/>
  <c r="E7" i="19"/>
  <c r="G7" i="19" s="1"/>
  <c r="D4" i="19" l="1"/>
  <c r="D26" i="19"/>
  <c r="D19" i="19"/>
  <c r="D8" i="19"/>
  <c r="D21" i="19"/>
  <c r="D6" i="19"/>
  <c r="D27" i="19"/>
  <c r="D20" i="19"/>
  <c r="D9" i="19"/>
  <c r="D28" i="19"/>
  <c r="D10" i="19"/>
  <c r="D24" i="19"/>
  <c r="D22" i="19"/>
  <c r="D23" i="19" s="1"/>
  <c r="D7" i="19"/>
  <c r="D11" i="19"/>
  <c r="D15" i="19"/>
  <c r="D14" i="19"/>
  <c r="D12" i="19"/>
  <c r="D13" i="19" s="1"/>
  <c r="D18" i="19"/>
  <c r="D16" i="19"/>
  <c r="D5" i="19"/>
  <c r="H5" i="19" s="1"/>
  <c r="D17" i="19"/>
  <c r="D25" i="19"/>
  <c r="I3" i="19"/>
  <c r="K3" i="19"/>
  <c r="D14" i="20"/>
  <c r="H14" i="20" s="1"/>
  <c r="D20" i="20"/>
  <c r="D25" i="22"/>
  <c r="G25" i="22" s="1"/>
  <c r="D17" i="22"/>
  <c r="G17" i="22" s="1"/>
  <c r="D9" i="22"/>
  <c r="G9" i="22" s="1"/>
  <c r="D27" i="22"/>
  <c r="G27" i="22" s="1"/>
  <c r="D11" i="22"/>
  <c r="G11" i="22" s="1"/>
  <c r="D10" i="22"/>
  <c r="G10" i="22" s="1"/>
  <c r="D16" i="22"/>
  <c r="G16" i="22" s="1"/>
  <c r="D8" i="22"/>
  <c r="G8" i="22" s="1"/>
  <c r="H4" i="22"/>
  <c r="D23" i="22"/>
  <c r="D15" i="22"/>
  <c r="G15" i="22" s="1"/>
  <c r="D7" i="22"/>
  <c r="G7" i="22" s="1"/>
  <c r="D20" i="22"/>
  <c r="G20" i="22" s="1"/>
  <c r="D26" i="22"/>
  <c r="G26" i="22" s="1"/>
  <c r="D22" i="22"/>
  <c r="G22" i="22" s="1"/>
  <c r="D6" i="22"/>
  <c r="G6" i="22" s="1"/>
  <c r="D5" i="22"/>
  <c r="G5" i="22" s="1"/>
  <c r="D18" i="22"/>
  <c r="G18" i="22" s="1"/>
  <c r="D29" i="22"/>
  <c r="G29" i="22" s="1"/>
  <c r="D21" i="22"/>
  <c r="G21" i="22" s="1"/>
  <c r="D13" i="22"/>
  <c r="J4" i="22"/>
  <c r="D12" i="22"/>
  <c r="G12" i="22" s="1"/>
  <c r="G4" i="22"/>
  <c r="D28" i="22"/>
  <c r="G28" i="22" s="1"/>
  <c r="D19" i="22"/>
  <c r="G19" i="22" s="1"/>
  <c r="M11" i="20"/>
  <c r="L11" i="20"/>
  <c r="K11" i="20"/>
  <c r="K13" i="20"/>
  <c r="L13" i="20"/>
  <c r="M13" i="20"/>
  <c r="M12" i="20"/>
  <c r="L12" i="20"/>
  <c r="K12" i="20"/>
  <c r="K9" i="20"/>
  <c r="L9" i="20"/>
  <c r="M9" i="20"/>
  <c r="M7" i="20"/>
  <c r="L7" i="20"/>
  <c r="K7" i="20"/>
  <c r="L6" i="20"/>
  <c r="M6" i="20"/>
  <c r="K6" i="20"/>
  <c r="F17" i="20"/>
  <c r="G17" i="20" s="1"/>
  <c r="H16" i="20"/>
  <c r="M10" i="20"/>
  <c r="L10" i="20"/>
  <c r="K10" i="20"/>
  <c r="H5" i="20"/>
  <c r="H15" i="20"/>
  <c r="M8" i="20"/>
  <c r="L8" i="20"/>
  <c r="K8" i="20"/>
  <c r="H7" i="19"/>
  <c r="E8" i="19"/>
  <c r="G8" i="19" s="1"/>
  <c r="H6" i="19"/>
  <c r="I4" i="19" l="1"/>
  <c r="I5" i="19" s="1"/>
  <c r="M5" i="19"/>
  <c r="L5" i="19"/>
  <c r="K5" i="19"/>
  <c r="H4" i="19"/>
  <c r="D29" i="19"/>
  <c r="G23" i="22"/>
  <c r="L23" i="22" s="1"/>
  <c r="D24" i="22"/>
  <c r="G24" i="22" s="1"/>
  <c r="L24" i="22" s="1"/>
  <c r="G13" i="22"/>
  <c r="K13" i="22" s="1"/>
  <c r="D14" i="22"/>
  <c r="G14" i="22" s="1"/>
  <c r="J14" i="22" s="1"/>
  <c r="L6" i="19"/>
  <c r="M6" i="19"/>
  <c r="L7" i="19"/>
  <c r="M7" i="19"/>
  <c r="D30" i="20"/>
  <c r="L8" i="22"/>
  <c r="K8" i="22"/>
  <c r="J8" i="22"/>
  <c r="K24" i="22"/>
  <c r="J21" i="22"/>
  <c r="L21" i="22"/>
  <c r="K21" i="22"/>
  <c r="K20" i="22"/>
  <c r="L20" i="22"/>
  <c r="J20" i="22"/>
  <c r="K10" i="22"/>
  <c r="J10" i="22"/>
  <c r="L10" i="22"/>
  <c r="L25" i="22"/>
  <c r="K25" i="22"/>
  <c r="J25" i="22"/>
  <c r="K26" i="22"/>
  <c r="L26" i="22"/>
  <c r="J26" i="22"/>
  <c r="J29" i="22"/>
  <c r="L29" i="22"/>
  <c r="K29" i="22"/>
  <c r="L7" i="22"/>
  <c r="K7" i="22"/>
  <c r="J7" i="22"/>
  <c r="J11" i="22"/>
  <c r="K11" i="22"/>
  <c r="L11" i="22"/>
  <c r="J19" i="22"/>
  <c r="K19" i="22"/>
  <c r="L19" i="22"/>
  <c r="K18" i="22"/>
  <c r="J18" i="22"/>
  <c r="L18" i="22"/>
  <c r="L15" i="22"/>
  <c r="K15" i="22"/>
  <c r="J15" i="22"/>
  <c r="J27" i="22"/>
  <c r="L27" i="22"/>
  <c r="K27" i="22"/>
  <c r="L14" i="22"/>
  <c r="K14" i="22"/>
  <c r="K28" i="22"/>
  <c r="J28" i="22"/>
  <c r="L28" i="22"/>
  <c r="H5" i="22"/>
  <c r="H6" i="22" s="1"/>
  <c r="H7" i="22" s="1"/>
  <c r="H8" i="22" s="1"/>
  <c r="H9" i="22" s="1"/>
  <c r="H10" i="22" s="1"/>
  <c r="H11" i="22" s="1"/>
  <c r="J5" i="22"/>
  <c r="L5" i="22"/>
  <c r="K5" i="22"/>
  <c r="J23" i="22"/>
  <c r="L9" i="22"/>
  <c r="K9" i="22"/>
  <c r="J9" i="22"/>
  <c r="L6" i="22"/>
  <c r="K6" i="22"/>
  <c r="J6" i="22"/>
  <c r="L17" i="22"/>
  <c r="K17" i="22"/>
  <c r="J17" i="22"/>
  <c r="L12" i="22"/>
  <c r="K12" i="22"/>
  <c r="J12" i="22"/>
  <c r="L22" i="22"/>
  <c r="K22" i="22"/>
  <c r="J22" i="22"/>
  <c r="L16" i="22"/>
  <c r="K16" i="22"/>
  <c r="J16" i="22"/>
  <c r="D30" i="22"/>
  <c r="L14" i="20"/>
  <c r="M14" i="20"/>
  <c r="K14" i="20"/>
  <c r="M16" i="20"/>
  <c r="L16" i="20"/>
  <c r="K16" i="20"/>
  <c r="M15" i="20"/>
  <c r="L15" i="20"/>
  <c r="K15" i="20"/>
  <c r="F18" i="20"/>
  <c r="G18" i="20" s="1"/>
  <c r="H17" i="20"/>
  <c r="K5" i="20"/>
  <c r="L5" i="20"/>
  <c r="I5" i="20"/>
  <c r="I6" i="20" s="1"/>
  <c r="I7" i="20" s="1"/>
  <c r="I8" i="20" s="1"/>
  <c r="I9" i="20" s="1"/>
  <c r="I10" i="20" s="1"/>
  <c r="I11" i="20" s="1"/>
  <c r="I12" i="20" s="1"/>
  <c r="M5" i="20"/>
  <c r="I6" i="19"/>
  <c r="I7" i="19" s="1"/>
  <c r="K6" i="19"/>
  <c r="E9" i="19"/>
  <c r="G9" i="19" s="1"/>
  <c r="K7" i="19"/>
  <c r="K23" i="22" l="1"/>
  <c r="J24" i="22"/>
  <c r="K4" i="19"/>
  <c r="M4" i="19"/>
  <c r="L4" i="19"/>
  <c r="G30" i="22"/>
  <c r="J13" i="22"/>
  <c r="L34" i="22" s="1"/>
  <c r="L13" i="22"/>
  <c r="L30" i="22" s="1"/>
  <c r="L31" i="22" s="1"/>
  <c r="K30" i="22"/>
  <c r="K31" i="22" s="1"/>
  <c r="L35" i="22"/>
  <c r="H12" i="22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I13" i="20"/>
  <c r="I14" i="20" s="1"/>
  <c r="I15" i="20" s="1"/>
  <c r="I16" i="20" s="1"/>
  <c r="I17" i="20" s="1"/>
  <c r="L34" i="20"/>
  <c r="K17" i="20"/>
  <c r="M17" i="20"/>
  <c r="L17" i="20"/>
  <c r="F19" i="20"/>
  <c r="G19" i="20" s="1"/>
  <c r="H18" i="20"/>
  <c r="H8" i="19"/>
  <c r="H9" i="19"/>
  <c r="E10" i="19"/>
  <c r="G10" i="19" s="1"/>
  <c r="J30" i="22" l="1"/>
  <c r="L36" i="22" s="1"/>
  <c r="L8" i="19"/>
  <c r="M8" i="19"/>
  <c r="M9" i="19"/>
  <c r="L9" i="19"/>
  <c r="L33" i="22"/>
  <c r="M18" i="20"/>
  <c r="L18" i="20"/>
  <c r="K18" i="20"/>
  <c r="I18" i="20"/>
  <c r="H19" i="20"/>
  <c r="F20" i="20"/>
  <c r="G20" i="20" s="1"/>
  <c r="K9" i="19"/>
  <c r="E11" i="19"/>
  <c r="G11" i="19" s="1"/>
  <c r="H10" i="19"/>
  <c r="K8" i="19"/>
  <c r="I8" i="19"/>
  <c r="I9" i="19" s="1"/>
  <c r="J31" i="22" l="1"/>
  <c r="M10" i="19"/>
  <c r="L10" i="19"/>
  <c r="L34" i="19"/>
  <c r="I19" i="20"/>
  <c r="F21" i="20"/>
  <c r="G21" i="20" s="1"/>
  <c r="H20" i="20"/>
  <c r="M19" i="20"/>
  <c r="L19" i="20"/>
  <c r="K19" i="20"/>
  <c r="K10" i="19"/>
  <c r="I10" i="19"/>
  <c r="E12" i="19"/>
  <c r="G12" i="19" s="1"/>
  <c r="H11" i="19"/>
  <c r="M11" i="19" l="1"/>
  <c r="L11" i="19"/>
  <c r="I20" i="20"/>
  <c r="F22" i="20"/>
  <c r="G22" i="20" s="1"/>
  <c r="H21" i="20"/>
  <c r="M20" i="20"/>
  <c r="L20" i="20"/>
  <c r="K20" i="20"/>
  <c r="K11" i="19"/>
  <c r="I11" i="19"/>
  <c r="H12" i="19"/>
  <c r="E13" i="19"/>
  <c r="G13" i="19" s="1"/>
  <c r="M12" i="19" l="1"/>
  <c r="L12" i="19"/>
  <c r="K21" i="20"/>
  <c r="L21" i="20"/>
  <c r="M21" i="20"/>
  <c r="F23" i="20"/>
  <c r="G23" i="20" s="1"/>
  <c r="H22" i="20"/>
  <c r="I21" i="20"/>
  <c r="H13" i="19"/>
  <c r="E14" i="19"/>
  <c r="G14" i="19" s="1"/>
  <c r="K12" i="19"/>
  <c r="I12" i="19"/>
  <c r="I22" i="20" l="1"/>
  <c r="M13" i="19"/>
  <c r="L13" i="19"/>
  <c r="H23" i="20"/>
  <c r="F24" i="20"/>
  <c r="G24" i="20" s="1"/>
  <c r="M22" i="20"/>
  <c r="L22" i="20"/>
  <c r="K22" i="20"/>
  <c r="E15" i="19"/>
  <c r="G15" i="19" s="1"/>
  <c r="H14" i="19"/>
  <c r="I13" i="19"/>
  <c r="K13" i="19"/>
  <c r="L14" i="19" l="1"/>
  <c r="M14" i="19"/>
  <c r="F25" i="20"/>
  <c r="G25" i="20" s="1"/>
  <c r="H24" i="20"/>
  <c r="M23" i="20"/>
  <c r="L23" i="20"/>
  <c r="K23" i="20"/>
  <c r="I23" i="20"/>
  <c r="K14" i="19"/>
  <c r="I14" i="19"/>
  <c r="E16" i="19"/>
  <c r="G16" i="19" s="1"/>
  <c r="H15" i="19"/>
  <c r="L15" i="19" l="1"/>
  <c r="M15" i="19"/>
  <c r="I24" i="20"/>
  <c r="M24" i="20"/>
  <c r="L24" i="20"/>
  <c r="K24" i="20"/>
  <c r="F26" i="20"/>
  <c r="G26" i="20" s="1"/>
  <c r="H25" i="20"/>
  <c r="K15" i="19"/>
  <c r="I15" i="19"/>
  <c r="E17" i="19"/>
  <c r="G17" i="19" s="1"/>
  <c r="H16" i="19"/>
  <c r="L16" i="19" l="1"/>
  <c r="M16" i="19"/>
  <c r="K25" i="20"/>
  <c r="M25" i="20"/>
  <c r="L25" i="20"/>
  <c r="F27" i="20"/>
  <c r="G27" i="20" s="1"/>
  <c r="H26" i="20"/>
  <c r="I25" i="20"/>
  <c r="K16" i="19"/>
  <c r="I16" i="19"/>
  <c r="E18" i="19"/>
  <c r="G18" i="19" s="1"/>
  <c r="H17" i="19"/>
  <c r="M17" i="19" l="1"/>
  <c r="L17" i="19"/>
  <c r="I26" i="20"/>
  <c r="M26" i="20"/>
  <c r="L26" i="20"/>
  <c r="K26" i="20"/>
  <c r="H27" i="20"/>
  <c r="F28" i="20"/>
  <c r="G28" i="20" s="1"/>
  <c r="I17" i="19"/>
  <c r="K17" i="19"/>
  <c r="E19" i="19"/>
  <c r="G19" i="19" s="1"/>
  <c r="H18" i="19"/>
  <c r="M18" i="19" l="1"/>
  <c r="L18" i="19"/>
  <c r="F29" i="20"/>
  <c r="G29" i="20" s="1"/>
  <c r="H28" i="20"/>
  <c r="M27" i="20"/>
  <c r="L27" i="20"/>
  <c r="K27" i="20"/>
  <c r="I27" i="20"/>
  <c r="I28" i="20" s="1"/>
  <c r="K18" i="19"/>
  <c r="I18" i="19"/>
  <c r="H19" i="19"/>
  <c r="E20" i="19"/>
  <c r="G20" i="19" s="1"/>
  <c r="M19" i="19" l="1"/>
  <c r="L19" i="19"/>
  <c r="M28" i="20"/>
  <c r="L28" i="20"/>
  <c r="K28" i="20"/>
  <c r="F30" i="20"/>
  <c r="E21" i="19"/>
  <c r="G21" i="19" s="1"/>
  <c r="H20" i="19"/>
  <c r="K19" i="19"/>
  <c r="I19" i="19"/>
  <c r="M20" i="19" l="1"/>
  <c r="L20" i="19"/>
  <c r="H29" i="20"/>
  <c r="M29" i="20" s="1"/>
  <c r="G30" i="20"/>
  <c r="K20" i="19"/>
  <c r="I20" i="19"/>
  <c r="E22" i="19"/>
  <c r="G22" i="19" s="1"/>
  <c r="H21" i="19"/>
  <c r="M21" i="19" l="1"/>
  <c r="L21" i="19"/>
  <c r="K29" i="20"/>
  <c r="K30" i="20" s="1"/>
  <c r="L29" i="20"/>
  <c r="L30" i="20" s="1"/>
  <c r="L31" i="20" s="1"/>
  <c r="M30" i="20"/>
  <c r="M31" i="20" s="1"/>
  <c r="H30" i="20"/>
  <c r="I29" i="20"/>
  <c r="I21" i="19"/>
  <c r="K21" i="19"/>
  <c r="E23" i="19"/>
  <c r="G23" i="19" s="1"/>
  <c r="H22" i="19"/>
  <c r="L22" i="19" l="1"/>
  <c r="M22" i="19"/>
  <c r="L32" i="20"/>
  <c r="L33" i="20"/>
  <c r="L35" i="20"/>
  <c r="H23" i="19"/>
  <c r="E24" i="19"/>
  <c r="G24" i="19" s="1"/>
  <c r="K22" i="19"/>
  <c r="I22" i="19"/>
  <c r="M23" i="19" l="1"/>
  <c r="L23" i="19"/>
  <c r="E25" i="19"/>
  <c r="G25" i="19" s="1"/>
  <c r="H24" i="19"/>
  <c r="K23" i="19"/>
  <c r="I23" i="19"/>
  <c r="L24" i="19" l="1"/>
  <c r="M24" i="19"/>
  <c r="K24" i="19"/>
  <c r="I24" i="19"/>
  <c r="E26" i="19"/>
  <c r="G26" i="19" s="1"/>
  <c r="H25" i="19"/>
  <c r="L25" i="19" l="1"/>
  <c r="M25" i="19"/>
  <c r="I25" i="19"/>
  <c r="K25" i="19"/>
  <c r="E27" i="19"/>
  <c r="G27" i="19" s="1"/>
  <c r="H26" i="19"/>
  <c r="L26" i="19" l="1"/>
  <c r="M26" i="19"/>
  <c r="E28" i="19"/>
  <c r="G28" i="19" s="1"/>
  <c r="H27" i="19"/>
  <c r="K26" i="19"/>
  <c r="I26" i="19"/>
  <c r="M27" i="19" l="1"/>
  <c r="L27" i="19"/>
  <c r="K27" i="19"/>
  <c r="I27" i="19"/>
  <c r="H28" i="19"/>
  <c r="G29" i="19"/>
  <c r="M28" i="19" l="1"/>
  <c r="L28" i="19"/>
  <c r="K28" i="19"/>
  <c r="I28" i="19"/>
  <c r="H29" i="19"/>
  <c r="K29" i="19" l="1"/>
  <c r="L33" i="19"/>
  <c r="K30" i="19" l="1"/>
  <c r="L35" i="19"/>
  <c r="D6" i="18"/>
  <c r="E6" i="18" s="1"/>
  <c r="D7" i="18"/>
  <c r="E7" i="18" s="1"/>
  <c r="D8" i="18"/>
  <c r="E8" i="18" s="1"/>
  <c r="D9" i="18"/>
  <c r="E9" i="18" s="1"/>
  <c r="D10" i="18"/>
  <c r="E10" i="18" s="1"/>
  <c r="D11" i="18"/>
  <c r="E11" i="18" s="1"/>
  <c r="D12" i="18"/>
  <c r="E12" i="18" s="1"/>
  <c r="D13" i="18"/>
  <c r="E13" i="18" s="1"/>
  <c r="D14" i="18"/>
  <c r="E14" i="18" s="1"/>
  <c r="D15" i="18"/>
  <c r="E15" i="18" s="1"/>
  <c r="D16" i="18"/>
  <c r="E16" i="18" s="1"/>
  <c r="D17" i="18"/>
  <c r="E17" i="18" s="1"/>
  <c r="D18" i="18"/>
  <c r="E18" i="18" s="1"/>
  <c r="D19" i="18"/>
  <c r="E19" i="18" s="1"/>
  <c r="D20" i="18"/>
  <c r="E20" i="18" s="1"/>
  <c r="D21" i="18"/>
  <c r="E21" i="18" s="1"/>
  <c r="D22" i="18"/>
  <c r="E22" i="18" s="1"/>
  <c r="D23" i="18"/>
  <c r="E23" i="18" s="1"/>
  <c r="D24" i="18"/>
  <c r="E24" i="18" s="1"/>
  <c r="D25" i="18"/>
  <c r="E25" i="18" s="1"/>
  <c r="D26" i="18"/>
  <c r="E26" i="18" s="1"/>
  <c r="D27" i="18"/>
  <c r="E27" i="18" s="1"/>
  <c r="D28" i="18"/>
  <c r="E28" i="18" s="1"/>
  <c r="D29" i="18"/>
  <c r="E29" i="18" s="1"/>
  <c r="D5" i="18"/>
  <c r="E5" i="18" s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6" i="15"/>
  <c r="E29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6" i="17"/>
  <c r="F7" i="16"/>
  <c r="G7" i="16" s="1"/>
  <c r="F8" i="16"/>
  <c r="G8" i="16" s="1"/>
  <c r="F9" i="16"/>
  <c r="G9" i="16" s="1"/>
  <c r="F10" i="16"/>
  <c r="G10" i="16" s="1"/>
  <c r="F11" i="16"/>
  <c r="G11" i="16" s="1"/>
  <c r="F12" i="16"/>
  <c r="G12" i="16" s="1"/>
  <c r="F13" i="16"/>
  <c r="G13" i="16" s="1"/>
  <c r="F14" i="16"/>
  <c r="G14" i="16" s="1"/>
  <c r="F15" i="16"/>
  <c r="G15" i="16" s="1"/>
  <c r="F16" i="16"/>
  <c r="G16" i="16" s="1"/>
  <c r="F17" i="16"/>
  <c r="G17" i="16" s="1"/>
  <c r="F18" i="16"/>
  <c r="G18" i="16" s="1"/>
  <c r="F19" i="16"/>
  <c r="G19" i="16" s="1"/>
  <c r="F20" i="16"/>
  <c r="G20" i="16" s="1"/>
  <c r="F21" i="16"/>
  <c r="G21" i="16" s="1"/>
  <c r="F22" i="16"/>
  <c r="G22" i="16" s="1"/>
  <c r="F23" i="16"/>
  <c r="G23" i="16" s="1"/>
  <c r="F24" i="16"/>
  <c r="G24" i="16" s="1"/>
  <c r="F25" i="16"/>
  <c r="G25" i="16" s="1"/>
  <c r="F26" i="16"/>
  <c r="G26" i="16" s="1"/>
  <c r="F27" i="16"/>
  <c r="G27" i="16" s="1"/>
  <c r="F28" i="16"/>
  <c r="G28" i="16" s="1"/>
  <c r="F29" i="16"/>
  <c r="G29" i="16" s="1"/>
  <c r="F6" i="16"/>
  <c r="G6" i="16" s="1"/>
  <c r="E30" i="18" l="1"/>
  <c r="D30" i="18"/>
  <c r="F30" i="16" l="1"/>
  <c r="E6" i="16" l="1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5" i="16"/>
  <c r="C30" i="18"/>
  <c r="G40" i="15"/>
  <c r="G40" i="16"/>
  <c r="F36" i="16"/>
  <c r="G36" i="16" s="1"/>
  <c r="F37" i="16"/>
  <c r="G37" i="16" s="1"/>
  <c r="F38" i="16"/>
  <c r="G38" i="16" s="1"/>
  <c r="F39" i="16"/>
  <c r="F57" i="17"/>
  <c r="F58" i="17"/>
  <c r="F59" i="17"/>
  <c r="F60" i="17"/>
  <c r="C65" i="17"/>
  <c r="D65" i="17"/>
  <c r="E65" i="17"/>
  <c r="F65" i="17"/>
  <c r="D46" i="15"/>
  <c r="E46" i="15"/>
  <c r="F46" i="15"/>
  <c r="F46" i="21" s="1"/>
  <c r="G58" i="1"/>
  <c r="G45" i="16"/>
  <c r="G63" i="17"/>
  <c r="G45" i="15"/>
  <c r="G56" i="1"/>
  <c r="G43" i="16"/>
  <c r="G42" i="16"/>
  <c r="G62" i="17"/>
  <c r="G61" i="17"/>
  <c r="G43" i="15"/>
  <c r="G42" i="15"/>
  <c r="G55" i="1"/>
  <c r="G54" i="1"/>
  <c r="G44" i="16"/>
  <c r="G64" i="17"/>
  <c r="G44" i="15"/>
  <c r="G57" i="1"/>
  <c r="G48" i="16"/>
  <c r="G47" i="16"/>
  <c r="G39" i="16"/>
  <c r="G35" i="16"/>
  <c r="G34" i="16"/>
  <c r="G33" i="16"/>
  <c r="G46" i="15" l="1"/>
  <c r="F46" i="16"/>
  <c r="G46" i="16" s="1"/>
  <c r="E49" i="15"/>
  <c r="E46" i="21"/>
  <c r="G65" i="17"/>
  <c r="E46" i="16"/>
  <c r="E30" i="16"/>
  <c r="F6" i="17"/>
  <c r="G54" i="17"/>
  <c r="G55" i="17"/>
  <c r="G56" i="17"/>
  <c r="G57" i="17"/>
  <c r="G58" i="17"/>
  <c r="G59" i="17"/>
  <c r="G60" i="17"/>
  <c r="G66" i="17"/>
  <c r="E67" i="17"/>
  <c r="G46" i="21" l="1"/>
  <c r="G49" i="21" s="1"/>
  <c r="E49" i="21"/>
  <c r="G67" i="17"/>
  <c r="E49" i="16"/>
  <c r="G4" i="21" l="1"/>
  <c r="C4" i="21"/>
  <c r="J4" i="21"/>
  <c r="C4" i="17"/>
  <c r="G4" i="17" s="1"/>
  <c r="D4" i="17"/>
  <c r="G49" i="16"/>
  <c r="F4" i="18" s="1"/>
  <c r="H4" i="18" s="1"/>
  <c r="F7" i="17"/>
  <c r="D10" i="17"/>
  <c r="G10" i="18" s="1"/>
  <c r="I10" i="18" s="1"/>
  <c r="D5" i="17"/>
  <c r="D16" i="17"/>
  <c r="G16" i="18" s="1"/>
  <c r="I16" i="18" s="1"/>
  <c r="D9" i="17"/>
  <c r="G9" i="18" s="1"/>
  <c r="I9" i="18" s="1"/>
  <c r="F6" i="15"/>
  <c r="G33" i="15"/>
  <c r="G34" i="15"/>
  <c r="G35" i="15"/>
  <c r="G36" i="15"/>
  <c r="G37" i="15"/>
  <c r="G38" i="15"/>
  <c r="G39" i="15"/>
  <c r="G47" i="15"/>
  <c r="G48" i="15"/>
  <c r="D11" i="17" l="1"/>
  <c r="G11" i="18" s="1"/>
  <c r="I11" i="18" s="1"/>
  <c r="D27" i="17"/>
  <c r="G27" i="18" s="1"/>
  <c r="I27" i="18" s="1"/>
  <c r="D15" i="17"/>
  <c r="G15" i="18" s="1"/>
  <c r="I15" i="18" s="1"/>
  <c r="D28" i="17"/>
  <c r="G28" i="18" s="1"/>
  <c r="I28" i="18" s="1"/>
  <c r="D23" i="17"/>
  <c r="D17" i="17"/>
  <c r="G17" i="18" s="1"/>
  <c r="I17" i="18" s="1"/>
  <c r="D7" i="17"/>
  <c r="G7" i="18" s="1"/>
  <c r="I7" i="18" s="1"/>
  <c r="D19" i="17"/>
  <c r="G19" i="18" s="1"/>
  <c r="I19" i="18" s="1"/>
  <c r="D21" i="17"/>
  <c r="G21" i="18" s="1"/>
  <c r="I21" i="18" s="1"/>
  <c r="D12" i="17"/>
  <c r="G12" i="18" s="1"/>
  <c r="I12" i="18" s="1"/>
  <c r="G23" i="18"/>
  <c r="I23" i="18" s="1"/>
  <c r="D24" i="17"/>
  <c r="G24" i="18" s="1"/>
  <c r="I24" i="18" s="1"/>
  <c r="D8" i="17"/>
  <c r="G8" i="18" s="1"/>
  <c r="I8" i="18" s="1"/>
  <c r="D20" i="17"/>
  <c r="G20" i="18" s="1"/>
  <c r="I20" i="18" s="1"/>
  <c r="D22" i="17"/>
  <c r="G22" i="18" s="1"/>
  <c r="I22" i="18" s="1"/>
  <c r="D13" i="17"/>
  <c r="H4" i="17"/>
  <c r="D19" i="21"/>
  <c r="G19" i="21" s="1"/>
  <c r="D4" i="21"/>
  <c r="D11" i="21"/>
  <c r="G11" i="21" s="1"/>
  <c r="D23" i="21"/>
  <c r="D15" i="21"/>
  <c r="G15" i="21" s="1"/>
  <c r="D5" i="21"/>
  <c r="D28" i="21"/>
  <c r="G28" i="21" s="1"/>
  <c r="D7" i="21"/>
  <c r="G7" i="21" s="1"/>
  <c r="D29" i="21"/>
  <c r="G29" i="21" s="1"/>
  <c r="D16" i="21"/>
  <c r="G16" i="21" s="1"/>
  <c r="D6" i="21"/>
  <c r="G6" i="21" s="1"/>
  <c r="D25" i="21"/>
  <c r="G25" i="21" s="1"/>
  <c r="D12" i="21"/>
  <c r="G12" i="21" s="1"/>
  <c r="D26" i="21"/>
  <c r="G26" i="21" s="1"/>
  <c r="D21" i="21"/>
  <c r="G21" i="21" s="1"/>
  <c r="D9" i="21"/>
  <c r="G9" i="21" s="1"/>
  <c r="D8" i="21"/>
  <c r="G8" i="21" s="1"/>
  <c r="D22" i="21"/>
  <c r="G22" i="21" s="1"/>
  <c r="D17" i="21"/>
  <c r="G17" i="21" s="1"/>
  <c r="D27" i="21"/>
  <c r="G27" i="21" s="1"/>
  <c r="D18" i="21"/>
  <c r="G18" i="21" s="1"/>
  <c r="D13" i="21"/>
  <c r="G13" i="21" s="1"/>
  <c r="D10" i="21"/>
  <c r="G10" i="21" s="1"/>
  <c r="D29" i="17"/>
  <c r="G29" i="18" s="1"/>
  <c r="I29" i="18" s="1"/>
  <c r="D25" i="17"/>
  <c r="G25" i="18" s="1"/>
  <c r="I25" i="18" s="1"/>
  <c r="D6" i="17"/>
  <c r="G6" i="18" s="1"/>
  <c r="I6" i="18" s="1"/>
  <c r="J4" i="17"/>
  <c r="D18" i="17"/>
  <c r="G18" i="18" s="1"/>
  <c r="I18" i="18" s="1"/>
  <c r="H4" i="21"/>
  <c r="G5" i="17"/>
  <c r="K5" i="17" s="1"/>
  <c r="G5" i="18"/>
  <c r="I5" i="18" s="1"/>
  <c r="C4" i="16"/>
  <c r="D11" i="16" s="1"/>
  <c r="F11" i="18" s="1"/>
  <c r="H11" i="18" s="1"/>
  <c r="F7" i="15"/>
  <c r="G7" i="15" s="1"/>
  <c r="G6" i="15"/>
  <c r="G6" i="17"/>
  <c r="J6" i="17" s="1"/>
  <c r="D26" i="17"/>
  <c r="G26" i="18" s="1"/>
  <c r="I26" i="18" s="1"/>
  <c r="K4" i="16"/>
  <c r="H4" i="16"/>
  <c r="G49" i="15"/>
  <c r="K4" i="15" s="1"/>
  <c r="F8" i="17"/>
  <c r="D16" i="16"/>
  <c r="F16" i="18" s="1"/>
  <c r="H16" i="18" s="1"/>
  <c r="D13" i="16"/>
  <c r="F13" i="18" s="1"/>
  <c r="H13" i="18" s="1"/>
  <c r="D7" i="16"/>
  <c r="F7" i="18" s="1"/>
  <c r="H7" i="18" s="1"/>
  <c r="D23" i="16"/>
  <c r="E60" i="1"/>
  <c r="G59" i="1"/>
  <c r="G53" i="1"/>
  <c r="G52" i="1"/>
  <c r="G51" i="1"/>
  <c r="G50" i="1"/>
  <c r="G49" i="1"/>
  <c r="G48" i="1"/>
  <c r="G47" i="1"/>
  <c r="D28" i="16" l="1"/>
  <c r="F28" i="18" s="1"/>
  <c r="H28" i="18" s="1"/>
  <c r="D4" i="16"/>
  <c r="D9" i="16"/>
  <c r="F9" i="18" s="1"/>
  <c r="H9" i="18" s="1"/>
  <c r="D5" i="16"/>
  <c r="D29" i="16"/>
  <c r="F29" i="18" s="1"/>
  <c r="H29" i="18" s="1"/>
  <c r="D10" i="16"/>
  <c r="F10" i="18" s="1"/>
  <c r="H10" i="18" s="1"/>
  <c r="D18" i="16"/>
  <c r="F18" i="18" s="1"/>
  <c r="H18" i="18" s="1"/>
  <c r="D6" i="16"/>
  <c r="F6" i="18" s="1"/>
  <c r="H6" i="18" s="1"/>
  <c r="G7" i="17"/>
  <c r="L6" i="17"/>
  <c r="D15" i="16"/>
  <c r="F15" i="18" s="1"/>
  <c r="H15" i="18" s="1"/>
  <c r="D22" i="16"/>
  <c r="F22" i="18" s="1"/>
  <c r="H22" i="18" s="1"/>
  <c r="D12" i="16"/>
  <c r="F12" i="18" s="1"/>
  <c r="H12" i="18" s="1"/>
  <c r="D19" i="16"/>
  <c r="F19" i="18" s="1"/>
  <c r="H19" i="18" s="1"/>
  <c r="D24" i="16"/>
  <c r="F24" i="18" s="1"/>
  <c r="F23" i="18"/>
  <c r="H23" i="18" s="1"/>
  <c r="K6" i="17"/>
  <c r="J17" i="21"/>
  <c r="L17" i="21"/>
  <c r="K17" i="21"/>
  <c r="L6" i="21"/>
  <c r="K6" i="21"/>
  <c r="J6" i="21"/>
  <c r="L11" i="21"/>
  <c r="J11" i="21"/>
  <c r="K11" i="21"/>
  <c r="L13" i="21"/>
  <c r="K13" i="21"/>
  <c r="J13" i="21"/>
  <c r="D14" i="21"/>
  <c r="G14" i="21" s="1"/>
  <c r="D20" i="21"/>
  <c r="G20" i="21" s="1"/>
  <c r="G5" i="21"/>
  <c r="L18" i="21"/>
  <c r="K18" i="21"/>
  <c r="J18" i="21"/>
  <c r="F5" i="18"/>
  <c r="H5" i="18" s="1"/>
  <c r="D20" i="16"/>
  <c r="F20" i="18" s="1"/>
  <c r="H20" i="18" s="1"/>
  <c r="D14" i="16"/>
  <c r="F14" i="18" s="1"/>
  <c r="G8" i="17"/>
  <c r="K8" i="17" s="1"/>
  <c r="L22" i="21"/>
  <c r="K22" i="21"/>
  <c r="J22" i="21"/>
  <c r="J16" i="21"/>
  <c r="K16" i="21"/>
  <c r="L16" i="21"/>
  <c r="L26" i="21"/>
  <c r="K26" i="21"/>
  <c r="J26" i="21"/>
  <c r="K15" i="21"/>
  <c r="L15" i="21"/>
  <c r="J15" i="21"/>
  <c r="K8" i="21"/>
  <c r="L8" i="21"/>
  <c r="J8" i="21"/>
  <c r="J29" i="21"/>
  <c r="L29" i="21"/>
  <c r="K29" i="21"/>
  <c r="L19" i="21"/>
  <c r="K19" i="21"/>
  <c r="J19" i="21"/>
  <c r="L25" i="21"/>
  <c r="K25" i="21"/>
  <c r="J25" i="21"/>
  <c r="D26" i="16"/>
  <c r="F26" i="18" s="1"/>
  <c r="H26" i="18" s="1"/>
  <c r="D25" i="16"/>
  <c r="F25" i="18" s="1"/>
  <c r="H25" i="18" s="1"/>
  <c r="D8" i="16"/>
  <c r="F8" i="18" s="1"/>
  <c r="H8" i="18" s="1"/>
  <c r="K9" i="21"/>
  <c r="J9" i="21"/>
  <c r="L9" i="21"/>
  <c r="L7" i="21"/>
  <c r="K7" i="21"/>
  <c r="J7" i="21"/>
  <c r="K12" i="21"/>
  <c r="L12" i="21"/>
  <c r="J12" i="21"/>
  <c r="L27" i="21"/>
  <c r="K27" i="21"/>
  <c r="J27" i="21"/>
  <c r="D24" i="21"/>
  <c r="G24" i="21" s="1"/>
  <c r="G23" i="21"/>
  <c r="D17" i="16"/>
  <c r="F17" i="18" s="1"/>
  <c r="H17" i="18" s="1"/>
  <c r="D27" i="16"/>
  <c r="F27" i="18" s="1"/>
  <c r="H27" i="18" s="1"/>
  <c r="L10" i="21"/>
  <c r="K10" i="21"/>
  <c r="J10" i="21"/>
  <c r="K21" i="21"/>
  <c r="J21" i="21"/>
  <c r="L21" i="21"/>
  <c r="J28" i="21"/>
  <c r="K28" i="21"/>
  <c r="L28" i="21"/>
  <c r="G13" i="18"/>
  <c r="I13" i="18" s="1"/>
  <c r="D14" i="17"/>
  <c r="G14" i="18" s="1"/>
  <c r="I14" i="18" s="1"/>
  <c r="D21" i="16"/>
  <c r="F21" i="18" s="1"/>
  <c r="H21" i="18" s="1"/>
  <c r="J5" i="17"/>
  <c r="L5" i="17"/>
  <c r="I4" i="16"/>
  <c r="F8" i="15"/>
  <c r="G8" i="15" s="1"/>
  <c r="H7" i="16"/>
  <c r="K7" i="16" s="1"/>
  <c r="H5" i="17"/>
  <c r="H6" i="17" s="1"/>
  <c r="H7" i="17" s="1"/>
  <c r="C4" i="15"/>
  <c r="D11" i="15" s="1"/>
  <c r="H4" i="15"/>
  <c r="I4" i="15" s="1"/>
  <c r="F9" i="17"/>
  <c r="G9" i="17" s="1"/>
  <c r="J7" i="17"/>
  <c r="L7" i="17"/>
  <c r="K7" i="17"/>
  <c r="H8" i="16"/>
  <c r="H5" i="16"/>
  <c r="G60" i="1"/>
  <c r="D4" i="1" s="1"/>
  <c r="H6" i="16" l="1"/>
  <c r="L6" i="16" s="1"/>
  <c r="D30" i="21"/>
  <c r="H8" i="17"/>
  <c r="L8" i="17"/>
  <c r="J8" i="17"/>
  <c r="I30" i="18"/>
  <c r="C33" i="18" s="1"/>
  <c r="G30" i="18"/>
  <c r="L14" i="21"/>
  <c r="K14" i="21"/>
  <c r="J14" i="21"/>
  <c r="D30" i="17"/>
  <c r="J23" i="21"/>
  <c r="L23" i="21"/>
  <c r="K23" i="21"/>
  <c r="L5" i="21"/>
  <c r="H5" i="21"/>
  <c r="H6" i="21" s="1"/>
  <c r="H7" i="21" s="1"/>
  <c r="H8" i="21" s="1"/>
  <c r="H9" i="21" s="1"/>
  <c r="H10" i="21" s="1"/>
  <c r="H11" i="21" s="1"/>
  <c r="H12" i="21" s="1"/>
  <c r="K5" i="21"/>
  <c r="J5" i="21"/>
  <c r="G30" i="21"/>
  <c r="K24" i="21"/>
  <c r="L24" i="21"/>
  <c r="J24" i="21"/>
  <c r="J20" i="21"/>
  <c r="K20" i="21"/>
  <c r="L20" i="21"/>
  <c r="M7" i="16"/>
  <c r="L7" i="16"/>
  <c r="H14" i="18"/>
  <c r="F9" i="15"/>
  <c r="G9" i="15" s="1"/>
  <c r="H9" i="16"/>
  <c r="L9" i="16" s="1"/>
  <c r="D7" i="15"/>
  <c r="H7" i="15" s="1"/>
  <c r="M7" i="15" s="1"/>
  <c r="D29" i="15"/>
  <c r="D25" i="15"/>
  <c r="D12" i="15"/>
  <c r="D26" i="15"/>
  <c r="D22" i="15"/>
  <c r="D19" i="15"/>
  <c r="D8" i="15"/>
  <c r="D21" i="15"/>
  <c r="D13" i="15"/>
  <c r="D4" i="15"/>
  <c r="D17" i="15"/>
  <c r="D27" i="15"/>
  <c r="D18" i="15"/>
  <c r="D23" i="15"/>
  <c r="D24" i="15" s="1"/>
  <c r="D10" i="15"/>
  <c r="D9" i="15"/>
  <c r="D6" i="15"/>
  <c r="H6" i="15" s="1"/>
  <c r="K6" i="15" s="1"/>
  <c r="D28" i="15"/>
  <c r="D15" i="15"/>
  <c r="D5" i="15"/>
  <c r="D16" i="15"/>
  <c r="C4" i="1"/>
  <c r="J9" i="17"/>
  <c r="H9" i="17"/>
  <c r="K9" i="17"/>
  <c r="L9" i="17"/>
  <c r="F10" i="17"/>
  <c r="G10" i="17" s="1"/>
  <c r="M5" i="16"/>
  <c r="L5" i="16"/>
  <c r="I5" i="16"/>
  <c r="K5" i="16"/>
  <c r="H10" i="16"/>
  <c r="L8" i="16"/>
  <c r="M8" i="16"/>
  <c r="K8" i="16"/>
  <c r="I6" i="16" l="1"/>
  <c r="I7" i="16" s="1"/>
  <c r="I8" i="16" s="1"/>
  <c r="I9" i="16" s="1"/>
  <c r="I10" i="16" s="1"/>
  <c r="K6" i="16"/>
  <c r="M6" i="16"/>
  <c r="L30" i="21"/>
  <c r="M31" i="21" s="1"/>
  <c r="J30" i="21"/>
  <c r="L33" i="21" s="1"/>
  <c r="D20" i="15"/>
  <c r="D14" i="15"/>
  <c r="K30" i="21"/>
  <c r="L31" i="21" s="1"/>
  <c r="L34" i="21"/>
  <c r="H13" i="2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4" i="1"/>
  <c r="D5" i="1"/>
  <c r="H5" i="1" s="1"/>
  <c r="H8" i="15"/>
  <c r="L8" i="15" s="1"/>
  <c r="D30" i="16"/>
  <c r="F30" i="18"/>
  <c r="F10" i="15"/>
  <c r="G10" i="15" s="1"/>
  <c r="M9" i="16"/>
  <c r="K9" i="16"/>
  <c r="M6" i="15"/>
  <c r="K7" i="15"/>
  <c r="L7" i="15"/>
  <c r="H5" i="15"/>
  <c r="L6" i="15"/>
  <c r="D17" i="1"/>
  <c r="D13" i="1"/>
  <c r="D14" i="1" s="1"/>
  <c r="D20" i="1"/>
  <c r="D8" i="1"/>
  <c r="I4" i="1"/>
  <c r="D21" i="1"/>
  <c r="D9" i="1"/>
  <c r="D25" i="1"/>
  <c r="D22" i="1"/>
  <c r="D10" i="1"/>
  <c r="D11" i="1"/>
  <c r="D12" i="1"/>
  <c r="D26" i="1"/>
  <c r="D18" i="1"/>
  <c r="D6" i="1"/>
  <c r="D28" i="1"/>
  <c r="D29" i="1"/>
  <c r="D27" i="1"/>
  <c r="D19" i="1"/>
  <c r="D7" i="1"/>
  <c r="D23" i="1"/>
  <c r="D24" i="1" s="1"/>
  <c r="D16" i="1"/>
  <c r="D15" i="1"/>
  <c r="F11" i="17"/>
  <c r="G11" i="17" s="1"/>
  <c r="L10" i="17"/>
  <c r="H10" i="17"/>
  <c r="J10" i="17"/>
  <c r="K10" i="17"/>
  <c r="L10" i="16"/>
  <c r="K10" i="16"/>
  <c r="M10" i="16"/>
  <c r="H11" i="16"/>
  <c r="F6" i="1"/>
  <c r="G6" i="1" s="1"/>
  <c r="H6" i="1" s="1"/>
  <c r="E7" i="1"/>
  <c r="L32" i="21" l="1"/>
  <c r="L35" i="21"/>
  <c r="E8" i="1"/>
  <c r="K8" i="15"/>
  <c r="M8" i="15"/>
  <c r="H24" i="18"/>
  <c r="H30" i="18" s="1"/>
  <c r="C32" i="18" s="1"/>
  <c r="D30" i="15"/>
  <c r="F7" i="1"/>
  <c r="G7" i="1" s="1"/>
  <c r="H7" i="1" s="1"/>
  <c r="F11" i="15"/>
  <c r="G11" i="15" s="1"/>
  <c r="H10" i="15"/>
  <c r="D30" i="1"/>
  <c r="H9" i="15"/>
  <c r="L9" i="15" s="1"/>
  <c r="I5" i="15"/>
  <c r="I6" i="15" s="1"/>
  <c r="I7" i="15" s="1"/>
  <c r="I8" i="15" s="1"/>
  <c r="K5" i="15"/>
  <c r="M5" i="15"/>
  <c r="L5" i="15"/>
  <c r="F12" i="17"/>
  <c r="G12" i="17" s="1"/>
  <c r="K11" i="17"/>
  <c r="H11" i="17"/>
  <c r="J11" i="17"/>
  <c r="L11" i="17"/>
  <c r="H12" i="16"/>
  <c r="I11" i="16"/>
  <c r="L11" i="16"/>
  <c r="M11" i="16"/>
  <c r="K11" i="16"/>
  <c r="K9" i="15" l="1"/>
  <c r="F12" i="15"/>
  <c r="G12" i="15" s="1"/>
  <c r="H11" i="15"/>
  <c r="L11" i="15" s="1"/>
  <c r="M9" i="15"/>
  <c r="I9" i="15"/>
  <c r="I10" i="15" s="1"/>
  <c r="I11" i="15" s="1"/>
  <c r="F13" i="17"/>
  <c r="G13" i="17" s="1"/>
  <c r="J12" i="17"/>
  <c r="K12" i="17"/>
  <c r="L12" i="17"/>
  <c r="H12" i="17"/>
  <c r="K12" i="16"/>
  <c r="L12" i="16"/>
  <c r="M12" i="16"/>
  <c r="I12" i="16"/>
  <c r="H13" i="16"/>
  <c r="M10" i="15"/>
  <c r="K10" i="15"/>
  <c r="L10" i="15"/>
  <c r="K4" i="1"/>
  <c r="L4" i="1" s="1"/>
  <c r="E9" i="1"/>
  <c r="F8" i="1"/>
  <c r="G8" i="1" s="1"/>
  <c r="L35" i="17" l="1"/>
  <c r="M11" i="15"/>
  <c r="K11" i="15"/>
  <c r="L34" i="16"/>
  <c r="F13" i="15"/>
  <c r="G13" i="15" s="1"/>
  <c r="H12" i="15"/>
  <c r="L12" i="15" s="1"/>
  <c r="J13" i="17"/>
  <c r="K13" i="17"/>
  <c r="L13" i="17"/>
  <c r="H13" i="17"/>
  <c r="F14" i="17"/>
  <c r="G14" i="17" s="1"/>
  <c r="H14" i="16"/>
  <c r="I13" i="16"/>
  <c r="M13" i="16"/>
  <c r="K13" i="16"/>
  <c r="L13" i="16"/>
  <c r="H8" i="1"/>
  <c r="E10" i="1"/>
  <c r="F9" i="1"/>
  <c r="G9" i="1" s="1"/>
  <c r="K12" i="15" l="1"/>
  <c r="I12" i="15"/>
  <c r="M12" i="15"/>
  <c r="F14" i="15"/>
  <c r="G14" i="15" s="1"/>
  <c r="H13" i="15"/>
  <c r="H14" i="17"/>
  <c r="J14" i="17"/>
  <c r="L14" i="17"/>
  <c r="K14" i="17"/>
  <c r="F15" i="17"/>
  <c r="G15" i="17" s="1"/>
  <c r="I14" i="16"/>
  <c r="K14" i="16"/>
  <c r="L14" i="16"/>
  <c r="M14" i="16"/>
  <c r="H15" i="16"/>
  <c r="K8" i="1"/>
  <c r="N8" i="1"/>
  <c r="M8" i="1"/>
  <c r="N7" i="1"/>
  <c r="M7" i="1"/>
  <c r="K7" i="1"/>
  <c r="N6" i="1"/>
  <c r="M6" i="1"/>
  <c r="K6" i="1"/>
  <c r="N5" i="1"/>
  <c r="K5" i="1"/>
  <c r="L5" i="1" s="1"/>
  <c r="L6" i="1" s="1"/>
  <c r="L7" i="1" s="1"/>
  <c r="L8" i="1" s="1"/>
  <c r="M5" i="1"/>
  <c r="H9" i="1"/>
  <c r="I5" i="1"/>
  <c r="E11" i="1"/>
  <c r="F10" i="1"/>
  <c r="G10" i="1" s="1"/>
  <c r="H10" i="1" l="1"/>
  <c r="N10" i="1" s="1"/>
  <c r="F15" i="15"/>
  <c r="G15" i="15" s="1"/>
  <c r="H14" i="15"/>
  <c r="L14" i="15" s="1"/>
  <c r="I13" i="15"/>
  <c r="L34" i="15"/>
  <c r="I15" i="16"/>
  <c r="I6" i="1"/>
  <c r="I7" i="1" s="1"/>
  <c r="I8" i="1" s="1"/>
  <c r="I9" i="1" s="1"/>
  <c r="F16" i="17"/>
  <c r="G16" i="17" s="1"/>
  <c r="J15" i="17"/>
  <c r="H15" i="17"/>
  <c r="K15" i="17"/>
  <c r="L15" i="17"/>
  <c r="L15" i="16"/>
  <c r="M15" i="16"/>
  <c r="K15" i="16"/>
  <c r="H16" i="16"/>
  <c r="L13" i="15"/>
  <c r="M13" i="15"/>
  <c r="K13" i="15"/>
  <c r="M9" i="1"/>
  <c r="K9" i="1"/>
  <c r="L9" i="1" s="1"/>
  <c r="L10" i="1" s="1"/>
  <c r="N9" i="1"/>
  <c r="K10" i="1"/>
  <c r="E12" i="1"/>
  <c r="F11" i="1"/>
  <c r="G11" i="1" s="1"/>
  <c r="M10" i="1" l="1"/>
  <c r="I10" i="1"/>
  <c r="I14" i="15"/>
  <c r="K14" i="15"/>
  <c r="F16" i="15"/>
  <c r="G16" i="15" s="1"/>
  <c r="H15" i="15"/>
  <c r="K15" i="15" s="1"/>
  <c r="H11" i="1"/>
  <c r="M14" i="15"/>
  <c r="I16" i="16"/>
  <c r="F17" i="17"/>
  <c r="G17" i="17" s="1"/>
  <c r="H16" i="17"/>
  <c r="K16" i="17"/>
  <c r="J16" i="17"/>
  <c r="L16" i="17"/>
  <c r="L16" i="16"/>
  <c r="M16" i="16"/>
  <c r="K16" i="16"/>
  <c r="H17" i="16"/>
  <c r="E13" i="1"/>
  <c r="F12" i="1"/>
  <c r="G12" i="1" s="1"/>
  <c r="L15" i="15" l="1"/>
  <c r="I15" i="15"/>
  <c r="M15" i="15"/>
  <c r="M11" i="1"/>
  <c r="I11" i="1"/>
  <c r="M35" i="1" s="1"/>
  <c r="K11" i="1"/>
  <c r="L11" i="1" s="1"/>
  <c r="N11" i="1"/>
  <c r="F17" i="15"/>
  <c r="G17" i="15" s="1"/>
  <c r="H16" i="15"/>
  <c r="H12" i="1"/>
  <c r="I17" i="16"/>
  <c r="F18" i="17"/>
  <c r="G18" i="17" s="1"/>
  <c r="H17" i="17"/>
  <c r="J17" i="17"/>
  <c r="K17" i="17"/>
  <c r="L17" i="17"/>
  <c r="M17" i="16"/>
  <c r="L17" i="16"/>
  <c r="K17" i="16"/>
  <c r="H18" i="16"/>
  <c r="E14" i="1"/>
  <c r="F13" i="1"/>
  <c r="G13" i="1" s="1"/>
  <c r="L12" i="1" l="1"/>
  <c r="I16" i="15"/>
  <c r="K16" i="15"/>
  <c r="M16" i="15"/>
  <c r="M12" i="1"/>
  <c r="K12" i="1"/>
  <c r="N12" i="1"/>
  <c r="I12" i="1"/>
  <c r="H13" i="1"/>
  <c r="K13" i="1" s="1"/>
  <c r="F18" i="15"/>
  <c r="G18" i="15" s="1"/>
  <c r="H17" i="15"/>
  <c r="M17" i="15" s="1"/>
  <c r="L16" i="15"/>
  <c r="F19" i="17"/>
  <c r="G19" i="17" s="1"/>
  <c r="L18" i="17"/>
  <c r="H18" i="17"/>
  <c r="J18" i="17"/>
  <c r="K18" i="17"/>
  <c r="L18" i="16"/>
  <c r="M18" i="16"/>
  <c r="K18" i="16"/>
  <c r="H19" i="16"/>
  <c r="I18" i="16"/>
  <c r="E15" i="1"/>
  <c r="F14" i="1"/>
  <c r="G14" i="1" s="1"/>
  <c r="L13" i="1" l="1"/>
  <c r="M13" i="1"/>
  <c r="N13" i="1"/>
  <c r="I13" i="1"/>
  <c r="L17" i="15"/>
  <c r="F19" i="15"/>
  <c r="G19" i="15" s="1"/>
  <c r="H18" i="15"/>
  <c r="L18" i="15" s="1"/>
  <c r="H14" i="1"/>
  <c r="I17" i="15"/>
  <c r="K17" i="15"/>
  <c r="I19" i="16"/>
  <c r="F20" i="17"/>
  <c r="G20" i="17" s="1"/>
  <c r="K19" i="17"/>
  <c r="H19" i="17"/>
  <c r="L19" i="17"/>
  <c r="J19" i="17"/>
  <c r="H20" i="16"/>
  <c r="L19" i="16"/>
  <c r="M19" i="16"/>
  <c r="K19" i="16"/>
  <c r="E16" i="1"/>
  <c r="F15" i="1"/>
  <c r="G15" i="1" s="1"/>
  <c r="L14" i="1" l="1"/>
  <c r="I18" i="15"/>
  <c r="K18" i="15"/>
  <c r="M18" i="15"/>
  <c r="K14" i="1"/>
  <c r="I14" i="1"/>
  <c r="N14" i="1"/>
  <c r="M14" i="1"/>
  <c r="H15" i="1"/>
  <c r="F20" i="15"/>
  <c r="G20" i="15" s="1"/>
  <c r="H19" i="15"/>
  <c r="L19" i="15" s="1"/>
  <c r="I20" i="16"/>
  <c r="F21" i="17"/>
  <c r="G21" i="17" s="1"/>
  <c r="J20" i="17"/>
  <c r="L20" i="17"/>
  <c r="K20" i="17"/>
  <c r="H20" i="17"/>
  <c r="L20" i="16"/>
  <c r="K20" i="16"/>
  <c r="M20" i="16"/>
  <c r="H21" i="16"/>
  <c r="E17" i="1"/>
  <c r="F16" i="1"/>
  <c r="G16" i="1" s="1"/>
  <c r="L15" i="1" l="1"/>
  <c r="G17" i="1"/>
  <c r="I19" i="15"/>
  <c r="K19" i="15"/>
  <c r="M19" i="15"/>
  <c r="N15" i="1"/>
  <c r="K15" i="1"/>
  <c r="M15" i="1"/>
  <c r="I15" i="1"/>
  <c r="H16" i="1"/>
  <c r="K16" i="1" s="1"/>
  <c r="F21" i="15"/>
  <c r="G21" i="15" s="1"/>
  <c r="H20" i="15"/>
  <c r="I21" i="16"/>
  <c r="K21" i="17"/>
  <c r="L21" i="17"/>
  <c r="H21" i="17"/>
  <c r="J21" i="17"/>
  <c r="F22" i="17"/>
  <c r="G22" i="17" s="1"/>
  <c r="M21" i="16"/>
  <c r="L21" i="16"/>
  <c r="K21" i="16"/>
  <c r="H22" i="16"/>
  <c r="E18" i="1"/>
  <c r="F17" i="1"/>
  <c r="L16" i="1" l="1"/>
  <c r="I20" i="15"/>
  <c r="N16" i="1"/>
  <c r="F22" i="15"/>
  <c r="G22" i="15" s="1"/>
  <c r="H21" i="15"/>
  <c r="L21" i="15" s="1"/>
  <c r="M20" i="15"/>
  <c r="L20" i="15"/>
  <c r="H17" i="1"/>
  <c r="M17" i="1" s="1"/>
  <c r="M16" i="1"/>
  <c r="K20" i="15"/>
  <c r="I16" i="1"/>
  <c r="I22" i="16"/>
  <c r="F23" i="17"/>
  <c r="G23" i="17" s="1"/>
  <c r="H22" i="17"/>
  <c r="J22" i="17"/>
  <c r="K22" i="17"/>
  <c r="L22" i="17"/>
  <c r="H23" i="16"/>
  <c r="K22" i="16"/>
  <c r="L22" i="16"/>
  <c r="M22" i="16"/>
  <c r="M21" i="15"/>
  <c r="K21" i="15"/>
  <c r="E19" i="1"/>
  <c r="F18" i="1"/>
  <c r="G18" i="1" s="1"/>
  <c r="I21" i="15" l="1"/>
  <c r="N17" i="1"/>
  <c r="K17" i="1"/>
  <c r="L17" i="1" s="1"/>
  <c r="H18" i="1"/>
  <c r="M18" i="1" s="1"/>
  <c r="I17" i="1"/>
  <c r="F23" i="15"/>
  <c r="G23" i="15" s="1"/>
  <c r="H22" i="15"/>
  <c r="M22" i="15" s="1"/>
  <c r="F24" i="17"/>
  <c r="G24" i="17" s="1"/>
  <c r="K23" i="17"/>
  <c r="J23" i="17"/>
  <c r="L23" i="17"/>
  <c r="H23" i="17"/>
  <c r="K23" i="16"/>
  <c r="L23" i="16"/>
  <c r="M23" i="16"/>
  <c r="I23" i="16"/>
  <c r="H24" i="16"/>
  <c r="E20" i="1"/>
  <c r="F19" i="1"/>
  <c r="G19" i="1" s="1"/>
  <c r="N18" i="1" l="1"/>
  <c r="K18" i="1"/>
  <c r="L18" i="1" s="1"/>
  <c r="L19" i="1" s="1"/>
  <c r="F24" i="15"/>
  <c r="G24" i="15" s="1"/>
  <c r="H23" i="15"/>
  <c r="L22" i="15"/>
  <c r="I22" i="15"/>
  <c r="I23" i="15" s="1"/>
  <c r="K22" i="15"/>
  <c r="I18" i="1"/>
  <c r="H19" i="1"/>
  <c r="K19" i="1" s="1"/>
  <c r="F25" i="17"/>
  <c r="G25" i="17" s="1"/>
  <c r="H24" i="17"/>
  <c r="J24" i="17"/>
  <c r="K24" i="17"/>
  <c r="L24" i="17"/>
  <c r="L24" i="16"/>
  <c r="K24" i="16"/>
  <c r="M24" i="16"/>
  <c r="H25" i="16"/>
  <c r="I24" i="16"/>
  <c r="L23" i="15"/>
  <c r="K23" i="15"/>
  <c r="M23" i="15"/>
  <c r="E21" i="1"/>
  <c r="F20" i="1"/>
  <c r="G20" i="1" s="1"/>
  <c r="N19" i="1" l="1"/>
  <c r="H20" i="1"/>
  <c r="N20" i="1" s="1"/>
  <c r="I19" i="1"/>
  <c r="I20" i="1" s="1"/>
  <c r="M19" i="1"/>
  <c r="F25" i="15"/>
  <c r="G25" i="15" s="1"/>
  <c r="H24" i="15"/>
  <c r="M24" i="15" s="1"/>
  <c r="I25" i="16"/>
  <c r="H25" i="17"/>
  <c r="J25" i="17"/>
  <c r="K25" i="17"/>
  <c r="L25" i="17"/>
  <c r="F26" i="17"/>
  <c r="G26" i="17" s="1"/>
  <c r="H26" i="16"/>
  <c r="L25" i="16"/>
  <c r="M25" i="16"/>
  <c r="K25" i="16"/>
  <c r="E22" i="1"/>
  <c r="F21" i="1"/>
  <c r="G21" i="1" s="1"/>
  <c r="K20" i="1" l="1"/>
  <c r="L20" i="1" s="1"/>
  <c r="M20" i="1"/>
  <c r="L24" i="15"/>
  <c r="K24" i="15"/>
  <c r="F26" i="15"/>
  <c r="G26" i="15" s="1"/>
  <c r="H25" i="15"/>
  <c r="L25" i="15" s="1"/>
  <c r="I24" i="15"/>
  <c r="I25" i="15" s="1"/>
  <c r="H21" i="1"/>
  <c r="I26" i="16"/>
  <c r="F27" i="17"/>
  <c r="G27" i="17" s="1"/>
  <c r="L26" i="17"/>
  <c r="H26" i="17"/>
  <c r="J26" i="17"/>
  <c r="K26" i="17"/>
  <c r="H27" i="16"/>
  <c r="K26" i="16"/>
  <c r="L26" i="16"/>
  <c r="M26" i="16"/>
  <c r="E23" i="1"/>
  <c r="F22" i="1"/>
  <c r="G22" i="1" s="1"/>
  <c r="K25" i="15" l="1"/>
  <c r="M25" i="15"/>
  <c r="M21" i="1"/>
  <c r="K21" i="1"/>
  <c r="L21" i="1" s="1"/>
  <c r="I21" i="1"/>
  <c r="N21" i="1"/>
  <c r="H22" i="1"/>
  <c r="N22" i="1" s="1"/>
  <c r="F27" i="15"/>
  <c r="G27" i="15" s="1"/>
  <c r="H26" i="15"/>
  <c r="I26" i="15" s="1"/>
  <c r="I27" i="16"/>
  <c r="F28" i="17"/>
  <c r="G28" i="17" s="1"/>
  <c r="F29" i="17"/>
  <c r="K27" i="17"/>
  <c r="H27" i="17"/>
  <c r="L27" i="17"/>
  <c r="J27" i="17"/>
  <c r="H28" i="16"/>
  <c r="L27" i="16"/>
  <c r="M27" i="16"/>
  <c r="K27" i="16"/>
  <c r="E24" i="1"/>
  <c r="F23" i="1"/>
  <c r="G23" i="1" s="1"/>
  <c r="L22" i="1" l="1"/>
  <c r="H23" i="1"/>
  <c r="N23" i="1" s="1"/>
  <c r="L26" i="15"/>
  <c r="I22" i="1"/>
  <c r="F28" i="15"/>
  <c r="G28" i="15" s="1"/>
  <c r="H27" i="15"/>
  <c r="L27" i="15" s="1"/>
  <c r="K26" i="15"/>
  <c r="G29" i="17"/>
  <c r="G30" i="17" s="1"/>
  <c r="F30" i="17"/>
  <c r="K22" i="1"/>
  <c r="M26" i="15"/>
  <c r="M22" i="1"/>
  <c r="I28" i="16"/>
  <c r="J28" i="17"/>
  <c r="L28" i="17"/>
  <c r="H28" i="17"/>
  <c r="K28" i="17"/>
  <c r="K28" i="16"/>
  <c r="M28" i="16"/>
  <c r="L28" i="16"/>
  <c r="G30" i="16"/>
  <c r="E25" i="1"/>
  <c r="F24" i="1"/>
  <c r="G24" i="1" s="1"/>
  <c r="K23" i="1" l="1"/>
  <c r="L23" i="1" s="1"/>
  <c r="M23" i="1"/>
  <c r="I23" i="1"/>
  <c r="K29" i="17"/>
  <c r="K30" i="17" s="1"/>
  <c r="K31" i="17" s="1"/>
  <c r="J29" i="17"/>
  <c r="F29" i="15"/>
  <c r="G29" i="15" s="1"/>
  <c r="H28" i="15"/>
  <c r="M28" i="15" s="1"/>
  <c r="M27" i="15"/>
  <c r="L29" i="17"/>
  <c r="L30" i="17" s="1"/>
  <c r="L31" i="17" s="1"/>
  <c r="I27" i="15"/>
  <c r="H29" i="17"/>
  <c r="K27" i="15"/>
  <c r="H24" i="1"/>
  <c r="J30" i="17"/>
  <c r="L34" i="17"/>
  <c r="H29" i="16"/>
  <c r="E30" i="15"/>
  <c r="E26" i="1"/>
  <c r="F25" i="1"/>
  <c r="G25" i="1" s="1"/>
  <c r="I24" i="1" l="1"/>
  <c r="K24" i="1"/>
  <c r="L24" i="1" s="1"/>
  <c r="M24" i="1"/>
  <c r="N24" i="1"/>
  <c r="I28" i="15"/>
  <c r="L36" i="17"/>
  <c r="J31" i="17"/>
  <c r="K29" i="16"/>
  <c r="K30" i="16" s="1"/>
  <c r="L33" i="16" s="1"/>
  <c r="H30" i="16"/>
  <c r="L28" i="15"/>
  <c r="G30" i="15"/>
  <c r="F30" i="15"/>
  <c r="K28" i="15"/>
  <c r="H25" i="1"/>
  <c r="L33" i="17"/>
  <c r="M29" i="16"/>
  <c r="L29" i="16"/>
  <c r="L30" i="16" s="1"/>
  <c r="I29" i="16"/>
  <c r="E27" i="1"/>
  <c r="F26" i="1"/>
  <c r="G26" i="1" s="1"/>
  <c r="N25" i="1" l="1"/>
  <c r="M25" i="1"/>
  <c r="K25" i="1"/>
  <c r="L25" i="1" s="1"/>
  <c r="I25" i="1"/>
  <c r="H29" i="15"/>
  <c r="H30" i="15" s="1"/>
  <c r="H26" i="1"/>
  <c r="L35" i="16"/>
  <c r="M30" i="16"/>
  <c r="M31" i="16" s="1"/>
  <c r="L31" i="16"/>
  <c r="E28" i="1"/>
  <c r="F27" i="1"/>
  <c r="G27" i="1" s="1"/>
  <c r="I29" i="15" l="1"/>
  <c r="K26" i="1"/>
  <c r="L26" i="1" s="1"/>
  <c r="N26" i="1"/>
  <c r="M26" i="1"/>
  <c r="I26" i="1"/>
  <c r="M29" i="15"/>
  <c r="M30" i="15" s="1"/>
  <c r="M31" i="15" s="1"/>
  <c r="E29" i="1"/>
  <c r="L29" i="15"/>
  <c r="L30" i="15" s="1"/>
  <c r="L31" i="15" s="1"/>
  <c r="K29" i="15"/>
  <c r="K30" i="15" s="1"/>
  <c r="L35" i="15" s="1"/>
  <c r="H27" i="1"/>
  <c r="L32" i="16"/>
  <c r="F28" i="1"/>
  <c r="G28" i="1" s="1"/>
  <c r="L27" i="1" l="1"/>
  <c r="L32" i="15"/>
  <c r="L33" i="15"/>
  <c r="M27" i="1"/>
  <c r="I27" i="1"/>
  <c r="K27" i="1"/>
  <c r="N27" i="1"/>
  <c r="H28" i="1"/>
  <c r="M28" i="1" s="1"/>
  <c r="F29" i="1"/>
  <c r="G29" i="1" s="1"/>
  <c r="L28" i="1" l="1"/>
  <c r="K28" i="1"/>
  <c r="H29" i="1"/>
  <c r="H30" i="1" s="1"/>
  <c r="G30" i="1"/>
  <c r="I28" i="1"/>
  <c r="N28" i="1"/>
  <c r="K29" i="1" l="1"/>
  <c r="M34" i="1" s="1"/>
  <c r="M29" i="1"/>
  <c r="M30" i="1" s="1"/>
  <c r="M31" i="1" s="1"/>
  <c r="M33" i="1" s="1"/>
  <c r="N29" i="1"/>
  <c r="N30" i="1" s="1"/>
  <c r="N31" i="1" s="1"/>
  <c r="I29" i="1"/>
  <c r="K30" i="1"/>
  <c r="L29" i="1" l="1"/>
  <c r="K31" i="1"/>
  <c r="M36" i="1"/>
  <c r="L29" i="19"/>
  <c r="L30" i="19" s="1"/>
  <c r="M29" i="19"/>
  <c r="M30" i="19" s="1"/>
  <c r="L32" i="19" l="1"/>
</calcChain>
</file>

<file path=xl/sharedStrings.xml><?xml version="1.0" encoding="utf-8"?>
<sst xmlns="http://schemas.openxmlformats.org/spreadsheetml/2006/main" count="560" uniqueCount="110">
  <si>
    <t>Asumsi PLTS setiap tahunnya energi yang dihasilkan PLTS menurun 0,5%</t>
  </si>
  <si>
    <t>Tahun</t>
  </si>
  <si>
    <t>Investasi Awal (Rp)</t>
  </si>
  <si>
    <t>Faktor Diskonto</t>
  </si>
  <si>
    <t>-</t>
  </si>
  <si>
    <t>No</t>
  </si>
  <si>
    <t>item</t>
  </si>
  <si>
    <t>seri</t>
  </si>
  <si>
    <t>harga</t>
  </si>
  <si>
    <t>sumber</t>
  </si>
  <si>
    <t>PV Module</t>
  </si>
  <si>
    <t>Inverter</t>
  </si>
  <si>
    <t>DC Cable</t>
  </si>
  <si>
    <t>Mounting grounding clip</t>
  </si>
  <si>
    <t>Mounting grounding Lug</t>
  </si>
  <si>
    <t>Mounting End Clamp</t>
  </si>
  <si>
    <t>Mounting Mid Clamp</t>
  </si>
  <si>
    <t>Mounting Rail Clamp</t>
  </si>
  <si>
    <t>ER-EC-AE/35/L50</t>
  </si>
  <si>
    <t>ER-EC-AE/30-40/L50 478</t>
  </si>
  <si>
    <t>ER-RC-AE</t>
  </si>
  <si>
    <t>jumlah</t>
  </si>
  <si>
    <t>harga total</t>
  </si>
  <si>
    <t>SG110CX</t>
  </si>
  <si>
    <t>https://tokopedia.link/2dXuW31njyb</t>
  </si>
  <si>
    <t>JA SOLAR 540 Wp</t>
  </si>
  <si>
    <t>https://tokopedia.link/umaeRLJojyb</t>
  </si>
  <si>
    <t>https://tokopedia.link/Gb0xmrUojyb</t>
  </si>
  <si>
    <t xml:space="preserve">EZ-GZ-AE </t>
  </si>
  <si>
    <t xml:space="preserve">EZ-GL-U </t>
  </si>
  <si>
    <t>https://tokopedia.link/vMUDWMBpjyb</t>
  </si>
  <si>
    <t>https://tokopedia.link/cE6pk9Fpjyb</t>
  </si>
  <si>
    <t>https://tokopedia.link/wCcbJRLpjyb</t>
  </si>
  <si>
    <t>https://tokopedia.link/81HiUS4pjyb</t>
  </si>
  <si>
    <t>https://tokopedia.link/5LdE1W0qjyb</t>
  </si>
  <si>
    <t>Present Value NCF  (Rp)</t>
  </si>
  <si>
    <t>Energi yang di ekspor (kWh)</t>
  </si>
  <si>
    <t>Penghematan atau Energi yang di import(kWh)</t>
  </si>
  <si>
    <t xml:space="preserve"> Arus Kas Masuk (Rp)</t>
  </si>
  <si>
    <t>total</t>
  </si>
  <si>
    <t xml:space="preserve">Arus Kas Keluar (Rp) </t>
  </si>
  <si>
    <t>Arus Kas Bersih(Rp)</t>
  </si>
  <si>
    <t>Kumulatif arus kas bersih</t>
  </si>
  <si>
    <t>IRR</t>
  </si>
  <si>
    <t>IRR=</t>
  </si>
  <si>
    <t>NPV=</t>
  </si>
  <si>
    <t>IRR =</t>
  </si>
  <si>
    <t>NPV =</t>
  </si>
  <si>
    <t>PBP =</t>
  </si>
  <si>
    <t>PI =</t>
  </si>
  <si>
    <t>Total</t>
  </si>
  <si>
    <t xml:space="preserve"> </t>
  </si>
  <si>
    <t>http://en.integra-solusi.co.id/product/kwh-meter-edmi-mk6n-class-05s-p969115.aspx</t>
  </si>
  <si>
    <t>Edmi Mk6N</t>
  </si>
  <si>
    <t xml:space="preserve">kWh Exim </t>
  </si>
  <si>
    <t>https://indonesian.alibaba.com/p-detail/ATESS-1600700727460.html?spm=a2700.galleryofferlist.p_offer.d_title.375435e4XxCGbF&amp;s=p</t>
  </si>
  <si>
    <t>ATESS HPS 100</t>
  </si>
  <si>
    <t>PI</t>
  </si>
  <si>
    <t>PBP</t>
  </si>
  <si>
    <t>https://www.tokopedia.com/baterailab/baterai-lithium-lifepo4-3-2v-100ah-discharge-capacity-test-prove-eve-100ah-c7528</t>
  </si>
  <si>
    <t>Baterai</t>
  </si>
  <si>
    <t>Present Value (Rp)</t>
  </si>
  <si>
    <t>kumulative arus kas bersih(Rp)</t>
  </si>
  <si>
    <t xml:space="preserve">Arus Kas Bersih(Rp) </t>
  </si>
  <si>
    <t>Arus Kas Keluar (Rp) pertahun</t>
  </si>
  <si>
    <t>LCOE (Rp)</t>
  </si>
  <si>
    <t>On grid menjual ke grid</t>
  </si>
  <si>
    <t>Hybrid menjual ke grid</t>
  </si>
  <si>
    <t>Present Value Pembangkitan Energi Listrik (kWh)</t>
  </si>
  <si>
    <t>Hybrid tidak menjual ke grid</t>
  </si>
  <si>
    <t>On-grid tidak menjual</t>
  </si>
  <si>
    <t>Cable 6mm2 ,100m</t>
  </si>
  <si>
    <t>https://www.tokopedia.com/badank/100m-black-red-6mm2-solar-pv-cable-h1z2z2-k-1500v-tinned-copper?extParam=ivf%3Dfalse%26src%3Dsearch&amp;refined=true</t>
  </si>
  <si>
    <t>Cable 6mm2 , 100m</t>
  </si>
  <si>
    <t>Cable 6mm2 , 100 m</t>
  </si>
  <si>
    <t>beamasuk hybrid inverter</t>
  </si>
  <si>
    <t>Hybrid Inverter</t>
  </si>
  <si>
    <t>beacukai</t>
  </si>
  <si>
    <t>https://www.tokopedia.com/tridayaadhinata/sungrow-110cx-wifi-dongle?extParam=whid%3D8625683</t>
  </si>
  <si>
    <t>MC4 connector</t>
  </si>
  <si>
    <t>Male-Female</t>
  </si>
  <si>
    <t>https://www.tokopedia.com/panelsuryaku-8/mc4-socket-connector-solar-panel-surya-solarcell-konektor-ip67</t>
  </si>
  <si>
    <t>Grounding cable</t>
  </si>
  <si>
    <t>1x6mm Per Meter Super Kabel</t>
  </si>
  <si>
    <t>Lighting protecrion</t>
  </si>
  <si>
    <t>Current cr120</t>
  </si>
  <si>
    <t>https://www.tokopedia.com/indoledlighting/current-cr120-penangkal-petir-lighting-protection-radius-120m-120-m</t>
  </si>
  <si>
    <t>https://www.tokopedia.com/visiotekindo/kabel-nyy-35-mm-kabel-grounding-35mm?extParam=ivf%3Dfalse%26src%3Dsearch</t>
  </si>
  <si>
    <t>Kabel Tray</t>
  </si>
  <si>
    <t>Galvanis powder coating Hotdip 2mm</t>
  </si>
  <si>
    <t>https://www.tokopedia.com/rajaboxpanel/kabel-cable-tray-tipe-u-elektro-galvanis-powder-coating-hotdip-2mm?extParam=ivf%3Dfalse&amp;src=topads</t>
  </si>
  <si>
    <t xml:space="preserve">Mounting Rail </t>
  </si>
  <si>
    <t>https://www.tokopedia.com/activ-shop/mounting-bracket-solar-pv-solar-module-panel-surya-rail-2200mm-lokal-1-1-mtr-8432b?extParam=ivf%3Dfalse%26src%3Dsearch</t>
  </si>
  <si>
    <t>Rail 2200mm</t>
  </si>
  <si>
    <t>Galvanis powder coating Hotdip 3m</t>
  </si>
  <si>
    <t>Mounting Rail</t>
  </si>
  <si>
    <t>Energi pertahun(kWh)</t>
  </si>
  <si>
    <t>Et(kWh)</t>
  </si>
  <si>
    <t xml:space="preserve">LCOE Hybrid </t>
  </si>
  <si>
    <t>LCOE On-grid</t>
  </si>
  <si>
    <t>LCC hybrid (Rp)</t>
  </si>
  <si>
    <t>LCC on-grid (Rp)</t>
  </si>
  <si>
    <t xml:space="preserve">PV Et </t>
  </si>
  <si>
    <t>PV LCC Hybrid</t>
  </si>
  <si>
    <t>PV LCC On-grid</t>
  </si>
  <si>
    <t>EVE LF100MA 48 V 100ah Lifepo4</t>
  </si>
  <si>
    <t>https://www.tokopedia.com/surya-solusi/solar-panel-ja-solar-550-wp-mono-sni?extParam=ivf%3Dfalse%26src%3Dsearch&amp;refined=true</t>
  </si>
  <si>
    <t>Self-consumption kWh</t>
  </si>
  <si>
    <t>Self-consumption(kWh)</t>
  </si>
  <si>
    <t>self-consumption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</si>
</sst>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_(* #,##0.00_);_(* \(#,##0.00\);_(* &quot;-&quot;??_);_(@_)"/>
    <numFmt numFmtId="167" formatCode="_-* #,##0_-;\-* #,##0_-;_-* &quot;-&quot;??_-;_-@_-"/>
    <numFmt numFmtId="168" formatCode="yyyy;@"/>
    <numFmt numFmtId="169" formatCode="_(* #.00.;_(* \(#.00.;_(* &quot;-&quot;??_);_(@_ⴆ"/>
    <numFmt numFmtId="170" formatCode="0.000000000000000%"/>
    <numFmt numFmtId="171" formatCode="_(* #.##0.00_);_(* \(#.##0.00\);_(* &quot;-&quot;??_);_(@_)"/>
    <numFmt numFmtId="172" formatCode="_-* #.;\-* #.;_-* &quot;-&quot;??_-;_-@_ⴆ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i/>
      <sz val="12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 Light"/>
      <family val="2"/>
      <scheme val="maj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9" fillId="2" borderId="0" applyNumberFormat="0" applyProtection="0">
      <alignment horizontal="left" wrapText="1" indent="4"/>
    </xf>
    <xf numFmtId="0" fontId="10" fillId="2" borderId="0" applyNumberFormat="0" applyProtection="0">
      <alignment horizontal="left" wrapText="1" indent="4"/>
    </xf>
    <xf numFmtId="0" fontId="11" fillId="2" borderId="0" applyNumberFormat="0" applyBorder="0" applyProtection="0">
      <alignment horizontal="left" indent="1"/>
    </xf>
    <xf numFmtId="0" fontId="10" fillId="0" borderId="0" applyFill="0" applyBorder="0">
      <alignment wrapText="1"/>
    </xf>
    <xf numFmtId="0" fontId="8" fillId="0" borderId="0"/>
    <xf numFmtId="0" fontId="7" fillId="3" borderId="4"/>
    <xf numFmtId="0" fontId="7" fillId="4" borderId="3"/>
    <xf numFmtId="0" fontId="7" fillId="3" borderId="0"/>
    <xf numFmtId="0" fontId="8" fillId="5" borderId="0" applyNumberFormat="0" applyBorder="0" applyProtection="0"/>
    <xf numFmtId="0" fontId="1" fillId="0" borderId="0" applyNumberFormat="0" applyFill="0" applyBorder="0" applyAlignment="0" applyProtection="0"/>
    <xf numFmtId="0" fontId="7" fillId="0" borderId="5" applyNumberFormat="0" applyFont="0" applyFill="0" applyAlignment="0"/>
    <xf numFmtId="0" fontId="7" fillId="0" borderId="6" applyNumberFormat="0" applyFont="0" applyFill="0" applyAlignment="0"/>
    <xf numFmtId="0" fontId="7" fillId="0" borderId="7" applyNumberFormat="0" applyFont="0" applyFill="0"/>
    <xf numFmtId="0" fontId="7" fillId="0" borderId="8" applyNumberFormat="0" applyFont="0" applyFill="0" applyAlignment="0"/>
    <xf numFmtId="14" fontId="7" fillId="0" borderId="0" applyFont="0" applyFill="0" applyBorder="0" applyAlignment="0"/>
    <xf numFmtId="165" fontId="7" fillId="6" borderId="0" applyFont="0" applyBorder="0" applyAlignment="0"/>
    <xf numFmtId="164" fontId="7" fillId="0" borderId="0" applyFont="0" applyFill="0" applyBorder="0" applyAlignment="0" applyProtection="0"/>
    <xf numFmtId="168" fontId="7" fillId="0" borderId="0" applyFont="0" applyFill="0" applyBorder="0" applyAlignment="0"/>
  </cellStyleXfs>
  <cellXfs count="5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7" fontId="0" fillId="0" borderId="1" xfId="0" applyNumberFormat="1" applyBorder="1"/>
    <xf numFmtId="43" fontId="0" fillId="0" borderId="1" xfId="0" applyNumberFormat="1" applyBorder="1"/>
    <xf numFmtId="2" fontId="0" fillId="0" borderId="1" xfId="0" applyNumberFormat="1" applyBorder="1"/>
    <xf numFmtId="167" fontId="1" fillId="0" borderId="0" xfId="0" applyNumberFormat="1" applyFont="1"/>
    <xf numFmtId="0" fontId="0" fillId="0" borderId="1" xfId="0" applyBorder="1" applyAlignment="1">
      <alignment horizontal="center"/>
    </xf>
    <xf numFmtId="0" fontId="2" fillId="0" borderId="1" xfId="1" applyBorder="1" applyAlignment="1">
      <alignment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3" fontId="0" fillId="0" borderId="1" xfId="0" applyNumberFormat="1" applyBorder="1"/>
    <xf numFmtId="0" fontId="1" fillId="0" borderId="0" xfId="0" applyFont="1" applyAlignment="1">
      <alignment horizontal="center"/>
    </xf>
    <xf numFmtId="0" fontId="2" fillId="0" borderId="0" xfId="1" applyBorder="1" applyAlignment="1">
      <alignment wrapText="1"/>
    </xf>
    <xf numFmtId="0" fontId="6" fillId="0" borderId="1" xfId="0" applyFont="1" applyBorder="1" applyAlignment="1">
      <alignment horizontal="left" vertical="center"/>
    </xf>
    <xf numFmtId="167" fontId="0" fillId="0" borderId="0" xfId="0" applyNumberFormat="1"/>
    <xf numFmtId="9" fontId="0" fillId="0" borderId="1" xfId="0" applyNumberFormat="1" applyBorder="1"/>
    <xf numFmtId="3" fontId="0" fillId="0" borderId="0" xfId="0" applyNumberFormat="1"/>
    <xf numFmtId="10" fontId="0" fillId="0" borderId="0" xfId="0" applyNumberFormat="1"/>
    <xf numFmtId="4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2" fillId="0" borderId="0" xfId="1" applyFont="1" applyBorder="1" applyAlignment="1">
      <alignment wrapText="1"/>
    </xf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67" fontId="0" fillId="0" borderId="9" xfId="0" applyNumberFormat="1" applyBorder="1"/>
    <xf numFmtId="172" fontId="0" fillId="0" borderId="9" xfId="0" applyNumberFormat="1" applyBorder="1"/>
    <xf numFmtId="172" fontId="0" fillId="0" borderId="1" xfId="0" applyNumberFormat="1" applyBorder="1"/>
    <xf numFmtId="0" fontId="13" fillId="0" borderId="1" xfId="0" applyFont="1" applyBorder="1" applyAlignment="1">
      <alignment horizontal="left" vertical="center"/>
    </xf>
    <xf numFmtId="9" fontId="1" fillId="0" borderId="1" xfId="0" applyNumberFormat="1" applyFont="1" applyBorder="1" applyAlignment="1">
      <alignment horizontal="center"/>
    </xf>
    <xf numFmtId="167" fontId="0" fillId="0" borderId="10" xfId="0" applyNumberFormat="1" applyBorder="1"/>
    <xf numFmtId="2" fontId="0" fillId="0" borderId="0" xfId="0" applyNumberFormat="1"/>
    <xf numFmtId="166" fontId="0" fillId="0" borderId="0" xfId="0" applyNumberFormat="1"/>
    <xf numFmtId="0" fontId="0" fillId="0" borderId="11" xfId="0" applyBorder="1" applyAlignment="1">
      <alignment horizontal="center"/>
    </xf>
    <xf numFmtId="3" fontId="0" fillId="0" borderId="12" xfId="0" applyNumberFormat="1" applyBorder="1"/>
    <xf numFmtId="0" fontId="14" fillId="0" borderId="0" xfId="0" applyFont="1"/>
    <xf numFmtId="3" fontId="0" fillId="0" borderId="1" xfId="0" applyNumberForma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4" fillId="0" borderId="1" xfId="0" applyFont="1" applyBorder="1"/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20">
    <cellStyle name="Bottom Border" xfId="12" xr:uid="{00000000-0005-0000-0000-000000000000}"/>
    <cellStyle name="Currency 2" xfId="18" xr:uid="{00000000-0005-0000-0000-000001000000}"/>
    <cellStyle name="Date" xfId="16" xr:uid="{00000000-0005-0000-0000-000002000000}"/>
    <cellStyle name="GrayCell" xfId="9" xr:uid="{00000000-0005-0000-0000-000003000000}"/>
    <cellStyle name="Heading 1 2" xfId="2" xr:uid="{00000000-0005-0000-0000-000004000000}"/>
    <cellStyle name="Heading 2 2" xfId="3" xr:uid="{00000000-0005-0000-0000-000005000000}"/>
    <cellStyle name="Heading 3 2" xfId="10" xr:uid="{00000000-0005-0000-0000-000006000000}"/>
    <cellStyle name="Heading 4 2" xfId="11" xr:uid="{00000000-0005-0000-0000-000007000000}"/>
    <cellStyle name="Highlight" xfId="17" xr:uid="{00000000-0005-0000-0000-000008000000}"/>
    <cellStyle name="Hyperlink" xfId="1" builtinId="8"/>
    <cellStyle name="Left Bottom Green Border" xfId="14" xr:uid="{00000000-0005-0000-0000-00000A000000}"/>
    <cellStyle name="Left Green Border" xfId="15" xr:uid="{00000000-0005-0000-0000-00000B000000}"/>
    <cellStyle name="Normal" xfId="0" builtinId="0"/>
    <cellStyle name="OrangeBorder" xfId="7" xr:uid="{00000000-0005-0000-0000-00000D000000}"/>
    <cellStyle name="Right Green Border" xfId="13" xr:uid="{00000000-0005-0000-0000-00000E000000}"/>
    <cellStyle name="Start Text" xfId="5" xr:uid="{00000000-0005-0000-0000-00000F000000}"/>
    <cellStyle name="Title 2" xfId="4" xr:uid="{00000000-0005-0000-0000-000010000000}"/>
    <cellStyle name="Year" xfId="19" xr:uid="{00000000-0005-0000-0000-000011000000}"/>
    <cellStyle name="YellowCell" xfId="8" xr:uid="{00000000-0005-0000-0000-000012000000}"/>
    <cellStyle name="z A Column text" xfId="6" xr:uid="{00000000-0005-0000-0000-000013000000}"/>
  </cellStyles>
  <dxfs count="4"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 xr9:uid="{00000000-0011-0000-FFFF-FFFF00000000}">
      <tableStyleElement type="headerRow" dxfId="3"/>
      <tableStyleElement type="firstRowStripe" dxfId="2"/>
    </tableStyle>
    <tableStyle name="PivotTable Style 1" table="0" count="2" xr9:uid="{00000000-0011-0000-FFFF-FFFF01000000}"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ID"/>
              <a:t>Discounted Payback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'on grid menjual'!$I$5:$I$29</c:f>
              <c:numCache>
                <c:formatCode>_-* #,##0_-;\-* #,##0_-;_-* "-"??_-;_-@_-</c:formatCode>
                <c:ptCount val="25"/>
                <c:pt idx="0">
                  <c:v>-8483239321.46</c:v>
                </c:pt>
                <c:pt idx="1">
                  <c:v>-7082521286.9727001</c:v>
                </c:pt>
                <c:pt idx="2">
                  <c:v>-5689301417.3178368</c:v>
                </c:pt>
                <c:pt idx="3">
                  <c:v>-4303542221.6712475</c:v>
                </c:pt>
                <c:pt idx="4">
                  <c:v>-2925206396.6628914</c:v>
                </c:pt>
                <c:pt idx="5">
                  <c:v>-1554256825.4395769</c:v>
                </c:pt>
                <c:pt idx="6">
                  <c:v>-190656576.73237872</c:v>
                </c:pt>
                <c:pt idx="7">
                  <c:v>1165631096.0712831</c:v>
                </c:pt>
                <c:pt idx="8">
                  <c:v>2514642755.8509264</c:v>
                </c:pt>
                <c:pt idx="9">
                  <c:v>3553184985.5353451</c:v>
                </c:pt>
                <c:pt idx="10">
                  <c:v>4887753577.5619869</c:v>
                </c:pt>
                <c:pt idx="11">
                  <c:v>6215154751.9684954</c:v>
                </c:pt>
                <c:pt idx="12">
                  <c:v>7535424345.8429718</c:v>
                </c:pt>
                <c:pt idx="13">
                  <c:v>8848598017.0880756</c:v>
                </c:pt>
                <c:pt idx="14">
                  <c:v>10154711245.316954</c:v>
                </c:pt>
                <c:pt idx="15">
                  <c:v>11453799332.744688</c:v>
                </c:pt>
                <c:pt idx="16">
                  <c:v>12745897405.075283</c:v>
                </c:pt>
                <c:pt idx="17">
                  <c:v>14031040412.384226</c:v>
                </c:pt>
                <c:pt idx="18">
                  <c:v>15309263129.996624</c:v>
                </c:pt>
                <c:pt idx="19">
                  <c:v>16463691945.919971</c:v>
                </c:pt>
                <c:pt idx="20">
                  <c:v>17728177715.477486</c:v>
                </c:pt>
                <c:pt idx="21">
                  <c:v>18985846481.52721</c:v>
                </c:pt>
                <c:pt idx="22">
                  <c:v>20236732329.086689</c:v>
                </c:pt>
                <c:pt idx="23">
                  <c:v>21480869172.748367</c:v>
                </c:pt>
                <c:pt idx="24">
                  <c:v>22718290757.531738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5F-49E7-AD26-42FD0AFC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28160"/>
        <c:axId val="337084560"/>
      </c:lineChart>
      <c:catAx>
        <c:axId val="33712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337084560"/>
        <c:crosses val="autoZero"/>
        <c:auto val="1"/>
        <c:lblAlgn val="ctr"/>
        <c:lblOffset val="100"/>
        <c:noMultiLvlLbl val="0"/>
      </c:catAx>
      <c:valAx>
        <c:axId val="33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Kumulatif PV NCF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3371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ID"/>
              <a:t>Payback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'hybrid menjual'!$I$5:$I$29</c:f>
              <c:numCache>
                <c:formatCode>_-* #,##0_-;\-* #,##0_-;_-* "-"??_-;_-@_-</c:formatCode>
                <c:ptCount val="25"/>
                <c:pt idx="0">
                  <c:v>-11302189046.780001</c:v>
                </c:pt>
                <c:pt idx="1">
                  <c:v>-9725332941.2204323</c:v>
                </c:pt>
                <c:pt idx="2">
                  <c:v>-8168470168.9221096</c:v>
                </c:pt>
                <c:pt idx="3">
                  <c:v>-6608737859.5132732</c:v>
                </c:pt>
                <c:pt idx="4">
                  <c:v>-5068787497.9232941</c:v>
                </c:pt>
                <c:pt idx="5">
                  <c:v>-3526006974.0705481</c:v>
                </c:pt>
                <c:pt idx="6">
                  <c:v>-2002799252.2738843</c:v>
                </c:pt>
                <c:pt idx="7">
                  <c:v>-476800232.35995126</c:v>
                </c:pt>
                <c:pt idx="8">
                  <c:v>1029832915.3601034</c:v>
                </c:pt>
                <c:pt idx="9">
                  <c:v>2205354597.5862317</c:v>
                </c:pt>
                <c:pt idx="10">
                  <c:v>3695579548.8861284</c:v>
                </c:pt>
                <c:pt idx="11">
                  <c:v>5188519576.644928</c:v>
                </c:pt>
                <c:pt idx="12">
                  <c:v>6662501038.0865641</c:v>
                </c:pt>
                <c:pt idx="13">
                  <c:v>8139160205.9310246</c:v>
                </c:pt>
                <c:pt idx="14">
                  <c:v>9597061229.7768173</c:v>
                </c:pt>
                <c:pt idx="15">
                  <c:v>10477055592.94953</c:v>
                </c:pt>
                <c:pt idx="16">
                  <c:v>11919037593.788574</c:v>
                </c:pt>
                <c:pt idx="17">
                  <c:v>13363624011.678301</c:v>
                </c:pt>
                <c:pt idx="18">
                  <c:v>14789846782.885323</c:v>
                </c:pt>
                <c:pt idx="19">
                  <c:v>16089918859.300644</c:v>
                </c:pt>
                <c:pt idx="20">
                  <c:v>17500540589.329418</c:v>
                </c:pt>
                <c:pt idx="21">
                  <c:v>18913695341.227695</c:v>
                </c:pt>
                <c:pt idx="22">
                  <c:v>20308872629.740601</c:v>
                </c:pt>
                <c:pt idx="23">
                  <c:v>21706547938.055733</c:v>
                </c:pt>
                <c:pt idx="24">
                  <c:v>23086479462.333748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5F-49E7-AD26-42FD0AFC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78824"/>
        <c:axId val="412376120"/>
      </c:lineChart>
      <c:catAx>
        <c:axId val="33707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412376120"/>
        <c:crosses val="autoZero"/>
        <c:auto val="1"/>
        <c:lblAlgn val="ctr"/>
        <c:lblOffset val="100"/>
        <c:noMultiLvlLbl val="0"/>
      </c:catAx>
      <c:valAx>
        <c:axId val="41237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Kumulatif PV NCF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33707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ID"/>
              <a:t>Discounted Payback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ongrid!$H$5:$H$29</c:f>
              <c:numCache>
                <c:formatCode>_-* #,##0_-;\-* #,##0_-;_-* "-"??_-;_-@_-</c:formatCode>
                <c:ptCount val="25"/>
                <c:pt idx="0">
                  <c:v>-8686436696.3600006</c:v>
                </c:pt>
                <c:pt idx="1">
                  <c:v>-7494387307.7905092</c:v>
                </c:pt>
                <c:pt idx="2">
                  <c:v>-6308792740.8238659</c:v>
                </c:pt>
                <c:pt idx="3">
                  <c:v>-5129620721.3520555</c:v>
                </c:pt>
                <c:pt idx="4">
                  <c:v>-3956839136.6376038</c:v>
                </c:pt>
                <c:pt idx="5">
                  <c:v>-2790416034.5067244</c:v>
                </c:pt>
                <c:pt idx="6">
                  <c:v>-1630319622.5464995</c:v>
                </c:pt>
                <c:pt idx="7">
                  <c:v>-476518267.30607581</c:v>
                </c:pt>
                <c:pt idx="8">
                  <c:v>671019506.49814582</c:v>
                </c:pt>
                <c:pt idx="9">
                  <c:v>1509095219.6370199</c:v>
                </c:pt>
                <c:pt idx="10">
                  <c:v>2644199627.7008443</c:v>
                </c:pt>
                <c:pt idx="11">
                  <c:v>3773133939.0643497</c:v>
                </c:pt>
                <c:pt idx="12">
                  <c:v>4895929004.2110376</c:v>
                </c:pt>
                <c:pt idx="13">
                  <c:v>6012615519.3719921</c:v>
                </c:pt>
                <c:pt idx="14">
                  <c:v>7123224027.297142</c:v>
                </c:pt>
                <c:pt idx="15">
                  <c:v>8227784918.022666</c:v>
                </c:pt>
                <c:pt idx="16">
                  <c:v>9326328429.6345615</c:v>
                </c:pt>
                <c:pt idx="17">
                  <c:v>10418884649.028399</c:v>
                </c:pt>
                <c:pt idx="18">
                  <c:v>11505483512.665266</c:v>
                </c:pt>
                <c:pt idx="19">
                  <c:v>12469246593.882961</c:v>
                </c:pt>
                <c:pt idx="20">
                  <c:v>13544019957.408352</c:v>
                </c:pt>
                <c:pt idx="21">
                  <c:v>14612924879.456116</c:v>
                </c:pt>
                <c:pt idx="22">
                  <c:v>15675990702.233639</c:v>
                </c:pt>
                <c:pt idx="23">
                  <c:v>16733246621.237276</c:v>
                </c:pt>
                <c:pt idx="24">
                  <c:v>17784721685.985893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5F-49E7-AD26-42FD0AFC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92896"/>
        <c:axId val="411693280"/>
      </c:lineChart>
      <c:catAx>
        <c:axId val="4116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411693280"/>
        <c:crosses val="autoZero"/>
        <c:auto val="1"/>
        <c:lblAlgn val="ctr"/>
        <c:lblOffset val="100"/>
        <c:noMultiLvlLbl val="0"/>
      </c:catAx>
      <c:valAx>
        <c:axId val="4116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Kumulatif PV NCF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41169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ID"/>
              <a:t>Payback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hybrid!$I$5:$I$29</c:f>
              <c:numCache>
                <c:formatCode>_-* #,##0_-;\-* #,##0_-;_-* "-"??_-;_-@_-</c:formatCode>
                <c:ptCount val="25"/>
                <c:pt idx="0">
                  <c:v>-11401297006.639999</c:v>
                </c:pt>
                <c:pt idx="1">
                  <c:v>-9934476693.3716602</c:v>
                </c:pt>
                <c:pt idx="2">
                  <c:v>-8475634691.3906631</c:v>
                </c:pt>
                <c:pt idx="3">
                  <c:v>-7024731109.1405706</c:v>
                </c:pt>
                <c:pt idx="4">
                  <c:v>-5581726254.5227289</c:v>
                </c:pt>
                <c:pt idx="5">
                  <c:v>-4146580633.8989763</c:v>
                </c:pt>
                <c:pt idx="6">
                  <c:v>-2719254951.0993423</c:v>
                </c:pt>
                <c:pt idx="7">
                  <c:v>-1299710106.4347067</c:v>
                </c:pt>
                <c:pt idx="8">
                  <c:v>112092804.28560591</c:v>
                </c:pt>
                <c:pt idx="9">
                  <c:v>1182328086.9513779</c:v>
                </c:pt>
                <c:pt idx="10">
                  <c:v>2578763065.2438602</c:v>
                </c:pt>
                <c:pt idx="11">
                  <c:v>3967571658.9238806</c:v>
                </c:pt>
                <c:pt idx="12">
                  <c:v>5348791999.9145012</c:v>
                </c:pt>
                <c:pt idx="13">
                  <c:v>6722462029.4791679</c:v>
                </c:pt>
                <c:pt idx="14">
                  <c:v>8088619499.1750116</c:v>
                </c:pt>
                <c:pt idx="15">
                  <c:v>8866754489.1675758</c:v>
                </c:pt>
                <c:pt idx="16">
                  <c:v>10217999339.709808</c:v>
                </c:pt>
                <c:pt idx="17">
                  <c:v>11561843756.27833</c:v>
                </c:pt>
                <c:pt idx="18">
                  <c:v>12898324741.043009</c:v>
                </c:pt>
                <c:pt idx="19">
                  <c:v>14098759930.706118</c:v>
                </c:pt>
                <c:pt idx="20">
                  <c:v>15420624319.254374</c:v>
                </c:pt>
                <c:pt idx="21">
                  <c:v>16735235176.138889</c:v>
                </c:pt>
                <c:pt idx="22">
                  <c:v>18042628769.017982</c:v>
                </c:pt>
                <c:pt idx="23">
                  <c:v>19342841184.211678</c:v>
                </c:pt>
                <c:pt idx="24">
                  <c:v>20635908327.608406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5F-49E7-AD26-42FD0AFC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41224"/>
        <c:axId val="412687640"/>
      </c:lineChart>
      <c:catAx>
        <c:axId val="41164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412687640"/>
        <c:crosses val="autoZero"/>
        <c:auto val="1"/>
        <c:lblAlgn val="ctr"/>
        <c:lblOffset val="100"/>
        <c:noMultiLvlLbl val="0"/>
      </c:catAx>
      <c:valAx>
        <c:axId val="41268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Kumulatif PV NCF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41164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ID"/>
              <a:t>Discounted Payback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'on grid menjual'!$I$5:$I$29</c:f>
              <c:numCache>
                <c:formatCode>_-* #,##0_-;\-* #,##0_-;_-* "-"??_-;_-@_-</c:formatCode>
                <c:ptCount val="25"/>
                <c:pt idx="0">
                  <c:v>-8483239321.46</c:v>
                </c:pt>
                <c:pt idx="1">
                  <c:v>-7082521286.9727001</c:v>
                </c:pt>
                <c:pt idx="2">
                  <c:v>-5689301417.3178368</c:v>
                </c:pt>
                <c:pt idx="3">
                  <c:v>-4303542221.6712475</c:v>
                </c:pt>
                <c:pt idx="4">
                  <c:v>-2925206396.6628914</c:v>
                </c:pt>
                <c:pt idx="5">
                  <c:v>-1554256825.4395769</c:v>
                </c:pt>
                <c:pt idx="6">
                  <c:v>-190656576.73237872</c:v>
                </c:pt>
                <c:pt idx="7">
                  <c:v>1165631096.0712831</c:v>
                </c:pt>
                <c:pt idx="8">
                  <c:v>2514642755.8509264</c:v>
                </c:pt>
                <c:pt idx="9">
                  <c:v>3553184985.5353451</c:v>
                </c:pt>
                <c:pt idx="10">
                  <c:v>4887753577.5619869</c:v>
                </c:pt>
                <c:pt idx="11">
                  <c:v>6215154751.9684954</c:v>
                </c:pt>
                <c:pt idx="12">
                  <c:v>7535424345.8429718</c:v>
                </c:pt>
                <c:pt idx="13">
                  <c:v>8848598017.0880756</c:v>
                </c:pt>
                <c:pt idx="14">
                  <c:v>10154711245.316954</c:v>
                </c:pt>
                <c:pt idx="15">
                  <c:v>11453799332.744688</c:v>
                </c:pt>
                <c:pt idx="16">
                  <c:v>12745897405.075283</c:v>
                </c:pt>
                <c:pt idx="17">
                  <c:v>14031040412.384226</c:v>
                </c:pt>
                <c:pt idx="18">
                  <c:v>15309263129.996624</c:v>
                </c:pt>
                <c:pt idx="19">
                  <c:v>16463691945.919971</c:v>
                </c:pt>
                <c:pt idx="20">
                  <c:v>17728177715.477486</c:v>
                </c:pt>
                <c:pt idx="21">
                  <c:v>18985846481.52721</c:v>
                </c:pt>
                <c:pt idx="22">
                  <c:v>20236732329.086689</c:v>
                </c:pt>
                <c:pt idx="23">
                  <c:v>21480869172.748367</c:v>
                </c:pt>
                <c:pt idx="24">
                  <c:v>22718290757.531738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5F-49E7-AD26-42FD0AFC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89816"/>
        <c:axId val="412490200"/>
      </c:lineChart>
      <c:catAx>
        <c:axId val="41248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412490200"/>
        <c:crosses val="autoZero"/>
        <c:auto val="1"/>
        <c:lblAlgn val="ctr"/>
        <c:lblOffset val="100"/>
        <c:noMultiLvlLbl val="0"/>
      </c:catAx>
      <c:valAx>
        <c:axId val="4124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Kumulatif PV NCF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41248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ID"/>
              <a:t>Payback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'hybrid menjual'!$I$5:$I$29</c:f>
              <c:numCache>
                <c:formatCode>_-* #,##0_-;\-* #,##0_-;_-* "-"??_-;_-@_-</c:formatCode>
                <c:ptCount val="25"/>
                <c:pt idx="0">
                  <c:v>-11302189046.780001</c:v>
                </c:pt>
                <c:pt idx="1">
                  <c:v>-9725332941.2204323</c:v>
                </c:pt>
                <c:pt idx="2">
                  <c:v>-8168470168.9221096</c:v>
                </c:pt>
                <c:pt idx="3">
                  <c:v>-6608737859.5132732</c:v>
                </c:pt>
                <c:pt idx="4">
                  <c:v>-5068787497.9232941</c:v>
                </c:pt>
                <c:pt idx="5">
                  <c:v>-3526006974.0705481</c:v>
                </c:pt>
                <c:pt idx="6">
                  <c:v>-2002799252.2738843</c:v>
                </c:pt>
                <c:pt idx="7">
                  <c:v>-476800232.35995126</c:v>
                </c:pt>
                <c:pt idx="8">
                  <c:v>1029832915.3601034</c:v>
                </c:pt>
                <c:pt idx="9">
                  <c:v>2205354597.5862317</c:v>
                </c:pt>
                <c:pt idx="10">
                  <c:v>3695579548.8861284</c:v>
                </c:pt>
                <c:pt idx="11">
                  <c:v>5188519576.644928</c:v>
                </c:pt>
                <c:pt idx="12">
                  <c:v>6662501038.0865641</c:v>
                </c:pt>
                <c:pt idx="13">
                  <c:v>8139160205.9310246</c:v>
                </c:pt>
                <c:pt idx="14">
                  <c:v>9597061229.7768173</c:v>
                </c:pt>
                <c:pt idx="15">
                  <c:v>10477055592.94953</c:v>
                </c:pt>
                <c:pt idx="16">
                  <c:v>11919037593.788574</c:v>
                </c:pt>
                <c:pt idx="17">
                  <c:v>13363624011.678301</c:v>
                </c:pt>
                <c:pt idx="18">
                  <c:v>14789846782.885323</c:v>
                </c:pt>
                <c:pt idx="19">
                  <c:v>16089918859.300644</c:v>
                </c:pt>
                <c:pt idx="20">
                  <c:v>17500540589.329418</c:v>
                </c:pt>
                <c:pt idx="21">
                  <c:v>18913695341.227695</c:v>
                </c:pt>
                <c:pt idx="22">
                  <c:v>20308872629.740601</c:v>
                </c:pt>
                <c:pt idx="23">
                  <c:v>21706547938.055733</c:v>
                </c:pt>
                <c:pt idx="24">
                  <c:v>23086479462.333748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5F-49E7-AD26-42FD0AFC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589752"/>
        <c:axId val="336591320"/>
      </c:lineChart>
      <c:catAx>
        <c:axId val="336589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336591320"/>
        <c:crosses val="autoZero"/>
        <c:auto val="1"/>
        <c:lblAlgn val="ctr"/>
        <c:lblOffset val="100"/>
        <c:noMultiLvlLbl val="0"/>
      </c:catAx>
      <c:valAx>
        <c:axId val="3365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Kumulatif PV NCF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33658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ID"/>
              <a:t>Discounted Payback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ongrid!$H$5:$H$29</c:f>
              <c:numCache>
                <c:formatCode>_-* #,##0_-;\-* #,##0_-;_-* "-"??_-;_-@_-</c:formatCode>
                <c:ptCount val="25"/>
                <c:pt idx="0">
                  <c:v>-8686436696.3600006</c:v>
                </c:pt>
                <c:pt idx="1">
                  <c:v>-7494387307.7905092</c:v>
                </c:pt>
                <c:pt idx="2">
                  <c:v>-6308792740.8238659</c:v>
                </c:pt>
                <c:pt idx="3">
                  <c:v>-5129620721.3520555</c:v>
                </c:pt>
                <c:pt idx="4">
                  <c:v>-3956839136.6376038</c:v>
                </c:pt>
                <c:pt idx="5">
                  <c:v>-2790416034.5067244</c:v>
                </c:pt>
                <c:pt idx="6">
                  <c:v>-1630319622.5464995</c:v>
                </c:pt>
                <c:pt idx="7">
                  <c:v>-476518267.30607581</c:v>
                </c:pt>
                <c:pt idx="8">
                  <c:v>671019506.49814582</c:v>
                </c:pt>
                <c:pt idx="9">
                  <c:v>1509095219.6370199</c:v>
                </c:pt>
                <c:pt idx="10">
                  <c:v>2644199627.7008443</c:v>
                </c:pt>
                <c:pt idx="11">
                  <c:v>3773133939.0643497</c:v>
                </c:pt>
                <c:pt idx="12">
                  <c:v>4895929004.2110376</c:v>
                </c:pt>
                <c:pt idx="13">
                  <c:v>6012615519.3719921</c:v>
                </c:pt>
                <c:pt idx="14">
                  <c:v>7123224027.297142</c:v>
                </c:pt>
                <c:pt idx="15">
                  <c:v>8227784918.022666</c:v>
                </c:pt>
                <c:pt idx="16">
                  <c:v>9326328429.6345615</c:v>
                </c:pt>
                <c:pt idx="17">
                  <c:v>10418884649.028399</c:v>
                </c:pt>
                <c:pt idx="18">
                  <c:v>11505483512.665266</c:v>
                </c:pt>
                <c:pt idx="19">
                  <c:v>12469246593.882961</c:v>
                </c:pt>
                <c:pt idx="20">
                  <c:v>13544019957.408352</c:v>
                </c:pt>
                <c:pt idx="21">
                  <c:v>14612924879.456116</c:v>
                </c:pt>
                <c:pt idx="22">
                  <c:v>15675990702.233639</c:v>
                </c:pt>
                <c:pt idx="23">
                  <c:v>16733246621.237276</c:v>
                </c:pt>
                <c:pt idx="24">
                  <c:v>17784721685.985893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5F-49E7-AD26-42FD0AFC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590144"/>
        <c:axId val="336585832"/>
      </c:lineChart>
      <c:catAx>
        <c:axId val="33659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336585832"/>
        <c:crosses val="autoZero"/>
        <c:auto val="1"/>
        <c:lblAlgn val="ctr"/>
        <c:lblOffset val="100"/>
        <c:noMultiLvlLbl val="0"/>
      </c:catAx>
      <c:valAx>
        <c:axId val="3365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Kumulatif PV NCF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33659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ID"/>
              <a:t>Payback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hybrid!$I$5:$I$29</c:f>
              <c:numCache>
                <c:formatCode>_-* #,##0_-;\-* #,##0_-;_-* "-"??_-;_-@_-</c:formatCode>
                <c:ptCount val="25"/>
                <c:pt idx="0">
                  <c:v>-11401297006.639999</c:v>
                </c:pt>
                <c:pt idx="1">
                  <c:v>-9934476693.3716602</c:v>
                </c:pt>
                <c:pt idx="2">
                  <c:v>-8475634691.3906631</c:v>
                </c:pt>
                <c:pt idx="3">
                  <c:v>-7024731109.1405706</c:v>
                </c:pt>
                <c:pt idx="4">
                  <c:v>-5581726254.5227289</c:v>
                </c:pt>
                <c:pt idx="5">
                  <c:v>-4146580633.8989763</c:v>
                </c:pt>
                <c:pt idx="6">
                  <c:v>-2719254951.0993423</c:v>
                </c:pt>
                <c:pt idx="7">
                  <c:v>-1299710106.4347067</c:v>
                </c:pt>
                <c:pt idx="8">
                  <c:v>112092804.28560591</c:v>
                </c:pt>
                <c:pt idx="9">
                  <c:v>1182328086.9513779</c:v>
                </c:pt>
                <c:pt idx="10">
                  <c:v>2578763065.2438602</c:v>
                </c:pt>
                <c:pt idx="11">
                  <c:v>3967571658.9238806</c:v>
                </c:pt>
                <c:pt idx="12">
                  <c:v>5348791999.9145012</c:v>
                </c:pt>
                <c:pt idx="13">
                  <c:v>6722462029.4791679</c:v>
                </c:pt>
                <c:pt idx="14">
                  <c:v>8088619499.1750116</c:v>
                </c:pt>
                <c:pt idx="15">
                  <c:v>8866754489.1675758</c:v>
                </c:pt>
                <c:pt idx="16">
                  <c:v>10217999339.709808</c:v>
                </c:pt>
                <c:pt idx="17">
                  <c:v>11561843756.27833</c:v>
                </c:pt>
                <c:pt idx="18">
                  <c:v>12898324741.043009</c:v>
                </c:pt>
                <c:pt idx="19">
                  <c:v>14098759930.706118</c:v>
                </c:pt>
                <c:pt idx="20">
                  <c:v>15420624319.254374</c:v>
                </c:pt>
                <c:pt idx="21">
                  <c:v>16735235176.138889</c:v>
                </c:pt>
                <c:pt idx="22">
                  <c:v>18042628769.017982</c:v>
                </c:pt>
                <c:pt idx="23">
                  <c:v>19342841184.211678</c:v>
                </c:pt>
                <c:pt idx="24">
                  <c:v>20635908327.608406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5F-49E7-AD26-42FD0AFC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586224"/>
        <c:axId val="336585440"/>
      </c:lineChart>
      <c:catAx>
        <c:axId val="33658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336585440"/>
        <c:crosses val="autoZero"/>
        <c:auto val="1"/>
        <c:lblAlgn val="ctr"/>
        <c:lblOffset val="100"/>
        <c:noMultiLvlLbl val="0"/>
      </c:catAx>
      <c:valAx>
        <c:axId val="336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Kumulatif PV NCF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33658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16404</xdr:colOff>
      <xdr:row>2</xdr:row>
      <xdr:rowOff>11924</xdr:rowOff>
    </xdr:from>
    <xdr:to>
      <xdr:col>17</xdr:col>
      <xdr:colOff>2051539</xdr:colOff>
      <xdr:row>22</xdr:row>
      <xdr:rowOff>56617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1300237</xdr:colOff>
      <xdr:row>1</xdr:row>
      <xdr:rowOff>192538</xdr:rowOff>
    </xdr:from>
    <xdr:to>
      <xdr:col>18</xdr:col>
      <xdr:colOff>1210705</xdr:colOff>
      <xdr:row>22</xdr:row>
      <xdr:rowOff>40681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58653</xdr:colOff>
      <xdr:row>1</xdr:row>
      <xdr:rowOff>171784</xdr:rowOff>
    </xdr:from>
    <xdr:to>
      <xdr:col>17</xdr:col>
      <xdr:colOff>1274340</xdr:colOff>
      <xdr:row>22</xdr:row>
      <xdr:rowOff>30925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15118</xdr:colOff>
      <xdr:row>3</xdr:row>
      <xdr:rowOff>11110</xdr:rowOff>
    </xdr:from>
    <xdr:to>
      <xdr:col>19</xdr:col>
      <xdr:colOff>859036</xdr:colOff>
      <xdr:row>23</xdr:row>
      <xdr:rowOff>151191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16404</xdr:colOff>
      <xdr:row>1</xdr:row>
      <xdr:rowOff>11924</xdr:rowOff>
    </xdr:from>
    <xdr:to>
      <xdr:col>22</xdr:col>
      <xdr:colOff>217237</xdr:colOff>
      <xdr:row>21</xdr:row>
      <xdr:rowOff>56617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1661</xdr:colOff>
      <xdr:row>2</xdr:row>
      <xdr:rowOff>2038</xdr:rowOff>
    </xdr:from>
    <xdr:to>
      <xdr:col>24</xdr:col>
      <xdr:colOff>174625</xdr:colOff>
      <xdr:row>22</xdr:row>
      <xdr:rowOff>40681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58653</xdr:colOff>
      <xdr:row>1</xdr:row>
      <xdr:rowOff>171784</xdr:rowOff>
    </xdr:from>
    <xdr:to>
      <xdr:col>17</xdr:col>
      <xdr:colOff>1274340</xdr:colOff>
      <xdr:row>22</xdr:row>
      <xdr:rowOff>30925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15118</xdr:colOff>
      <xdr:row>3</xdr:row>
      <xdr:rowOff>11110</xdr:rowOff>
    </xdr:from>
    <xdr:to>
      <xdr:col>26</xdr:col>
      <xdr:colOff>476250</xdr:colOff>
      <xdr:row>23</xdr:row>
      <xdr:rowOff>151191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611898</xdr:colOff>
      <xdr:row>34</xdr:row>
      <xdr:rowOff>51488</xdr:rowOff>
    </xdr:from>
    <xdr:to>
      <xdr:col>2</xdr:col>
      <xdr:colOff>481782</xdr:colOff>
      <xdr:row>37</xdr:row>
      <xdr:rowOff>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898" y="6590767"/>
          <a:ext cx="1417697" cy="526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badank/100m-black-red-6mm2-solar-pv-cable-h1z2z2-k-1500v-tinned-copper?extParam=ivf%3Dfalse%26src%3Dsearch&amp;refined=tru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tokopedia.link/cE6pk9Fpjyb" TargetMode="External"/><Relationship Id="rId7" Type="http://schemas.openxmlformats.org/officeDocument/2006/relationships/hyperlink" Target="https://www.tokopedia.com/tridayaadhinata/sungrow-110cx-wifi-dongle?extParam=whid%3D8625683" TargetMode="External"/><Relationship Id="rId12" Type="http://schemas.openxmlformats.org/officeDocument/2006/relationships/hyperlink" Target="https://www.tokopedia.com/activ-shop/mounting-bracket-solar-pv-solar-module-panel-surya-rail-2200mm-lokal-1-1-mtr-8432b?extParam=ivf%3Dfalse%26src%3Dsearch" TargetMode="External"/><Relationship Id="rId2" Type="http://schemas.openxmlformats.org/officeDocument/2006/relationships/hyperlink" Target="https://tokopedia.link/wCcbJRLpjyb" TargetMode="External"/><Relationship Id="rId1" Type="http://schemas.openxmlformats.org/officeDocument/2006/relationships/hyperlink" Target="https://tokopedia.link/81HiUS4pjyb" TargetMode="External"/><Relationship Id="rId6" Type="http://schemas.openxmlformats.org/officeDocument/2006/relationships/hyperlink" Target="https://www.tokopedia.com/rajaboxpanel/kabel-cable-tray-tipe-u-elektro-galvanis-powder-coating-hotdip-2mm?extParam=ivf%3Dfalse&amp;src=topads" TargetMode="External"/><Relationship Id="rId11" Type="http://schemas.openxmlformats.org/officeDocument/2006/relationships/hyperlink" Target="https://www.tokopedia.com/panelsuryaku-8/mc4-socket-connector-solar-panel-surya-solarcell-konektor-ip67" TargetMode="External"/><Relationship Id="rId5" Type="http://schemas.openxmlformats.org/officeDocument/2006/relationships/hyperlink" Target="https://tokopedia.link/5LdE1W0qjyb" TargetMode="External"/><Relationship Id="rId10" Type="http://schemas.openxmlformats.org/officeDocument/2006/relationships/hyperlink" Target="https://www.tokopedia.com/indoledlighting/current-cr120-penangkal-petir-lighting-protection-radius-120m-120-m" TargetMode="External"/><Relationship Id="rId4" Type="http://schemas.openxmlformats.org/officeDocument/2006/relationships/hyperlink" Target="https://tokopedia.link/vMUDWMBpjyb" TargetMode="External"/><Relationship Id="rId9" Type="http://schemas.openxmlformats.org/officeDocument/2006/relationships/hyperlink" Target="https://www.tokopedia.com/visiotekindo/kabel-nyy-35-mm-kabel-grounding-35mm?extParam=ivf%3Dfalse%26src%3Dsearch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baterailab/baterai-lithium-lifepo4-3-2v-100ah-discharge-capacity-test-prove-eve-100ah-c7528" TargetMode="External"/><Relationship Id="rId3" Type="http://schemas.openxmlformats.org/officeDocument/2006/relationships/hyperlink" Target="https://tokopedia.link/wCcbJRLpjyb" TargetMode="External"/><Relationship Id="rId7" Type="http://schemas.openxmlformats.org/officeDocument/2006/relationships/hyperlink" Target="https://indonesian.alibaba.com/p-detail/ATESS-1600700727460.html?spm=a2700.galleryofferlist.p_offer.d_title.375435e4XxCGbF&amp;s=p" TargetMode="External"/><Relationship Id="rId2" Type="http://schemas.openxmlformats.org/officeDocument/2006/relationships/hyperlink" Target="https://tokopedia.link/81HiUS4pjyb" TargetMode="External"/><Relationship Id="rId1" Type="http://schemas.openxmlformats.org/officeDocument/2006/relationships/hyperlink" Target="https://tokopedia.link/umaeRLJojyb" TargetMode="External"/><Relationship Id="rId6" Type="http://schemas.openxmlformats.org/officeDocument/2006/relationships/hyperlink" Target="https://tokopedia.link/5LdE1W0qjyb" TargetMode="External"/><Relationship Id="rId5" Type="http://schemas.openxmlformats.org/officeDocument/2006/relationships/hyperlink" Target="https://tokopedia.link/vMUDWMBpjyb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tokopedia.link/cE6pk9Fpjyb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okopedia.link/5LdE1W0qjyb" TargetMode="External"/><Relationship Id="rId3" Type="http://schemas.openxmlformats.org/officeDocument/2006/relationships/hyperlink" Target="https://tokopedia.link/wCcbJRLpjyb" TargetMode="External"/><Relationship Id="rId7" Type="http://schemas.openxmlformats.org/officeDocument/2006/relationships/hyperlink" Target="https://tokopedia.link/umaeRLJojyb" TargetMode="External"/><Relationship Id="rId2" Type="http://schemas.openxmlformats.org/officeDocument/2006/relationships/hyperlink" Target="https://tokopedia.link/81HiUS4pjyb" TargetMode="External"/><Relationship Id="rId1" Type="http://schemas.openxmlformats.org/officeDocument/2006/relationships/hyperlink" Target="https://tokopedia.link/2dXuW31njyb" TargetMode="External"/><Relationship Id="rId6" Type="http://schemas.openxmlformats.org/officeDocument/2006/relationships/hyperlink" Target="https://tokopedia.link/Gb0xmrUojyb" TargetMode="External"/><Relationship Id="rId5" Type="http://schemas.openxmlformats.org/officeDocument/2006/relationships/hyperlink" Target="https://tokopedia.link/vMUDWMBpjyb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tokopedia.link/cE6pk9Fpjyb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baterailab/baterai-lithium-lifepo4-3-2v-100ah-discharge-capacity-test-prove-eve-100ah-c7528" TargetMode="External"/><Relationship Id="rId3" Type="http://schemas.openxmlformats.org/officeDocument/2006/relationships/hyperlink" Target="https://tokopedia.link/wCcbJRLpjyb" TargetMode="External"/><Relationship Id="rId7" Type="http://schemas.openxmlformats.org/officeDocument/2006/relationships/hyperlink" Target="https://indonesian.alibaba.com/p-detail/ATESS-1600700727460.html?spm=a2700.galleryofferlist.p_offer.d_title.375435e4XxCGbF&amp;s=p" TargetMode="External"/><Relationship Id="rId2" Type="http://schemas.openxmlformats.org/officeDocument/2006/relationships/hyperlink" Target="https://tokopedia.link/81HiUS4pjyb" TargetMode="External"/><Relationship Id="rId1" Type="http://schemas.openxmlformats.org/officeDocument/2006/relationships/hyperlink" Target="https://tokopedia.link/umaeRLJojyb" TargetMode="External"/><Relationship Id="rId6" Type="http://schemas.openxmlformats.org/officeDocument/2006/relationships/hyperlink" Target="https://tokopedia.link/5LdE1W0qjyb" TargetMode="External"/><Relationship Id="rId5" Type="http://schemas.openxmlformats.org/officeDocument/2006/relationships/hyperlink" Target="https://tokopedia.link/vMUDWMBpjyb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https://tokopedia.link/cE6pk9Fpjyb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tokopedia.link/cE6pk9Fpjyb" TargetMode="External"/><Relationship Id="rId7" Type="http://schemas.openxmlformats.org/officeDocument/2006/relationships/hyperlink" Target="https://www.tokopedia.com/rajaboxpanel/kabel-cable-tray-tipe-u-elektro-galvanis-powder-coating-hotdip-2mm?extParam=ivf%3Dfalse&amp;src=topads" TargetMode="External"/><Relationship Id="rId2" Type="http://schemas.openxmlformats.org/officeDocument/2006/relationships/hyperlink" Target="https://tokopedia.link/wCcbJRLpjyb" TargetMode="External"/><Relationship Id="rId1" Type="http://schemas.openxmlformats.org/officeDocument/2006/relationships/hyperlink" Target="https://tokopedia.link/81HiUS4pjyb" TargetMode="External"/><Relationship Id="rId6" Type="http://schemas.openxmlformats.org/officeDocument/2006/relationships/hyperlink" Target="https://tokopedia.link/5LdE1W0qjyb" TargetMode="External"/><Relationship Id="rId5" Type="http://schemas.openxmlformats.org/officeDocument/2006/relationships/hyperlink" Target="https://tokopedia.link/umaeRLJojyb" TargetMode="External"/><Relationship Id="rId4" Type="http://schemas.openxmlformats.org/officeDocument/2006/relationships/hyperlink" Target="https://tokopedia.link/vMUDWMBpjyb" TargetMode="External"/><Relationship Id="rId9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s://tokopedia.link/wCcbJRLpjyb" TargetMode="External"/><Relationship Id="rId7" Type="http://schemas.openxmlformats.org/officeDocument/2006/relationships/hyperlink" Target="https://indonesian.alibaba.com/p-detail/ATESS-1600700727460.html?spm=a2700.galleryofferlist.p_offer.d_title.375435e4XxCGbF&amp;s=p" TargetMode="External"/><Relationship Id="rId2" Type="http://schemas.openxmlformats.org/officeDocument/2006/relationships/hyperlink" Target="https://tokopedia.link/81HiUS4pjyb" TargetMode="External"/><Relationship Id="rId1" Type="http://schemas.openxmlformats.org/officeDocument/2006/relationships/hyperlink" Target="https://tokopedia.link/umaeRLJojyb" TargetMode="External"/><Relationship Id="rId6" Type="http://schemas.openxmlformats.org/officeDocument/2006/relationships/hyperlink" Target="https://tokopedia.link/5LdE1W0qjyb" TargetMode="External"/><Relationship Id="rId5" Type="http://schemas.openxmlformats.org/officeDocument/2006/relationships/hyperlink" Target="https://tokopedia.link/vMUDWMBpjyb" TargetMode="External"/><Relationship Id="rId4" Type="http://schemas.openxmlformats.org/officeDocument/2006/relationships/hyperlink" Target="https://tokopedia.link/cE6pk9Fpjy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tokopedia.link/5LdE1W0qjyb" TargetMode="External"/><Relationship Id="rId3" Type="http://schemas.openxmlformats.org/officeDocument/2006/relationships/hyperlink" Target="https://tokopedia.link/wCcbJRLpjyb" TargetMode="External"/><Relationship Id="rId7" Type="http://schemas.openxmlformats.org/officeDocument/2006/relationships/hyperlink" Target="https://tokopedia.link/umaeRLJojyb" TargetMode="External"/><Relationship Id="rId2" Type="http://schemas.openxmlformats.org/officeDocument/2006/relationships/hyperlink" Target="https://tokopedia.link/81HiUS4pjyb" TargetMode="External"/><Relationship Id="rId1" Type="http://schemas.openxmlformats.org/officeDocument/2006/relationships/hyperlink" Target="https://tokopedia.link/2dXuW31njyb" TargetMode="External"/><Relationship Id="rId6" Type="http://schemas.openxmlformats.org/officeDocument/2006/relationships/hyperlink" Target="https://tokopedia.link/Gb0xmrUojyb" TargetMode="External"/><Relationship Id="rId5" Type="http://schemas.openxmlformats.org/officeDocument/2006/relationships/hyperlink" Target="https://tokopedia.link/vMUDWMBpjyb" TargetMode="External"/><Relationship Id="rId4" Type="http://schemas.openxmlformats.org/officeDocument/2006/relationships/hyperlink" Target="https://tokopedia.link/cE6pk9Fpjyb" TargetMode="External"/><Relationship Id="rId9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baterailab/baterai-lithium-lifepo4-3-2v-100ah-discharge-capacity-test-prove-eve-100ah-c7528" TargetMode="External"/><Relationship Id="rId3" Type="http://schemas.openxmlformats.org/officeDocument/2006/relationships/hyperlink" Target="https://tokopedia.link/wCcbJRLpjyb" TargetMode="External"/><Relationship Id="rId7" Type="http://schemas.openxmlformats.org/officeDocument/2006/relationships/hyperlink" Target="https://indonesian.alibaba.com/p-detail/ATESS-1600700727460.html?spm=a2700.galleryofferlist.p_offer.d_title.375435e4XxCGbF&amp;s=p" TargetMode="External"/><Relationship Id="rId2" Type="http://schemas.openxmlformats.org/officeDocument/2006/relationships/hyperlink" Target="https://tokopedia.link/81HiUS4pjyb" TargetMode="External"/><Relationship Id="rId1" Type="http://schemas.openxmlformats.org/officeDocument/2006/relationships/hyperlink" Target="https://tokopedia.link/umaeRLJojyb" TargetMode="External"/><Relationship Id="rId6" Type="http://schemas.openxmlformats.org/officeDocument/2006/relationships/hyperlink" Target="https://tokopedia.link/5LdE1W0qjyb" TargetMode="External"/><Relationship Id="rId5" Type="http://schemas.openxmlformats.org/officeDocument/2006/relationships/hyperlink" Target="https://tokopedia.link/vMUDWMBpjyb" TargetMode="External"/><Relationship Id="rId4" Type="http://schemas.openxmlformats.org/officeDocument/2006/relationships/hyperlink" Target="https://tokopedia.link/cE6pk9Fpjyb" TargetMode="External"/><Relationship Id="rId9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60"/>
  <sheetViews>
    <sheetView topLeftCell="F1" zoomScale="61" zoomScaleNormal="100" workbookViewId="0">
      <selection activeCell="L18" sqref="L18"/>
    </sheetView>
  </sheetViews>
  <sheetFormatPr defaultRowHeight="15" x14ac:dyDescent="0.25"/>
  <cols>
    <col min="3" max="3" width="24.140625" customWidth="1"/>
    <col min="4" max="4" width="39.140625" customWidth="1"/>
    <col min="5" max="5" width="33.42578125" customWidth="1"/>
    <col min="6" max="6" width="35.140625" customWidth="1"/>
    <col min="7" max="7" width="31.5703125" customWidth="1"/>
    <col min="8" max="8" width="28.42578125" customWidth="1"/>
    <col min="9" max="9" width="32.5703125" customWidth="1"/>
    <col min="10" max="10" width="23.5703125" customWidth="1"/>
    <col min="11" max="12" width="31.42578125" customWidth="1"/>
    <col min="13" max="13" width="19.140625" customWidth="1"/>
    <col min="14" max="14" width="20.85546875" customWidth="1"/>
    <col min="15" max="15" width="16.85546875" customWidth="1"/>
    <col min="16" max="16" width="43.42578125" customWidth="1"/>
    <col min="17" max="17" width="22.5703125" customWidth="1"/>
    <col min="18" max="18" width="31" customWidth="1"/>
    <col min="19" max="19" width="29.7109375" customWidth="1"/>
    <col min="20" max="20" width="27.28515625" customWidth="1"/>
    <col min="21" max="21" width="21" customWidth="1"/>
    <col min="23" max="23" width="18.140625" customWidth="1"/>
    <col min="24" max="24" width="19.7109375" customWidth="1"/>
  </cols>
  <sheetData>
    <row r="2" spans="2:17" x14ac:dyDescent="0.25">
      <c r="B2" s="1" t="s">
        <v>66</v>
      </c>
      <c r="G2" t="s">
        <v>0</v>
      </c>
    </row>
    <row r="3" spans="2:17" x14ac:dyDescent="0.25">
      <c r="B3" s="2" t="s">
        <v>1</v>
      </c>
      <c r="C3" s="2" t="s">
        <v>2</v>
      </c>
      <c r="D3" s="2" t="s">
        <v>40</v>
      </c>
      <c r="E3" s="2" t="s">
        <v>107</v>
      </c>
      <c r="F3" s="2" t="s">
        <v>36</v>
      </c>
      <c r="G3" s="2" t="s">
        <v>38</v>
      </c>
      <c r="H3" s="2" t="s">
        <v>41</v>
      </c>
      <c r="I3" s="2" t="s">
        <v>42</v>
      </c>
      <c r="J3" s="2" t="s">
        <v>3</v>
      </c>
      <c r="K3" s="2" t="s">
        <v>35</v>
      </c>
      <c r="L3" s="2"/>
      <c r="M3" s="2" t="s">
        <v>43</v>
      </c>
      <c r="N3" s="2" t="s">
        <v>43</v>
      </c>
      <c r="O3" s="14"/>
    </row>
    <row r="4" spans="2:17" x14ac:dyDescent="0.25">
      <c r="B4" s="3" t="s">
        <v>4</v>
      </c>
      <c r="C4" s="4">
        <f>-G60</f>
        <v>-9891493200</v>
      </c>
      <c r="D4" s="13">
        <f>G60</f>
        <v>9891493200</v>
      </c>
      <c r="E4" s="4"/>
      <c r="F4" s="3"/>
      <c r="G4" s="3"/>
      <c r="H4" s="4">
        <f>C4</f>
        <v>-9891493200</v>
      </c>
      <c r="I4" s="4">
        <f>C4</f>
        <v>-9891493200</v>
      </c>
      <c r="J4" s="3">
        <v>1</v>
      </c>
      <c r="K4" s="4">
        <f>-C4</f>
        <v>9891493200</v>
      </c>
      <c r="L4" s="4">
        <f>-K4</f>
        <v>-9891493200</v>
      </c>
      <c r="M4" s="18">
        <v>0.12</v>
      </c>
      <c r="N4" s="18">
        <v>0.13</v>
      </c>
      <c r="O4" s="17"/>
      <c r="P4" s="14"/>
    </row>
    <row r="5" spans="2:17" ht="15.75" x14ac:dyDescent="0.25">
      <c r="B5" s="3">
        <v>1</v>
      </c>
      <c r="C5" s="3"/>
      <c r="D5" s="13">
        <f>-$C$4*0.01</f>
        <v>98914932</v>
      </c>
      <c r="E5" s="46">
        <v>903027.31</v>
      </c>
      <c r="F5" s="46">
        <v>234910.26</v>
      </c>
      <c r="G5" s="4">
        <f>(E5*1444)+(F5*865)</f>
        <v>1507168810.5400002</v>
      </c>
      <c r="H5" s="4">
        <f>G5-D5</f>
        <v>1408253878.5400002</v>
      </c>
      <c r="I5" s="4">
        <f>H5+I4</f>
        <v>-8483239321.46</v>
      </c>
      <c r="J5" s="6">
        <f>1/(1+0.1)^B5</f>
        <v>0.90909090909090906</v>
      </c>
      <c r="K5" s="13">
        <f>H5*J5</f>
        <v>1280230798.6727273</v>
      </c>
      <c r="L5" s="13">
        <f>L4+K5</f>
        <v>-8611262401.3272724</v>
      </c>
      <c r="M5" s="13">
        <f t="shared" ref="M5:M29" si="0">H5/(1+$M$4)^B5</f>
        <v>1257369534.4107144</v>
      </c>
      <c r="N5" s="4">
        <f>H5/(1+$N$4)^B5</f>
        <v>1246242370.3893809</v>
      </c>
      <c r="O5" s="17"/>
      <c r="P5" s="17"/>
    </row>
    <row r="6" spans="2:17" x14ac:dyDescent="0.25">
      <c r="B6" s="3">
        <v>2</v>
      </c>
      <c r="C6" s="3"/>
      <c r="D6" s="13">
        <f t="shared" ref="D6:D13" si="1">-$C$4*0.01</f>
        <v>98914932</v>
      </c>
      <c r="E6" s="4">
        <f>E5-E5*0.005</f>
        <v>898512.17345</v>
      </c>
      <c r="F6" s="5">
        <f>F5-F5*0.005</f>
        <v>233735.70870000002</v>
      </c>
      <c r="G6" s="4">
        <f>(E6*1444)+(F6*865)</f>
        <v>1499632966.4873002</v>
      </c>
      <c r="H6" s="4">
        <f>G6-D6</f>
        <v>1400718034.4873002</v>
      </c>
      <c r="I6" s="4">
        <f>H6+I5</f>
        <v>-7082521286.9727001</v>
      </c>
      <c r="J6" s="6">
        <f>1/(1+0.1)^B6</f>
        <v>0.82644628099173545</v>
      </c>
      <c r="K6" s="13">
        <f t="shared" ref="K6:K29" si="2">H6*J6</f>
        <v>1157618210.3200827</v>
      </c>
      <c r="L6" s="13">
        <f t="shared" ref="L6:L29" si="3">L5+K6</f>
        <v>-7453644191.0071898</v>
      </c>
      <c r="M6" s="13">
        <f t="shared" si="0"/>
        <v>1116643841.2685745</v>
      </c>
      <c r="N6" s="4">
        <f t="shared" ref="N6:N29" si="4">H6/(1+$N$4)^B6</f>
        <v>1096967683.0505917</v>
      </c>
      <c r="O6" s="17"/>
      <c r="P6" s="17"/>
    </row>
    <row r="7" spans="2:17" x14ac:dyDescent="0.25">
      <c r="B7" s="3">
        <v>3</v>
      </c>
      <c r="C7" s="3"/>
      <c r="D7" s="13">
        <f t="shared" si="1"/>
        <v>98914932</v>
      </c>
      <c r="E7" s="4">
        <f t="shared" ref="E7:E28" si="5">E6-E6*0.005</f>
        <v>894019.61258275004</v>
      </c>
      <c r="F7" s="5">
        <f>F6-F6*0.005</f>
        <v>232567.03015650003</v>
      </c>
      <c r="G7" s="4">
        <f t="shared" ref="G7:G29" si="6">(E7*1444)+(F7*865)</f>
        <v>1492134801.6548636</v>
      </c>
      <c r="H7" s="4">
        <f>G7-D7</f>
        <v>1393219869.6548636</v>
      </c>
      <c r="I7" s="4">
        <f t="shared" ref="I7:I29" si="7">H7+I6</f>
        <v>-5689301417.3178368</v>
      </c>
      <c r="J7" s="6">
        <f>1/(1+0.1)^B7</f>
        <v>0.75131480090157754</v>
      </c>
      <c r="K7" s="13">
        <f t="shared" si="2"/>
        <v>1046746708.9818656</v>
      </c>
      <c r="L7" s="13">
        <f t="shared" si="3"/>
        <v>-6406897482.0253239</v>
      </c>
      <c r="M7" s="13">
        <f t="shared" si="0"/>
        <v>991666384.08150685</v>
      </c>
      <c r="N7" s="4">
        <f t="shared" si="4"/>
        <v>965571256.75281334</v>
      </c>
      <c r="O7" s="17"/>
      <c r="P7" s="17"/>
    </row>
    <row r="8" spans="2:17" x14ac:dyDescent="0.25">
      <c r="B8" s="3">
        <v>4</v>
      </c>
      <c r="C8" s="3"/>
      <c r="D8" s="13">
        <f t="shared" si="1"/>
        <v>98914932</v>
      </c>
      <c r="E8" s="4">
        <f>E7-E7*0.005</f>
        <v>889549.51451983629</v>
      </c>
      <c r="F8" s="5">
        <f t="shared" ref="F8:F29" si="8">F7-F7*0.005</f>
        <v>231404.19500571751</v>
      </c>
      <c r="G8" s="4">
        <f t="shared" si="6"/>
        <v>1484674127.6465893</v>
      </c>
      <c r="H8" s="4">
        <f t="shared" ref="H8:H28" si="9">G8-D8</f>
        <v>1385759195.6465893</v>
      </c>
      <c r="I8" s="4">
        <f t="shared" si="7"/>
        <v>-4303542221.6712475</v>
      </c>
      <c r="J8" s="6">
        <f t="shared" ref="J8:J28" si="10">1/(1+0.1)^B8</f>
        <v>0.68301345536507052</v>
      </c>
      <c r="K8" s="13">
        <f t="shared" si="2"/>
        <v>946492176.52249777</v>
      </c>
      <c r="L8" s="13">
        <f t="shared" si="3"/>
        <v>-5460405305.5028257</v>
      </c>
      <c r="M8" s="13">
        <f t="shared" si="0"/>
        <v>880675021.14914489</v>
      </c>
      <c r="N8" s="4">
        <f t="shared" si="4"/>
        <v>849912066.74396276</v>
      </c>
      <c r="O8" s="17"/>
      <c r="P8" s="17"/>
    </row>
    <row r="9" spans="2:17" x14ac:dyDescent="0.25">
      <c r="B9" s="3">
        <v>5</v>
      </c>
      <c r="C9" s="3"/>
      <c r="D9" s="13">
        <f t="shared" si="1"/>
        <v>98914932</v>
      </c>
      <c r="E9" s="4">
        <f t="shared" si="5"/>
        <v>885101.76694723708</v>
      </c>
      <c r="F9" s="5">
        <f>F8-F8*0.005</f>
        <v>230247.17403068891</v>
      </c>
      <c r="G9" s="4">
        <f t="shared" si="6"/>
        <v>1477250757.0083563</v>
      </c>
      <c r="H9" s="4">
        <f t="shared" si="9"/>
        <v>1378335825.0083563</v>
      </c>
      <c r="I9" s="4">
        <f t="shared" si="7"/>
        <v>-2925206396.6628914</v>
      </c>
      <c r="J9" s="6">
        <f t="shared" si="10"/>
        <v>0.62092132305915493</v>
      </c>
      <c r="K9" s="13">
        <f t="shared" si="2"/>
        <v>855838104.0840205</v>
      </c>
      <c r="L9" s="13">
        <f t="shared" si="3"/>
        <v>-4604567201.4188051</v>
      </c>
      <c r="M9" s="13">
        <f t="shared" si="0"/>
        <v>782104763.30879307</v>
      </c>
      <c r="N9" s="4">
        <f t="shared" si="4"/>
        <v>748105464.1672827</v>
      </c>
      <c r="O9" s="17"/>
      <c r="P9" s="17"/>
      <c r="Q9" s="17"/>
    </row>
    <row r="10" spans="2:17" x14ac:dyDescent="0.25">
      <c r="B10" s="3">
        <v>6</v>
      </c>
      <c r="C10" s="3"/>
      <c r="D10" s="13">
        <f t="shared" si="1"/>
        <v>98914932</v>
      </c>
      <c r="E10" s="4">
        <f t="shared" si="5"/>
        <v>880676.25811250089</v>
      </c>
      <c r="F10" s="5">
        <f>F9-F9*0.005</f>
        <v>229095.93816053547</v>
      </c>
      <c r="G10" s="4">
        <f t="shared" si="6"/>
        <v>1469864503.2233145</v>
      </c>
      <c r="H10" s="4">
        <f t="shared" si="9"/>
        <v>1370949571.2233145</v>
      </c>
      <c r="I10" s="4">
        <f t="shared" si="7"/>
        <v>-1554256825.4395769</v>
      </c>
      <c r="J10" s="6">
        <f t="shared" si="10"/>
        <v>0.56447393005377722</v>
      </c>
      <c r="K10" s="13">
        <f t="shared" si="2"/>
        <v>773865292.37396514</v>
      </c>
      <c r="L10" s="13">
        <f t="shared" si="3"/>
        <v>-3830701909.0448399</v>
      </c>
      <c r="M10" s="13">
        <f t="shared" si="0"/>
        <v>694565718.34643483</v>
      </c>
      <c r="N10" s="4">
        <f t="shared" si="4"/>
        <v>658492479.23507774</v>
      </c>
      <c r="O10" s="17"/>
      <c r="P10" s="17"/>
    </row>
    <row r="11" spans="2:17" x14ac:dyDescent="0.25">
      <c r="B11" s="3">
        <v>7</v>
      </c>
      <c r="C11" s="3"/>
      <c r="D11" s="13">
        <f t="shared" si="1"/>
        <v>98914932</v>
      </c>
      <c r="E11" s="4">
        <f t="shared" si="5"/>
        <v>876272.87682193844</v>
      </c>
      <c r="F11" s="5">
        <f t="shared" si="8"/>
        <v>227950.45846973278</v>
      </c>
      <c r="G11" s="4">
        <f t="shared" si="6"/>
        <v>1462515180.7071981</v>
      </c>
      <c r="H11" s="4">
        <f t="shared" si="9"/>
        <v>1363600248.7071981</v>
      </c>
      <c r="I11" s="4">
        <f t="shared" si="7"/>
        <v>-190656576.73237872</v>
      </c>
      <c r="J11" s="6">
        <f t="shared" si="10"/>
        <v>0.51315811823070645</v>
      </c>
      <c r="K11" s="13">
        <f t="shared" si="2"/>
        <v>699742537.64550912</v>
      </c>
      <c r="L11" s="13">
        <f t="shared" si="3"/>
        <v>-3130959371.3993306</v>
      </c>
      <c r="M11" s="13">
        <f t="shared" si="0"/>
        <v>616823502.5358938</v>
      </c>
      <c r="N11" s="4">
        <f t="shared" si="4"/>
        <v>579612799.52788103</v>
      </c>
      <c r="O11" s="17"/>
      <c r="P11" s="17"/>
    </row>
    <row r="12" spans="2:17" x14ac:dyDescent="0.25">
      <c r="B12" s="3">
        <v>8</v>
      </c>
      <c r="C12" s="3"/>
      <c r="D12" s="13">
        <f t="shared" si="1"/>
        <v>98914932</v>
      </c>
      <c r="E12" s="4">
        <f t="shared" si="5"/>
        <v>871891.5124378287</v>
      </c>
      <c r="F12" s="5">
        <f t="shared" si="8"/>
        <v>226810.70617738413</v>
      </c>
      <c r="G12" s="4">
        <f t="shared" si="6"/>
        <v>1455202604.8036618</v>
      </c>
      <c r="H12" s="4">
        <f t="shared" si="9"/>
        <v>1356287672.8036618</v>
      </c>
      <c r="I12" s="4">
        <f t="shared" si="7"/>
        <v>1165631096.0712831</v>
      </c>
      <c r="J12" s="6">
        <f t="shared" si="10"/>
        <v>0.46650738020973315</v>
      </c>
      <c r="K12" s="13">
        <f t="shared" si="2"/>
        <v>632718209.05039203</v>
      </c>
      <c r="L12" s="13">
        <f t="shared" si="3"/>
        <v>-2498241162.3489385</v>
      </c>
      <c r="M12" s="13">
        <f t="shared" si="0"/>
        <v>547781843.36056936</v>
      </c>
      <c r="N12" s="4">
        <f t="shared" si="4"/>
        <v>510180983.45741713</v>
      </c>
      <c r="O12" s="17"/>
      <c r="P12" s="17"/>
    </row>
    <row r="13" spans="2:17" x14ac:dyDescent="0.25">
      <c r="B13" s="3">
        <v>9</v>
      </c>
      <c r="C13" s="3"/>
      <c r="D13" s="13">
        <f t="shared" si="1"/>
        <v>98914932</v>
      </c>
      <c r="E13" s="4">
        <f t="shared" si="5"/>
        <v>867532.0548756395</v>
      </c>
      <c r="F13" s="5">
        <f>F12-F12*0.005</f>
        <v>225676.65264649721</v>
      </c>
      <c r="G13" s="4">
        <f t="shared" si="6"/>
        <v>1447926591.7796435</v>
      </c>
      <c r="H13" s="4">
        <f t="shared" si="9"/>
        <v>1349011659.7796435</v>
      </c>
      <c r="I13" s="4">
        <f t="shared" si="7"/>
        <v>2514642755.8509264</v>
      </c>
      <c r="J13" s="6">
        <f t="shared" si="10"/>
        <v>0.42409761837248466</v>
      </c>
      <c r="K13" s="13">
        <f t="shared" si="2"/>
        <v>572112632.06925941</v>
      </c>
      <c r="L13" s="13">
        <f t="shared" si="3"/>
        <v>-1926128530.2796791</v>
      </c>
      <c r="M13" s="13">
        <f t="shared" si="0"/>
        <v>486467128.33357936</v>
      </c>
      <c r="N13" s="4">
        <f t="shared" si="4"/>
        <v>449065521.59682578</v>
      </c>
      <c r="O13" s="17"/>
      <c r="P13" s="17"/>
    </row>
    <row r="14" spans="2:17" x14ac:dyDescent="0.25">
      <c r="B14" s="3">
        <v>10</v>
      </c>
      <c r="C14" s="3"/>
      <c r="D14" s="13">
        <f>D13+(G47*J14)</f>
        <v>402144729.13632649</v>
      </c>
      <c r="E14" s="4">
        <f t="shared" si="5"/>
        <v>863194.39460126136</v>
      </c>
      <c r="F14" s="5">
        <f t="shared" si="8"/>
        <v>224548.26938326473</v>
      </c>
      <c r="G14" s="4">
        <f t="shared" si="6"/>
        <v>1440686958.8207455</v>
      </c>
      <c r="H14" s="4">
        <f t="shared" si="9"/>
        <v>1038542229.6844189</v>
      </c>
      <c r="I14" s="4">
        <f t="shared" si="7"/>
        <v>3553184985.5353451</v>
      </c>
      <c r="J14" s="6">
        <f t="shared" si="10"/>
        <v>0.38554328942953148</v>
      </c>
      <c r="K14" s="13">
        <f t="shared" si="2"/>
        <v>400402987.44401085</v>
      </c>
      <c r="L14" s="13">
        <f t="shared" si="3"/>
        <v>-1525725542.8356681</v>
      </c>
      <c r="M14" s="13">
        <f t="shared" si="0"/>
        <v>334382803.02761036</v>
      </c>
      <c r="N14" s="4">
        <f t="shared" si="4"/>
        <v>305942439.9019562</v>
      </c>
      <c r="O14" s="17"/>
      <c r="P14" s="17"/>
      <c r="Q14" s="17"/>
    </row>
    <row r="15" spans="2:17" x14ac:dyDescent="0.25">
      <c r="B15" s="3">
        <v>11</v>
      </c>
      <c r="C15" s="3"/>
      <c r="D15" s="13">
        <f>-$C$4*0.01</f>
        <v>98914932</v>
      </c>
      <c r="E15" s="4">
        <f>E14-E14*0.005</f>
        <v>858878.4226282551</v>
      </c>
      <c r="F15" s="5">
        <f t="shared" si="8"/>
        <v>223425.52803634841</v>
      </c>
      <c r="G15" s="4">
        <f t="shared" si="6"/>
        <v>1433483524.0266418</v>
      </c>
      <c r="H15" s="4">
        <f t="shared" si="9"/>
        <v>1334568592.0266418</v>
      </c>
      <c r="I15" s="4">
        <f t="shared" si="7"/>
        <v>4887753577.5619869</v>
      </c>
      <c r="J15" s="6">
        <f t="shared" si="10"/>
        <v>0.3504938994813922</v>
      </c>
      <c r="K15" s="13">
        <f t="shared" si="2"/>
        <v>467758149.9448089</v>
      </c>
      <c r="L15" s="13">
        <f t="shared" si="3"/>
        <v>-1057967392.8908591</v>
      </c>
      <c r="M15" s="13">
        <f t="shared" si="0"/>
        <v>383656579.48848742</v>
      </c>
      <c r="N15" s="4">
        <f t="shared" si="4"/>
        <v>347918899.98773241</v>
      </c>
      <c r="O15" s="17"/>
      <c r="P15" s="17"/>
    </row>
    <row r="16" spans="2:17" x14ac:dyDescent="0.25">
      <c r="B16" s="3">
        <v>12</v>
      </c>
      <c r="C16" s="3"/>
      <c r="D16" s="13">
        <f t="shared" ref="D16:D23" si="11">-$C$4*0.01</f>
        <v>98914932</v>
      </c>
      <c r="E16" s="4">
        <f t="shared" si="5"/>
        <v>854584.03051511385</v>
      </c>
      <c r="F16" s="5">
        <f>F15-F15*0.005</f>
        <v>222308.40039616666</v>
      </c>
      <c r="G16" s="4">
        <f t="shared" si="6"/>
        <v>1426316106.4065084</v>
      </c>
      <c r="H16" s="4">
        <f t="shared" si="9"/>
        <v>1327401174.4065084</v>
      </c>
      <c r="I16" s="4">
        <f t="shared" si="7"/>
        <v>6215154751.9684954</v>
      </c>
      <c r="J16" s="6">
        <f t="shared" si="10"/>
        <v>0.31863081771035656</v>
      </c>
      <c r="K16" s="13">
        <f t="shared" si="2"/>
        <v>422950921.63083339</v>
      </c>
      <c r="L16" s="13">
        <f t="shared" si="3"/>
        <v>-635016471.26002574</v>
      </c>
      <c r="M16" s="13">
        <f t="shared" si="0"/>
        <v>340710819.81660908</v>
      </c>
      <c r="N16" s="4">
        <f t="shared" si="4"/>
        <v>306239266.40229654</v>
      </c>
      <c r="O16" s="17"/>
      <c r="P16" s="17"/>
    </row>
    <row r="17" spans="2:18" x14ac:dyDescent="0.25">
      <c r="B17" s="3">
        <v>13</v>
      </c>
      <c r="C17" s="3"/>
      <c r="D17" s="13">
        <f t="shared" si="11"/>
        <v>98914932</v>
      </c>
      <c r="E17" s="4">
        <f t="shared" si="5"/>
        <v>850311.11036253825</v>
      </c>
      <c r="F17" s="5">
        <f t="shared" si="8"/>
        <v>221196.85839418584</v>
      </c>
      <c r="G17" s="4">
        <f t="shared" si="6"/>
        <v>1419184525.874476</v>
      </c>
      <c r="H17" s="4">
        <f t="shared" si="9"/>
        <v>1320269593.874476</v>
      </c>
      <c r="I17" s="4">
        <f t="shared" si="7"/>
        <v>7535424345.8429718</v>
      </c>
      <c r="J17" s="6">
        <f t="shared" si="10"/>
        <v>0.28966437973668779</v>
      </c>
      <c r="K17" s="13">
        <f t="shared" si="2"/>
        <v>382435072.9948588</v>
      </c>
      <c r="L17" s="13">
        <f t="shared" si="3"/>
        <v>-252581398.26516694</v>
      </c>
      <c r="M17" s="13">
        <f t="shared" si="0"/>
        <v>302571714.92919827</v>
      </c>
      <c r="N17" s="4">
        <f t="shared" si="4"/>
        <v>269552184.76483947</v>
      </c>
      <c r="O17" s="17"/>
      <c r="P17" s="17"/>
    </row>
    <row r="18" spans="2:18" x14ac:dyDescent="0.25">
      <c r="B18" s="3">
        <v>14</v>
      </c>
      <c r="C18" s="3"/>
      <c r="D18" s="13">
        <f t="shared" si="11"/>
        <v>98914932</v>
      </c>
      <c r="E18" s="4">
        <f t="shared" si="5"/>
        <v>846059.55481072562</v>
      </c>
      <c r="F18" s="5">
        <f t="shared" si="8"/>
        <v>220090.8741022149</v>
      </c>
      <c r="G18" s="4">
        <f t="shared" si="6"/>
        <v>1412088603.2451036</v>
      </c>
      <c r="H18" s="4">
        <f t="shared" si="9"/>
        <v>1313173671.2451036</v>
      </c>
      <c r="I18" s="4">
        <f t="shared" si="7"/>
        <v>8848598017.0880756</v>
      </c>
      <c r="J18" s="6">
        <f t="shared" si="10"/>
        <v>0.26333125430607973</v>
      </c>
      <c r="K18" s="13">
        <f t="shared" si="2"/>
        <v>345799669.97069269</v>
      </c>
      <c r="L18" s="13">
        <f t="shared" si="3"/>
        <v>93218271.705525756</v>
      </c>
      <c r="M18" s="13">
        <f t="shared" si="0"/>
        <v>268701350.54231077</v>
      </c>
      <c r="N18" s="4">
        <f t="shared" si="4"/>
        <v>237259689.60320377</v>
      </c>
      <c r="O18" s="17"/>
      <c r="P18" s="17"/>
    </row>
    <row r="19" spans="2:18" x14ac:dyDescent="0.25">
      <c r="B19" s="3">
        <v>15</v>
      </c>
      <c r="C19" s="3"/>
      <c r="D19" s="13">
        <f t="shared" si="11"/>
        <v>98914932</v>
      </c>
      <c r="E19" s="4">
        <f t="shared" si="5"/>
        <v>841829.25703667197</v>
      </c>
      <c r="F19" s="5">
        <f t="shared" si="8"/>
        <v>218990.41973170382</v>
      </c>
      <c r="G19" s="4">
        <f t="shared" si="6"/>
        <v>1405028160.228878</v>
      </c>
      <c r="H19" s="4">
        <f t="shared" si="9"/>
        <v>1306113228.228878</v>
      </c>
      <c r="I19" s="4">
        <f t="shared" si="7"/>
        <v>10154711245.316954</v>
      </c>
      <c r="J19" s="6">
        <f t="shared" si="10"/>
        <v>0.23939204936916339</v>
      </c>
      <c r="K19" s="13">
        <f t="shared" si="2"/>
        <v>312673122.41388494</v>
      </c>
      <c r="L19" s="13">
        <f t="shared" si="3"/>
        <v>405891394.11941069</v>
      </c>
      <c r="M19" s="13">
        <f t="shared" si="0"/>
        <v>238622003.58512986</v>
      </c>
      <c r="N19" s="4">
        <f t="shared" si="4"/>
        <v>208835427.53227898</v>
      </c>
      <c r="O19" s="17"/>
      <c r="P19" s="17"/>
    </row>
    <row r="20" spans="2:18" x14ac:dyDescent="0.25">
      <c r="B20" s="3">
        <v>16</v>
      </c>
      <c r="C20" s="3"/>
      <c r="D20" s="13">
        <f t="shared" si="11"/>
        <v>98914932</v>
      </c>
      <c r="E20" s="4">
        <f t="shared" si="5"/>
        <v>837620.1107514886</v>
      </c>
      <c r="F20" s="5">
        <f t="shared" si="8"/>
        <v>217895.46763304531</v>
      </c>
      <c r="G20" s="4">
        <f t="shared" si="6"/>
        <v>1398003019.4277337</v>
      </c>
      <c r="H20" s="4">
        <f t="shared" si="9"/>
        <v>1299088087.4277337</v>
      </c>
      <c r="I20" s="4">
        <f t="shared" si="7"/>
        <v>11453799332.744688</v>
      </c>
      <c r="J20" s="6">
        <f t="shared" si="10"/>
        <v>0.21762913579014853</v>
      </c>
      <c r="K20" s="13">
        <f t="shared" si="2"/>
        <v>282719417.78217459</v>
      </c>
      <c r="L20" s="13">
        <f t="shared" si="3"/>
        <v>688610811.90158534</v>
      </c>
      <c r="M20" s="13">
        <f t="shared" si="0"/>
        <v>211909407.70170191</v>
      </c>
      <c r="N20" s="4">
        <f t="shared" si="4"/>
        <v>183816081.84055558</v>
      </c>
      <c r="O20" s="17"/>
      <c r="P20" s="17"/>
    </row>
    <row r="21" spans="2:18" x14ac:dyDescent="0.25">
      <c r="B21" s="3">
        <v>17</v>
      </c>
      <c r="C21" s="3"/>
      <c r="D21" s="13">
        <f t="shared" si="11"/>
        <v>98914932</v>
      </c>
      <c r="E21" s="4">
        <f t="shared" si="5"/>
        <v>833432.0101977312</v>
      </c>
      <c r="F21" s="5">
        <f>F20-F20*0.005</f>
        <v>216805.99029488009</v>
      </c>
      <c r="G21" s="4">
        <f t="shared" si="6"/>
        <v>1391013004.3305953</v>
      </c>
      <c r="H21" s="4">
        <f t="shared" si="9"/>
        <v>1292098072.3305953</v>
      </c>
      <c r="I21" s="4">
        <f t="shared" si="7"/>
        <v>12745897405.075283</v>
      </c>
      <c r="J21" s="6">
        <f t="shared" si="10"/>
        <v>0.19784466890013502</v>
      </c>
      <c r="K21" s="13">
        <f t="shared" si="2"/>
        <v>255634715.30674934</v>
      </c>
      <c r="L21" s="13">
        <f t="shared" si="3"/>
        <v>944245527.20833468</v>
      </c>
      <c r="M21" s="13">
        <f t="shared" si="0"/>
        <v>188186772.16316855</v>
      </c>
      <c r="N21" s="4">
        <f t="shared" si="4"/>
        <v>161793823.87237754</v>
      </c>
      <c r="O21" s="17"/>
      <c r="P21" s="17"/>
    </row>
    <row r="22" spans="2:18" x14ac:dyDescent="0.25">
      <c r="B22" s="3">
        <v>18</v>
      </c>
      <c r="C22" s="3"/>
      <c r="D22" s="13">
        <f t="shared" si="11"/>
        <v>98914932</v>
      </c>
      <c r="E22" s="4">
        <f t="shared" si="5"/>
        <v>829264.85014674254</v>
      </c>
      <c r="F22" s="5">
        <f>F21-F21*0.005</f>
        <v>215721.96034340569</v>
      </c>
      <c r="G22" s="4">
        <f t="shared" si="6"/>
        <v>1384057939.3089423</v>
      </c>
      <c r="H22" s="4">
        <f t="shared" si="9"/>
        <v>1285143007.3089423</v>
      </c>
      <c r="I22" s="4">
        <f t="shared" si="7"/>
        <v>14031040412.384226</v>
      </c>
      <c r="J22" s="6">
        <f t="shared" si="10"/>
        <v>0.17985878990921364</v>
      </c>
      <c r="K22" s="13">
        <f t="shared" si="2"/>
        <v>231144266.15487406</v>
      </c>
      <c r="L22" s="13">
        <f t="shared" si="3"/>
        <v>1175389793.3632088</v>
      </c>
      <c r="M22" s="13">
        <f t="shared" si="0"/>
        <v>167119469.91246042</v>
      </c>
      <c r="N22" s="4">
        <f t="shared" si="4"/>
        <v>142409668.2710796</v>
      </c>
      <c r="O22" s="17"/>
      <c r="P22" s="17"/>
    </row>
    <row r="23" spans="2:18" x14ac:dyDescent="0.25">
      <c r="B23" s="3">
        <v>19</v>
      </c>
      <c r="C23" s="3"/>
      <c r="D23" s="13">
        <f t="shared" si="11"/>
        <v>98914932</v>
      </c>
      <c r="E23" s="4">
        <f t="shared" si="5"/>
        <v>825118.52589600882</v>
      </c>
      <c r="F23" s="5">
        <f t="shared" si="8"/>
        <v>214643.35054168868</v>
      </c>
      <c r="G23" s="4">
        <f t="shared" si="6"/>
        <v>1377137649.6123974</v>
      </c>
      <c r="H23" s="4">
        <f t="shared" si="9"/>
        <v>1278222717.6123974</v>
      </c>
      <c r="I23" s="4">
        <f t="shared" si="7"/>
        <v>15309263129.996624</v>
      </c>
      <c r="J23" s="6">
        <f t="shared" si="10"/>
        <v>0.16350799082655781</v>
      </c>
      <c r="K23" s="13">
        <f t="shared" si="2"/>
        <v>208999628.38566568</v>
      </c>
      <c r="L23" s="13">
        <f t="shared" si="3"/>
        <v>1384389421.7488744</v>
      </c>
      <c r="M23" s="13">
        <f t="shared" si="0"/>
        <v>148410319.89002618</v>
      </c>
      <c r="N23" s="4">
        <f t="shared" si="4"/>
        <v>125347623.86552791</v>
      </c>
      <c r="O23" s="17"/>
      <c r="P23" s="17"/>
    </row>
    <row r="24" spans="2:18" x14ac:dyDescent="0.25">
      <c r="B24" s="3">
        <v>20</v>
      </c>
      <c r="C24" s="3"/>
      <c r="D24" s="13">
        <f>D23+(G47*J24)</f>
        <v>215823145.44098884</v>
      </c>
      <c r="E24" s="4">
        <f>E23-E23*0.005</f>
        <v>820992.93326652877</v>
      </c>
      <c r="F24" s="5">
        <f t="shared" si="8"/>
        <v>213570.13378898022</v>
      </c>
      <c r="G24" s="4">
        <f t="shared" si="6"/>
        <v>1370251961.3643355</v>
      </c>
      <c r="H24" s="4">
        <f t="shared" si="9"/>
        <v>1154428815.9233468</v>
      </c>
      <c r="I24" s="4">
        <f t="shared" si="7"/>
        <v>16463691945.919971</v>
      </c>
      <c r="J24" s="6">
        <f t="shared" si="10"/>
        <v>0.14864362802414349</v>
      </c>
      <c r="K24" s="13">
        <f t="shared" si="2"/>
        <v>171598487.49446237</v>
      </c>
      <c r="L24" s="13">
        <f t="shared" si="3"/>
        <v>1555987909.2433367</v>
      </c>
      <c r="M24" s="13">
        <f t="shared" si="0"/>
        <v>119675900.86270274</v>
      </c>
      <c r="N24" s="4">
        <f t="shared" si="4"/>
        <v>100183981.88873491</v>
      </c>
      <c r="O24" s="17"/>
      <c r="P24" s="17"/>
    </row>
    <row r="25" spans="2:18" x14ac:dyDescent="0.25">
      <c r="B25" s="3">
        <v>21</v>
      </c>
      <c r="C25" s="3"/>
      <c r="D25" s="13">
        <f>-$C$4*0.01</f>
        <v>98914932</v>
      </c>
      <c r="E25" s="4">
        <f t="shared" si="5"/>
        <v>816887.96860019607</v>
      </c>
      <c r="F25" s="5">
        <f>F24-F24*0.005</f>
        <v>212502.28312003531</v>
      </c>
      <c r="G25" s="4">
        <f t="shared" si="6"/>
        <v>1363400701.5575137</v>
      </c>
      <c r="H25" s="4">
        <f t="shared" si="9"/>
        <v>1264485769.5575137</v>
      </c>
      <c r="I25" s="4">
        <f t="shared" si="7"/>
        <v>17728177715.477486</v>
      </c>
      <c r="J25" s="6">
        <f t="shared" si="10"/>
        <v>0.13513057093103953</v>
      </c>
      <c r="K25" s="13">
        <f t="shared" si="2"/>
        <v>170870683.9744817</v>
      </c>
      <c r="L25" s="13">
        <f t="shared" si="3"/>
        <v>1726858593.2178183</v>
      </c>
      <c r="M25" s="13">
        <f t="shared" si="0"/>
        <v>117040311.80410011</v>
      </c>
      <c r="N25" s="4">
        <f t="shared" si="4"/>
        <v>97110599.01725027</v>
      </c>
      <c r="O25" s="17"/>
      <c r="P25" s="17"/>
    </row>
    <row r="26" spans="2:18" x14ac:dyDescent="0.25">
      <c r="B26" s="3">
        <v>22</v>
      </c>
      <c r="C26" s="3"/>
      <c r="D26" s="13">
        <f t="shared" ref="D26:D29" si="12">-$C$4*0.01</f>
        <v>98914932</v>
      </c>
      <c r="E26" s="4">
        <f t="shared" si="5"/>
        <v>812803.5287571951</v>
      </c>
      <c r="F26" s="5">
        <f t="shared" si="8"/>
        <v>211439.77170443514</v>
      </c>
      <c r="G26" s="4">
        <f t="shared" si="6"/>
        <v>1356583698.049726</v>
      </c>
      <c r="H26" s="4">
        <f t="shared" si="9"/>
        <v>1257668766.049726</v>
      </c>
      <c r="I26" s="4">
        <f t="shared" si="7"/>
        <v>18985846481.52721</v>
      </c>
      <c r="J26" s="6">
        <f t="shared" si="10"/>
        <v>0.12284597357367227</v>
      </c>
      <c r="K26" s="13">
        <f t="shared" si="2"/>
        <v>154499543.99857765</v>
      </c>
      <c r="L26" s="13">
        <f t="shared" si="3"/>
        <v>1881358137.2163959</v>
      </c>
      <c r="M26" s="13">
        <f t="shared" si="0"/>
        <v>103936904.11303894</v>
      </c>
      <c r="N26" s="4">
        <f t="shared" si="4"/>
        <v>85475277.37573424</v>
      </c>
      <c r="O26" s="17"/>
      <c r="P26" s="17"/>
    </row>
    <row r="27" spans="2:18" x14ac:dyDescent="0.25">
      <c r="B27" s="3">
        <v>23</v>
      </c>
      <c r="C27" s="3"/>
      <c r="D27" s="13">
        <f t="shared" si="12"/>
        <v>98914932</v>
      </c>
      <c r="E27" s="4">
        <f t="shared" si="5"/>
        <v>808739.51111340919</v>
      </c>
      <c r="F27" s="5">
        <f t="shared" si="8"/>
        <v>210382.57284591298</v>
      </c>
      <c r="G27" s="4">
        <f t="shared" si="6"/>
        <v>1349800779.5594776</v>
      </c>
      <c r="H27" s="4">
        <f t="shared" si="9"/>
        <v>1250885847.5594776</v>
      </c>
      <c r="I27" s="4">
        <f t="shared" si="7"/>
        <v>20236732329.086689</v>
      </c>
      <c r="J27" s="6">
        <f t="shared" si="10"/>
        <v>0.11167815779424752</v>
      </c>
      <c r="K27" s="13">
        <f t="shared" si="2"/>
        <v>139696627.06633839</v>
      </c>
      <c r="L27" s="13">
        <f t="shared" si="3"/>
        <v>2021054764.2827342</v>
      </c>
      <c r="M27" s="13">
        <f t="shared" si="0"/>
        <v>92300309.55444409</v>
      </c>
      <c r="N27" s="4">
        <f t="shared" si="4"/>
        <v>75233883.256184891</v>
      </c>
      <c r="O27" s="17"/>
      <c r="P27" s="17"/>
      <c r="Q27" s="1"/>
      <c r="R27" s="7"/>
    </row>
    <row r="28" spans="2:18" x14ac:dyDescent="0.25">
      <c r="B28" s="3">
        <v>24</v>
      </c>
      <c r="C28" s="3"/>
      <c r="D28" s="13">
        <f t="shared" si="12"/>
        <v>98914932</v>
      </c>
      <c r="E28" s="4">
        <f t="shared" si="5"/>
        <v>804695.81355784216</v>
      </c>
      <c r="F28" s="5">
        <f t="shared" si="8"/>
        <v>209330.65998168342</v>
      </c>
      <c r="G28" s="4">
        <f t="shared" si="6"/>
        <v>1343051775.6616802</v>
      </c>
      <c r="H28" s="4">
        <f t="shared" si="9"/>
        <v>1244136843.6616802</v>
      </c>
      <c r="I28" s="4">
        <f t="shared" si="7"/>
        <v>21480869172.748367</v>
      </c>
      <c r="J28" s="6">
        <f t="shared" si="10"/>
        <v>0.10152559799477048</v>
      </c>
      <c r="K28" s="13">
        <f t="shared" si="2"/>
        <v>126311737.04007836</v>
      </c>
      <c r="L28" s="13">
        <f t="shared" si="3"/>
        <v>2147366501.3228126</v>
      </c>
      <c r="M28" s="13">
        <f t="shared" si="0"/>
        <v>81966352.101383999</v>
      </c>
      <c r="N28" s="4">
        <f t="shared" si="4"/>
        <v>66219440.621602967</v>
      </c>
      <c r="O28" s="17"/>
      <c r="P28" s="17"/>
    </row>
    <row r="29" spans="2:18" x14ac:dyDescent="0.25">
      <c r="B29" s="3">
        <v>25</v>
      </c>
      <c r="C29" s="3"/>
      <c r="D29" s="13">
        <f t="shared" si="12"/>
        <v>98914932</v>
      </c>
      <c r="E29" s="4">
        <f>E28-E28*0.005</f>
        <v>800672.33449005301</v>
      </c>
      <c r="F29" s="5">
        <f t="shared" si="8"/>
        <v>208284.006681775</v>
      </c>
      <c r="G29" s="4">
        <f t="shared" si="6"/>
        <v>1336336516.7833719</v>
      </c>
      <c r="H29" s="4">
        <f>G29-D29</f>
        <v>1237421584.7833719</v>
      </c>
      <c r="I29" s="4">
        <f t="shared" si="7"/>
        <v>22718290757.531738</v>
      </c>
      <c r="J29" s="6">
        <f>1/(1+0.1)^B29</f>
        <v>9.2295998177064048E-2</v>
      </c>
      <c r="K29" s="13">
        <f t="shared" si="2"/>
        <v>114209060.3334258</v>
      </c>
      <c r="L29" s="13">
        <f t="shared" si="3"/>
        <v>2261575561.6562386</v>
      </c>
      <c r="M29" s="13">
        <f t="shared" si="0"/>
        <v>72789229.216087803</v>
      </c>
      <c r="N29" s="4">
        <f t="shared" si="4"/>
        <v>58284973.079651251</v>
      </c>
      <c r="O29" s="17"/>
      <c r="P29" s="17"/>
    </row>
    <row r="30" spans="2:18" x14ac:dyDescent="0.25">
      <c r="D30" s="19">
        <f>SUM(D4:D29)</f>
        <v>12784504510.577314</v>
      </c>
      <c r="G30" s="17">
        <f>SUM(G4:G29)</f>
        <v>35502795268.109055</v>
      </c>
      <c r="H30" s="17">
        <f>SUM(H4:H29)</f>
        <v>22718290757.531738</v>
      </c>
      <c r="K30" s="19">
        <f>SUM(K5:K29)</f>
        <v>12153068761.65624</v>
      </c>
      <c r="L30" s="19"/>
      <c r="M30" s="19">
        <f>SUM(M5:M29)</f>
        <v>10546077985.50367</v>
      </c>
      <c r="N30" s="17">
        <f>SUM(N5:N29)</f>
        <v>9875773886.20224</v>
      </c>
      <c r="P30" s="17"/>
    </row>
    <row r="31" spans="2:18" x14ac:dyDescent="0.25">
      <c r="G31" s="17"/>
      <c r="K31" s="19">
        <f>K30-G60</f>
        <v>2261575561.6562405</v>
      </c>
      <c r="L31" s="19"/>
      <c r="M31" s="17">
        <f>M30+C4</f>
        <v>654584785.50366974</v>
      </c>
      <c r="N31" s="17">
        <f>N30+C4</f>
        <v>-15719313.79776001</v>
      </c>
    </row>
    <row r="32" spans="2:18" x14ac:dyDescent="0.25">
      <c r="O32" s="14"/>
    </row>
    <row r="33" spans="2:17" x14ac:dyDescent="0.25">
      <c r="F33" t="s">
        <v>51</v>
      </c>
      <c r="K33" t="s">
        <v>46</v>
      </c>
      <c r="M33" s="20">
        <f>M31/(M31-N31)*(N4-M4)+M4</f>
        <v>0.12976548981553088</v>
      </c>
      <c r="O33" s="15"/>
      <c r="P33" s="14"/>
      <c r="Q33" s="15"/>
    </row>
    <row r="34" spans="2:17" x14ac:dyDescent="0.25">
      <c r="K34" t="s">
        <v>47</v>
      </c>
      <c r="M34" s="19">
        <f>SUM(K5:K29) - K4</f>
        <v>2261575561.6562405</v>
      </c>
      <c r="O34" s="15"/>
      <c r="P34" s="15"/>
      <c r="Q34" s="15"/>
    </row>
    <row r="35" spans="2:17" x14ac:dyDescent="0.25">
      <c r="K35" t="s">
        <v>48</v>
      </c>
      <c r="M35" s="21">
        <f>B11+(-I11/H12)</f>
        <v>7.140572373070575</v>
      </c>
      <c r="O35" s="15"/>
      <c r="P35" s="15"/>
      <c r="Q35" s="15"/>
    </row>
    <row r="36" spans="2:17" x14ac:dyDescent="0.25">
      <c r="K36" t="s">
        <v>49</v>
      </c>
      <c r="M36" s="34">
        <f>K30/G60</f>
        <v>1.2286384386996536</v>
      </c>
      <c r="O36" s="15"/>
      <c r="P36" s="15"/>
      <c r="Q36" s="15"/>
    </row>
    <row r="37" spans="2:17" x14ac:dyDescent="0.25">
      <c r="O37" s="15"/>
      <c r="P37" s="15"/>
      <c r="Q37" s="15"/>
    </row>
    <row r="38" spans="2:17" x14ac:dyDescent="0.25">
      <c r="O38" s="15"/>
      <c r="P38" s="15"/>
      <c r="Q38" s="15"/>
    </row>
    <row r="39" spans="2:17" x14ac:dyDescent="0.25">
      <c r="O39" s="15"/>
      <c r="P39" s="15"/>
      <c r="Q39" s="15"/>
    </row>
    <row r="40" spans="2:17" x14ac:dyDescent="0.25">
      <c r="O40" s="15"/>
      <c r="P40" s="15"/>
      <c r="Q40" s="15"/>
    </row>
    <row r="41" spans="2:17" x14ac:dyDescent="0.25">
      <c r="O41" s="15"/>
      <c r="P41" s="15"/>
      <c r="Q41" s="15"/>
    </row>
    <row r="42" spans="2:17" x14ac:dyDescent="0.25">
      <c r="P42" s="15"/>
      <c r="Q42" s="15"/>
    </row>
    <row r="46" spans="2:17" ht="19.5" customHeight="1" x14ac:dyDescent="0.25">
      <c r="B46" s="2" t="s">
        <v>5</v>
      </c>
      <c r="C46" s="2" t="s">
        <v>6</v>
      </c>
      <c r="D46" s="2" t="s">
        <v>7</v>
      </c>
      <c r="E46" s="2" t="s">
        <v>8</v>
      </c>
      <c r="F46" s="2" t="s">
        <v>21</v>
      </c>
      <c r="G46" s="2" t="s">
        <v>22</v>
      </c>
      <c r="H46" s="2" t="s">
        <v>9</v>
      </c>
    </row>
    <row r="47" spans="2:17" ht="38.25" customHeight="1" x14ac:dyDescent="0.25">
      <c r="B47" s="8">
        <v>1</v>
      </c>
      <c r="C47" s="40" t="s">
        <v>11</v>
      </c>
      <c r="D47" s="41" t="s">
        <v>23</v>
      </c>
      <c r="E47" s="39">
        <v>78650000</v>
      </c>
      <c r="F47" s="10">
        <v>10</v>
      </c>
      <c r="G47" s="12">
        <f>E47*F47</f>
        <v>786500000</v>
      </c>
      <c r="H47" s="9" t="s">
        <v>78</v>
      </c>
    </row>
    <row r="48" spans="2:17" ht="56.25" customHeight="1" x14ac:dyDescent="0.25">
      <c r="B48" s="8">
        <v>2</v>
      </c>
      <c r="C48" s="42" t="s">
        <v>10</v>
      </c>
      <c r="D48" s="41" t="s">
        <v>25</v>
      </c>
      <c r="E48" s="39">
        <v>2350000</v>
      </c>
      <c r="F48" s="10">
        <v>3420</v>
      </c>
      <c r="G48" s="12">
        <f t="shared" ref="G48:G59" si="13">E48*F48</f>
        <v>8037000000</v>
      </c>
      <c r="H48" s="9" t="s">
        <v>106</v>
      </c>
    </row>
    <row r="49" spans="2:8" ht="44.25" customHeight="1" x14ac:dyDescent="0.25">
      <c r="B49" s="8">
        <v>3</v>
      </c>
      <c r="C49" s="42" t="s">
        <v>12</v>
      </c>
      <c r="D49" s="43" t="s">
        <v>71</v>
      </c>
      <c r="E49" s="39">
        <v>3100000</v>
      </c>
      <c r="F49" s="10">
        <v>36</v>
      </c>
      <c r="G49" s="12">
        <f t="shared" si="13"/>
        <v>111600000</v>
      </c>
      <c r="H49" s="9" t="s">
        <v>72</v>
      </c>
    </row>
    <row r="50" spans="2:8" ht="30" x14ac:dyDescent="0.25">
      <c r="B50" s="8">
        <v>4</v>
      </c>
      <c r="C50" s="42" t="s">
        <v>13</v>
      </c>
      <c r="D50" s="43" t="s">
        <v>28</v>
      </c>
      <c r="E50" s="39">
        <v>4000</v>
      </c>
      <c r="F50" s="10">
        <v>2080</v>
      </c>
      <c r="G50" s="12">
        <f t="shared" si="13"/>
        <v>8320000</v>
      </c>
      <c r="H50" s="9" t="s">
        <v>30</v>
      </c>
    </row>
    <row r="51" spans="2:8" ht="30" x14ac:dyDescent="0.25">
      <c r="B51" s="8">
        <v>5</v>
      </c>
      <c r="C51" s="42" t="s">
        <v>14</v>
      </c>
      <c r="D51" s="43" t="s">
        <v>29</v>
      </c>
      <c r="E51" s="39">
        <v>15000</v>
      </c>
      <c r="F51" s="10">
        <v>2080</v>
      </c>
      <c r="G51" s="12">
        <f t="shared" si="13"/>
        <v>31200000</v>
      </c>
      <c r="H51" s="9" t="s">
        <v>31</v>
      </c>
    </row>
    <row r="52" spans="2:8" ht="30" x14ac:dyDescent="0.25">
      <c r="B52" s="8">
        <v>6</v>
      </c>
      <c r="C52" s="42" t="s">
        <v>15</v>
      </c>
      <c r="D52" s="43" t="s">
        <v>18</v>
      </c>
      <c r="E52" s="39">
        <v>13000</v>
      </c>
      <c r="F52" s="10">
        <v>2080</v>
      </c>
      <c r="G52" s="12">
        <f t="shared" si="13"/>
        <v>27040000</v>
      </c>
      <c r="H52" s="9" t="s">
        <v>32</v>
      </c>
    </row>
    <row r="53" spans="2:8" ht="30" x14ac:dyDescent="0.25">
      <c r="B53" s="8">
        <v>7</v>
      </c>
      <c r="C53" s="44" t="s">
        <v>16</v>
      </c>
      <c r="D53" s="43" t="s">
        <v>19</v>
      </c>
      <c r="E53" s="39">
        <v>22000</v>
      </c>
      <c r="F53" s="10">
        <v>4160</v>
      </c>
      <c r="G53" s="12">
        <f t="shared" si="13"/>
        <v>91520000</v>
      </c>
      <c r="H53" s="9" t="s">
        <v>33</v>
      </c>
    </row>
    <row r="54" spans="2:8" ht="35.25" customHeight="1" x14ac:dyDescent="0.25">
      <c r="B54" s="8">
        <v>8</v>
      </c>
      <c r="C54" s="45" t="s">
        <v>82</v>
      </c>
      <c r="D54" s="43" t="s">
        <v>83</v>
      </c>
      <c r="E54" s="39">
        <v>75800</v>
      </c>
      <c r="F54" s="10">
        <v>3600</v>
      </c>
      <c r="G54" s="12">
        <f t="shared" si="13"/>
        <v>272880000</v>
      </c>
      <c r="H54" s="9" t="s">
        <v>87</v>
      </c>
    </row>
    <row r="55" spans="2:8" ht="36" customHeight="1" x14ac:dyDescent="0.25">
      <c r="B55" s="8">
        <v>9</v>
      </c>
      <c r="C55" s="45" t="s">
        <v>84</v>
      </c>
      <c r="D55" s="43" t="s">
        <v>85</v>
      </c>
      <c r="E55" s="39">
        <v>2500000</v>
      </c>
      <c r="F55" s="10">
        <v>3</v>
      </c>
      <c r="G55" s="12">
        <f t="shared" si="13"/>
        <v>7500000</v>
      </c>
      <c r="H55" s="9" t="s">
        <v>86</v>
      </c>
    </row>
    <row r="56" spans="2:8" ht="45" customHeight="1" x14ac:dyDescent="0.25">
      <c r="B56" s="8">
        <v>10</v>
      </c>
      <c r="C56" s="45" t="s">
        <v>88</v>
      </c>
      <c r="D56" s="43" t="s">
        <v>94</v>
      </c>
      <c r="E56" s="39">
        <v>141191</v>
      </c>
      <c r="F56" s="10">
        <v>1200</v>
      </c>
      <c r="G56" s="12">
        <f t="shared" si="13"/>
        <v>169429200</v>
      </c>
      <c r="H56" s="9" t="s">
        <v>90</v>
      </c>
    </row>
    <row r="57" spans="2:8" ht="60" x14ac:dyDescent="0.25">
      <c r="B57" s="8">
        <v>11</v>
      </c>
      <c r="C57" s="45" t="s">
        <v>79</v>
      </c>
      <c r="D57" s="43" t="s">
        <v>80</v>
      </c>
      <c r="E57" s="39">
        <v>5200</v>
      </c>
      <c r="F57" s="10">
        <v>3420</v>
      </c>
      <c r="G57" s="12">
        <f t="shared" si="13"/>
        <v>17784000</v>
      </c>
      <c r="H57" s="9" t="s">
        <v>81</v>
      </c>
    </row>
    <row r="58" spans="2:8" ht="27" customHeight="1" x14ac:dyDescent="0.25">
      <c r="B58" s="8">
        <v>12</v>
      </c>
      <c r="C58" s="45" t="s">
        <v>91</v>
      </c>
      <c r="D58" s="43" t="s">
        <v>93</v>
      </c>
      <c r="E58" s="39">
        <v>78000</v>
      </c>
      <c r="F58" s="10">
        <v>3120</v>
      </c>
      <c r="G58" s="12">
        <f t="shared" si="13"/>
        <v>243360000</v>
      </c>
      <c r="H58" s="9" t="s">
        <v>92</v>
      </c>
    </row>
    <row r="59" spans="2:8" ht="38.25" customHeight="1" x14ac:dyDescent="0.25">
      <c r="B59" s="8">
        <v>13</v>
      </c>
      <c r="C59" s="45" t="s">
        <v>17</v>
      </c>
      <c r="D59" s="43" t="s">
        <v>20</v>
      </c>
      <c r="E59" s="39">
        <v>14000</v>
      </c>
      <c r="F59" s="10">
        <v>6240</v>
      </c>
      <c r="G59" s="12">
        <f t="shared" si="13"/>
        <v>87360000</v>
      </c>
      <c r="H59" s="9" t="s">
        <v>34</v>
      </c>
    </row>
    <row r="60" spans="2:8" x14ac:dyDescent="0.25">
      <c r="B60" s="8"/>
      <c r="C60" s="10" t="s">
        <v>39</v>
      </c>
      <c r="D60" s="8"/>
      <c r="E60" s="39">
        <f>SUM(E47:E59)</f>
        <v>86968191</v>
      </c>
      <c r="F60" s="10"/>
      <c r="G60" s="12">
        <f>SUM(G47:G59)</f>
        <v>9891493200</v>
      </c>
      <c r="H60" s="3"/>
    </row>
  </sheetData>
  <hyperlinks>
    <hyperlink ref="H53" r:id="rId1" xr:uid="{00000000-0004-0000-0000-000000000000}"/>
    <hyperlink ref="H52" r:id="rId2" xr:uid="{00000000-0004-0000-0000-000001000000}"/>
    <hyperlink ref="H51" r:id="rId3" xr:uid="{00000000-0004-0000-0000-000002000000}"/>
    <hyperlink ref="H50" r:id="rId4" xr:uid="{00000000-0004-0000-0000-000003000000}"/>
    <hyperlink ref="H59" r:id="rId5" xr:uid="{00000000-0004-0000-0000-000004000000}"/>
    <hyperlink ref="H56" r:id="rId6" xr:uid="{00000000-0004-0000-0000-000005000000}"/>
    <hyperlink ref="H47" r:id="rId7" xr:uid="{00000000-0004-0000-0000-000006000000}"/>
    <hyperlink ref="H49" r:id="rId8" xr:uid="{00000000-0004-0000-0000-000007000000}"/>
    <hyperlink ref="H54" r:id="rId9" xr:uid="{00000000-0004-0000-0000-000008000000}"/>
    <hyperlink ref="H55" r:id="rId10" xr:uid="{00000000-0004-0000-0000-000009000000}"/>
    <hyperlink ref="H57" r:id="rId11" xr:uid="{00000000-0004-0000-0000-00000A000000}"/>
    <hyperlink ref="H58" r:id="rId12" xr:uid="{00000000-0004-0000-0000-00000B000000}"/>
  </hyperlinks>
  <pageMargins left="0.7" right="0.7" top="0.75" bottom="0.75" header="0.3" footer="0.3"/>
  <pageSetup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4"/>
  <sheetViews>
    <sheetView topLeftCell="A24" zoomScale="64" zoomScaleNormal="59" workbookViewId="0">
      <selection activeCell="L32" sqref="L32"/>
    </sheetView>
  </sheetViews>
  <sheetFormatPr defaultRowHeight="15" x14ac:dyDescent="0.25"/>
  <cols>
    <col min="2" max="2" width="8.140625" customWidth="1"/>
    <col min="3" max="3" width="29.85546875" customWidth="1"/>
    <col min="4" max="4" width="42.7109375" customWidth="1"/>
    <col min="5" max="5" width="36.5703125" customWidth="1"/>
    <col min="6" max="6" width="38.140625" customWidth="1"/>
    <col min="7" max="7" width="31.28515625" customWidth="1"/>
    <col min="8" max="8" width="35.85546875" customWidth="1"/>
    <col min="9" max="9" width="40.42578125" customWidth="1"/>
    <col min="10" max="10" width="25.28515625" customWidth="1"/>
    <col min="11" max="11" width="27.5703125" customWidth="1"/>
    <col min="12" max="12" width="20.7109375" customWidth="1"/>
    <col min="13" max="13" width="20" customWidth="1"/>
    <col min="14" max="14" width="27.7109375" customWidth="1"/>
    <col min="15" max="15" width="31" customWidth="1"/>
    <col min="16" max="16" width="31.42578125" customWidth="1"/>
    <col min="17" max="17" width="28.140625" customWidth="1"/>
    <col min="19" max="19" width="18.140625" customWidth="1"/>
    <col min="20" max="20" width="19.7109375" customWidth="1"/>
    <col min="21" max="21" width="41.42578125" customWidth="1"/>
  </cols>
  <sheetData>
    <row r="1" spans="2:14" x14ac:dyDescent="0.25">
      <c r="G1" s="2" t="s">
        <v>65</v>
      </c>
    </row>
    <row r="2" spans="2:14" x14ac:dyDescent="0.25">
      <c r="B2" s="1" t="s">
        <v>67</v>
      </c>
      <c r="F2" s="27"/>
      <c r="G2" t="s">
        <v>0</v>
      </c>
    </row>
    <row r="3" spans="2:14" x14ac:dyDescent="0.25">
      <c r="B3" s="2" t="s">
        <v>1</v>
      </c>
      <c r="C3" s="2" t="s">
        <v>2</v>
      </c>
      <c r="D3" s="2" t="s">
        <v>64</v>
      </c>
      <c r="E3" s="2" t="s">
        <v>108</v>
      </c>
      <c r="F3" s="2" t="s">
        <v>36</v>
      </c>
      <c r="G3" s="2" t="s">
        <v>38</v>
      </c>
      <c r="H3" s="2" t="s">
        <v>63</v>
      </c>
      <c r="I3" s="2" t="s">
        <v>62</v>
      </c>
      <c r="J3" s="2" t="s">
        <v>3</v>
      </c>
      <c r="K3" s="2" t="s">
        <v>61</v>
      </c>
      <c r="L3" s="32" t="s">
        <v>43</v>
      </c>
      <c r="M3" s="32" t="s">
        <v>43</v>
      </c>
    </row>
    <row r="4" spans="2:14" x14ac:dyDescent="0.25">
      <c r="B4" s="3" t="s">
        <v>4</v>
      </c>
      <c r="C4" s="4">
        <f>G49</f>
        <v>12884194420</v>
      </c>
      <c r="D4" s="13">
        <f>C4</f>
        <v>12884194420</v>
      </c>
      <c r="E4" s="4"/>
      <c r="F4" s="3"/>
      <c r="G4" s="3"/>
      <c r="H4" s="13">
        <f>-G49</f>
        <v>-12884194420</v>
      </c>
      <c r="I4" s="13">
        <f>H4</f>
        <v>-12884194420</v>
      </c>
      <c r="J4" s="3">
        <v>1</v>
      </c>
      <c r="K4" s="4">
        <f>-G49</f>
        <v>-12884194420</v>
      </c>
      <c r="L4" s="18">
        <v>0.1</v>
      </c>
      <c r="M4" s="18">
        <v>0.11</v>
      </c>
    </row>
    <row r="5" spans="2:14" x14ac:dyDescent="0.25">
      <c r="B5" s="3">
        <v>1</v>
      </c>
      <c r="C5" s="3"/>
      <c r="D5" s="13">
        <f t="shared" ref="D5:D13" si="0">$C$4*0.01</f>
        <v>128841944.2</v>
      </c>
      <c r="E5" s="31">
        <v>1116162.99</v>
      </c>
      <c r="F5" s="31">
        <v>87396.79</v>
      </c>
      <c r="G5" s="4">
        <f>(E5*1444)+(F5*1134)</f>
        <v>1710847317.4199998</v>
      </c>
      <c r="H5" s="4">
        <f t="shared" ref="H5:H29" si="1">G5-D5</f>
        <v>1582005373.2199998</v>
      </c>
      <c r="I5" s="4">
        <f>H5+I4</f>
        <v>-11302189046.780001</v>
      </c>
      <c r="J5" s="6">
        <f>1/(1+0.1)^B5</f>
        <v>0.90909090909090906</v>
      </c>
      <c r="K5" s="4">
        <f t="shared" ref="K5:K29" si="2">J5*H5</f>
        <v>1438186702.9272726</v>
      </c>
      <c r="L5" s="4">
        <f t="shared" ref="L5:L29" si="3">H5/(1+$L$4)^B5</f>
        <v>1438186702.9272723</v>
      </c>
      <c r="M5" s="4">
        <f t="shared" ref="M5:M29" si="4">H5/(1+$M$4)^B5</f>
        <v>1425230065.9639637</v>
      </c>
    </row>
    <row r="6" spans="2:14" x14ac:dyDescent="0.25">
      <c r="B6" s="3">
        <v>2</v>
      </c>
      <c r="C6" s="3"/>
      <c r="D6" s="13">
        <f t="shared" si="0"/>
        <v>128841944.2</v>
      </c>
      <c r="E6" s="4">
        <f>$E$5*(1-0.005)^B6</f>
        <v>1105029.2641747501</v>
      </c>
      <c r="F6" s="30">
        <f t="shared" ref="F6:F28" si="5">F5-F5*0.0055</f>
        <v>86916.107655</v>
      </c>
      <c r="G6" s="4">
        <f t="shared" ref="G6:G28" si="6">(E6*1444)+(F6*1266)</f>
        <v>1705698049.7595692</v>
      </c>
      <c r="H6" s="4">
        <f t="shared" si="1"/>
        <v>1576856105.5595691</v>
      </c>
      <c r="I6" s="4">
        <f t="shared" ref="I6:I29" si="7">I5+H6</f>
        <v>-9725332941.2204323</v>
      </c>
      <c r="J6" s="6">
        <f>1/(1+0.1)^B6</f>
        <v>0.82644628099173545</v>
      </c>
      <c r="K6" s="4">
        <f t="shared" si="2"/>
        <v>1303186864.0988173</v>
      </c>
      <c r="L6" s="4">
        <f t="shared" si="3"/>
        <v>1303186864.0988173</v>
      </c>
      <c r="M6" s="4">
        <f t="shared" si="4"/>
        <v>1279811789.2700014</v>
      </c>
    </row>
    <row r="7" spans="2:14" x14ac:dyDescent="0.25">
      <c r="B7" s="3">
        <v>3</v>
      </c>
      <c r="C7" s="3"/>
      <c r="D7" s="13">
        <f t="shared" si="0"/>
        <v>128841944.2</v>
      </c>
      <c r="E7" s="4">
        <f t="shared" ref="E7:E29" si="8">$E$5*(1-0.005)^B7</f>
        <v>1099504.1178538762</v>
      </c>
      <c r="F7" s="30">
        <f t="shared" si="5"/>
        <v>86438.069062897499</v>
      </c>
      <c r="G7" s="4">
        <f t="shared" ref="G7" si="9">(E7*1444)+(F7*1134)</f>
        <v>1685704716.498323</v>
      </c>
      <c r="H7" s="4">
        <f t="shared" si="1"/>
        <v>1556862772.2983229</v>
      </c>
      <c r="I7" s="4">
        <f t="shared" si="7"/>
        <v>-8168470168.9221096</v>
      </c>
      <c r="J7" s="6">
        <f t="shared" ref="J7:J29" si="10">1/(1+0.1)^B7</f>
        <v>0.75131480090157754</v>
      </c>
      <c r="K7" s="4">
        <f t="shared" si="2"/>
        <v>1169694043.8003926</v>
      </c>
      <c r="L7" s="4">
        <f t="shared" si="3"/>
        <v>1169694043.8003926</v>
      </c>
      <c r="M7" s="4">
        <f t="shared" si="4"/>
        <v>1138364640.9728374</v>
      </c>
    </row>
    <row r="8" spans="2:14" x14ac:dyDescent="0.25">
      <c r="B8" s="3">
        <v>4</v>
      </c>
      <c r="C8" s="3"/>
      <c r="D8" s="13">
        <f t="shared" si="0"/>
        <v>128841944.2</v>
      </c>
      <c r="E8" s="4">
        <f t="shared" si="8"/>
        <v>1094006.597264607</v>
      </c>
      <c r="F8" s="30">
        <f t="shared" si="5"/>
        <v>85962.659683051563</v>
      </c>
      <c r="G8" s="4">
        <f t="shared" si="6"/>
        <v>1688574253.6088359</v>
      </c>
      <c r="H8" s="4">
        <f t="shared" si="1"/>
        <v>1559732309.4088359</v>
      </c>
      <c r="I8" s="4">
        <f t="shared" si="7"/>
        <v>-6608737859.5132732</v>
      </c>
      <c r="J8" s="6">
        <f t="shared" si="10"/>
        <v>0.68301345536507052</v>
      </c>
      <c r="K8" s="4">
        <f t="shared" si="2"/>
        <v>1065318154.0938703</v>
      </c>
      <c r="L8" s="4">
        <f t="shared" si="3"/>
        <v>1065318154.0938703</v>
      </c>
      <c r="M8" s="4">
        <f t="shared" si="4"/>
        <v>1027443983.5823132</v>
      </c>
    </row>
    <row r="9" spans="2:14" x14ac:dyDescent="0.25">
      <c r="B9" s="3">
        <v>5</v>
      </c>
      <c r="C9" s="3"/>
      <c r="D9" s="13">
        <f t="shared" si="0"/>
        <v>128841944.2</v>
      </c>
      <c r="E9" s="4">
        <f t="shared" si="8"/>
        <v>1088536.5642782839</v>
      </c>
      <c r="F9" s="30">
        <f t="shared" si="5"/>
        <v>85489.865054794776</v>
      </c>
      <c r="G9" s="4">
        <f t="shared" ref="G9" si="11">(E9*1444)+(F9*1134)</f>
        <v>1668792305.789979</v>
      </c>
      <c r="H9" s="4">
        <f t="shared" si="1"/>
        <v>1539950361.5899789</v>
      </c>
      <c r="I9" s="4">
        <f t="shared" si="7"/>
        <v>-5068787497.9232941</v>
      </c>
      <c r="J9" s="6">
        <f t="shared" si="10"/>
        <v>0.62092132305915493</v>
      </c>
      <c r="K9" s="4">
        <f t="shared" si="2"/>
        <v>956188015.96387374</v>
      </c>
      <c r="L9" s="4">
        <f t="shared" si="3"/>
        <v>956188015.96387386</v>
      </c>
      <c r="M9" s="4">
        <f t="shared" si="4"/>
        <v>913885587.22983062</v>
      </c>
    </row>
    <row r="10" spans="2:14" x14ac:dyDescent="0.25">
      <c r="B10" s="3">
        <v>6</v>
      </c>
      <c r="C10" s="3"/>
      <c r="D10" s="13">
        <f t="shared" si="0"/>
        <v>128841944.2</v>
      </c>
      <c r="E10" s="4">
        <f t="shared" si="8"/>
        <v>1083093.8814568925</v>
      </c>
      <c r="F10" s="30">
        <f t="shared" si="5"/>
        <v>85019.670796993407</v>
      </c>
      <c r="G10" s="4">
        <f t="shared" si="6"/>
        <v>1671622468.0527463</v>
      </c>
      <c r="H10" s="4">
        <f t="shared" si="1"/>
        <v>1542780523.8527462</v>
      </c>
      <c r="I10" s="4">
        <f t="shared" si="7"/>
        <v>-3526006974.0705481</v>
      </c>
      <c r="J10" s="6">
        <f t="shared" si="10"/>
        <v>0.56447393005377722</v>
      </c>
      <c r="K10" s="4">
        <f t="shared" si="2"/>
        <v>870859385.5095849</v>
      </c>
      <c r="L10" s="4">
        <f t="shared" si="3"/>
        <v>870859385.50958478</v>
      </c>
      <c r="M10" s="4">
        <f t="shared" si="4"/>
        <v>824833469.17413604</v>
      </c>
    </row>
    <row r="11" spans="2:14" x14ac:dyDescent="0.25">
      <c r="B11" s="3">
        <v>7</v>
      </c>
      <c r="C11" s="3"/>
      <c r="D11" s="13">
        <f t="shared" si="0"/>
        <v>128841944.2</v>
      </c>
      <c r="E11" s="4">
        <f t="shared" si="8"/>
        <v>1077678.4120496081</v>
      </c>
      <c r="F11" s="30">
        <f t="shared" si="5"/>
        <v>84552.062607609943</v>
      </c>
      <c r="G11" s="4">
        <f t="shared" ref="G11" si="12">(E11*1444)+(F11*1134)</f>
        <v>1652049665.9966638</v>
      </c>
      <c r="H11" s="4">
        <f t="shared" si="1"/>
        <v>1523207721.7966638</v>
      </c>
      <c r="I11" s="4">
        <f t="shared" si="7"/>
        <v>-2002799252.2738843</v>
      </c>
      <c r="J11" s="6">
        <f t="shared" si="10"/>
        <v>0.51315811823070645</v>
      </c>
      <c r="K11" s="4">
        <f t="shared" si="2"/>
        <v>781646408.19165742</v>
      </c>
      <c r="L11" s="4">
        <f t="shared" si="3"/>
        <v>781646408.19165742</v>
      </c>
      <c r="M11" s="4">
        <f t="shared" si="4"/>
        <v>733665810.73718166</v>
      </c>
    </row>
    <row r="12" spans="2:14" x14ac:dyDescent="0.25">
      <c r="B12" s="3">
        <v>8</v>
      </c>
      <c r="C12" s="3"/>
      <c r="D12" s="13">
        <f t="shared" si="0"/>
        <v>128841944.2</v>
      </c>
      <c r="E12" s="4">
        <f t="shared" si="8"/>
        <v>1072290.0199893599</v>
      </c>
      <c r="F12" s="30">
        <f t="shared" si="5"/>
        <v>84087.026263268082</v>
      </c>
      <c r="G12" s="4">
        <f t="shared" si="6"/>
        <v>1654840964.1139331</v>
      </c>
      <c r="H12" s="4">
        <f t="shared" si="1"/>
        <v>1525999019.913933</v>
      </c>
      <c r="I12" s="4">
        <f t="shared" si="7"/>
        <v>-476800232.35995126</v>
      </c>
      <c r="J12" s="6">
        <f t="shared" si="10"/>
        <v>0.46650738020973315</v>
      </c>
      <c r="K12" s="4">
        <f t="shared" si="2"/>
        <v>711889804.98266935</v>
      </c>
      <c r="L12" s="4">
        <f t="shared" si="3"/>
        <v>711889804.98266935</v>
      </c>
      <c r="M12" s="4">
        <f t="shared" si="4"/>
        <v>662171408.06546664</v>
      </c>
    </row>
    <row r="13" spans="2:14" x14ac:dyDescent="0.25">
      <c r="B13" s="3">
        <v>9</v>
      </c>
      <c r="C13" s="3"/>
      <c r="D13" s="13">
        <f t="shared" si="0"/>
        <v>128841944.2</v>
      </c>
      <c r="E13" s="4">
        <f t="shared" si="8"/>
        <v>1066928.5698894132</v>
      </c>
      <c r="F13" s="30">
        <f t="shared" si="5"/>
        <v>83624.547618820114</v>
      </c>
      <c r="G13" s="4">
        <f t="shared" ref="G13" si="13">(E13*1444)+(F13*1134)</f>
        <v>1635475091.9200547</v>
      </c>
      <c r="H13" s="4">
        <f t="shared" si="1"/>
        <v>1506633147.7200546</v>
      </c>
      <c r="I13" s="4">
        <f t="shared" si="7"/>
        <v>1029832915.3601034</v>
      </c>
      <c r="J13" s="6">
        <f t="shared" si="10"/>
        <v>0.42409761837248466</v>
      </c>
      <c r="K13" s="4">
        <f t="shared" si="2"/>
        <v>638959529.70911503</v>
      </c>
      <c r="L13" s="4">
        <f t="shared" si="3"/>
        <v>638959529.70911503</v>
      </c>
      <c r="M13" s="4">
        <f t="shared" si="4"/>
        <v>588980218.91587532</v>
      </c>
      <c r="N13" s="17"/>
    </row>
    <row r="14" spans="2:14" x14ac:dyDescent="0.25">
      <c r="B14" s="3">
        <v>10</v>
      </c>
      <c r="C14" s="3"/>
      <c r="D14" s="12">
        <f>D5+(G40*J14)</f>
        <v>462706347.97993922</v>
      </c>
      <c r="E14" s="4">
        <f t="shared" si="8"/>
        <v>1061593.9270399662</v>
      </c>
      <c r="F14" s="30">
        <f t="shared" si="5"/>
        <v>83164.612606916606</v>
      </c>
      <c r="G14" s="4">
        <f t="shared" si="6"/>
        <v>1638228030.2060676</v>
      </c>
      <c r="H14" s="4">
        <f t="shared" si="1"/>
        <v>1175521682.2261283</v>
      </c>
      <c r="I14" s="4">
        <f t="shared" si="7"/>
        <v>2205354597.5862317</v>
      </c>
      <c r="J14" s="6">
        <f t="shared" si="10"/>
        <v>0.38554328942953148</v>
      </c>
      <c r="K14" s="4">
        <f t="shared" si="2"/>
        <v>453214496.1611979</v>
      </c>
      <c r="L14" s="4">
        <f t="shared" si="3"/>
        <v>453214496.1611979</v>
      </c>
      <c r="M14" s="4">
        <f t="shared" si="4"/>
        <v>414000490.94289356</v>
      </c>
      <c r="N14" s="17"/>
    </row>
    <row r="15" spans="2:14" x14ac:dyDescent="0.25">
      <c r="B15" s="3">
        <v>11</v>
      </c>
      <c r="C15" s="3"/>
      <c r="D15" s="13">
        <f>$C$4*0.01</f>
        <v>128841944.2</v>
      </c>
      <c r="E15" s="4">
        <f t="shared" si="8"/>
        <v>1056285.9574047662</v>
      </c>
      <c r="F15" s="30">
        <f t="shared" si="5"/>
        <v>82707.207237578565</v>
      </c>
      <c r="G15" s="4">
        <f t="shared" ref="G15" si="14">(E15*1444)+(F15*1134)</f>
        <v>1619066895.4998965</v>
      </c>
      <c r="H15" s="4">
        <f t="shared" si="1"/>
        <v>1490224951.2998965</v>
      </c>
      <c r="I15" s="4">
        <f t="shared" si="7"/>
        <v>3695579548.8861284</v>
      </c>
      <c r="J15" s="6">
        <f t="shared" si="10"/>
        <v>0.3504938994813922</v>
      </c>
      <c r="K15" s="4">
        <f t="shared" si="2"/>
        <v>522314754.28556848</v>
      </c>
      <c r="L15" s="4">
        <f t="shared" si="3"/>
        <v>522314754.28556848</v>
      </c>
      <c r="M15" s="4">
        <f t="shared" si="4"/>
        <v>472823511.46870214</v>
      </c>
    </row>
    <row r="16" spans="2:14" x14ac:dyDescent="0.25">
      <c r="B16" s="3">
        <v>12</v>
      </c>
      <c r="C16" s="3"/>
      <c r="D16" s="13">
        <f>$C$4*0.01</f>
        <v>128841944.2</v>
      </c>
      <c r="E16" s="4">
        <f t="shared" si="8"/>
        <v>1051004.5276177425</v>
      </c>
      <c r="F16" s="30">
        <f t="shared" si="5"/>
        <v>82252.317597771878</v>
      </c>
      <c r="G16" s="4">
        <f t="shared" si="6"/>
        <v>1621781971.9587994</v>
      </c>
      <c r="H16" s="4">
        <f t="shared" si="1"/>
        <v>1492940027.7587993</v>
      </c>
      <c r="I16" s="4">
        <f t="shared" si="7"/>
        <v>5188519576.644928</v>
      </c>
      <c r="J16" s="6">
        <f t="shared" si="10"/>
        <v>0.31863081771035656</v>
      </c>
      <c r="K16" s="4">
        <f t="shared" si="2"/>
        <v>475696701.83730865</v>
      </c>
      <c r="L16" s="4">
        <f t="shared" si="3"/>
        <v>475696701.83730865</v>
      </c>
      <c r="M16" s="4">
        <f t="shared" si="4"/>
        <v>426743207.14046818</v>
      </c>
    </row>
    <row r="17" spans="2:19" x14ac:dyDescent="0.25">
      <c r="B17" s="3">
        <v>13</v>
      </c>
      <c r="C17" s="3"/>
      <c r="D17" s="13">
        <f>$C$4*0.01</f>
        <v>128841944.2</v>
      </c>
      <c r="E17" s="4">
        <f t="shared" si="8"/>
        <v>1045749.5049796539</v>
      </c>
      <c r="F17" s="30">
        <f t="shared" si="5"/>
        <v>81799.929850984132</v>
      </c>
      <c r="G17" s="4">
        <f t="shared" ref="G17" si="15">(E17*1444)+(F17*1134)</f>
        <v>1602823405.6416361</v>
      </c>
      <c r="H17" s="4">
        <f t="shared" si="1"/>
        <v>1473981461.4416361</v>
      </c>
      <c r="I17" s="4">
        <f t="shared" si="7"/>
        <v>6662501038.0865641</v>
      </c>
      <c r="J17" s="6">
        <f t="shared" si="10"/>
        <v>0.28966437973668779</v>
      </c>
      <c r="K17" s="4">
        <f t="shared" si="2"/>
        <v>426959925.77186811</v>
      </c>
      <c r="L17" s="4">
        <f t="shared" si="3"/>
        <v>426959925.77186805</v>
      </c>
      <c r="M17" s="4">
        <f t="shared" si="4"/>
        <v>379571238.67552692</v>
      </c>
    </row>
    <row r="18" spans="2:19" x14ac:dyDescent="0.25">
      <c r="B18" s="3">
        <v>14</v>
      </c>
      <c r="C18" s="3"/>
      <c r="D18" s="13">
        <f>$C$4*0.01</f>
        <v>128841944.2</v>
      </c>
      <c r="E18" s="4">
        <f t="shared" si="8"/>
        <v>1040520.7574547556</v>
      </c>
      <c r="F18" s="30">
        <f t="shared" si="5"/>
        <v>81350.030236803723</v>
      </c>
      <c r="G18" s="4">
        <f t="shared" si="6"/>
        <v>1605501112.0444605</v>
      </c>
      <c r="H18" s="4">
        <f t="shared" si="1"/>
        <v>1476659167.8444605</v>
      </c>
      <c r="I18" s="4">
        <f t="shared" si="7"/>
        <v>8139160205.9310246</v>
      </c>
      <c r="J18" s="6">
        <f t="shared" si="10"/>
        <v>0.26333125430607973</v>
      </c>
      <c r="K18" s="4">
        <f t="shared" si="2"/>
        <v>388850510.85105371</v>
      </c>
      <c r="L18" s="4">
        <f t="shared" si="3"/>
        <v>388850510.85105371</v>
      </c>
      <c r="M18" s="4">
        <f t="shared" si="4"/>
        <v>342577284.90659356</v>
      </c>
    </row>
    <row r="19" spans="2:19" x14ac:dyDescent="0.25">
      <c r="B19" s="3">
        <v>15</v>
      </c>
      <c r="C19" s="3"/>
      <c r="D19" s="13">
        <f>$C$4*0.01</f>
        <v>128841944.2</v>
      </c>
      <c r="E19" s="4">
        <f t="shared" si="8"/>
        <v>1035318.1536674818</v>
      </c>
      <c r="F19" s="30">
        <f t="shared" si="5"/>
        <v>80902.605070501304</v>
      </c>
      <c r="G19" s="4">
        <f t="shared" ref="G19" si="16">(E19*1444)+(F19*1134)</f>
        <v>1586742968.0457921</v>
      </c>
      <c r="H19" s="4">
        <f t="shared" si="1"/>
        <v>1457901023.8457921</v>
      </c>
      <c r="I19" s="4">
        <f t="shared" si="7"/>
        <v>9597061229.7768173</v>
      </c>
      <c r="J19" s="6">
        <f t="shared" si="10"/>
        <v>0.23939204936916339</v>
      </c>
      <c r="K19" s="4">
        <f t="shared" si="2"/>
        <v>349009913.87584573</v>
      </c>
      <c r="L19" s="4">
        <f t="shared" si="3"/>
        <v>349009913.87584573</v>
      </c>
      <c r="M19" s="4">
        <f t="shared" si="4"/>
        <v>304707650.96972048</v>
      </c>
    </row>
    <row r="20" spans="2:19" x14ac:dyDescent="0.25">
      <c r="B20" s="3">
        <v>16</v>
      </c>
      <c r="C20" s="3"/>
      <c r="D20" s="13">
        <f>D5+(G34*J20)</f>
        <v>709389426.83380032</v>
      </c>
      <c r="E20" s="4">
        <f t="shared" si="8"/>
        <v>1030141.5628991444</v>
      </c>
      <c r="F20" s="30">
        <f t="shared" si="5"/>
        <v>80457.640742613541</v>
      </c>
      <c r="G20" s="4">
        <f t="shared" si="6"/>
        <v>1589383790.0065134</v>
      </c>
      <c r="H20" s="4">
        <f t="shared" si="1"/>
        <v>879994363.17271304</v>
      </c>
      <c r="I20" s="4">
        <f t="shared" si="7"/>
        <v>10477055592.94953</v>
      </c>
      <c r="J20" s="6">
        <f t="shared" si="10"/>
        <v>0.21762913579014853</v>
      </c>
      <c r="K20" s="4">
        <f t="shared" si="2"/>
        <v>191512412.75747964</v>
      </c>
      <c r="L20" s="4">
        <f t="shared" si="3"/>
        <v>191512412.75747964</v>
      </c>
      <c r="M20" s="4">
        <f t="shared" si="4"/>
        <v>165696078.31610462</v>
      </c>
      <c r="N20" s="17"/>
    </row>
    <row r="21" spans="2:19" x14ac:dyDescent="0.25">
      <c r="B21" s="3">
        <v>17</v>
      </c>
      <c r="C21" s="3"/>
      <c r="D21" s="13">
        <f>$C$4*0.01</f>
        <v>128841944.2</v>
      </c>
      <c r="E21" s="4">
        <f t="shared" si="8"/>
        <v>1024990.8550846486</v>
      </c>
      <c r="F21" s="30">
        <f t="shared" si="5"/>
        <v>80015.123718529168</v>
      </c>
      <c r="G21" s="4">
        <f t="shared" ref="G21" si="17">(E21*1444)+(F21*1134)</f>
        <v>1570823945.0390446</v>
      </c>
      <c r="H21" s="4">
        <f t="shared" si="1"/>
        <v>1441982000.8390446</v>
      </c>
      <c r="I21" s="4">
        <f t="shared" si="7"/>
        <v>11919037593.788574</v>
      </c>
      <c r="J21" s="6">
        <f t="shared" si="10"/>
        <v>0.19784466890013502</v>
      </c>
      <c r="K21" s="4">
        <f t="shared" si="2"/>
        <v>285288451.51595497</v>
      </c>
      <c r="L21" s="4">
        <f t="shared" si="3"/>
        <v>285288451.51595503</v>
      </c>
      <c r="M21" s="4">
        <f t="shared" si="4"/>
        <v>244607179.58516657</v>
      </c>
    </row>
    <row r="22" spans="2:19" x14ac:dyDescent="0.25">
      <c r="B22" s="3">
        <v>18</v>
      </c>
      <c r="C22" s="3"/>
      <c r="D22" s="13">
        <f>$C$4*0.01</f>
        <v>128841944.2</v>
      </c>
      <c r="E22" s="4">
        <f t="shared" si="8"/>
        <v>1019865.9008092254</v>
      </c>
      <c r="F22" s="30">
        <f t="shared" si="5"/>
        <v>79575.040538077257</v>
      </c>
      <c r="G22" s="4">
        <f t="shared" si="6"/>
        <v>1573428362.0897274</v>
      </c>
      <c r="H22" s="4">
        <f t="shared" si="1"/>
        <v>1444586417.8897274</v>
      </c>
      <c r="I22" s="4">
        <f t="shared" si="7"/>
        <v>13363624011.678301</v>
      </c>
      <c r="J22" s="6">
        <f t="shared" si="10"/>
        <v>0.17985878990921364</v>
      </c>
      <c r="K22" s="4">
        <f t="shared" si="2"/>
        <v>259821565.04093197</v>
      </c>
      <c r="L22" s="4">
        <f t="shared" si="3"/>
        <v>259821565.040932</v>
      </c>
      <c r="M22" s="4">
        <f t="shared" si="4"/>
        <v>220764841.13841131</v>
      </c>
    </row>
    <row r="23" spans="2:19" x14ac:dyDescent="0.25">
      <c r="B23" s="3">
        <v>19</v>
      </c>
      <c r="C23" s="3"/>
      <c r="D23" s="13">
        <f>$C$4*0.01</f>
        <v>128841944.2</v>
      </c>
      <c r="E23" s="4">
        <f t="shared" si="8"/>
        <v>1014766.5713051793</v>
      </c>
      <c r="F23" s="30">
        <f t="shared" si="5"/>
        <v>79137.377815117827</v>
      </c>
      <c r="G23" s="4">
        <f t="shared" ref="G23" si="18">(E23*1444)+(F23*1134)</f>
        <v>1555064715.4070225</v>
      </c>
      <c r="H23" s="4">
        <f t="shared" si="1"/>
        <v>1426222771.2070224</v>
      </c>
      <c r="I23" s="4">
        <f t="shared" si="7"/>
        <v>14789846782.885323</v>
      </c>
      <c r="J23" s="6">
        <f t="shared" si="10"/>
        <v>0.16350799082655781</v>
      </c>
      <c r="K23" s="4">
        <f t="shared" si="2"/>
        <v>233198819.79114568</v>
      </c>
      <c r="L23" s="4">
        <f t="shared" si="3"/>
        <v>233198819.79114571</v>
      </c>
      <c r="M23" s="4">
        <f t="shared" si="4"/>
        <v>196358980.78925771</v>
      </c>
    </row>
    <row r="24" spans="2:19" x14ac:dyDescent="0.25">
      <c r="B24" s="3">
        <v>20</v>
      </c>
      <c r="C24" s="3"/>
      <c r="D24" s="13">
        <f>D23+(G40*J24)</f>
        <v>257561124.6567471</v>
      </c>
      <c r="E24" s="4">
        <f t="shared" si="8"/>
        <v>1009692.7384486534</v>
      </c>
      <c r="F24" s="30">
        <f t="shared" si="5"/>
        <v>78702.122237134681</v>
      </c>
      <c r="G24" s="4">
        <f t="shared" si="6"/>
        <v>1557633201.072068</v>
      </c>
      <c r="H24" s="4">
        <f t="shared" si="1"/>
        <v>1300072076.4153209</v>
      </c>
      <c r="I24" s="4">
        <f t="shared" si="7"/>
        <v>16089918859.300644</v>
      </c>
      <c r="J24" s="6">
        <f t="shared" si="10"/>
        <v>0.14864362802414349</v>
      </c>
      <c r="K24" s="4">
        <f t="shared" si="2"/>
        <v>193247430.13125482</v>
      </c>
      <c r="L24" s="4">
        <f t="shared" si="3"/>
        <v>193247430.13125479</v>
      </c>
      <c r="M24" s="4">
        <f t="shared" si="4"/>
        <v>161253019.13593712</v>
      </c>
    </row>
    <row r="25" spans="2:19" x14ac:dyDescent="0.25">
      <c r="B25" s="3">
        <v>21</v>
      </c>
      <c r="C25" s="3"/>
      <c r="D25" s="13">
        <f>$C$4*0.01</f>
        <v>128841944.2</v>
      </c>
      <c r="E25" s="4">
        <f t="shared" si="8"/>
        <v>1004644.2747564102</v>
      </c>
      <c r="F25" s="30">
        <f t="shared" si="5"/>
        <v>78269.260564830445</v>
      </c>
      <c r="G25" s="4">
        <f t="shared" ref="G25" si="19">(E25*1444)+(F25*1134)</f>
        <v>1539463674.2287738</v>
      </c>
      <c r="H25" s="4">
        <f t="shared" si="1"/>
        <v>1410621730.0287738</v>
      </c>
      <c r="I25" s="4">
        <f t="shared" si="7"/>
        <v>17500540589.329418</v>
      </c>
      <c r="J25" s="6">
        <f t="shared" si="10"/>
        <v>0.13513057093103953</v>
      </c>
      <c r="K25" s="4">
        <f t="shared" si="2"/>
        <v>190618119.74651891</v>
      </c>
      <c r="L25" s="4">
        <f t="shared" si="3"/>
        <v>190618119.74651888</v>
      </c>
      <c r="M25" s="4">
        <f t="shared" si="4"/>
        <v>157626058.19911742</v>
      </c>
    </row>
    <row r="26" spans="2:19" x14ac:dyDescent="0.25">
      <c r="B26" s="3">
        <v>22</v>
      </c>
      <c r="C26" s="3"/>
      <c r="D26" s="13">
        <f>$C$4*0.01</f>
        <v>128841944.2</v>
      </c>
      <c r="E26" s="4">
        <f t="shared" si="8"/>
        <v>999621.05338262813</v>
      </c>
      <c r="F26" s="30">
        <f t="shared" si="5"/>
        <v>77838.779631723883</v>
      </c>
      <c r="G26" s="4">
        <f t="shared" si="6"/>
        <v>1541996696.0982776</v>
      </c>
      <c r="H26" s="4">
        <f t="shared" si="1"/>
        <v>1413154751.8982775</v>
      </c>
      <c r="I26" s="4">
        <f t="shared" si="7"/>
        <v>18913695341.227695</v>
      </c>
      <c r="J26" s="6">
        <f t="shared" si="10"/>
        <v>0.12284597357367227</v>
      </c>
      <c r="K26" s="4">
        <f t="shared" si="2"/>
        <v>173600371.3072052</v>
      </c>
      <c r="L26" s="4">
        <f t="shared" si="3"/>
        <v>173600371.3072052</v>
      </c>
      <c r="M26" s="4">
        <f t="shared" si="4"/>
        <v>142260453.85945815</v>
      </c>
    </row>
    <row r="27" spans="2:19" x14ac:dyDescent="0.25">
      <c r="B27" s="3">
        <v>23</v>
      </c>
      <c r="C27" s="3"/>
      <c r="D27" s="13">
        <f>$C$4*0.01</f>
        <v>128841944.2</v>
      </c>
      <c r="E27" s="4">
        <f t="shared" si="8"/>
        <v>994622.94811571494</v>
      </c>
      <c r="F27" s="30">
        <f t="shared" si="5"/>
        <v>77410.666343749399</v>
      </c>
      <c r="G27" s="4">
        <f t="shared" ref="G27" si="20">(E27*1444)+(F27*1134)</f>
        <v>1524019232.712904</v>
      </c>
      <c r="H27" s="4">
        <f t="shared" si="1"/>
        <v>1395177288.5129039</v>
      </c>
      <c r="I27" s="4">
        <f t="shared" si="7"/>
        <v>20308872629.740601</v>
      </c>
      <c r="J27" s="6">
        <f t="shared" si="10"/>
        <v>0.11167815779424752</v>
      </c>
      <c r="K27" s="4">
        <f t="shared" si="2"/>
        <v>155810829.37749448</v>
      </c>
      <c r="L27" s="4">
        <f t="shared" si="3"/>
        <v>155810829.37749448</v>
      </c>
      <c r="M27" s="4">
        <f t="shared" si="4"/>
        <v>126532149.51766194</v>
      </c>
      <c r="N27" s="1"/>
      <c r="O27" s="7"/>
      <c r="R27" s="1"/>
      <c r="S27" s="7"/>
    </row>
    <row r="28" spans="2:19" x14ac:dyDescent="0.25">
      <c r="B28" s="3">
        <v>24</v>
      </c>
      <c r="C28" s="3"/>
      <c r="D28" s="13">
        <f>$C$4*0.01</f>
        <v>128841944.2</v>
      </c>
      <c r="E28" s="4">
        <f t="shared" si="8"/>
        <v>989649.83337513637</v>
      </c>
      <c r="F28" s="30">
        <f t="shared" si="5"/>
        <v>76984.907678858784</v>
      </c>
      <c r="G28" s="4">
        <f t="shared" si="6"/>
        <v>1526517252.5151322</v>
      </c>
      <c r="H28" s="4">
        <f t="shared" si="1"/>
        <v>1397675308.3151321</v>
      </c>
      <c r="I28" s="4">
        <f t="shared" si="7"/>
        <v>21706547938.055733</v>
      </c>
      <c r="J28" s="6">
        <f t="shared" si="10"/>
        <v>0.10152559799477048</v>
      </c>
      <c r="K28" s="4">
        <f t="shared" si="2"/>
        <v>141899821.47921899</v>
      </c>
      <c r="L28" s="4">
        <f t="shared" si="3"/>
        <v>141899821.47921899</v>
      </c>
      <c r="M28" s="4">
        <f t="shared" si="4"/>
        <v>114197028.14248723</v>
      </c>
    </row>
    <row r="29" spans="2:19" x14ac:dyDescent="0.25">
      <c r="B29" s="3">
        <v>25</v>
      </c>
      <c r="C29" s="3"/>
      <c r="D29" s="13">
        <f>$C$4*0.01</f>
        <v>128841944.2</v>
      </c>
      <c r="E29" s="4">
        <f t="shared" si="8"/>
        <v>984701.58420826076</v>
      </c>
      <c r="F29" s="30">
        <f>F28-F28*0.005</f>
        <v>76599.983140464494</v>
      </c>
      <c r="G29" s="4">
        <f t="shared" ref="G29" si="21">(E29*1444)+(F29*1134)</f>
        <v>1508773468.4780154</v>
      </c>
      <c r="H29" s="4">
        <f t="shared" si="1"/>
        <v>1379931524.2780154</v>
      </c>
      <c r="I29" s="4">
        <f t="shared" si="7"/>
        <v>23086479462.333748</v>
      </c>
      <c r="J29" s="6">
        <f t="shared" si="10"/>
        <v>9.2295998177064048E-2</v>
      </c>
      <c r="K29" s="4">
        <f t="shared" si="2"/>
        <v>127362157.44923691</v>
      </c>
      <c r="L29" s="4">
        <f t="shared" si="3"/>
        <v>127362157.44923693</v>
      </c>
      <c r="M29" s="4">
        <f t="shared" si="4"/>
        <v>101574119.53667039</v>
      </c>
    </row>
    <row r="30" spans="2:19" x14ac:dyDescent="0.25">
      <c r="D30" s="19">
        <f>SUM(D4:D29)</f>
        <v>17148374091.870504</v>
      </c>
      <c r="E30" s="28">
        <f>SUM(E5:E29)</f>
        <v>26166400.567506157</v>
      </c>
      <c r="F30" s="29">
        <f>SUM(F5:F29)</f>
        <v>2046654.4037540909</v>
      </c>
      <c r="G30" s="28">
        <f>SUM(G5:G29)</f>
        <v>40234853554.204224</v>
      </c>
      <c r="H30" s="17">
        <f>SUM(H4:H29)</f>
        <v>23086479462.333748</v>
      </c>
      <c r="K30" s="17">
        <f>SUM(K5:K29)</f>
        <v>13504335190.656534</v>
      </c>
      <c r="L30" s="17">
        <f>SUM(L5:L29)</f>
        <v>13504335190.656534</v>
      </c>
      <c r="M30" s="17">
        <f>SUM(M5:M29)</f>
        <v>12565680266.235785</v>
      </c>
    </row>
    <row r="31" spans="2:19" x14ac:dyDescent="0.25">
      <c r="H31" s="27"/>
      <c r="K31" s="17"/>
      <c r="L31" s="17">
        <f>L30-G49</f>
        <v>620140770.65653419</v>
      </c>
      <c r="M31" s="17">
        <f>M30-G49</f>
        <v>-318514153.76421547</v>
      </c>
    </row>
    <row r="32" spans="2:19" x14ac:dyDescent="0.25">
      <c r="B32" s="2" t="s">
        <v>5</v>
      </c>
      <c r="C32" s="2" t="s">
        <v>6</v>
      </c>
      <c r="D32" s="2" t="s">
        <v>7</v>
      </c>
      <c r="E32" s="2" t="s">
        <v>8</v>
      </c>
      <c r="F32" s="2" t="s">
        <v>21</v>
      </c>
      <c r="G32" s="2" t="s">
        <v>22</v>
      </c>
      <c r="H32" s="2" t="s">
        <v>9</v>
      </c>
      <c r="I32" s="14"/>
      <c r="J32" s="14"/>
      <c r="K32" t="s">
        <v>44</v>
      </c>
      <c r="L32" s="20">
        <f>(L31/(L31-M31))*(M4-L4) + L4</f>
        <v>0.1066066959701855</v>
      </c>
      <c r="M32" s="26"/>
    </row>
    <row r="33" spans="1:15" ht="21.75" customHeight="1" x14ac:dyDescent="0.25">
      <c r="B33" s="8">
        <v>1</v>
      </c>
      <c r="C33" s="47" t="s">
        <v>10</v>
      </c>
      <c r="D33" s="48" t="s">
        <v>25</v>
      </c>
      <c r="E33" s="39">
        <v>2350000</v>
      </c>
      <c r="F33" s="10">
        <v>3420</v>
      </c>
      <c r="G33" s="39">
        <f t="shared" ref="G33:G40" si="22">E33*F33</f>
        <v>8037000000</v>
      </c>
      <c r="H33" s="9" t="s">
        <v>26</v>
      </c>
      <c r="I33" s="15"/>
      <c r="J33" s="15"/>
      <c r="K33" t="s">
        <v>45</v>
      </c>
      <c r="L33" s="17">
        <f>K30+K4</f>
        <v>620140770.65653419</v>
      </c>
      <c r="M33" s="20"/>
      <c r="O33" s="26"/>
    </row>
    <row r="34" spans="1:15" ht="36" customHeight="1" x14ac:dyDescent="0.25">
      <c r="B34" s="8">
        <v>2</v>
      </c>
      <c r="C34" s="49" t="s">
        <v>60</v>
      </c>
      <c r="D34" s="50" t="s">
        <v>105</v>
      </c>
      <c r="E34" s="39">
        <v>7800000</v>
      </c>
      <c r="F34" s="10">
        <v>342</v>
      </c>
      <c r="G34" s="39">
        <f t="shared" si="22"/>
        <v>2667600000</v>
      </c>
      <c r="H34" s="9" t="s">
        <v>59</v>
      </c>
      <c r="I34" s="15"/>
      <c r="J34" s="15"/>
      <c r="K34" s="24" t="s">
        <v>58</v>
      </c>
      <c r="L34" s="25">
        <f>B12+(-I12/H13)</f>
        <v>8.3164673716899689</v>
      </c>
    </row>
    <row r="35" spans="1:15" ht="30" customHeight="1" x14ac:dyDescent="0.25">
      <c r="B35" s="8">
        <v>3</v>
      </c>
      <c r="C35" s="47" t="s">
        <v>12</v>
      </c>
      <c r="D35" s="51" t="s">
        <v>73</v>
      </c>
      <c r="E35" s="39">
        <v>3100000</v>
      </c>
      <c r="F35" s="10">
        <v>36</v>
      </c>
      <c r="G35" s="39">
        <f t="shared" si="22"/>
        <v>111600000</v>
      </c>
      <c r="H35" s="9" t="s">
        <v>72</v>
      </c>
      <c r="I35" s="15"/>
      <c r="J35" s="15"/>
      <c r="K35" s="24" t="s">
        <v>57</v>
      </c>
      <c r="L35" s="34">
        <f>K30/G49</f>
        <v>1.0481319010285886</v>
      </c>
    </row>
    <row r="36" spans="1:15" ht="30" x14ac:dyDescent="0.25">
      <c r="B36" s="8">
        <v>4</v>
      </c>
      <c r="C36" s="47" t="s">
        <v>13</v>
      </c>
      <c r="D36" s="51" t="s">
        <v>28</v>
      </c>
      <c r="E36" s="39">
        <v>4000</v>
      </c>
      <c r="F36" s="10">
        <v>2080</v>
      </c>
      <c r="G36" s="39">
        <f t="shared" si="22"/>
        <v>8320000</v>
      </c>
      <c r="H36" s="9" t="s">
        <v>30</v>
      </c>
      <c r="I36" s="15"/>
      <c r="J36" s="15"/>
      <c r="K36" s="15"/>
    </row>
    <row r="37" spans="1:15" ht="15.75" x14ac:dyDescent="0.25">
      <c r="B37" s="8">
        <v>5</v>
      </c>
      <c r="C37" s="47" t="s">
        <v>14</v>
      </c>
      <c r="D37" s="51" t="s">
        <v>29</v>
      </c>
      <c r="E37" s="39">
        <v>15000</v>
      </c>
      <c r="F37" s="10">
        <v>2080</v>
      </c>
      <c r="G37" s="39">
        <f t="shared" si="22"/>
        <v>31200000</v>
      </c>
      <c r="H37" s="9" t="s">
        <v>31</v>
      </c>
      <c r="I37" s="15"/>
      <c r="J37" s="15"/>
      <c r="K37" s="15"/>
    </row>
    <row r="38" spans="1:15" ht="15.75" x14ac:dyDescent="0.25">
      <c r="B38" s="8">
        <v>6</v>
      </c>
      <c r="C38" s="47" t="s">
        <v>15</v>
      </c>
      <c r="D38" s="51" t="s">
        <v>18</v>
      </c>
      <c r="E38" s="39">
        <v>13000</v>
      </c>
      <c r="F38" s="10">
        <v>2080</v>
      </c>
      <c r="G38" s="39">
        <f t="shared" si="22"/>
        <v>27040000</v>
      </c>
      <c r="H38" s="9" t="s">
        <v>32</v>
      </c>
      <c r="I38" s="15"/>
      <c r="J38" s="15"/>
      <c r="K38" s="15"/>
    </row>
    <row r="39" spans="1:15" ht="15.75" x14ac:dyDescent="0.25">
      <c r="B39" s="8">
        <v>7</v>
      </c>
      <c r="C39" s="49" t="s">
        <v>16</v>
      </c>
      <c r="D39" s="51" t="s">
        <v>19</v>
      </c>
      <c r="E39" s="39">
        <v>22000</v>
      </c>
      <c r="F39" s="10">
        <v>4160</v>
      </c>
      <c r="G39" s="39">
        <f t="shared" si="22"/>
        <v>91520000</v>
      </c>
      <c r="H39" s="9" t="s">
        <v>33</v>
      </c>
      <c r="I39" s="15"/>
      <c r="J39" s="15"/>
      <c r="K39" s="15"/>
    </row>
    <row r="40" spans="1:15" ht="21.75" customHeight="1" x14ac:dyDescent="0.25">
      <c r="B40" s="8">
        <v>8</v>
      </c>
      <c r="C40" s="52" t="s">
        <v>76</v>
      </c>
      <c r="D40" s="51" t="s">
        <v>56</v>
      </c>
      <c r="E40" s="39">
        <v>86595828</v>
      </c>
      <c r="F40" s="10">
        <v>10</v>
      </c>
      <c r="G40" s="39">
        <f t="shared" si="22"/>
        <v>865958280</v>
      </c>
      <c r="H40" s="9" t="s">
        <v>55</v>
      </c>
      <c r="I40" s="15"/>
      <c r="J40" s="15"/>
      <c r="K40" s="15"/>
    </row>
    <row r="41" spans="1:15" ht="15.75" x14ac:dyDescent="0.25">
      <c r="B41" s="8">
        <v>9</v>
      </c>
      <c r="C41" s="52" t="s">
        <v>75</v>
      </c>
      <c r="D41" s="51"/>
      <c r="E41" s="39">
        <v>238642940</v>
      </c>
      <c r="F41" s="10"/>
      <c r="G41" s="39">
        <v>238642940</v>
      </c>
      <c r="H41" s="9"/>
      <c r="I41" s="15"/>
      <c r="J41" s="15"/>
      <c r="K41" s="15"/>
    </row>
    <row r="42" spans="1:15" ht="28.5" customHeight="1" x14ac:dyDescent="0.25">
      <c r="B42" s="8">
        <v>10</v>
      </c>
      <c r="C42" s="52" t="s">
        <v>84</v>
      </c>
      <c r="D42" s="51" t="s">
        <v>85</v>
      </c>
      <c r="E42" s="39">
        <v>2500000</v>
      </c>
      <c r="F42" s="10">
        <v>3</v>
      </c>
      <c r="G42" s="39">
        <f t="shared" ref="G42:G48" si="23">E42*F42</f>
        <v>7500000</v>
      </c>
      <c r="H42" s="9" t="s">
        <v>86</v>
      </c>
      <c r="I42" s="15"/>
      <c r="J42" s="15"/>
      <c r="K42" s="15"/>
    </row>
    <row r="43" spans="1:15" ht="21" customHeight="1" x14ac:dyDescent="0.25">
      <c r="B43" s="8">
        <v>11</v>
      </c>
      <c r="C43" s="52" t="s">
        <v>82</v>
      </c>
      <c r="D43" s="51" t="s">
        <v>83</v>
      </c>
      <c r="E43" s="39">
        <v>75800</v>
      </c>
      <c r="F43" s="10">
        <v>3600</v>
      </c>
      <c r="G43" s="39">
        <f t="shared" si="23"/>
        <v>272880000</v>
      </c>
      <c r="H43" s="9" t="s">
        <v>87</v>
      </c>
      <c r="I43" s="15"/>
      <c r="J43" s="15"/>
    </row>
    <row r="44" spans="1:15" ht="21" customHeight="1" x14ac:dyDescent="0.25">
      <c r="B44" s="8">
        <v>12</v>
      </c>
      <c r="C44" s="52" t="s">
        <v>79</v>
      </c>
      <c r="D44" s="51" t="s">
        <v>80</v>
      </c>
      <c r="E44" s="39">
        <v>5200</v>
      </c>
      <c r="F44" s="10">
        <v>3420</v>
      </c>
      <c r="G44" s="39">
        <f t="shared" si="23"/>
        <v>17784000</v>
      </c>
      <c r="H44" s="9" t="s">
        <v>81</v>
      </c>
      <c r="I44" s="22"/>
      <c r="J44" s="22"/>
      <c r="N44" t="s">
        <v>51</v>
      </c>
    </row>
    <row r="45" spans="1:15" ht="28.5" customHeight="1" x14ac:dyDescent="0.25">
      <c r="B45" s="8">
        <v>13</v>
      </c>
      <c r="C45" s="52" t="s">
        <v>88</v>
      </c>
      <c r="D45" s="51" t="s">
        <v>94</v>
      </c>
      <c r="E45" s="39">
        <v>141191</v>
      </c>
      <c r="F45" s="10">
        <v>1200</v>
      </c>
      <c r="G45" s="39">
        <f t="shared" si="23"/>
        <v>169429200</v>
      </c>
      <c r="H45" s="9" t="s">
        <v>90</v>
      </c>
      <c r="I45" s="22"/>
      <c r="J45" s="22"/>
    </row>
    <row r="46" spans="1:15" ht="15.75" x14ac:dyDescent="0.25">
      <c r="A46" s="22"/>
      <c r="B46" s="8">
        <v>14</v>
      </c>
      <c r="C46" s="52" t="s">
        <v>91</v>
      </c>
      <c r="D46" s="51" t="str">
        <f>'on grid menjual'!D58</f>
        <v>Rail 2200mm</v>
      </c>
      <c r="E46" s="39">
        <f>'on grid menjual'!E58</f>
        <v>78000</v>
      </c>
      <c r="F46" s="10">
        <f>'on grid menjual'!F58</f>
        <v>3120</v>
      </c>
      <c r="G46" s="39">
        <f t="shared" si="23"/>
        <v>243360000</v>
      </c>
      <c r="H46" s="9"/>
    </row>
    <row r="47" spans="1:15" ht="15.75" x14ac:dyDescent="0.25">
      <c r="A47" s="22"/>
      <c r="B47" s="8">
        <v>15</v>
      </c>
      <c r="C47" s="52" t="s">
        <v>17</v>
      </c>
      <c r="D47" s="51" t="s">
        <v>20</v>
      </c>
      <c r="E47" s="39">
        <v>14000</v>
      </c>
      <c r="F47" s="10">
        <v>6240</v>
      </c>
      <c r="G47" s="39">
        <f t="shared" si="23"/>
        <v>87360000</v>
      </c>
      <c r="H47" s="9" t="s">
        <v>34</v>
      </c>
    </row>
    <row r="48" spans="1:15" ht="24" customHeight="1" x14ac:dyDescent="0.25">
      <c r="B48" s="8">
        <v>16</v>
      </c>
      <c r="C48" s="53" t="s">
        <v>54</v>
      </c>
      <c r="D48" s="54" t="s">
        <v>53</v>
      </c>
      <c r="E48" s="39">
        <v>7000000</v>
      </c>
      <c r="F48" s="10">
        <v>1</v>
      </c>
      <c r="G48" s="39">
        <f t="shared" si="23"/>
        <v>7000000</v>
      </c>
      <c r="H48" s="9" t="s">
        <v>52</v>
      </c>
    </row>
    <row r="49" spans="2:8" x14ac:dyDescent="0.25">
      <c r="B49" s="8"/>
      <c r="C49" s="10" t="s">
        <v>50</v>
      </c>
      <c r="D49" s="8"/>
      <c r="E49" s="39">
        <f>SUM(E33:E48)</f>
        <v>348356959</v>
      </c>
      <c r="F49" s="10"/>
      <c r="G49" s="39">
        <f>SUM(G33:G48)</f>
        <v>12884194420</v>
      </c>
      <c r="H49" s="23"/>
    </row>
    <row r="54" spans="2:8" x14ac:dyDescent="0.25">
      <c r="D54" s="19"/>
    </row>
  </sheetData>
  <hyperlinks>
    <hyperlink ref="H33" r:id="rId1" xr:uid="{00000000-0004-0000-0100-000000000000}"/>
    <hyperlink ref="H39" r:id="rId2" xr:uid="{00000000-0004-0000-0100-000001000000}"/>
    <hyperlink ref="H38" r:id="rId3" xr:uid="{00000000-0004-0000-0100-000002000000}"/>
    <hyperlink ref="H37" r:id="rId4" xr:uid="{00000000-0004-0000-0100-000003000000}"/>
    <hyperlink ref="H36" r:id="rId5" xr:uid="{00000000-0004-0000-0100-000004000000}"/>
    <hyperlink ref="H47" r:id="rId6" xr:uid="{00000000-0004-0000-0100-000005000000}"/>
    <hyperlink ref="H40" r:id="rId7" xr:uid="{00000000-0004-0000-0100-000006000000}"/>
    <hyperlink ref="H34" r:id="rId8" xr:uid="{00000000-0004-0000-0100-000007000000}"/>
  </hyperlinks>
  <pageMargins left="0.7" right="0.7" top="0.75" bottom="0.75" header="0.3" footer="0.3"/>
  <pageSetup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67"/>
  <sheetViews>
    <sheetView topLeftCell="I10" zoomScale="65" zoomScaleNormal="69" workbookViewId="0">
      <selection activeCell="L34" sqref="L34"/>
    </sheetView>
  </sheetViews>
  <sheetFormatPr defaultRowHeight="15" x14ac:dyDescent="0.25"/>
  <cols>
    <col min="3" max="3" width="29.7109375" customWidth="1"/>
    <col min="4" max="4" width="32.5703125" customWidth="1"/>
    <col min="5" max="5" width="57.7109375" customWidth="1"/>
    <col min="6" max="6" width="32.5703125" customWidth="1"/>
    <col min="7" max="7" width="29.7109375" customWidth="1"/>
    <col min="8" max="8" width="31.5703125" customWidth="1"/>
    <col min="9" max="9" width="23.7109375" customWidth="1"/>
    <col min="10" max="10" width="35" customWidth="1"/>
    <col min="11" max="12" width="19" customWidth="1"/>
    <col min="13" max="13" width="24.85546875" customWidth="1"/>
    <col min="14" max="14" width="16.85546875" customWidth="1"/>
    <col min="15" max="15" width="43.42578125" customWidth="1"/>
    <col min="16" max="16" width="22.5703125" customWidth="1"/>
    <col min="17" max="17" width="31" customWidth="1"/>
    <col min="18" max="18" width="29.7109375" customWidth="1"/>
    <col min="19" max="19" width="27.28515625" customWidth="1"/>
    <col min="20" max="20" width="21" customWidth="1"/>
    <col min="22" max="22" width="18.140625" customWidth="1"/>
    <col min="23" max="23" width="19.7109375" customWidth="1"/>
  </cols>
  <sheetData>
    <row r="2" spans="2:15" x14ac:dyDescent="0.25">
      <c r="B2" s="1" t="s">
        <v>70</v>
      </c>
      <c r="F2" t="s">
        <v>0</v>
      </c>
    </row>
    <row r="3" spans="2:15" x14ac:dyDescent="0.25">
      <c r="B3" s="2" t="s">
        <v>1</v>
      </c>
      <c r="C3" s="2" t="s">
        <v>2</v>
      </c>
      <c r="D3" s="2" t="s">
        <v>40</v>
      </c>
      <c r="E3" s="2" t="s">
        <v>109</v>
      </c>
      <c r="F3" s="2" t="s">
        <v>38</v>
      </c>
      <c r="G3" s="2" t="s">
        <v>41</v>
      </c>
      <c r="H3" s="2" t="s">
        <v>42</v>
      </c>
      <c r="I3" s="2" t="s">
        <v>3</v>
      </c>
      <c r="J3" s="2" t="s">
        <v>35</v>
      </c>
      <c r="K3" s="2" t="s">
        <v>43</v>
      </c>
      <c r="L3" s="2" t="s">
        <v>43</v>
      </c>
      <c r="M3" s="14"/>
    </row>
    <row r="4" spans="2:15" x14ac:dyDescent="0.25">
      <c r="B4" s="3" t="s">
        <v>4</v>
      </c>
      <c r="C4" s="4">
        <f>-G67</f>
        <v>-9891493200</v>
      </c>
      <c r="D4" s="13">
        <f>G67</f>
        <v>9891493200</v>
      </c>
      <c r="E4" s="4"/>
      <c r="F4" s="3"/>
      <c r="G4" s="4">
        <f>C4</f>
        <v>-9891493200</v>
      </c>
      <c r="H4" s="4">
        <f>C4</f>
        <v>-9891493200</v>
      </c>
      <c r="I4" s="3">
        <v>1</v>
      </c>
      <c r="J4" s="4">
        <f>-C4</f>
        <v>9891493200</v>
      </c>
      <c r="K4" s="18">
        <v>0.1</v>
      </c>
      <c r="L4" s="18">
        <v>0.11</v>
      </c>
      <c r="M4" s="17"/>
      <c r="N4" s="14"/>
    </row>
    <row r="5" spans="2:15" x14ac:dyDescent="0.25">
      <c r="B5" s="3">
        <v>1</v>
      </c>
      <c r="C5" s="3"/>
      <c r="D5" s="13">
        <f t="shared" ref="D5:D13" si="0">-$C$4*0.01</f>
        <v>98914932</v>
      </c>
      <c r="E5" s="16">
        <v>903027.31</v>
      </c>
      <c r="F5" s="4">
        <f>(E5*1444)</f>
        <v>1303971435.6400001</v>
      </c>
      <c r="G5" s="4">
        <f t="shared" ref="G5:G29" si="1">F5-D5</f>
        <v>1205056503.6400001</v>
      </c>
      <c r="H5" s="4">
        <f t="shared" ref="H5:H29" si="2">G5+H4</f>
        <v>-8686436696.3600006</v>
      </c>
      <c r="I5" s="6">
        <f>1/(1+0.1)^B5</f>
        <v>0.90909090909090906</v>
      </c>
      <c r="J5" s="13">
        <f t="shared" ref="J5:J29" si="3">G5*I5</f>
        <v>1095505912.4000001</v>
      </c>
      <c r="K5" s="13">
        <f t="shared" ref="K5:K29" si="4">G5/(1+$K$4)^B5</f>
        <v>1095505912.4000001</v>
      </c>
      <c r="L5" s="4">
        <f t="shared" ref="L5:L29" si="5">G5/(1+$L$4)^B5</f>
        <v>1085636489.7657657</v>
      </c>
      <c r="M5" s="17"/>
      <c r="N5" s="17"/>
    </row>
    <row r="6" spans="2:15" x14ac:dyDescent="0.25">
      <c r="B6" s="3">
        <v>2</v>
      </c>
      <c r="C6" s="3"/>
      <c r="D6" s="13">
        <f t="shared" si="0"/>
        <v>98914932</v>
      </c>
      <c r="E6" s="4">
        <f>$E$5*(1-0.005)^B6</f>
        <v>894019.61258275015</v>
      </c>
      <c r="F6" s="4">
        <f t="shared" ref="F6:F29" si="6">(E6*1444)</f>
        <v>1290964320.5694911</v>
      </c>
      <c r="G6" s="4">
        <f t="shared" si="1"/>
        <v>1192049388.5694911</v>
      </c>
      <c r="H6" s="4">
        <f t="shared" si="2"/>
        <v>-7494387307.7905092</v>
      </c>
      <c r="I6" s="6">
        <f>1/(1+0.1)^B6</f>
        <v>0.82644628099173545</v>
      </c>
      <c r="J6" s="13">
        <f t="shared" si="3"/>
        <v>985164783.94172812</v>
      </c>
      <c r="K6" s="13">
        <f t="shared" si="4"/>
        <v>985164783.94172812</v>
      </c>
      <c r="L6" s="4">
        <f t="shared" si="5"/>
        <v>967494025.29785812</v>
      </c>
      <c r="M6" s="17"/>
      <c r="N6" s="17"/>
    </row>
    <row r="7" spans="2:15" x14ac:dyDescent="0.25">
      <c r="B7" s="3">
        <v>3</v>
      </c>
      <c r="C7" s="3"/>
      <c r="D7" s="13">
        <f t="shared" si="0"/>
        <v>98914932</v>
      </c>
      <c r="E7" s="4">
        <f t="shared" ref="E7:E28" si="7">$E$5*(1-0.005)^B7</f>
        <v>889549.51451983629</v>
      </c>
      <c r="F7" s="4">
        <f t="shared" si="6"/>
        <v>1284509498.9666436</v>
      </c>
      <c r="G7" s="4">
        <f t="shared" si="1"/>
        <v>1185594566.9666436</v>
      </c>
      <c r="H7" s="4">
        <f t="shared" si="2"/>
        <v>-6308792740.8238659</v>
      </c>
      <c r="I7" s="6">
        <f t="shared" ref="I7:I28" si="8">1/(1+0.1)^B7</f>
        <v>0.75131480090157754</v>
      </c>
      <c r="J7" s="13">
        <f t="shared" si="3"/>
        <v>890754746.03053582</v>
      </c>
      <c r="K7" s="13">
        <f t="shared" si="4"/>
        <v>890754746.03053582</v>
      </c>
      <c r="L7" s="4">
        <f t="shared" si="5"/>
        <v>866896529.08324206</v>
      </c>
      <c r="M7" s="17"/>
      <c r="N7" s="17"/>
    </row>
    <row r="8" spans="2:15" x14ac:dyDescent="0.25">
      <c r="B8" s="3">
        <v>4</v>
      </c>
      <c r="C8" s="3"/>
      <c r="D8" s="13">
        <f t="shared" si="0"/>
        <v>98914932</v>
      </c>
      <c r="E8" s="4">
        <f t="shared" si="7"/>
        <v>885101.76694723719</v>
      </c>
      <c r="F8" s="4">
        <f t="shared" si="6"/>
        <v>1278086951.4718106</v>
      </c>
      <c r="G8" s="4">
        <f t="shared" si="1"/>
        <v>1179172019.4718106</v>
      </c>
      <c r="H8" s="4">
        <f t="shared" si="2"/>
        <v>-5129620721.3520555</v>
      </c>
      <c r="I8" s="6">
        <f t="shared" si="8"/>
        <v>0.68301345536507052</v>
      </c>
      <c r="J8" s="13">
        <f t="shared" si="3"/>
        <v>805390355.48924959</v>
      </c>
      <c r="K8" s="13">
        <f t="shared" si="4"/>
        <v>805390355.48924959</v>
      </c>
      <c r="L8" s="4">
        <f t="shared" si="5"/>
        <v>776757133.07119286</v>
      </c>
      <c r="M8" s="17"/>
      <c r="N8" s="17"/>
    </row>
    <row r="9" spans="2:15" x14ac:dyDescent="0.25">
      <c r="B9" s="3">
        <v>5</v>
      </c>
      <c r="C9" s="3"/>
      <c r="D9" s="13">
        <f t="shared" si="0"/>
        <v>98914932</v>
      </c>
      <c r="E9" s="4">
        <f t="shared" si="7"/>
        <v>880676.258112501</v>
      </c>
      <c r="F9" s="4">
        <f t="shared" si="6"/>
        <v>1271696516.7144516</v>
      </c>
      <c r="G9" s="4">
        <f t="shared" si="1"/>
        <v>1172781584.7144516</v>
      </c>
      <c r="H9" s="4">
        <f t="shared" si="2"/>
        <v>-3956839136.6376038</v>
      </c>
      <c r="I9" s="6">
        <f t="shared" si="8"/>
        <v>0.62092132305915493</v>
      </c>
      <c r="J9" s="13">
        <f t="shared" si="3"/>
        <v>728205093.2403096</v>
      </c>
      <c r="K9" s="13">
        <f t="shared" si="4"/>
        <v>728205093.24030972</v>
      </c>
      <c r="L9" s="4">
        <f t="shared" si="5"/>
        <v>695988788.9714123</v>
      </c>
      <c r="M9" s="17"/>
      <c r="N9" s="17"/>
      <c r="O9" s="17"/>
    </row>
    <row r="10" spans="2:15" x14ac:dyDescent="0.25">
      <c r="B10" s="3">
        <v>6</v>
      </c>
      <c r="C10" s="3"/>
      <c r="D10" s="13">
        <f t="shared" si="0"/>
        <v>98914932</v>
      </c>
      <c r="E10" s="4">
        <f t="shared" si="7"/>
        <v>876272.87682193855</v>
      </c>
      <c r="F10" s="4">
        <f t="shared" si="6"/>
        <v>1265338034.1308792</v>
      </c>
      <c r="G10" s="4">
        <f t="shared" si="1"/>
        <v>1166423102.1308792</v>
      </c>
      <c r="H10" s="4">
        <f t="shared" si="2"/>
        <v>-2790416034.5067244</v>
      </c>
      <c r="I10" s="6">
        <f t="shared" si="8"/>
        <v>0.56447393005377722</v>
      </c>
      <c r="J10" s="13">
        <f t="shared" si="3"/>
        <v>658415432.56533575</v>
      </c>
      <c r="K10" s="13">
        <f t="shared" si="4"/>
        <v>658415432.56533563</v>
      </c>
      <c r="L10" s="4">
        <f t="shared" si="5"/>
        <v>623617422.55653512</v>
      </c>
      <c r="M10" s="17"/>
      <c r="N10" s="17"/>
    </row>
    <row r="11" spans="2:15" x14ac:dyDescent="0.25">
      <c r="B11" s="3">
        <v>7</v>
      </c>
      <c r="C11" s="3"/>
      <c r="D11" s="13">
        <f t="shared" si="0"/>
        <v>98914932</v>
      </c>
      <c r="E11" s="4">
        <f t="shared" si="7"/>
        <v>871891.51243782882</v>
      </c>
      <c r="F11" s="4">
        <f t="shared" si="6"/>
        <v>1259011343.9602249</v>
      </c>
      <c r="G11" s="4">
        <f t="shared" si="1"/>
        <v>1160096411.9602249</v>
      </c>
      <c r="H11" s="4">
        <f t="shared" si="2"/>
        <v>-1630319622.5464995</v>
      </c>
      <c r="I11" s="6">
        <f t="shared" si="8"/>
        <v>0.51315811823070645</v>
      </c>
      <c r="J11" s="13">
        <f t="shared" si="3"/>
        <v>595312891.72770345</v>
      </c>
      <c r="K11" s="13">
        <f t="shared" si="4"/>
        <v>595312891.72770345</v>
      </c>
      <c r="L11" s="4">
        <f t="shared" si="5"/>
        <v>558770194.26488447</v>
      </c>
      <c r="M11" s="17"/>
      <c r="N11" s="17"/>
    </row>
    <row r="12" spans="2:15" x14ac:dyDescent="0.25">
      <c r="B12" s="3">
        <v>8</v>
      </c>
      <c r="C12" s="3"/>
      <c r="D12" s="13">
        <f t="shared" si="0"/>
        <v>98914932</v>
      </c>
      <c r="E12" s="4">
        <f t="shared" si="7"/>
        <v>867532.05487563962</v>
      </c>
      <c r="F12" s="4">
        <f t="shared" si="6"/>
        <v>1252716287.2404237</v>
      </c>
      <c r="G12" s="4">
        <f t="shared" si="1"/>
        <v>1153801355.2404237</v>
      </c>
      <c r="H12" s="4">
        <f t="shared" si="2"/>
        <v>-476518267.30607581</v>
      </c>
      <c r="I12" s="6">
        <f t="shared" si="8"/>
        <v>0.46650738020973315</v>
      </c>
      <c r="J12" s="13">
        <f t="shared" si="3"/>
        <v>538256847.51564968</v>
      </c>
      <c r="K12" s="13">
        <f t="shared" si="4"/>
        <v>538256847.5156498</v>
      </c>
      <c r="L12" s="4">
        <f t="shared" si="5"/>
        <v>500664979.50338507</v>
      </c>
      <c r="M12" s="17"/>
      <c r="N12" s="17"/>
    </row>
    <row r="13" spans="2:15" x14ac:dyDescent="0.25">
      <c r="B13" s="3">
        <v>9</v>
      </c>
      <c r="C13" s="3"/>
      <c r="D13" s="13">
        <f t="shared" si="0"/>
        <v>98914932</v>
      </c>
      <c r="E13" s="4">
        <f t="shared" si="7"/>
        <v>863194.39460126148</v>
      </c>
      <c r="F13" s="4">
        <f t="shared" si="6"/>
        <v>1246452705.8042216</v>
      </c>
      <c r="G13" s="4">
        <f t="shared" si="1"/>
        <v>1147537773.8042216</v>
      </c>
      <c r="H13" s="4">
        <f t="shared" si="2"/>
        <v>671019506.49814582</v>
      </c>
      <c r="I13" s="6">
        <f t="shared" si="8"/>
        <v>0.42409761837248466</v>
      </c>
      <c r="J13" s="13">
        <f t="shared" si="3"/>
        <v>486668036.86283344</v>
      </c>
      <c r="K13" s="13">
        <f t="shared" si="4"/>
        <v>486668036.86283338</v>
      </c>
      <c r="L13" s="4">
        <f t="shared" si="5"/>
        <v>448600941.94278967</v>
      </c>
      <c r="M13" s="17"/>
      <c r="N13" s="17"/>
    </row>
    <row r="14" spans="2:15" x14ac:dyDescent="0.25">
      <c r="B14" s="3">
        <v>10</v>
      </c>
      <c r="C14" s="3"/>
      <c r="D14" s="13">
        <f>D13+(G54*I14)</f>
        <v>402144729.13632649</v>
      </c>
      <c r="E14" s="4">
        <f t="shared" si="7"/>
        <v>858878.42262825521</v>
      </c>
      <c r="F14" s="4">
        <f t="shared" si="6"/>
        <v>1240220442.2752006</v>
      </c>
      <c r="G14" s="4">
        <f t="shared" si="1"/>
        <v>838075713.13887405</v>
      </c>
      <c r="H14" s="4">
        <f t="shared" si="2"/>
        <v>1509095219.6370199</v>
      </c>
      <c r="I14" s="6">
        <f t="shared" si="8"/>
        <v>0.38554328942953148</v>
      </c>
      <c r="J14" s="13">
        <f t="shared" si="3"/>
        <v>323114467.23456192</v>
      </c>
      <c r="K14" s="13">
        <f t="shared" si="4"/>
        <v>323114467.23456192</v>
      </c>
      <c r="L14" s="4">
        <f t="shared" si="5"/>
        <v>295157258.20535403</v>
      </c>
      <c r="M14" s="17"/>
      <c r="N14" s="17"/>
      <c r="O14" s="17"/>
    </row>
    <row r="15" spans="2:15" x14ac:dyDescent="0.25">
      <c r="B15" s="3">
        <v>11</v>
      </c>
      <c r="C15" s="3"/>
      <c r="D15" s="13">
        <f t="shared" ref="D15:D23" si="9">-$C$4*0.01</f>
        <v>98914932</v>
      </c>
      <c r="E15" s="4">
        <f t="shared" si="7"/>
        <v>854584.03051511385</v>
      </c>
      <c r="F15" s="4">
        <f t="shared" si="6"/>
        <v>1234019340.0638244</v>
      </c>
      <c r="G15" s="4">
        <f t="shared" si="1"/>
        <v>1135104408.0638244</v>
      </c>
      <c r="H15" s="4">
        <f t="shared" si="2"/>
        <v>2644199627.7008443</v>
      </c>
      <c r="I15" s="6">
        <f t="shared" si="8"/>
        <v>0.3504938994813922</v>
      </c>
      <c r="J15" s="13">
        <f t="shared" si="3"/>
        <v>397847170.3008073</v>
      </c>
      <c r="K15" s="13">
        <f t="shared" si="4"/>
        <v>397847170.30080724</v>
      </c>
      <c r="L15" s="4">
        <f t="shared" si="5"/>
        <v>360149688.56626827</v>
      </c>
      <c r="M15" s="17"/>
      <c r="N15" s="17"/>
    </row>
    <row r="16" spans="2:15" x14ac:dyDescent="0.25">
      <c r="B16" s="3">
        <v>12</v>
      </c>
      <c r="C16" s="3"/>
      <c r="D16" s="13">
        <f t="shared" si="9"/>
        <v>98914932</v>
      </c>
      <c r="E16" s="4">
        <f t="shared" si="7"/>
        <v>850311.11036253837</v>
      </c>
      <c r="F16" s="4">
        <f t="shared" si="6"/>
        <v>1227849243.3635054</v>
      </c>
      <c r="G16" s="4">
        <f t="shared" si="1"/>
        <v>1128934311.3635054</v>
      </c>
      <c r="H16" s="4">
        <f t="shared" si="2"/>
        <v>3773133939.0643497</v>
      </c>
      <c r="I16" s="6">
        <f t="shared" si="8"/>
        <v>0.31863081771035656</v>
      </c>
      <c r="J16" s="13">
        <f t="shared" si="3"/>
        <v>359713262.77103198</v>
      </c>
      <c r="K16" s="13">
        <f t="shared" si="4"/>
        <v>359713262.77103198</v>
      </c>
      <c r="L16" s="4">
        <f t="shared" si="5"/>
        <v>322695513.36593443</v>
      </c>
      <c r="M16" s="17"/>
      <c r="N16" s="17"/>
    </row>
    <row r="17" spans="2:16" x14ac:dyDescent="0.25">
      <c r="B17" s="3">
        <v>13</v>
      </c>
      <c r="C17" s="3"/>
      <c r="D17" s="13">
        <f t="shared" si="9"/>
        <v>98914932</v>
      </c>
      <c r="E17" s="4">
        <f t="shared" si="7"/>
        <v>846059.55481072573</v>
      </c>
      <c r="F17" s="4">
        <f t="shared" si="6"/>
        <v>1221709997.146688</v>
      </c>
      <c r="G17" s="4">
        <f t="shared" si="1"/>
        <v>1122795065.146688</v>
      </c>
      <c r="H17" s="4">
        <f t="shared" si="2"/>
        <v>4895929004.2110376</v>
      </c>
      <c r="I17" s="6">
        <f t="shared" si="8"/>
        <v>0.28966437973668779</v>
      </c>
      <c r="J17" s="13">
        <f t="shared" si="3"/>
        <v>325233736.11712933</v>
      </c>
      <c r="K17" s="13">
        <f t="shared" si="4"/>
        <v>325233736.11712933</v>
      </c>
      <c r="L17" s="4">
        <f t="shared" si="5"/>
        <v>289135735.28914589</v>
      </c>
      <c r="M17" s="17"/>
      <c r="N17" s="17"/>
    </row>
    <row r="18" spans="2:16" x14ac:dyDescent="0.25">
      <c r="B18" s="3">
        <v>14</v>
      </c>
      <c r="C18" s="3"/>
      <c r="D18" s="13">
        <f t="shared" si="9"/>
        <v>98914932</v>
      </c>
      <c r="E18" s="4">
        <f t="shared" si="7"/>
        <v>841829.25703667209</v>
      </c>
      <c r="F18" s="4">
        <f t="shared" si="6"/>
        <v>1215601447.1609545</v>
      </c>
      <c r="G18" s="4">
        <f t="shared" si="1"/>
        <v>1116686515.1609545</v>
      </c>
      <c r="H18" s="4">
        <f t="shared" si="2"/>
        <v>6012615519.3719921</v>
      </c>
      <c r="I18" s="6">
        <f t="shared" si="8"/>
        <v>0.26333125430607973</v>
      </c>
      <c r="J18" s="13">
        <f t="shared" si="3"/>
        <v>294058460.70401925</v>
      </c>
      <c r="K18" s="13">
        <f t="shared" si="4"/>
        <v>294058460.70401925</v>
      </c>
      <c r="L18" s="4">
        <f t="shared" si="5"/>
        <v>259065492.42102447</v>
      </c>
      <c r="M18" s="17"/>
      <c r="N18" s="17"/>
    </row>
    <row r="19" spans="2:16" x14ac:dyDescent="0.25">
      <c r="B19" s="3">
        <v>15</v>
      </c>
      <c r="C19" s="3"/>
      <c r="D19" s="13">
        <f t="shared" si="9"/>
        <v>98914932</v>
      </c>
      <c r="E19" s="4">
        <f t="shared" si="7"/>
        <v>837620.11075148871</v>
      </c>
      <c r="F19" s="4">
        <f t="shared" si="6"/>
        <v>1209523439.9251497</v>
      </c>
      <c r="G19" s="4">
        <f t="shared" si="1"/>
        <v>1110608507.9251497</v>
      </c>
      <c r="H19" s="4">
        <f t="shared" si="2"/>
        <v>7123224027.297142</v>
      </c>
      <c r="I19" s="6">
        <f t="shared" si="8"/>
        <v>0.23939204936916339</v>
      </c>
      <c r="J19" s="13">
        <f t="shared" si="3"/>
        <v>265870846.75903031</v>
      </c>
      <c r="K19" s="13">
        <f t="shared" si="4"/>
        <v>265870846.75903034</v>
      </c>
      <c r="L19" s="4">
        <f t="shared" si="5"/>
        <v>232122005.5831812</v>
      </c>
      <c r="M19" s="17"/>
      <c r="N19" s="17"/>
    </row>
    <row r="20" spans="2:16" x14ac:dyDescent="0.25">
      <c r="B20" s="3">
        <v>16</v>
      </c>
      <c r="C20" s="3"/>
      <c r="D20" s="13">
        <f t="shared" si="9"/>
        <v>98914932</v>
      </c>
      <c r="E20" s="4">
        <f t="shared" si="7"/>
        <v>833432.0101977312</v>
      </c>
      <c r="F20" s="4">
        <f t="shared" si="6"/>
        <v>1203475822.7255239</v>
      </c>
      <c r="G20" s="4">
        <f t="shared" si="1"/>
        <v>1104560890.7255239</v>
      </c>
      <c r="H20" s="4">
        <f t="shared" si="2"/>
        <v>8227784918.022666</v>
      </c>
      <c r="I20" s="6">
        <f t="shared" si="8"/>
        <v>0.21762913579014853</v>
      </c>
      <c r="J20" s="13">
        <f t="shared" si="3"/>
        <v>240384632.07619247</v>
      </c>
      <c r="K20" s="13">
        <f t="shared" si="4"/>
        <v>240384632.07619247</v>
      </c>
      <c r="L20" s="4">
        <f t="shared" si="5"/>
        <v>207980204.77620012</v>
      </c>
      <c r="M20" s="17"/>
      <c r="N20" s="17"/>
    </row>
    <row r="21" spans="2:16" x14ac:dyDescent="0.25">
      <c r="B21" s="3">
        <v>17</v>
      </c>
      <c r="C21" s="3"/>
      <c r="D21" s="13">
        <f t="shared" si="9"/>
        <v>98914932</v>
      </c>
      <c r="E21" s="4">
        <f t="shared" si="7"/>
        <v>829264.85014674254</v>
      </c>
      <c r="F21" s="4">
        <f t="shared" si="6"/>
        <v>1197458443.6118963</v>
      </c>
      <c r="G21" s="4">
        <f t="shared" si="1"/>
        <v>1098543511.6118963</v>
      </c>
      <c r="H21" s="4">
        <f t="shared" si="2"/>
        <v>9326328429.6345615</v>
      </c>
      <c r="I21" s="6">
        <f t="shared" si="8"/>
        <v>0.19784466890013502</v>
      </c>
      <c r="J21" s="13">
        <f t="shared" si="3"/>
        <v>217340977.32724726</v>
      </c>
      <c r="K21" s="13">
        <f t="shared" si="4"/>
        <v>217340977.32724726</v>
      </c>
      <c r="L21" s="4">
        <f t="shared" si="5"/>
        <v>186348810.08959588</v>
      </c>
      <c r="M21" s="17"/>
      <c r="N21" s="17"/>
    </row>
    <row r="22" spans="2:16" x14ac:dyDescent="0.25">
      <c r="B22" s="3">
        <v>18</v>
      </c>
      <c r="C22" s="3"/>
      <c r="D22" s="13">
        <f t="shared" si="9"/>
        <v>98914932</v>
      </c>
      <c r="E22" s="4">
        <f t="shared" si="7"/>
        <v>825118.52589600882</v>
      </c>
      <c r="F22" s="4">
        <f t="shared" si="6"/>
        <v>1191471151.3938367</v>
      </c>
      <c r="G22" s="4">
        <f t="shared" si="1"/>
        <v>1092556219.3938367</v>
      </c>
      <c r="H22" s="4">
        <f t="shared" si="2"/>
        <v>10418884649.028399</v>
      </c>
      <c r="I22" s="6">
        <f t="shared" si="8"/>
        <v>0.17985878990921364</v>
      </c>
      <c r="J22" s="13">
        <f t="shared" si="3"/>
        <v>196505839.52796081</v>
      </c>
      <c r="K22" s="13">
        <f t="shared" si="4"/>
        <v>196505839.52796081</v>
      </c>
      <c r="L22" s="4">
        <f t="shared" si="5"/>
        <v>166966819.86087695</v>
      </c>
      <c r="M22" s="17"/>
      <c r="N22" s="17"/>
    </row>
    <row r="23" spans="2:16" x14ac:dyDescent="0.25">
      <c r="B23" s="3">
        <v>19</v>
      </c>
      <c r="C23" s="3"/>
      <c r="D23" s="13">
        <f t="shared" si="9"/>
        <v>98914932</v>
      </c>
      <c r="E23" s="4">
        <f t="shared" si="7"/>
        <v>820992.93326652877</v>
      </c>
      <c r="F23" s="4">
        <f t="shared" si="6"/>
        <v>1185513795.6368675</v>
      </c>
      <c r="G23" s="4">
        <f t="shared" si="1"/>
        <v>1086598863.6368675</v>
      </c>
      <c r="H23" s="4">
        <f t="shared" si="2"/>
        <v>11505483512.665266</v>
      </c>
      <c r="I23" s="6">
        <f t="shared" si="8"/>
        <v>0.16350799082655781</v>
      </c>
      <c r="J23" s="13">
        <f t="shared" si="3"/>
        <v>177667597.02768508</v>
      </c>
      <c r="K23" s="13">
        <f t="shared" si="4"/>
        <v>177667597.02768511</v>
      </c>
      <c r="L23" s="4">
        <f t="shared" si="5"/>
        <v>149600363.77061203</v>
      </c>
      <c r="M23" s="17"/>
      <c r="N23" s="17"/>
    </row>
    <row r="24" spans="2:16" x14ac:dyDescent="0.25">
      <c r="B24" s="3">
        <v>20</v>
      </c>
      <c r="C24" s="3"/>
      <c r="D24" s="13">
        <f>D23+(G54*I24)</f>
        <v>215823145.44098884</v>
      </c>
      <c r="E24" s="4">
        <f t="shared" si="7"/>
        <v>816887.96860019618</v>
      </c>
      <c r="F24" s="4">
        <f t="shared" si="6"/>
        <v>1179586226.6586833</v>
      </c>
      <c r="G24" s="4">
        <f t="shared" si="1"/>
        <v>963763081.21769452</v>
      </c>
      <c r="H24" s="4">
        <f t="shared" si="2"/>
        <v>12469246593.882961</v>
      </c>
      <c r="I24" s="6">
        <f t="shared" si="8"/>
        <v>0.14864362802414349</v>
      </c>
      <c r="J24" s="13">
        <f t="shared" si="3"/>
        <v>143257240.94792539</v>
      </c>
      <c r="K24" s="13">
        <f t="shared" si="4"/>
        <v>143257240.94792536</v>
      </c>
      <c r="L24" s="4">
        <f t="shared" si="5"/>
        <v>119539300.47218356</v>
      </c>
      <c r="M24" s="17"/>
      <c r="N24" s="17"/>
    </row>
    <row r="25" spans="2:16" x14ac:dyDescent="0.25">
      <c r="B25" s="3">
        <v>21</v>
      </c>
      <c r="C25" s="3"/>
      <c r="D25" s="13">
        <f>-$C$4*0.01</f>
        <v>98914932</v>
      </c>
      <c r="E25" s="4">
        <f t="shared" si="7"/>
        <v>812803.52875719522</v>
      </c>
      <c r="F25" s="4">
        <f t="shared" si="6"/>
        <v>1173688295.5253899</v>
      </c>
      <c r="G25" s="4">
        <f t="shared" si="1"/>
        <v>1074773363.5253899</v>
      </c>
      <c r="H25" s="4">
        <f t="shared" si="2"/>
        <v>13544019957.408352</v>
      </c>
      <c r="I25" s="6">
        <f t="shared" si="8"/>
        <v>0.13513057093103953</v>
      </c>
      <c r="J25" s="13">
        <f t="shared" si="3"/>
        <v>145234738.23465964</v>
      </c>
      <c r="K25" s="13">
        <f t="shared" si="4"/>
        <v>145234738.23465961</v>
      </c>
      <c r="L25" s="4">
        <f t="shared" si="5"/>
        <v>120097603.16570383</v>
      </c>
      <c r="M25" s="17"/>
      <c r="N25" s="17"/>
    </row>
    <row r="26" spans="2:16" x14ac:dyDescent="0.25">
      <c r="B26" s="3">
        <v>22</v>
      </c>
      <c r="C26" s="3"/>
      <c r="D26" s="13">
        <f>-$C$4*0.01</f>
        <v>98914932</v>
      </c>
      <c r="E26" s="4">
        <f t="shared" si="7"/>
        <v>808739.5111134093</v>
      </c>
      <c r="F26" s="4">
        <f t="shared" si="6"/>
        <v>1167819854.0477631</v>
      </c>
      <c r="G26" s="4">
        <f t="shared" si="1"/>
        <v>1068904922.0477631</v>
      </c>
      <c r="H26" s="4">
        <f t="shared" si="2"/>
        <v>14612924879.456116</v>
      </c>
      <c r="I26" s="6">
        <f t="shared" si="8"/>
        <v>0.12284597357367227</v>
      </c>
      <c r="J26" s="13">
        <f t="shared" si="3"/>
        <v>131310665.80664773</v>
      </c>
      <c r="K26" s="13">
        <f t="shared" si="4"/>
        <v>131310665.80664773</v>
      </c>
      <c r="L26" s="4">
        <f t="shared" si="5"/>
        <v>107605270.50477582</v>
      </c>
      <c r="M26" s="17"/>
      <c r="N26" s="17"/>
    </row>
    <row r="27" spans="2:16" x14ac:dyDescent="0.25">
      <c r="B27" s="3">
        <v>23</v>
      </c>
      <c r="C27" s="3"/>
      <c r="D27" s="13">
        <f>-$C$4*0.01</f>
        <v>98914932</v>
      </c>
      <c r="E27" s="4">
        <f t="shared" si="7"/>
        <v>804695.81355784216</v>
      </c>
      <c r="F27" s="4">
        <f t="shared" si="6"/>
        <v>1161980754.777524</v>
      </c>
      <c r="G27" s="4">
        <f t="shared" si="1"/>
        <v>1063065822.777524</v>
      </c>
      <c r="H27" s="4">
        <f t="shared" si="2"/>
        <v>15675990702.233639</v>
      </c>
      <c r="I27" s="6">
        <f t="shared" si="8"/>
        <v>0.11167815779424752</v>
      </c>
      <c r="J27" s="13">
        <f t="shared" si="3"/>
        <v>118721232.70181988</v>
      </c>
      <c r="K27" s="13">
        <f t="shared" si="4"/>
        <v>118721232.70181988</v>
      </c>
      <c r="L27" s="4">
        <f t="shared" si="5"/>
        <v>96412122.489591315</v>
      </c>
      <c r="M27" s="17"/>
      <c r="N27" s="17"/>
      <c r="O27" s="1"/>
      <c r="P27" s="7"/>
    </row>
    <row r="28" spans="2:16" x14ac:dyDescent="0.25">
      <c r="B28" s="3">
        <v>24</v>
      </c>
      <c r="C28" s="3"/>
      <c r="D28" s="13">
        <f>-$C$4*0.01</f>
        <v>98914932</v>
      </c>
      <c r="E28" s="4">
        <f t="shared" si="7"/>
        <v>800672.33449005301</v>
      </c>
      <c r="F28" s="4">
        <f t="shared" si="6"/>
        <v>1156170851.0036366</v>
      </c>
      <c r="G28" s="4">
        <f t="shared" si="1"/>
        <v>1057255919.0036366</v>
      </c>
      <c r="H28" s="4">
        <f t="shared" si="2"/>
        <v>16733246621.237276</v>
      </c>
      <c r="I28" s="6">
        <f t="shared" si="8"/>
        <v>0.10152559799477048</v>
      </c>
      <c r="J28" s="13">
        <f t="shared" si="3"/>
        <v>107338539.41035484</v>
      </c>
      <c r="K28" s="13">
        <f t="shared" si="4"/>
        <v>107338539.41035482</v>
      </c>
      <c r="L28" s="4">
        <f t="shared" si="5"/>
        <v>86383069.957652435</v>
      </c>
      <c r="M28" s="17"/>
      <c r="N28" s="17"/>
    </row>
    <row r="29" spans="2:16" x14ac:dyDescent="0.25">
      <c r="B29" s="3">
        <v>25</v>
      </c>
      <c r="C29" s="3"/>
      <c r="D29" s="13">
        <f>-$C$4*0.01</f>
        <v>98914932</v>
      </c>
      <c r="E29" s="4">
        <f>$E$5*(1-0.005)^B29</f>
        <v>796668.9728176028</v>
      </c>
      <c r="F29" s="4">
        <f t="shared" si="6"/>
        <v>1150389996.7486184</v>
      </c>
      <c r="G29" s="4">
        <f t="shared" si="1"/>
        <v>1051475064.7486184</v>
      </c>
      <c r="H29" s="4">
        <f t="shared" si="2"/>
        <v>17784721685.985893</v>
      </c>
      <c r="I29" s="6">
        <f>1/(1+0.1)^B29</f>
        <v>9.2295998177064048E-2</v>
      </c>
      <c r="J29" s="13">
        <f t="shared" si="3"/>
        <v>97046940.659266785</v>
      </c>
      <c r="K29" s="13">
        <f t="shared" si="4"/>
        <v>97046940.659266785</v>
      </c>
      <c r="L29" s="4">
        <f t="shared" si="5"/>
        <v>77397067.925152227</v>
      </c>
      <c r="M29" s="17"/>
      <c r="N29" s="17"/>
    </row>
    <row r="30" spans="2:16" x14ac:dyDescent="0.25">
      <c r="D30" s="19">
        <f>SUM(D4:D29)</f>
        <v>12784504510.577314</v>
      </c>
      <c r="F30" s="17">
        <f>SUM(F4:F29)</f>
        <v>30569226196.56321</v>
      </c>
      <c r="G30" s="17">
        <f>SUM(G4:G29)</f>
        <v>17784721685.985893</v>
      </c>
      <c r="J30" s="19">
        <f>SUM(J5:J29)</f>
        <v>10324320447.379686</v>
      </c>
      <c r="K30" s="19">
        <f>SUM(K5:K29)</f>
        <v>10324320447.379688</v>
      </c>
      <c r="L30" s="17">
        <f>SUM(L5:L29)</f>
        <v>9601082830.9003201</v>
      </c>
      <c r="N30" s="17"/>
    </row>
    <row r="31" spans="2:16" x14ac:dyDescent="0.25">
      <c r="J31" s="17">
        <f>J30-J4</f>
        <v>432827247.37968636</v>
      </c>
      <c r="K31" s="19">
        <f>K30-G67</f>
        <v>432827247.37968826</v>
      </c>
      <c r="L31" s="17">
        <f>L30-G67</f>
        <v>-290410369.09967995</v>
      </c>
      <c r="M31" s="17"/>
    </row>
    <row r="32" spans="2:16" x14ac:dyDescent="0.25">
      <c r="N32" s="14"/>
    </row>
    <row r="33" spans="11:16" x14ac:dyDescent="0.25">
      <c r="K33" t="s">
        <v>46</v>
      </c>
      <c r="L33" s="20">
        <f>K31/(K31-L31)*(L4-K4)+K4</f>
        <v>0.1059845787541671</v>
      </c>
      <c r="N33" s="15"/>
      <c r="O33" s="14"/>
      <c r="P33" s="15"/>
    </row>
    <row r="34" spans="11:16" x14ac:dyDescent="0.25">
      <c r="K34" t="s">
        <v>47</v>
      </c>
      <c r="L34" s="19">
        <f>SUM(J5:J29) - J4</f>
        <v>432827247.37968636</v>
      </c>
      <c r="N34" s="15"/>
      <c r="O34" s="15"/>
      <c r="P34" s="15"/>
    </row>
    <row r="35" spans="11:16" x14ac:dyDescent="0.25">
      <c r="K35" t="s">
        <v>48</v>
      </c>
      <c r="L35" s="21">
        <f>B12+(-H12/G13)</f>
        <v>8.4152527944473334</v>
      </c>
      <c r="N35" s="15"/>
      <c r="O35" s="15"/>
      <c r="P35" s="15"/>
    </row>
    <row r="36" spans="11:16" x14ac:dyDescent="0.25">
      <c r="K36" t="s">
        <v>49</v>
      </c>
      <c r="L36" s="35">
        <f>J30/J4</f>
        <v>1.0437575236244094</v>
      </c>
      <c r="N36" s="15"/>
      <c r="O36" s="15"/>
      <c r="P36" s="15"/>
    </row>
    <row r="37" spans="11:16" x14ac:dyDescent="0.25">
      <c r="N37" s="15"/>
      <c r="O37" s="15"/>
      <c r="P37" s="15"/>
    </row>
    <row r="38" spans="11:16" x14ac:dyDescent="0.25">
      <c r="N38" s="15"/>
      <c r="O38" s="15"/>
      <c r="P38" s="15"/>
    </row>
    <row r="39" spans="11:16" x14ac:dyDescent="0.25">
      <c r="N39" s="15"/>
      <c r="O39" s="15"/>
      <c r="P39" s="15"/>
    </row>
    <row r="40" spans="11:16" x14ac:dyDescent="0.25">
      <c r="N40" s="15"/>
      <c r="O40" s="15"/>
      <c r="P40" s="15"/>
    </row>
    <row r="41" spans="11:16" x14ac:dyDescent="0.25">
      <c r="N41" s="15"/>
      <c r="O41" s="15"/>
      <c r="P41" s="15"/>
    </row>
    <row r="42" spans="11:16" x14ac:dyDescent="0.25">
      <c r="O42" s="15"/>
      <c r="P42" s="15"/>
    </row>
    <row r="53" spans="2:8" x14ac:dyDescent="0.25">
      <c r="B53" s="2" t="s">
        <v>5</v>
      </c>
      <c r="C53" s="2" t="s">
        <v>6</v>
      </c>
      <c r="D53" s="2" t="s">
        <v>7</v>
      </c>
      <c r="E53" s="2" t="s">
        <v>8</v>
      </c>
      <c r="F53" s="2" t="s">
        <v>21</v>
      </c>
      <c r="G53" s="2" t="s">
        <v>22</v>
      </c>
      <c r="H53" s="2" t="s">
        <v>9</v>
      </c>
    </row>
    <row r="54" spans="2:8" ht="30" x14ac:dyDescent="0.25">
      <c r="B54" s="8">
        <v>1</v>
      </c>
      <c r="C54" s="40" t="s">
        <v>11</v>
      </c>
      <c r="D54" s="41" t="s">
        <v>23</v>
      </c>
      <c r="E54" s="39">
        <v>78650000</v>
      </c>
      <c r="F54" s="10">
        <v>10</v>
      </c>
      <c r="G54" s="12">
        <f t="shared" ref="G54:G66" si="10">E54*F54</f>
        <v>786500000</v>
      </c>
      <c r="H54" s="9" t="s">
        <v>24</v>
      </c>
    </row>
    <row r="55" spans="2:8" ht="30" x14ac:dyDescent="0.25">
      <c r="B55" s="8">
        <v>2</v>
      </c>
      <c r="C55" s="42" t="s">
        <v>10</v>
      </c>
      <c r="D55" s="41" t="s">
        <v>25</v>
      </c>
      <c r="E55" s="39">
        <v>2350000</v>
      </c>
      <c r="F55" s="10">
        <v>3420</v>
      </c>
      <c r="G55" s="12">
        <f t="shared" si="10"/>
        <v>8037000000</v>
      </c>
      <c r="H55" s="9" t="s">
        <v>26</v>
      </c>
    </row>
    <row r="56" spans="2:8" ht="30" x14ac:dyDescent="0.25">
      <c r="B56" s="8">
        <v>3</v>
      </c>
      <c r="C56" s="42" t="s">
        <v>12</v>
      </c>
      <c r="D56" s="43" t="s">
        <v>74</v>
      </c>
      <c r="E56" s="39">
        <v>3100000</v>
      </c>
      <c r="F56" s="10">
        <v>36</v>
      </c>
      <c r="G56" s="12">
        <f t="shared" si="10"/>
        <v>111600000</v>
      </c>
      <c r="H56" s="9" t="s">
        <v>27</v>
      </c>
    </row>
    <row r="57" spans="2:8" ht="30" x14ac:dyDescent="0.25">
      <c r="B57" s="8">
        <v>4</v>
      </c>
      <c r="C57" s="42" t="s">
        <v>13</v>
      </c>
      <c r="D57" s="43" t="s">
        <v>28</v>
      </c>
      <c r="E57" s="39">
        <v>4000</v>
      </c>
      <c r="F57" s="10">
        <f>'on grid menjual'!F50</f>
        <v>2080</v>
      </c>
      <c r="G57" s="12">
        <f t="shared" si="10"/>
        <v>8320000</v>
      </c>
      <c r="H57" s="9" t="s">
        <v>30</v>
      </c>
    </row>
    <row r="58" spans="2:8" ht="30" x14ac:dyDescent="0.25">
      <c r="B58" s="8">
        <v>5</v>
      </c>
      <c r="C58" s="42" t="s">
        <v>14</v>
      </c>
      <c r="D58" s="43" t="s">
        <v>29</v>
      </c>
      <c r="E58" s="39">
        <v>15000</v>
      </c>
      <c r="F58" s="10">
        <f>'on grid menjual'!F51</f>
        <v>2080</v>
      </c>
      <c r="G58" s="12">
        <f t="shared" si="10"/>
        <v>31200000</v>
      </c>
      <c r="H58" s="9" t="s">
        <v>31</v>
      </c>
    </row>
    <row r="59" spans="2:8" ht="30" x14ac:dyDescent="0.25">
      <c r="B59" s="8">
        <v>6</v>
      </c>
      <c r="C59" s="42" t="s">
        <v>15</v>
      </c>
      <c r="D59" s="43" t="s">
        <v>18</v>
      </c>
      <c r="E59" s="39">
        <v>13000</v>
      </c>
      <c r="F59" s="10">
        <f>'on grid menjual'!F52</f>
        <v>2080</v>
      </c>
      <c r="G59" s="12">
        <f t="shared" si="10"/>
        <v>27040000</v>
      </c>
      <c r="H59" s="9" t="s">
        <v>32</v>
      </c>
    </row>
    <row r="60" spans="2:8" ht="30" x14ac:dyDescent="0.25">
      <c r="B60" s="8">
        <v>7</v>
      </c>
      <c r="C60" s="44" t="s">
        <v>16</v>
      </c>
      <c r="D60" s="43" t="s">
        <v>19</v>
      </c>
      <c r="E60" s="39">
        <v>22000</v>
      </c>
      <c r="F60" s="10">
        <f>'on grid menjual'!F53</f>
        <v>4160</v>
      </c>
      <c r="G60" s="12">
        <f t="shared" si="10"/>
        <v>91520000</v>
      </c>
      <c r="H60" s="9" t="s">
        <v>33</v>
      </c>
    </row>
    <row r="61" spans="2:8" ht="60" x14ac:dyDescent="0.25">
      <c r="B61" s="8">
        <v>8</v>
      </c>
      <c r="C61" s="45" t="s">
        <v>84</v>
      </c>
      <c r="D61" s="43" t="s">
        <v>85</v>
      </c>
      <c r="E61" s="39">
        <v>2500000</v>
      </c>
      <c r="F61" s="10">
        <v>3</v>
      </c>
      <c r="G61" s="12">
        <f>E61*F61</f>
        <v>7500000</v>
      </c>
      <c r="H61" s="9" t="s">
        <v>86</v>
      </c>
    </row>
    <row r="62" spans="2:8" ht="75" x14ac:dyDescent="0.25">
      <c r="B62" s="8">
        <v>9</v>
      </c>
      <c r="C62" s="45" t="s">
        <v>82</v>
      </c>
      <c r="D62" s="43" t="s">
        <v>83</v>
      </c>
      <c r="E62" s="39">
        <v>75800</v>
      </c>
      <c r="F62" s="10">
        <v>3600</v>
      </c>
      <c r="G62" s="12">
        <f>E62*F62</f>
        <v>272880000</v>
      </c>
      <c r="H62" s="9" t="s">
        <v>87</v>
      </c>
    </row>
    <row r="63" spans="2:8" ht="90" x14ac:dyDescent="0.25">
      <c r="B63" s="8">
        <v>10</v>
      </c>
      <c r="C63" s="45" t="s">
        <v>88</v>
      </c>
      <c r="D63" s="43" t="s">
        <v>89</v>
      </c>
      <c r="E63" s="39">
        <v>141191</v>
      </c>
      <c r="F63" s="10">
        <v>1200</v>
      </c>
      <c r="G63" s="12">
        <f>E63*F63</f>
        <v>169429200</v>
      </c>
      <c r="H63" s="9" t="s">
        <v>90</v>
      </c>
    </row>
    <row r="64" spans="2:8" ht="60" x14ac:dyDescent="0.25">
      <c r="B64" s="8">
        <v>11</v>
      </c>
      <c r="C64" s="45" t="s">
        <v>79</v>
      </c>
      <c r="D64" s="43" t="s">
        <v>80</v>
      </c>
      <c r="E64" s="39">
        <v>5200</v>
      </c>
      <c r="F64" s="10">
        <v>3420</v>
      </c>
      <c r="G64" s="12">
        <f t="shared" si="10"/>
        <v>17784000</v>
      </c>
      <c r="H64" s="9" t="s">
        <v>81</v>
      </c>
    </row>
    <row r="65" spans="2:8" ht="15.75" x14ac:dyDescent="0.25">
      <c r="B65" s="8">
        <v>12</v>
      </c>
      <c r="C65" s="45" t="str">
        <f>'on grid menjual'!C58</f>
        <v xml:space="preserve">Mounting Rail </v>
      </c>
      <c r="D65" s="43" t="str">
        <f>'on grid menjual'!D58</f>
        <v>Rail 2200mm</v>
      </c>
      <c r="E65" s="39">
        <f>'on grid menjual'!E58</f>
        <v>78000</v>
      </c>
      <c r="F65" s="10">
        <f>'on grid menjual'!F58</f>
        <v>3120</v>
      </c>
      <c r="G65" s="12">
        <f>E65*F65</f>
        <v>243360000</v>
      </c>
      <c r="H65" s="9"/>
    </row>
    <row r="66" spans="2:8" ht="30" x14ac:dyDescent="0.25">
      <c r="B66" s="8">
        <v>13</v>
      </c>
      <c r="C66" s="45" t="s">
        <v>17</v>
      </c>
      <c r="D66" s="43" t="s">
        <v>20</v>
      </c>
      <c r="E66" s="39">
        <v>14000</v>
      </c>
      <c r="F66" s="10">
        <v>6240</v>
      </c>
      <c r="G66" s="12">
        <f t="shared" si="10"/>
        <v>87360000</v>
      </c>
      <c r="H66" s="9" t="s">
        <v>34</v>
      </c>
    </row>
    <row r="67" spans="2:8" x14ac:dyDescent="0.25">
      <c r="B67" s="8"/>
      <c r="C67" s="10" t="s">
        <v>39</v>
      </c>
      <c r="D67" s="8"/>
      <c r="E67" s="39">
        <f>SUM(E54:E66)</f>
        <v>86968191</v>
      </c>
      <c r="F67" s="10"/>
      <c r="G67" s="12">
        <f>SUM(G54:G66)</f>
        <v>9891493200</v>
      </c>
      <c r="H67" s="3"/>
    </row>
  </sheetData>
  <hyperlinks>
    <hyperlink ref="H54" r:id="rId1" xr:uid="{00000000-0004-0000-0200-000000000000}"/>
    <hyperlink ref="H60" r:id="rId2" xr:uid="{00000000-0004-0000-0200-000001000000}"/>
    <hyperlink ref="H59" r:id="rId3" xr:uid="{00000000-0004-0000-0200-000002000000}"/>
    <hyperlink ref="H58" r:id="rId4" xr:uid="{00000000-0004-0000-0200-000003000000}"/>
    <hyperlink ref="H57" r:id="rId5" xr:uid="{00000000-0004-0000-0200-000004000000}"/>
    <hyperlink ref="H56" r:id="rId6" xr:uid="{00000000-0004-0000-0200-000005000000}"/>
    <hyperlink ref="H55" r:id="rId7" xr:uid="{00000000-0004-0000-0200-000006000000}"/>
    <hyperlink ref="H66" r:id="rId8" xr:uid="{00000000-0004-0000-0200-000007000000}"/>
  </hyperlinks>
  <pageMargins left="0.7" right="0.7" top="0.75" bottom="0.75" header="0.3" footer="0.3"/>
  <pageSetup orientation="portrait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4"/>
  <sheetViews>
    <sheetView topLeftCell="I1" zoomScale="53" zoomScaleNormal="63" workbookViewId="0">
      <selection activeCell="L32" sqref="L32"/>
    </sheetView>
  </sheetViews>
  <sheetFormatPr defaultRowHeight="15" x14ac:dyDescent="0.25"/>
  <cols>
    <col min="2" max="2" width="8.140625" customWidth="1"/>
    <col min="3" max="3" width="25.5703125" customWidth="1"/>
    <col min="4" max="4" width="37.85546875" customWidth="1"/>
    <col min="5" max="5" width="62.85546875" customWidth="1"/>
    <col min="6" max="6" width="58" customWidth="1"/>
    <col min="7" max="7" width="28.140625" customWidth="1"/>
    <col min="8" max="8" width="27.28515625" customWidth="1"/>
    <col min="9" max="9" width="38.28515625" customWidth="1"/>
    <col min="10" max="10" width="21.7109375" customWidth="1"/>
    <col min="11" max="11" width="25.85546875" customWidth="1"/>
    <col min="12" max="12" width="18.28515625" customWidth="1"/>
    <col min="13" max="13" width="17.28515625" customWidth="1"/>
    <col min="14" max="14" width="27.7109375" customWidth="1"/>
    <col min="15" max="15" width="21" customWidth="1"/>
    <col min="16" max="16" width="31.42578125" customWidth="1"/>
    <col min="17" max="17" width="28.140625" customWidth="1"/>
    <col min="19" max="19" width="18.140625" customWidth="1"/>
    <col min="20" max="20" width="19.7109375" customWidth="1"/>
    <col min="21" max="21" width="41.42578125" customWidth="1"/>
  </cols>
  <sheetData>
    <row r="1" spans="2:14" x14ac:dyDescent="0.25">
      <c r="H1" s="2"/>
    </row>
    <row r="2" spans="2:14" x14ac:dyDescent="0.25">
      <c r="B2" s="1" t="s">
        <v>69</v>
      </c>
      <c r="H2" s="27"/>
      <c r="I2" t="s">
        <v>0</v>
      </c>
    </row>
    <row r="3" spans="2:14" x14ac:dyDescent="0.25">
      <c r="B3" s="2" t="s">
        <v>1</v>
      </c>
      <c r="C3" s="2" t="s">
        <v>2</v>
      </c>
      <c r="D3" s="2" t="s">
        <v>64</v>
      </c>
      <c r="E3" s="2" t="s">
        <v>68</v>
      </c>
      <c r="F3" s="2" t="s">
        <v>37</v>
      </c>
      <c r="G3" s="2" t="s">
        <v>38</v>
      </c>
      <c r="H3" s="2" t="s">
        <v>63</v>
      </c>
      <c r="I3" s="2" t="s">
        <v>62</v>
      </c>
      <c r="J3" s="2" t="s">
        <v>3</v>
      </c>
      <c r="K3" s="2" t="s">
        <v>61</v>
      </c>
      <c r="L3" s="32" t="s">
        <v>43</v>
      </c>
      <c r="M3" s="32" t="s">
        <v>43</v>
      </c>
    </row>
    <row r="4" spans="2:14" x14ac:dyDescent="0.25">
      <c r="B4" s="3" t="s">
        <v>4</v>
      </c>
      <c r="C4" s="4">
        <f>G49</f>
        <v>12884194420</v>
      </c>
      <c r="D4" s="13">
        <f>C4</f>
        <v>12884194420</v>
      </c>
      <c r="E4" s="33">
        <v>1238207</v>
      </c>
      <c r="F4" s="4"/>
      <c r="G4" s="3"/>
      <c r="H4" s="13">
        <f>-G49</f>
        <v>-12884194420</v>
      </c>
      <c r="I4" s="13">
        <f>H4</f>
        <v>-12884194420</v>
      </c>
      <c r="J4" s="3">
        <v>1</v>
      </c>
      <c r="K4" s="4">
        <f>-G49</f>
        <v>-12884194420</v>
      </c>
      <c r="L4" s="18">
        <v>0.09</v>
      </c>
      <c r="M4" s="18">
        <v>0.1</v>
      </c>
    </row>
    <row r="5" spans="2:14" x14ac:dyDescent="0.25">
      <c r="B5" s="3">
        <v>1</v>
      </c>
      <c r="C5" s="3"/>
      <c r="D5" s="13">
        <f t="shared" ref="D5:D13" si="0">$C$4*0.01</f>
        <v>128841944.2</v>
      </c>
      <c r="E5" s="33">
        <f>$E$4*(1-0.005)^B5</f>
        <v>1232015.9650000001</v>
      </c>
      <c r="F5" s="31">
        <v>1116162.99</v>
      </c>
      <c r="G5" s="4">
        <f>(F5*1444)</f>
        <v>1611739357.5599999</v>
      </c>
      <c r="H5" s="4">
        <f t="shared" ref="H5:H29" si="1">G5-D5</f>
        <v>1482897413.3599999</v>
      </c>
      <c r="I5" s="4">
        <f>H5+I4</f>
        <v>-11401297006.639999</v>
      </c>
      <c r="J5" s="6">
        <f>1/(1+0.1)^B5</f>
        <v>0.90909090909090906</v>
      </c>
      <c r="K5" s="4">
        <f t="shared" ref="K5:K28" si="2">J5*H5</f>
        <v>1348088557.5999999</v>
      </c>
      <c r="L5" s="4">
        <f t="shared" ref="L5:L29" si="3">H5/(1+$L$4)^B5</f>
        <v>1360456342.53211</v>
      </c>
      <c r="M5" s="4">
        <f t="shared" ref="M5:M29" si="4">H5/(1+$M$4)^B5</f>
        <v>1348088557.5999999</v>
      </c>
    </row>
    <row r="6" spans="2:14" x14ac:dyDescent="0.25">
      <c r="B6" s="3">
        <v>2</v>
      </c>
      <c r="C6" s="3"/>
      <c r="D6" s="13">
        <f t="shared" si="0"/>
        <v>128841944.2</v>
      </c>
      <c r="E6" s="33">
        <f t="shared" ref="E6:E29" si="5">$E$4*(1-0.005)^B6</f>
        <v>1225855.8851749999</v>
      </c>
      <c r="F6" s="4">
        <f>$F$5*(1-0.005)^B6</f>
        <v>1105029.2641747501</v>
      </c>
      <c r="G6" s="4">
        <f>(F6*1444)</f>
        <v>1595662257.4683392</v>
      </c>
      <c r="H6" s="4">
        <f t="shared" si="1"/>
        <v>1466820313.2683392</v>
      </c>
      <c r="I6" s="4">
        <f t="shared" ref="I6:I29" si="6">I5+H6</f>
        <v>-9934476693.3716602</v>
      </c>
      <c r="J6" s="6">
        <f>1/(1+0.1)^B6</f>
        <v>0.82644628099173545</v>
      </c>
      <c r="K6" s="4">
        <f t="shared" si="2"/>
        <v>1212248192.7837512</v>
      </c>
      <c r="L6" s="4">
        <f t="shared" si="3"/>
        <v>1234593311.394949</v>
      </c>
      <c r="M6" s="4">
        <f t="shared" si="4"/>
        <v>1212248192.7837512</v>
      </c>
    </row>
    <row r="7" spans="2:14" x14ac:dyDescent="0.25">
      <c r="B7" s="3">
        <v>3</v>
      </c>
      <c r="C7" s="3"/>
      <c r="D7" s="13">
        <f t="shared" si="0"/>
        <v>128841944.2</v>
      </c>
      <c r="E7" s="33">
        <f t="shared" si="5"/>
        <v>1219726.6057491251</v>
      </c>
      <c r="F7" s="4">
        <f t="shared" ref="F7:F29" si="7">$F$5*(1-0.005)^B7</f>
        <v>1099504.1178538762</v>
      </c>
      <c r="G7" s="4">
        <f t="shared" ref="G7:G29" si="8">(F7*1444)</f>
        <v>1587683946.1809971</v>
      </c>
      <c r="H7" s="4">
        <f t="shared" si="1"/>
        <v>1458842001.9809971</v>
      </c>
      <c r="I7" s="4">
        <f t="shared" si="6"/>
        <v>-8475634691.3906631</v>
      </c>
      <c r="J7" s="6">
        <f t="shared" ref="J7:J29" si="9">1/(1+0.1)^B7</f>
        <v>0.75131480090157754</v>
      </c>
      <c r="K7" s="4">
        <f t="shared" si="2"/>
        <v>1096049588.2652116</v>
      </c>
      <c r="L7" s="4">
        <f t="shared" si="3"/>
        <v>1126493693.9489362</v>
      </c>
      <c r="M7" s="4">
        <f t="shared" si="4"/>
        <v>1096049588.2652116</v>
      </c>
    </row>
    <row r="8" spans="2:14" x14ac:dyDescent="0.25">
      <c r="B8" s="3">
        <v>4</v>
      </c>
      <c r="C8" s="3"/>
      <c r="D8" s="13">
        <f t="shared" si="0"/>
        <v>128841944.2</v>
      </c>
      <c r="E8" s="33">
        <f t="shared" si="5"/>
        <v>1213627.9727203795</v>
      </c>
      <c r="F8" s="4">
        <f t="shared" si="7"/>
        <v>1094006.597264607</v>
      </c>
      <c r="G8" s="4">
        <f t="shared" si="8"/>
        <v>1579745526.4500926</v>
      </c>
      <c r="H8" s="4">
        <f t="shared" si="1"/>
        <v>1450903582.2500925</v>
      </c>
      <c r="I8" s="4">
        <f t="shared" si="6"/>
        <v>-7024731109.1405706</v>
      </c>
      <c r="J8" s="6">
        <f t="shared" si="9"/>
        <v>0.68301345536507052</v>
      </c>
      <c r="K8" s="4">
        <f t="shared" si="2"/>
        <v>990986669.11419451</v>
      </c>
      <c r="L8" s="4">
        <f t="shared" si="3"/>
        <v>1027856676.4907714</v>
      </c>
      <c r="M8" s="4">
        <f t="shared" si="4"/>
        <v>990986669.11419451</v>
      </c>
    </row>
    <row r="9" spans="2:14" x14ac:dyDescent="0.25">
      <c r="B9" s="3">
        <v>5</v>
      </c>
      <c r="C9" s="3"/>
      <c r="D9" s="13">
        <f t="shared" si="0"/>
        <v>128841944.2</v>
      </c>
      <c r="E9" s="33">
        <f t="shared" si="5"/>
        <v>1207559.8328567776</v>
      </c>
      <c r="F9" s="4">
        <f t="shared" si="7"/>
        <v>1088536.5642782839</v>
      </c>
      <c r="G9" s="4">
        <f t="shared" si="8"/>
        <v>1571846798.8178418</v>
      </c>
      <c r="H9" s="4">
        <f t="shared" si="1"/>
        <v>1443004854.6178417</v>
      </c>
      <c r="I9" s="4">
        <f t="shared" si="6"/>
        <v>-5581726254.5227289</v>
      </c>
      <c r="J9" s="6">
        <f t="shared" si="9"/>
        <v>0.62092132305915493</v>
      </c>
      <c r="K9" s="4">
        <f t="shared" si="2"/>
        <v>895992483.51009381</v>
      </c>
      <c r="L9" s="4">
        <f t="shared" si="3"/>
        <v>937854145.5970161</v>
      </c>
      <c r="M9" s="4">
        <f t="shared" si="4"/>
        <v>895992483.51009381</v>
      </c>
    </row>
    <row r="10" spans="2:14" x14ac:dyDescent="0.25">
      <c r="B10" s="3">
        <v>6</v>
      </c>
      <c r="C10" s="3"/>
      <c r="D10" s="13">
        <f t="shared" si="0"/>
        <v>128841944.2</v>
      </c>
      <c r="E10" s="33">
        <f t="shared" si="5"/>
        <v>1201522.0336924938</v>
      </c>
      <c r="F10" s="4">
        <f t="shared" si="7"/>
        <v>1083093.8814568925</v>
      </c>
      <c r="G10" s="4">
        <f t="shared" si="8"/>
        <v>1563987564.8237526</v>
      </c>
      <c r="H10" s="4">
        <f t="shared" si="1"/>
        <v>1435145620.6237526</v>
      </c>
      <c r="I10" s="4">
        <f t="shared" si="6"/>
        <v>-4146580633.8989763</v>
      </c>
      <c r="J10" s="6">
        <f t="shared" si="9"/>
        <v>0.56447393005377722</v>
      </c>
      <c r="K10" s="4">
        <f t="shared" si="2"/>
        <v>810102288.67295682</v>
      </c>
      <c r="L10" s="4">
        <f t="shared" si="3"/>
        <v>855730442.89173818</v>
      </c>
      <c r="M10" s="4">
        <f t="shared" si="4"/>
        <v>810102288.67295671</v>
      </c>
    </row>
    <row r="11" spans="2:14" x14ac:dyDescent="0.25">
      <c r="B11" s="3">
        <v>7</v>
      </c>
      <c r="C11" s="3"/>
      <c r="D11" s="13">
        <f t="shared" si="0"/>
        <v>128841944.2</v>
      </c>
      <c r="E11" s="33">
        <f t="shared" si="5"/>
        <v>1195514.4235240312</v>
      </c>
      <c r="F11" s="4">
        <f t="shared" si="7"/>
        <v>1077678.4120496081</v>
      </c>
      <c r="G11" s="4">
        <f t="shared" si="8"/>
        <v>1556167626.999634</v>
      </c>
      <c r="H11" s="4">
        <f t="shared" si="1"/>
        <v>1427325682.799634</v>
      </c>
      <c r="I11" s="4">
        <f t="shared" si="6"/>
        <v>-2719254951.0993423</v>
      </c>
      <c r="J11" s="6">
        <f t="shared" si="9"/>
        <v>0.51315811823070645</v>
      </c>
      <c r="K11" s="4">
        <f t="shared" si="2"/>
        <v>732443761.48781836</v>
      </c>
      <c r="L11" s="4">
        <f t="shared" si="3"/>
        <v>780796027.03576994</v>
      </c>
      <c r="M11" s="4">
        <f t="shared" si="4"/>
        <v>732443761.48781836</v>
      </c>
    </row>
    <row r="12" spans="2:14" x14ac:dyDescent="0.25">
      <c r="B12" s="3">
        <v>8</v>
      </c>
      <c r="C12" s="3"/>
      <c r="D12" s="13">
        <f t="shared" si="0"/>
        <v>128841944.2</v>
      </c>
      <c r="E12" s="33">
        <f t="shared" si="5"/>
        <v>1189536.851406411</v>
      </c>
      <c r="F12" s="4">
        <f t="shared" si="7"/>
        <v>1072290.0199893599</v>
      </c>
      <c r="G12" s="4">
        <f t="shared" si="8"/>
        <v>1548386788.8646357</v>
      </c>
      <c r="H12" s="4">
        <f t="shared" si="1"/>
        <v>1419544844.6646357</v>
      </c>
      <c r="I12" s="4">
        <f t="shared" si="6"/>
        <v>-1299710106.4347067</v>
      </c>
      <c r="J12" s="6">
        <f t="shared" si="9"/>
        <v>0.46650738020973315</v>
      </c>
      <c r="K12" s="4">
        <f t="shared" si="2"/>
        <v>662228146.57473171</v>
      </c>
      <c r="L12" s="4">
        <f t="shared" si="3"/>
        <v>712421690.02049816</v>
      </c>
      <c r="M12" s="4">
        <f t="shared" si="4"/>
        <v>662228146.57473183</v>
      </c>
    </row>
    <row r="13" spans="2:14" x14ac:dyDescent="0.25">
      <c r="B13" s="3">
        <v>9</v>
      </c>
      <c r="C13" s="3"/>
      <c r="D13" s="13">
        <f t="shared" si="0"/>
        <v>128841944.2</v>
      </c>
      <c r="E13" s="33">
        <f t="shared" si="5"/>
        <v>1183589.1671493789</v>
      </c>
      <c r="F13" s="4">
        <f t="shared" si="7"/>
        <v>1066928.5698894132</v>
      </c>
      <c r="G13" s="4">
        <f t="shared" si="8"/>
        <v>1540644854.9203126</v>
      </c>
      <c r="H13" s="4">
        <f t="shared" si="1"/>
        <v>1411802910.7203126</v>
      </c>
      <c r="I13" s="4">
        <f t="shared" si="6"/>
        <v>112092804.28560591</v>
      </c>
      <c r="J13" s="6">
        <f t="shared" si="9"/>
        <v>0.42409761837248466</v>
      </c>
      <c r="K13" s="4">
        <f t="shared" si="2"/>
        <v>598742252.04782617</v>
      </c>
      <c r="L13" s="4">
        <f t="shared" si="3"/>
        <v>650033279.29760408</v>
      </c>
      <c r="M13" s="4">
        <f t="shared" si="4"/>
        <v>598742252.04782617</v>
      </c>
      <c r="N13" s="17"/>
    </row>
    <row r="14" spans="2:14" x14ac:dyDescent="0.25">
      <c r="B14" s="3">
        <v>10</v>
      </c>
      <c r="C14" s="3"/>
      <c r="D14" s="12">
        <f>D5+(G40*J14)</f>
        <v>462706347.97993922</v>
      </c>
      <c r="E14" s="33">
        <f t="shared" si="5"/>
        <v>1177671.2213136321</v>
      </c>
      <c r="F14" s="4">
        <f t="shared" si="7"/>
        <v>1061593.9270399662</v>
      </c>
      <c r="G14" s="4">
        <f t="shared" si="8"/>
        <v>1532941630.6457112</v>
      </c>
      <c r="H14" s="4">
        <f t="shared" si="1"/>
        <v>1070235282.665772</v>
      </c>
      <c r="I14" s="4">
        <f t="shared" si="6"/>
        <v>1182328086.9513779</v>
      </c>
      <c r="J14" s="6">
        <f t="shared" si="9"/>
        <v>0.38554328942953148</v>
      </c>
      <c r="K14" s="4">
        <f t="shared" si="2"/>
        <v>412622031.34250617</v>
      </c>
      <c r="L14" s="4">
        <f t="shared" si="3"/>
        <v>452078949.31908447</v>
      </c>
      <c r="M14" s="4">
        <f t="shared" si="4"/>
        <v>412622031.34250617</v>
      </c>
      <c r="N14" s="17"/>
    </row>
    <row r="15" spans="2:14" x14ac:dyDescent="0.25">
      <c r="B15" s="3">
        <v>11</v>
      </c>
      <c r="C15" s="3"/>
      <c r="D15" s="13">
        <f>$C$4*0.01</f>
        <v>128841944.2</v>
      </c>
      <c r="E15" s="33">
        <f t="shared" si="5"/>
        <v>1171782.865207064</v>
      </c>
      <c r="F15" s="4">
        <f t="shared" si="7"/>
        <v>1056285.9574047662</v>
      </c>
      <c r="G15" s="4">
        <f t="shared" si="8"/>
        <v>1525276922.4924824</v>
      </c>
      <c r="H15" s="4">
        <f t="shared" si="1"/>
        <v>1396434978.2924824</v>
      </c>
      <c r="I15" s="4">
        <f t="shared" si="6"/>
        <v>2578763065.2438602</v>
      </c>
      <c r="J15" s="6">
        <f t="shared" si="9"/>
        <v>0.3504938994813922</v>
      </c>
      <c r="K15" s="4">
        <f t="shared" si="2"/>
        <v>489441940.91394544</v>
      </c>
      <c r="L15" s="4">
        <f t="shared" si="3"/>
        <v>541164427.48430395</v>
      </c>
      <c r="M15" s="4">
        <f t="shared" si="4"/>
        <v>489441940.91394544</v>
      </c>
    </row>
    <row r="16" spans="2:14" x14ac:dyDescent="0.25">
      <c r="B16" s="3">
        <v>12</v>
      </c>
      <c r="C16" s="3"/>
      <c r="D16" s="13">
        <f>$C$4*0.01</f>
        <v>128841944.2</v>
      </c>
      <c r="E16" s="33">
        <f t="shared" si="5"/>
        <v>1165923.9508810288</v>
      </c>
      <c r="F16" s="4">
        <f t="shared" si="7"/>
        <v>1051004.5276177425</v>
      </c>
      <c r="G16" s="4">
        <f t="shared" si="8"/>
        <v>1517650537.8800201</v>
      </c>
      <c r="H16" s="4">
        <f t="shared" si="1"/>
        <v>1388808593.6800201</v>
      </c>
      <c r="I16" s="4">
        <f t="shared" si="6"/>
        <v>3967571658.9238806</v>
      </c>
      <c r="J16" s="6">
        <f t="shared" si="9"/>
        <v>0.31863081771035656</v>
      </c>
      <c r="K16" s="4">
        <f t="shared" si="2"/>
        <v>442517217.84743512</v>
      </c>
      <c r="L16" s="4">
        <f t="shared" si="3"/>
        <v>493769681.57566226</v>
      </c>
      <c r="M16" s="4">
        <f t="shared" si="4"/>
        <v>442517217.84743512</v>
      </c>
    </row>
    <row r="17" spans="2:19" x14ac:dyDescent="0.25">
      <c r="B17" s="3">
        <v>13</v>
      </c>
      <c r="C17" s="3"/>
      <c r="D17" s="13">
        <f>$C$4*0.01</f>
        <v>128841944.2</v>
      </c>
      <c r="E17" s="33">
        <f t="shared" si="5"/>
        <v>1160094.3311266236</v>
      </c>
      <c r="F17" s="4">
        <f t="shared" si="7"/>
        <v>1045749.5049796539</v>
      </c>
      <c r="G17" s="4">
        <f t="shared" si="8"/>
        <v>1510062285.1906202</v>
      </c>
      <c r="H17" s="4">
        <f t="shared" si="1"/>
        <v>1381220340.9906201</v>
      </c>
      <c r="I17" s="4">
        <f t="shared" si="6"/>
        <v>5348791999.9145012</v>
      </c>
      <c r="J17" s="6">
        <f t="shared" si="9"/>
        <v>0.28966437973668779</v>
      </c>
      <c r="K17" s="4">
        <f t="shared" si="2"/>
        <v>400090333.3527444</v>
      </c>
      <c r="L17" s="4">
        <f t="shared" si="3"/>
        <v>450524581.8731367</v>
      </c>
      <c r="M17" s="4">
        <f t="shared" si="4"/>
        <v>400090333.35274434</v>
      </c>
    </row>
    <row r="18" spans="2:19" x14ac:dyDescent="0.25">
      <c r="B18" s="3">
        <v>14</v>
      </c>
      <c r="C18" s="3"/>
      <c r="D18" s="13">
        <f>$C$4*0.01</f>
        <v>128841944.2</v>
      </c>
      <c r="E18" s="33">
        <f t="shared" si="5"/>
        <v>1154293.8594709905</v>
      </c>
      <c r="F18" s="4">
        <f t="shared" si="7"/>
        <v>1040520.7574547556</v>
      </c>
      <c r="G18" s="4">
        <f t="shared" si="8"/>
        <v>1502511973.764667</v>
      </c>
      <c r="H18" s="4">
        <f t="shared" si="1"/>
        <v>1373670029.564667</v>
      </c>
      <c r="I18" s="4">
        <f t="shared" si="6"/>
        <v>6722462029.4791679</v>
      </c>
      <c r="J18" s="6">
        <f t="shared" si="9"/>
        <v>0.26333125430607973</v>
      </c>
      <c r="K18" s="4">
        <f t="shared" si="2"/>
        <v>361730251.88793337</v>
      </c>
      <c r="L18" s="4">
        <f t="shared" si="3"/>
        <v>411065900.46666569</v>
      </c>
      <c r="M18" s="4">
        <f t="shared" si="4"/>
        <v>361730251.88793337</v>
      </c>
    </row>
    <row r="19" spans="2:19" x14ac:dyDescent="0.25">
      <c r="B19" s="3">
        <v>15</v>
      </c>
      <c r="C19" s="3"/>
      <c r="D19" s="13">
        <f>$C$4*0.01</f>
        <v>128841944.2</v>
      </c>
      <c r="E19" s="33">
        <f t="shared" si="5"/>
        <v>1148522.3901736354</v>
      </c>
      <c r="F19" s="4">
        <f t="shared" si="7"/>
        <v>1035318.1536674818</v>
      </c>
      <c r="G19" s="4">
        <f t="shared" si="8"/>
        <v>1494999413.8958437</v>
      </c>
      <c r="H19" s="4">
        <f t="shared" si="1"/>
        <v>1366157469.6958437</v>
      </c>
      <c r="I19" s="4">
        <f t="shared" si="6"/>
        <v>8088619499.1750116</v>
      </c>
      <c r="J19" s="6">
        <f t="shared" si="9"/>
        <v>0.23939204936916339</v>
      </c>
      <c r="K19" s="4">
        <f t="shared" si="2"/>
        <v>327047236.43147874</v>
      </c>
      <c r="L19" s="4">
        <f t="shared" si="3"/>
        <v>375062195.855582</v>
      </c>
      <c r="M19" s="4">
        <f t="shared" si="4"/>
        <v>327047236.43147874</v>
      </c>
    </row>
    <row r="20" spans="2:19" x14ac:dyDescent="0.25">
      <c r="B20" s="3">
        <v>16</v>
      </c>
      <c r="C20" s="3"/>
      <c r="D20" s="13">
        <f>D5+(G34*J20)</f>
        <v>709389426.83380032</v>
      </c>
      <c r="E20" s="33">
        <f t="shared" si="5"/>
        <v>1142779.7782227674</v>
      </c>
      <c r="F20" s="4">
        <f t="shared" si="7"/>
        <v>1030141.5628991444</v>
      </c>
      <c r="G20" s="4">
        <f>(F20*1444)</f>
        <v>1487524416.8263645</v>
      </c>
      <c r="H20" s="4">
        <f t="shared" si="1"/>
        <v>778134989.9925642</v>
      </c>
      <c r="I20" s="4">
        <f t="shared" si="6"/>
        <v>8866754489.1675758</v>
      </c>
      <c r="J20" s="6">
        <f t="shared" si="9"/>
        <v>0.21762913579014853</v>
      </c>
      <c r="K20" s="4">
        <f t="shared" si="2"/>
        <v>169344845.40015763</v>
      </c>
      <c r="L20" s="4">
        <f t="shared" si="3"/>
        <v>195988675.25666153</v>
      </c>
      <c r="M20" s="4">
        <f t="shared" si="4"/>
        <v>169344845.40015763</v>
      </c>
      <c r="N20" s="17"/>
    </row>
    <row r="21" spans="2:19" x14ac:dyDescent="0.25">
      <c r="B21" s="3">
        <v>17</v>
      </c>
      <c r="C21" s="3"/>
      <c r="D21" s="13">
        <f>$C$4*0.01</f>
        <v>128841944.2</v>
      </c>
      <c r="E21" s="33">
        <f t="shared" si="5"/>
        <v>1137065.8793316535</v>
      </c>
      <c r="F21" s="4">
        <f t="shared" si="7"/>
        <v>1024990.8550846486</v>
      </c>
      <c r="G21" s="4">
        <f t="shared" si="8"/>
        <v>1480086794.7422326</v>
      </c>
      <c r="H21" s="4">
        <f t="shared" si="1"/>
        <v>1351244850.5422325</v>
      </c>
      <c r="I21" s="4">
        <f t="shared" si="6"/>
        <v>10217999339.709808</v>
      </c>
      <c r="J21" s="6">
        <f t="shared" si="9"/>
        <v>0.19784466890013502</v>
      </c>
      <c r="K21" s="4">
        <f t="shared" si="2"/>
        <v>267336590.05854043</v>
      </c>
      <c r="L21" s="4">
        <f t="shared" si="3"/>
        <v>312236440.20057321</v>
      </c>
      <c r="M21" s="4">
        <f t="shared" si="4"/>
        <v>267336590.05854043</v>
      </c>
    </row>
    <row r="22" spans="2:19" x14ac:dyDescent="0.25">
      <c r="B22" s="3">
        <v>18</v>
      </c>
      <c r="C22" s="3"/>
      <c r="D22" s="13">
        <f>$C$4*0.01</f>
        <v>128841944.2</v>
      </c>
      <c r="E22" s="33">
        <f t="shared" si="5"/>
        <v>1131380.5499349951</v>
      </c>
      <c r="F22" s="4">
        <f t="shared" si="7"/>
        <v>1019865.9008092254</v>
      </c>
      <c r="G22" s="4">
        <f t="shared" si="8"/>
        <v>1472686360.7685215</v>
      </c>
      <c r="H22" s="4">
        <f t="shared" si="1"/>
        <v>1343844416.5685215</v>
      </c>
      <c r="I22" s="4">
        <f t="shared" si="6"/>
        <v>11561843756.27833</v>
      </c>
      <c r="J22" s="6">
        <f t="shared" si="9"/>
        <v>0.17985878990921364</v>
      </c>
      <c r="K22" s="4">
        <f t="shared" si="2"/>
        <v>241702230.59026748</v>
      </c>
      <c r="L22" s="4">
        <f t="shared" si="3"/>
        <v>284886604.04847407</v>
      </c>
      <c r="M22" s="4">
        <f t="shared" si="4"/>
        <v>241702230.59026751</v>
      </c>
    </row>
    <row r="23" spans="2:19" x14ac:dyDescent="0.25">
      <c r="B23" s="3">
        <v>19</v>
      </c>
      <c r="C23" s="3"/>
      <c r="D23" s="13">
        <f>$C$4*0.01</f>
        <v>128841944.2</v>
      </c>
      <c r="E23" s="33">
        <f t="shared" si="5"/>
        <v>1125723.6471853203</v>
      </c>
      <c r="F23" s="4">
        <f t="shared" si="7"/>
        <v>1014766.5713051793</v>
      </c>
      <c r="G23" s="4">
        <f t="shared" si="8"/>
        <v>1465322928.9646788</v>
      </c>
      <c r="H23" s="4">
        <f t="shared" si="1"/>
        <v>1336480984.7646787</v>
      </c>
      <c r="I23" s="4">
        <f t="shared" si="6"/>
        <v>12898324741.043009</v>
      </c>
      <c r="J23" s="6">
        <f t="shared" si="9"/>
        <v>0.16350799082655781</v>
      </c>
      <c r="K23" s="4">
        <f t="shared" si="2"/>
        <v>218525320.59677204</v>
      </c>
      <c r="L23" s="4">
        <f t="shared" si="3"/>
        <v>259931745.50461987</v>
      </c>
      <c r="M23" s="4">
        <f t="shared" si="4"/>
        <v>218525320.59677204</v>
      </c>
    </row>
    <row r="24" spans="2:19" x14ac:dyDescent="0.25">
      <c r="B24" s="3">
        <v>20</v>
      </c>
      <c r="C24" s="3"/>
      <c r="D24" s="13">
        <f>D23+(G40*J24)</f>
        <v>257561124.6567471</v>
      </c>
      <c r="E24" s="33">
        <f t="shared" si="5"/>
        <v>1120095.0289493937</v>
      </c>
      <c r="F24" s="4">
        <f t="shared" si="7"/>
        <v>1009692.7384486534</v>
      </c>
      <c r="G24" s="4">
        <f t="shared" si="8"/>
        <v>1457996314.3198555</v>
      </c>
      <c r="H24" s="4">
        <f t="shared" si="1"/>
        <v>1200435189.6631083</v>
      </c>
      <c r="I24" s="4">
        <f t="shared" si="6"/>
        <v>14098759930.706118</v>
      </c>
      <c r="J24" s="6">
        <f t="shared" si="9"/>
        <v>0.14864362802414349</v>
      </c>
      <c r="K24" s="4">
        <f t="shared" si="2"/>
        <v>178437041.79937521</v>
      </c>
      <c r="L24" s="4">
        <f t="shared" si="3"/>
        <v>214194719.01753291</v>
      </c>
      <c r="M24" s="4">
        <f t="shared" si="4"/>
        <v>178437041.79937521</v>
      </c>
    </row>
    <row r="25" spans="2:19" x14ac:dyDescent="0.25">
      <c r="B25" s="3">
        <v>21</v>
      </c>
      <c r="C25" s="3"/>
      <c r="D25" s="13">
        <f>$C$4*0.01</f>
        <v>128841944.2</v>
      </c>
      <c r="E25" s="33">
        <f t="shared" si="5"/>
        <v>1114494.5538046467</v>
      </c>
      <c r="F25" s="4">
        <f t="shared" si="7"/>
        <v>1004644.2747564102</v>
      </c>
      <c r="G25" s="4">
        <f t="shared" si="8"/>
        <v>1450706332.7482562</v>
      </c>
      <c r="H25" s="4">
        <f t="shared" si="1"/>
        <v>1321864388.5482562</v>
      </c>
      <c r="I25" s="4">
        <f t="shared" si="6"/>
        <v>15420624319.254374</v>
      </c>
      <c r="J25" s="6">
        <f t="shared" si="9"/>
        <v>0.13513057093103953</v>
      </c>
      <c r="K25" s="4">
        <f t="shared" si="2"/>
        <v>178624289.51793534</v>
      </c>
      <c r="L25" s="4">
        <f t="shared" si="3"/>
        <v>216386641.30289695</v>
      </c>
      <c r="M25" s="4">
        <f t="shared" si="4"/>
        <v>178624289.51793531</v>
      </c>
    </row>
    <row r="26" spans="2:19" x14ac:dyDescent="0.25">
      <c r="B26" s="3">
        <v>22</v>
      </c>
      <c r="C26" s="3"/>
      <c r="D26" s="13">
        <f>$C$4*0.01</f>
        <v>128841944.2</v>
      </c>
      <c r="E26" s="33">
        <f t="shared" si="5"/>
        <v>1108922.0810356236</v>
      </c>
      <c r="F26" s="4">
        <f t="shared" si="7"/>
        <v>999621.05338262813</v>
      </c>
      <c r="G26" s="4">
        <f t="shared" si="8"/>
        <v>1443452801.0845151</v>
      </c>
      <c r="H26" s="4">
        <f t="shared" si="1"/>
        <v>1314610856.884515</v>
      </c>
      <c r="I26" s="4">
        <f t="shared" si="6"/>
        <v>16735235176.138889</v>
      </c>
      <c r="J26" s="6">
        <f t="shared" si="9"/>
        <v>0.12284597357367227</v>
      </c>
      <c r="K26" s="4">
        <f t="shared" si="2"/>
        <v>161494650.58449781</v>
      </c>
      <c r="L26" s="4">
        <f t="shared" si="3"/>
        <v>197430506.61672628</v>
      </c>
      <c r="M26" s="4">
        <f t="shared" si="4"/>
        <v>161494650.58449781</v>
      </c>
    </row>
    <row r="27" spans="2:19" x14ac:dyDescent="0.25">
      <c r="B27" s="3">
        <v>23</v>
      </c>
      <c r="C27" s="3"/>
      <c r="D27" s="13">
        <f>$C$4*0.01</f>
        <v>128841944.2</v>
      </c>
      <c r="E27" s="33">
        <f t="shared" si="5"/>
        <v>1103377.4706304453</v>
      </c>
      <c r="F27" s="4">
        <f t="shared" si="7"/>
        <v>994622.94811571494</v>
      </c>
      <c r="G27" s="4">
        <f t="shared" si="8"/>
        <v>1436235537.0790923</v>
      </c>
      <c r="H27" s="4">
        <f t="shared" si="1"/>
        <v>1307393592.8790922</v>
      </c>
      <c r="I27" s="4">
        <f t="shared" si="6"/>
        <v>18042628769.017982</v>
      </c>
      <c r="J27" s="6">
        <f t="shared" si="9"/>
        <v>0.11167815779424752</v>
      </c>
      <c r="K27" s="4">
        <f t="shared" si="2"/>
        <v>146007307.96473944</v>
      </c>
      <c r="L27" s="4">
        <f t="shared" si="3"/>
        <v>180134500.51933306</v>
      </c>
      <c r="M27" s="4">
        <f t="shared" si="4"/>
        <v>146007307.96473944</v>
      </c>
      <c r="N27" s="1"/>
      <c r="O27" s="7"/>
      <c r="R27" s="1"/>
      <c r="S27" s="7"/>
    </row>
    <row r="28" spans="2:19" x14ac:dyDescent="0.25">
      <c r="B28" s="3">
        <v>24</v>
      </c>
      <c r="C28" s="3"/>
      <c r="D28" s="13">
        <f>$C$4*0.01</f>
        <v>128841944.2</v>
      </c>
      <c r="E28" s="33">
        <f t="shared" si="5"/>
        <v>1097860.583277293</v>
      </c>
      <c r="F28" s="4">
        <f t="shared" si="7"/>
        <v>989649.83337513637</v>
      </c>
      <c r="G28" s="4">
        <f t="shared" si="8"/>
        <v>1429054359.393697</v>
      </c>
      <c r="H28" s="4">
        <f t="shared" si="1"/>
        <v>1300212415.193697</v>
      </c>
      <c r="I28" s="4">
        <f t="shared" si="6"/>
        <v>19342841184.211678</v>
      </c>
      <c r="J28" s="6">
        <f t="shared" si="9"/>
        <v>0.10152559799477048</v>
      </c>
      <c r="K28" s="4">
        <f t="shared" si="2"/>
        <v>132004842.97276489</v>
      </c>
      <c r="L28" s="4">
        <f t="shared" si="3"/>
        <v>164353273.31089395</v>
      </c>
      <c r="M28" s="4">
        <f t="shared" si="4"/>
        <v>132004842.97276488</v>
      </c>
    </row>
    <row r="29" spans="2:19" x14ac:dyDescent="0.25">
      <c r="B29" s="3">
        <v>25</v>
      </c>
      <c r="C29" s="3"/>
      <c r="D29" s="13">
        <f>$C$4*0.01</f>
        <v>128841944.2</v>
      </c>
      <c r="E29" s="33">
        <f t="shared" si="5"/>
        <v>1092371.2803609066</v>
      </c>
      <c r="F29" s="4">
        <f t="shared" si="7"/>
        <v>984701.58420826076</v>
      </c>
      <c r="G29" s="4">
        <f t="shared" si="8"/>
        <v>1421909087.5967286</v>
      </c>
      <c r="H29" s="4">
        <f t="shared" si="1"/>
        <v>1293067143.3967285</v>
      </c>
      <c r="I29" s="4">
        <f t="shared" si="6"/>
        <v>20635908327.608406</v>
      </c>
      <c r="J29" s="6">
        <f t="shared" si="9"/>
        <v>9.2295998177064048E-2</v>
      </c>
      <c r="K29" s="4">
        <f>J29*H29</f>
        <v>119344922.70976587</v>
      </c>
      <c r="L29" s="4">
        <f t="shared" si="3"/>
        <v>149954197.84653482</v>
      </c>
      <c r="M29" s="4">
        <f t="shared" si="4"/>
        <v>119344922.70976588</v>
      </c>
    </row>
    <row r="30" spans="2:19" x14ac:dyDescent="0.25">
      <c r="D30" s="19">
        <f>SUM(D4:D29)</f>
        <v>17148374091.870504</v>
      </c>
      <c r="E30" s="17">
        <f>SUM(E5:E29)</f>
        <v>29021308.208179619</v>
      </c>
      <c r="F30" s="17">
        <f>SUM(F5:F29)</f>
        <v>26166400.567506157</v>
      </c>
      <c r="G30" s="28">
        <f>SUM(G4:G29)</f>
        <v>37784282419.478897</v>
      </c>
      <c r="H30" s="28">
        <f>SUM(H4:H29)</f>
        <v>20635908327.608406</v>
      </c>
      <c r="I30" s="17"/>
      <c r="K30" s="17">
        <f>SUM(K5:K29)</f>
        <v>12593152994.027443</v>
      </c>
      <c r="L30" s="17">
        <f>SUM(L5:L29)</f>
        <v>13585398649.408072</v>
      </c>
      <c r="M30" s="17">
        <f>SUM(M5:M29)</f>
        <v>12593152994.027443</v>
      </c>
      <c r="N30" s="17"/>
    </row>
    <row r="31" spans="2:19" x14ac:dyDescent="0.25">
      <c r="J31" s="27"/>
      <c r="L31" s="17">
        <f>L30-G49</f>
        <v>701204229.40807152</v>
      </c>
      <c r="M31" s="17">
        <f>M30-G49</f>
        <v>-291041425.97255707</v>
      </c>
      <c r="N31" s="17"/>
      <c r="O31" s="17"/>
    </row>
    <row r="32" spans="2:19" x14ac:dyDescent="0.25">
      <c r="B32" s="2" t="s">
        <v>5</v>
      </c>
      <c r="C32" s="2" t="s">
        <v>6</v>
      </c>
      <c r="D32" s="2" t="s">
        <v>7</v>
      </c>
      <c r="E32" s="2" t="s">
        <v>8</v>
      </c>
      <c r="F32" s="2" t="s">
        <v>21</v>
      </c>
      <c r="G32" s="2" t="s">
        <v>22</v>
      </c>
      <c r="H32" s="2" t="s">
        <v>9</v>
      </c>
      <c r="I32" s="14"/>
      <c r="J32" s="14"/>
      <c r="K32" t="s">
        <v>44</v>
      </c>
      <c r="L32" s="20">
        <f>(L31/(L31-M31))*(M4-L4) + L4</f>
        <v>9.7066841014678842E-2</v>
      </c>
      <c r="M32" s="26"/>
    </row>
    <row r="33" spans="1:15" ht="15.75" x14ac:dyDescent="0.25">
      <c r="B33" s="8">
        <v>1</v>
      </c>
      <c r="C33" s="42" t="s">
        <v>10</v>
      </c>
      <c r="D33" s="41" t="s">
        <v>25</v>
      </c>
      <c r="E33" s="39">
        <v>2350000</v>
      </c>
      <c r="F33" s="10">
        <v>3420</v>
      </c>
      <c r="G33" s="12">
        <f t="shared" ref="G33:G40" si="10">E33*F33</f>
        <v>8037000000</v>
      </c>
      <c r="H33" s="9" t="s">
        <v>26</v>
      </c>
      <c r="I33" s="15"/>
      <c r="J33" s="15"/>
      <c r="K33" t="s">
        <v>45</v>
      </c>
      <c r="L33" s="17">
        <f>K30+K4</f>
        <v>-291041425.97255707</v>
      </c>
      <c r="M33" s="20"/>
      <c r="O33" s="26"/>
    </row>
    <row r="34" spans="1:15" ht="60" x14ac:dyDescent="0.25">
      <c r="B34" s="8">
        <v>2</v>
      </c>
      <c r="C34" s="44" t="s">
        <v>60</v>
      </c>
      <c r="D34" s="55" t="s">
        <v>105</v>
      </c>
      <c r="E34" s="39">
        <v>7800000</v>
      </c>
      <c r="F34" s="10">
        <v>342</v>
      </c>
      <c r="G34" s="12">
        <f t="shared" si="10"/>
        <v>2667600000</v>
      </c>
      <c r="H34" s="9" t="s">
        <v>59</v>
      </c>
      <c r="I34" s="15"/>
      <c r="J34" s="15"/>
      <c r="K34" s="24" t="s">
        <v>58</v>
      </c>
      <c r="L34" s="25">
        <f>B13+(-I12/H13)</f>
        <v>9.9206030789181359</v>
      </c>
    </row>
    <row r="35" spans="1:15" ht="34.5" customHeight="1" x14ac:dyDescent="0.25">
      <c r="B35" s="8">
        <v>3</v>
      </c>
      <c r="C35" s="42" t="s">
        <v>12</v>
      </c>
      <c r="D35" s="43" t="s">
        <v>74</v>
      </c>
      <c r="E35" s="39">
        <v>3100000</v>
      </c>
      <c r="F35" s="10">
        <v>36</v>
      </c>
      <c r="G35" s="12">
        <f t="shared" si="10"/>
        <v>111600000</v>
      </c>
      <c r="H35" s="9" t="s">
        <v>72</v>
      </c>
      <c r="I35" s="15"/>
      <c r="J35" s="15"/>
      <c r="K35" s="24" t="s">
        <v>57</v>
      </c>
      <c r="L35" s="34">
        <f>K30/G49</f>
        <v>0.97741097219700623</v>
      </c>
    </row>
    <row r="36" spans="1:15" ht="30" x14ac:dyDescent="0.25">
      <c r="B36" s="8">
        <v>4</v>
      </c>
      <c r="C36" s="42" t="s">
        <v>13</v>
      </c>
      <c r="D36" s="43" t="s">
        <v>28</v>
      </c>
      <c r="E36" s="39">
        <v>4000</v>
      </c>
      <c r="F36" s="10">
        <f>'hybrid menjual'!F36</f>
        <v>2080</v>
      </c>
      <c r="G36" s="12">
        <f t="shared" si="10"/>
        <v>8320000</v>
      </c>
      <c r="H36" s="9" t="s">
        <v>30</v>
      </c>
      <c r="I36" s="15"/>
      <c r="J36" s="15"/>
      <c r="K36" s="15"/>
    </row>
    <row r="37" spans="1:15" ht="35.25" customHeight="1" x14ac:dyDescent="0.25">
      <c r="B37" s="8">
        <v>5</v>
      </c>
      <c r="C37" s="42" t="s">
        <v>14</v>
      </c>
      <c r="D37" s="43" t="s">
        <v>29</v>
      </c>
      <c r="E37" s="39">
        <v>15000</v>
      </c>
      <c r="F37" s="10">
        <f>'hybrid menjual'!F37</f>
        <v>2080</v>
      </c>
      <c r="G37" s="12">
        <f t="shared" si="10"/>
        <v>31200000</v>
      </c>
      <c r="H37" s="9" t="s">
        <v>31</v>
      </c>
      <c r="I37" s="15"/>
      <c r="J37" s="15"/>
      <c r="K37" s="15"/>
    </row>
    <row r="38" spans="1:15" ht="34.5" customHeight="1" x14ac:dyDescent="0.25">
      <c r="B38" s="8">
        <v>6</v>
      </c>
      <c r="C38" s="42" t="s">
        <v>15</v>
      </c>
      <c r="D38" s="43" t="s">
        <v>18</v>
      </c>
      <c r="E38" s="39">
        <v>13000</v>
      </c>
      <c r="F38" s="10">
        <f>'hybrid menjual'!F38</f>
        <v>2080</v>
      </c>
      <c r="G38" s="12">
        <f t="shared" si="10"/>
        <v>27040000</v>
      </c>
      <c r="H38" s="9" t="s">
        <v>32</v>
      </c>
      <c r="I38" s="15"/>
      <c r="J38" s="15"/>
      <c r="K38" s="15"/>
    </row>
    <row r="39" spans="1:15" ht="38.25" customHeight="1" x14ac:dyDescent="0.25">
      <c r="B39" s="8">
        <v>7</v>
      </c>
      <c r="C39" s="44" t="s">
        <v>16</v>
      </c>
      <c r="D39" s="43" t="s">
        <v>19</v>
      </c>
      <c r="E39" s="39">
        <v>22000</v>
      </c>
      <c r="F39" s="10">
        <f>'hybrid menjual'!F39</f>
        <v>4160</v>
      </c>
      <c r="G39" s="12">
        <f t="shared" si="10"/>
        <v>91520000</v>
      </c>
      <c r="H39" s="9" t="s">
        <v>33</v>
      </c>
      <c r="I39" s="15"/>
      <c r="J39" s="15"/>
      <c r="K39" s="15"/>
    </row>
    <row r="40" spans="1:15" ht="30.75" customHeight="1" x14ac:dyDescent="0.25">
      <c r="B40" s="8">
        <v>8</v>
      </c>
      <c r="C40" s="45" t="s">
        <v>76</v>
      </c>
      <c r="D40" s="43" t="s">
        <v>56</v>
      </c>
      <c r="E40" s="39">
        <v>86595828</v>
      </c>
      <c r="F40" s="10">
        <v>10</v>
      </c>
      <c r="G40" s="12">
        <f t="shared" si="10"/>
        <v>865958280</v>
      </c>
      <c r="H40" s="9" t="s">
        <v>55</v>
      </c>
      <c r="I40" s="15"/>
      <c r="J40" s="15"/>
      <c r="K40" s="15"/>
    </row>
    <row r="41" spans="1:15" ht="29.25" customHeight="1" x14ac:dyDescent="0.25">
      <c r="B41" s="8">
        <v>9</v>
      </c>
      <c r="C41" s="45" t="s">
        <v>77</v>
      </c>
      <c r="D41" s="43"/>
      <c r="E41" s="39">
        <v>238642940</v>
      </c>
      <c r="F41" s="10"/>
      <c r="G41" s="12">
        <v>238642940</v>
      </c>
      <c r="H41" s="9"/>
      <c r="I41" s="15"/>
      <c r="J41" s="15"/>
      <c r="K41" s="15"/>
    </row>
    <row r="42" spans="1:15" ht="75" x14ac:dyDescent="0.25">
      <c r="B42" s="8">
        <v>10</v>
      </c>
      <c r="C42" s="45" t="s">
        <v>84</v>
      </c>
      <c r="D42" s="43" t="s">
        <v>85</v>
      </c>
      <c r="E42" s="39">
        <v>2500000</v>
      </c>
      <c r="F42" s="10">
        <v>3</v>
      </c>
      <c r="G42" s="12">
        <f t="shared" ref="G42:G48" si="11">E42*F42</f>
        <v>7500000</v>
      </c>
      <c r="H42" s="9" t="s">
        <v>86</v>
      </c>
      <c r="I42" s="15"/>
      <c r="J42" s="15"/>
      <c r="K42" s="15"/>
    </row>
    <row r="43" spans="1:15" ht="75" x14ac:dyDescent="0.25">
      <c r="B43" s="8">
        <v>11</v>
      </c>
      <c r="C43" s="45" t="s">
        <v>82</v>
      </c>
      <c r="D43" s="43" t="s">
        <v>83</v>
      </c>
      <c r="E43" s="39">
        <v>75800</v>
      </c>
      <c r="F43" s="10">
        <v>3600</v>
      </c>
      <c r="G43" s="12">
        <f t="shared" si="11"/>
        <v>272880000</v>
      </c>
      <c r="H43" s="9" t="s">
        <v>87</v>
      </c>
      <c r="I43" s="15"/>
      <c r="J43" s="15"/>
      <c r="K43" s="15"/>
    </row>
    <row r="44" spans="1:15" ht="60" x14ac:dyDescent="0.25">
      <c r="B44" s="8">
        <v>12</v>
      </c>
      <c r="C44" s="45" t="s">
        <v>79</v>
      </c>
      <c r="D44" s="43" t="s">
        <v>80</v>
      </c>
      <c r="E44" s="39">
        <v>5200</v>
      </c>
      <c r="F44" s="10">
        <v>3420</v>
      </c>
      <c r="G44" s="12">
        <f t="shared" si="11"/>
        <v>17784000</v>
      </c>
      <c r="H44" s="9" t="s">
        <v>81</v>
      </c>
      <c r="I44" s="15"/>
      <c r="J44" s="15"/>
    </row>
    <row r="45" spans="1:15" ht="90" x14ac:dyDescent="0.25">
      <c r="B45" s="8">
        <v>13</v>
      </c>
      <c r="C45" s="45" t="s">
        <v>88</v>
      </c>
      <c r="D45" s="43" t="s">
        <v>89</v>
      </c>
      <c r="E45" s="39">
        <v>141191</v>
      </c>
      <c r="F45" s="10">
        <v>1200</v>
      </c>
      <c r="G45" s="12">
        <f t="shared" si="11"/>
        <v>169429200</v>
      </c>
      <c r="H45" s="9" t="s">
        <v>90</v>
      </c>
      <c r="I45" s="22"/>
      <c r="J45" s="22"/>
      <c r="N45" t="s">
        <v>51</v>
      </c>
    </row>
    <row r="46" spans="1:15" ht="15.75" x14ac:dyDescent="0.25">
      <c r="A46" s="22"/>
      <c r="B46" s="8">
        <v>14</v>
      </c>
      <c r="C46" s="45" t="s">
        <v>95</v>
      </c>
      <c r="D46" s="43" t="s">
        <v>93</v>
      </c>
      <c r="E46" s="39">
        <f>'hybrid menjual'!E46</f>
        <v>78000</v>
      </c>
      <c r="F46" s="11">
        <f>'hybrid menjual'!F46</f>
        <v>3120</v>
      </c>
      <c r="G46" s="12">
        <f t="shared" si="11"/>
        <v>243360000</v>
      </c>
      <c r="H46" s="9"/>
    </row>
    <row r="47" spans="1:15" ht="30" x14ac:dyDescent="0.25">
      <c r="A47" s="22"/>
      <c r="B47" s="8">
        <v>15</v>
      </c>
      <c r="C47" s="45" t="s">
        <v>17</v>
      </c>
      <c r="D47" s="43" t="s">
        <v>20</v>
      </c>
      <c r="E47" s="39">
        <v>14000</v>
      </c>
      <c r="F47" s="10">
        <v>6240</v>
      </c>
      <c r="G47" s="12">
        <f t="shared" si="11"/>
        <v>87360000</v>
      </c>
      <c r="H47" s="9" t="s">
        <v>34</v>
      </c>
    </row>
    <row r="48" spans="1:15" ht="60" x14ac:dyDescent="0.25">
      <c r="A48" s="22"/>
      <c r="B48" s="8">
        <v>16</v>
      </c>
      <c r="C48" s="56" t="s">
        <v>54</v>
      </c>
      <c r="D48" s="57" t="s">
        <v>53</v>
      </c>
      <c r="E48" s="39">
        <v>7000000</v>
      </c>
      <c r="F48" s="10">
        <v>1</v>
      </c>
      <c r="G48" s="12">
        <f t="shared" si="11"/>
        <v>7000000</v>
      </c>
      <c r="H48" s="9" t="s">
        <v>52</v>
      </c>
    </row>
    <row r="49" spans="2:8" x14ac:dyDescent="0.25">
      <c r="B49" s="8"/>
      <c r="C49" s="10" t="s">
        <v>50</v>
      </c>
      <c r="D49" s="8"/>
      <c r="E49" s="39">
        <f>SUM(E33:E48)</f>
        <v>348356959</v>
      </c>
      <c r="F49" s="10"/>
      <c r="G49" s="39">
        <f>SUM(G33:G48)</f>
        <v>12884194420</v>
      </c>
      <c r="H49" s="23"/>
    </row>
    <row r="51" spans="2:8" x14ac:dyDescent="0.25">
      <c r="H51" s="19"/>
    </row>
    <row r="54" spans="2:8" x14ac:dyDescent="0.25">
      <c r="D54" s="19"/>
    </row>
  </sheetData>
  <hyperlinks>
    <hyperlink ref="H33" r:id="rId1" xr:uid="{00000000-0004-0000-0300-000000000000}"/>
    <hyperlink ref="H39" r:id="rId2" xr:uid="{00000000-0004-0000-0300-000001000000}"/>
    <hyperlink ref="H38" r:id="rId3" xr:uid="{00000000-0004-0000-0300-000002000000}"/>
    <hyperlink ref="H37" r:id="rId4" xr:uid="{00000000-0004-0000-0300-000003000000}"/>
    <hyperlink ref="H36" r:id="rId5" xr:uid="{00000000-0004-0000-0300-000004000000}"/>
    <hyperlink ref="H47" r:id="rId6" xr:uid="{00000000-0004-0000-0300-000005000000}"/>
    <hyperlink ref="H40" r:id="rId7" xr:uid="{00000000-0004-0000-0300-000006000000}"/>
    <hyperlink ref="H34" r:id="rId8" xr:uid="{00000000-0004-0000-0300-000007000000}"/>
  </hyperlinks>
  <pageMargins left="0.7" right="0.7" top="0.75" bottom="0.75" header="0.3" footer="0.3"/>
  <pageSetup orientation="portrait" r:id="rId9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59"/>
  <sheetViews>
    <sheetView topLeftCell="I1" zoomScale="59" workbookViewId="0">
      <selection activeCell="L33" sqref="L33"/>
    </sheetView>
  </sheetViews>
  <sheetFormatPr defaultRowHeight="15" x14ac:dyDescent="0.25"/>
  <cols>
    <col min="2" max="2" width="9.28515625" bestFit="1" customWidth="1"/>
    <col min="3" max="3" width="24.7109375" customWidth="1"/>
    <col min="4" max="4" width="24.85546875" customWidth="1"/>
    <col min="5" max="5" width="30.5703125" customWidth="1"/>
    <col min="6" max="6" width="34.85546875" customWidth="1"/>
    <col min="7" max="7" width="27.5703125" customWidth="1"/>
    <col min="8" max="8" width="27" customWidth="1"/>
    <col min="9" max="9" width="33" customWidth="1"/>
    <col min="10" max="10" width="20.85546875" customWidth="1"/>
    <col min="11" max="11" width="31.5703125" customWidth="1"/>
    <col min="12" max="12" width="23.140625" customWidth="1"/>
    <col min="13" max="13" width="20" customWidth="1"/>
  </cols>
  <sheetData>
    <row r="1" spans="2:16" x14ac:dyDescent="0.25">
      <c r="B1" s="1" t="s">
        <v>66</v>
      </c>
      <c r="G1" t="s">
        <v>0</v>
      </c>
    </row>
    <row r="2" spans="2:16" x14ac:dyDescent="0.25">
      <c r="B2" s="2" t="s">
        <v>1</v>
      </c>
      <c r="C2" s="2" t="s">
        <v>2</v>
      </c>
      <c r="D2" s="2" t="s">
        <v>40</v>
      </c>
      <c r="E2" s="2" t="s">
        <v>108</v>
      </c>
      <c r="F2" s="2" t="s">
        <v>36</v>
      </c>
      <c r="G2" s="2" t="s">
        <v>38</v>
      </c>
      <c r="H2" s="2" t="s">
        <v>41</v>
      </c>
      <c r="I2" s="2" t="s">
        <v>42</v>
      </c>
      <c r="J2" s="2" t="s">
        <v>3</v>
      </c>
      <c r="K2" s="2" t="s">
        <v>35</v>
      </c>
      <c r="L2" s="2" t="s">
        <v>43</v>
      </c>
      <c r="M2" s="2" t="s">
        <v>43</v>
      </c>
      <c r="N2" s="14"/>
    </row>
    <row r="3" spans="2:16" x14ac:dyDescent="0.25">
      <c r="B3" s="3" t="s">
        <v>4</v>
      </c>
      <c r="C3" s="4">
        <f>-G59</f>
        <v>-9891493200</v>
      </c>
      <c r="D3" s="13">
        <f>G59</f>
        <v>9891493200</v>
      </c>
      <c r="E3" s="4"/>
      <c r="F3" s="3"/>
      <c r="G3" s="3"/>
      <c r="H3" s="4">
        <f>C3</f>
        <v>-9891493200</v>
      </c>
      <c r="I3" s="4">
        <f>C3</f>
        <v>-9891493200</v>
      </c>
      <c r="J3" s="3">
        <v>1</v>
      </c>
      <c r="K3" s="4">
        <f>-C3</f>
        <v>9891493200</v>
      </c>
      <c r="L3" s="18">
        <v>0.14000000000000001</v>
      </c>
      <c r="M3" s="18">
        <v>0.15</v>
      </c>
      <c r="N3" s="17"/>
      <c r="O3" s="14"/>
    </row>
    <row r="4" spans="2:16" ht="15.75" x14ac:dyDescent="0.25">
      <c r="B4" s="3">
        <v>1</v>
      </c>
      <c r="C4" s="3"/>
      <c r="D4" s="13">
        <f>-$C$3*0.01</f>
        <v>98914932</v>
      </c>
      <c r="E4" s="16">
        <v>1093996</v>
      </c>
      <c r="F4" s="38">
        <v>22721</v>
      </c>
      <c r="G4" s="4">
        <f>(E4*1444)+(F4*865)</f>
        <v>1599383889</v>
      </c>
      <c r="H4" s="4">
        <f>G4-D4</f>
        <v>1500468957</v>
      </c>
      <c r="I4" s="4">
        <f>H4+I3</f>
        <v>-8391024243</v>
      </c>
      <c r="J4" s="6">
        <f>1/(1+0.1)^B4</f>
        <v>0.90909090909090906</v>
      </c>
      <c r="K4" s="13">
        <f>H4*J4</f>
        <v>1364062688.1818182</v>
      </c>
      <c r="L4" s="13">
        <f>H4/(1+$L$3)^B4</f>
        <v>1316200839.4736841</v>
      </c>
      <c r="M4" s="4">
        <f>H4/(1+$M$3)^B4</f>
        <v>1304755614.7826087</v>
      </c>
      <c r="N4" s="17"/>
      <c r="O4" s="17"/>
    </row>
    <row r="5" spans="2:16" x14ac:dyDescent="0.25">
      <c r="B5" s="3">
        <v>2</v>
      </c>
      <c r="C5" s="3"/>
      <c r="D5" s="13">
        <f t="shared" ref="D5:D28" si="0">-$C$3*0.01</f>
        <v>98914932</v>
      </c>
      <c r="E5" s="4">
        <f>E4-E4*0.005</f>
        <v>1088526.02</v>
      </c>
      <c r="F5" s="5">
        <f>F4-F4*0.005</f>
        <v>22607.395</v>
      </c>
      <c r="G5" s="4">
        <f>(E5*1444)+(F5*865)</f>
        <v>1591386969.5550001</v>
      </c>
      <c r="H5" s="4">
        <f>G5-D5</f>
        <v>1492472037.5550001</v>
      </c>
      <c r="I5" s="4">
        <f>H5+I4</f>
        <v>-6898552205.4449997</v>
      </c>
      <c r="J5" s="6">
        <f>1/(1+0.1)^B5</f>
        <v>0.82644628099173545</v>
      </c>
      <c r="K5" s="13">
        <f t="shared" ref="K5:K28" si="1">H5*J5</f>
        <v>1233447964.9214876</v>
      </c>
      <c r="L5" s="13">
        <f t="shared" ref="L5:L28" si="2">H5/(1+$L$3)^B5</f>
        <v>1148408770.0484762</v>
      </c>
      <c r="M5" s="4">
        <f t="shared" ref="M5:M28" si="3">H5/(1+$M$3)^B5</f>
        <v>1128523279.8147449</v>
      </c>
      <c r="N5" s="17"/>
      <c r="O5" s="17"/>
    </row>
    <row r="6" spans="2:16" x14ac:dyDescent="0.25">
      <c r="B6" s="3">
        <v>3</v>
      </c>
      <c r="C6" s="3"/>
      <c r="D6" s="13">
        <f t="shared" si="0"/>
        <v>98914932</v>
      </c>
      <c r="E6" s="4">
        <f t="shared" ref="E6:E27" si="4">E5-E5*0.005</f>
        <v>1083083.3899000001</v>
      </c>
      <c r="F6" s="5">
        <f>F5-F5*0.005</f>
        <v>22494.358025000001</v>
      </c>
      <c r="G6" s="4">
        <f t="shared" ref="G6:G28" si="5">(E6*1444)+(F6*865)</f>
        <v>1583430034.7072253</v>
      </c>
      <c r="H6" s="4">
        <f t="shared" ref="H6:H27" si="6">G6-D6</f>
        <v>1484515102.7072253</v>
      </c>
      <c r="I6" s="4">
        <f t="shared" ref="I6:I28" si="7">H6+I5</f>
        <v>-5414037102.7377739</v>
      </c>
      <c r="J6" s="6">
        <f t="shared" ref="J6:J28" si="8">1/(1+0.1)^B6</f>
        <v>0.75131480090157754</v>
      </c>
      <c r="K6" s="13">
        <f t="shared" si="1"/>
        <v>1115338168.8258638</v>
      </c>
      <c r="L6" s="13">
        <f t="shared" si="2"/>
        <v>1002005409.6990875</v>
      </c>
      <c r="M6" s="4">
        <f t="shared" si="3"/>
        <v>976092777.32044101</v>
      </c>
      <c r="N6" s="17"/>
      <c r="O6" s="17"/>
    </row>
    <row r="7" spans="2:16" x14ac:dyDescent="0.25">
      <c r="B7" s="3">
        <v>4</v>
      </c>
      <c r="C7" s="3"/>
      <c r="D7" s="13">
        <f t="shared" si="0"/>
        <v>98914932</v>
      </c>
      <c r="E7" s="4">
        <f>E6-E6*0.005</f>
        <v>1077667.9729505</v>
      </c>
      <c r="F7" s="5">
        <f t="shared" ref="F7:F28" si="9">F6-F6*0.005</f>
        <v>22381.886234875001</v>
      </c>
      <c r="G7" s="4">
        <f t="shared" si="5"/>
        <v>1575512884.5336888</v>
      </c>
      <c r="H7" s="4">
        <f t="shared" si="6"/>
        <v>1476597952.5336888</v>
      </c>
      <c r="I7" s="4">
        <f t="shared" si="7"/>
        <v>-3937439150.2040854</v>
      </c>
      <c r="J7" s="6">
        <f t="shared" si="8"/>
        <v>0.68301345536507052</v>
      </c>
      <c r="K7" s="13">
        <f t="shared" si="1"/>
        <v>1008536269.7450231</v>
      </c>
      <c r="L7" s="13">
        <f t="shared" si="2"/>
        <v>874264525.30040026</v>
      </c>
      <c r="M7" s="4">
        <f t="shared" si="3"/>
        <v>844249671.79716444</v>
      </c>
      <c r="N7" s="17"/>
      <c r="O7" s="17"/>
    </row>
    <row r="8" spans="2:16" x14ac:dyDescent="0.25">
      <c r="B8" s="3">
        <v>5</v>
      </c>
      <c r="C8" s="3"/>
      <c r="D8" s="13">
        <f t="shared" si="0"/>
        <v>98914932</v>
      </c>
      <c r="E8" s="4">
        <f t="shared" si="4"/>
        <v>1072279.6330857475</v>
      </c>
      <c r="F8" s="5">
        <f>F7-F7*0.005</f>
        <v>22269.976803700625</v>
      </c>
      <c r="G8" s="4">
        <f t="shared" si="5"/>
        <v>1567635320.1110203</v>
      </c>
      <c r="H8" s="4">
        <f t="shared" si="6"/>
        <v>1468720388.1110203</v>
      </c>
      <c r="I8" s="4">
        <f t="shared" si="7"/>
        <v>-2468718762.0930653</v>
      </c>
      <c r="J8" s="6">
        <f t="shared" si="8"/>
        <v>0.62092132305915493</v>
      </c>
      <c r="K8" s="13">
        <f t="shared" si="1"/>
        <v>911959806.58985031</v>
      </c>
      <c r="L8" s="13">
        <f t="shared" si="2"/>
        <v>762807346.29125011</v>
      </c>
      <c r="M8" s="4">
        <f t="shared" si="3"/>
        <v>730213607.62707436</v>
      </c>
      <c r="N8" s="17"/>
      <c r="O8" s="17"/>
      <c r="P8" s="17"/>
    </row>
    <row r="9" spans="2:16" x14ac:dyDescent="0.25">
      <c r="B9" s="3">
        <v>6</v>
      </c>
      <c r="C9" s="3"/>
      <c r="D9" s="13">
        <f t="shared" si="0"/>
        <v>98914932</v>
      </c>
      <c r="E9" s="4">
        <f t="shared" si="4"/>
        <v>1066918.2349203187</v>
      </c>
      <c r="F9" s="5">
        <f>F8-F8*0.005</f>
        <v>22158.626919682123</v>
      </c>
      <c r="G9" s="4">
        <f t="shared" si="5"/>
        <v>1559797143.5104654</v>
      </c>
      <c r="H9" s="4">
        <f t="shared" si="6"/>
        <v>1460882211.5104654</v>
      </c>
      <c r="I9" s="4">
        <f t="shared" si="7"/>
        <v>-1007836550.5825999</v>
      </c>
      <c r="J9" s="6">
        <f t="shared" si="8"/>
        <v>0.56447393005377722</v>
      </c>
      <c r="K9" s="13">
        <f t="shared" si="1"/>
        <v>824629923.27696586</v>
      </c>
      <c r="L9" s="13">
        <f t="shared" si="2"/>
        <v>665558283.31509078</v>
      </c>
      <c r="M9" s="4">
        <f t="shared" si="3"/>
        <v>631579694.41227746</v>
      </c>
      <c r="N9" s="17"/>
      <c r="O9" s="17"/>
    </row>
    <row r="10" spans="2:16" x14ac:dyDescent="0.25">
      <c r="B10" s="3">
        <v>7</v>
      </c>
      <c r="C10" s="3"/>
      <c r="D10" s="13">
        <f t="shared" si="0"/>
        <v>98914932</v>
      </c>
      <c r="E10" s="4">
        <f t="shared" si="4"/>
        <v>1061583.6437457171</v>
      </c>
      <c r="F10" s="5">
        <f t="shared" si="9"/>
        <v>22047.833785083712</v>
      </c>
      <c r="G10" s="4">
        <f t="shared" si="5"/>
        <v>1551998157.792913</v>
      </c>
      <c r="H10" s="4">
        <f t="shared" si="6"/>
        <v>1453083225.792913</v>
      </c>
      <c r="I10" s="4">
        <f t="shared" si="7"/>
        <v>445246675.21031308</v>
      </c>
      <c r="J10" s="6">
        <f t="shared" si="8"/>
        <v>0.51315811823070645</v>
      </c>
      <c r="K10" s="13">
        <f t="shared" si="1"/>
        <v>745661453.780496</v>
      </c>
      <c r="L10" s="13">
        <f t="shared" si="2"/>
        <v>580706289.76894188</v>
      </c>
      <c r="M10" s="4">
        <f t="shared" si="3"/>
        <v>546267806.66648662</v>
      </c>
      <c r="N10" s="17"/>
      <c r="O10" s="17"/>
    </row>
    <row r="11" spans="2:16" x14ac:dyDescent="0.25">
      <c r="B11" s="3">
        <v>8</v>
      </c>
      <c r="C11" s="3"/>
      <c r="D11" s="13">
        <f t="shared" si="0"/>
        <v>98914932</v>
      </c>
      <c r="E11" s="4">
        <f t="shared" si="4"/>
        <v>1056275.7255269885</v>
      </c>
      <c r="F11" s="5">
        <f t="shared" si="9"/>
        <v>21937.594616158294</v>
      </c>
      <c r="G11" s="4">
        <f t="shared" si="5"/>
        <v>1544238167.0039482</v>
      </c>
      <c r="H11" s="4">
        <f t="shared" si="6"/>
        <v>1445323235.0039482</v>
      </c>
      <c r="I11" s="4">
        <f t="shared" si="7"/>
        <v>1890569910.2142613</v>
      </c>
      <c r="J11" s="6">
        <f t="shared" si="8"/>
        <v>0.46650738020973315</v>
      </c>
      <c r="K11" s="13">
        <f t="shared" si="1"/>
        <v>674253955.91794837</v>
      </c>
      <c r="L11" s="13">
        <f t="shared" si="2"/>
        <v>506671147.21682763</v>
      </c>
      <c r="M11" s="4">
        <f t="shared" si="3"/>
        <v>472478729.30387199</v>
      </c>
      <c r="N11" s="17"/>
      <c r="O11" s="17"/>
    </row>
    <row r="12" spans="2:16" x14ac:dyDescent="0.25">
      <c r="B12" s="3">
        <v>9</v>
      </c>
      <c r="C12" s="3"/>
      <c r="D12" s="13">
        <f t="shared" si="0"/>
        <v>98914932</v>
      </c>
      <c r="E12" s="4">
        <f t="shared" si="4"/>
        <v>1050994.3468993537</v>
      </c>
      <c r="F12" s="5">
        <f>F11-F11*0.005</f>
        <v>21827.906643077502</v>
      </c>
      <c r="G12" s="4">
        <f t="shared" si="5"/>
        <v>1536516976.1689289</v>
      </c>
      <c r="H12" s="4">
        <f t="shared" si="6"/>
        <v>1437602044.1689289</v>
      </c>
      <c r="I12" s="4">
        <f t="shared" si="7"/>
        <v>3328171954.3831902</v>
      </c>
      <c r="J12" s="6">
        <f t="shared" si="8"/>
        <v>0.42409761837248466</v>
      </c>
      <c r="K12" s="13">
        <f t="shared" si="1"/>
        <v>609683603.09945822</v>
      </c>
      <c r="L12" s="13">
        <f t="shared" si="2"/>
        <v>442074047.24156213</v>
      </c>
      <c r="M12" s="4">
        <f t="shared" si="3"/>
        <v>408656224.62930381</v>
      </c>
      <c r="N12" s="17"/>
      <c r="O12" s="17"/>
    </row>
    <row r="13" spans="2:16" x14ac:dyDescent="0.25">
      <c r="B13" s="3">
        <v>10</v>
      </c>
      <c r="C13" s="3"/>
      <c r="D13" s="13">
        <f>(G46*J13+D12)</f>
        <v>402144729.13632649</v>
      </c>
      <c r="E13" s="4">
        <f t="shared" si="4"/>
        <v>1045739.3751648569</v>
      </c>
      <c r="F13" s="5">
        <f t="shared" si="9"/>
        <v>21718.767109862114</v>
      </c>
      <c r="G13" s="4">
        <f t="shared" si="5"/>
        <v>1528834391.288084</v>
      </c>
      <c r="H13" s="4">
        <f t="shared" si="6"/>
        <v>1126689662.1517575</v>
      </c>
      <c r="I13" s="4">
        <f t="shared" si="7"/>
        <v>4454861616.5349474</v>
      </c>
      <c r="J13" s="6">
        <f t="shared" si="8"/>
        <v>0.38554328942953148</v>
      </c>
      <c r="K13" s="13">
        <f t="shared" si="1"/>
        <v>434387638.51223606</v>
      </c>
      <c r="L13" s="13">
        <f t="shared" si="2"/>
        <v>303917561.61437565</v>
      </c>
      <c r="M13" s="4">
        <f t="shared" si="3"/>
        <v>278500453.02952653</v>
      </c>
      <c r="N13" s="17"/>
      <c r="O13" s="17"/>
      <c r="P13" s="17"/>
    </row>
    <row r="14" spans="2:16" x14ac:dyDescent="0.25">
      <c r="B14" s="3">
        <v>11</v>
      </c>
      <c r="C14" s="3"/>
      <c r="D14" s="13">
        <f t="shared" si="0"/>
        <v>98914932</v>
      </c>
      <c r="E14" s="4">
        <f>E13-E13*0.005</f>
        <v>1040510.6782890327</v>
      </c>
      <c r="F14" s="5">
        <f t="shared" si="9"/>
        <v>21610.173274312805</v>
      </c>
      <c r="G14" s="4">
        <f t="shared" si="5"/>
        <v>1521190219.3316438</v>
      </c>
      <c r="H14" s="4">
        <f t="shared" si="6"/>
        <v>1422275287.3316438</v>
      </c>
      <c r="I14" s="4">
        <f t="shared" si="7"/>
        <v>5877136903.8665915</v>
      </c>
      <c r="J14" s="6">
        <f t="shared" si="8"/>
        <v>0.3504938994813922</v>
      </c>
      <c r="K14" s="13">
        <f t="shared" si="1"/>
        <v>498498811.59288538</v>
      </c>
      <c r="L14" s="13">
        <f t="shared" si="2"/>
        <v>336535047.5345819</v>
      </c>
      <c r="M14" s="4">
        <f t="shared" si="3"/>
        <v>305708433.8464911</v>
      </c>
      <c r="N14" s="17"/>
      <c r="O14" s="17"/>
    </row>
    <row r="15" spans="2:16" x14ac:dyDescent="0.25">
      <c r="B15" s="3">
        <v>12</v>
      </c>
      <c r="C15" s="3"/>
      <c r="D15" s="13">
        <f t="shared" si="0"/>
        <v>98914932</v>
      </c>
      <c r="E15" s="4">
        <f t="shared" si="4"/>
        <v>1035308.1248975875</v>
      </c>
      <c r="F15" s="5">
        <f>F14-F14*0.005</f>
        <v>21502.122407941242</v>
      </c>
      <c r="G15" s="4">
        <f t="shared" si="5"/>
        <v>1513584268.2349856</v>
      </c>
      <c r="H15" s="4">
        <f t="shared" si="6"/>
        <v>1414669336.2349856</v>
      </c>
      <c r="I15" s="4">
        <f t="shared" si="7"/>
        <v>7291806240.1015768</v>
      </c>
      <c r="J15" s="6">
        <f t="shared" si="8"/>
        <v>0.31863081771035656</v>
      </c>
      <c r="K15" s="13">
        <f t="shared" si="1"/>
        <v>450757247.39432079</v>
      </c>
      <c r="L15" s="13">
        <f t="shared" si="2"/>
        <v>293627497.66512489</v>
      </c>
      <c r="M15" s="4">
        <f t="shared" si="3"/>
        <v>264411814.09214371</v>
      </c>
      <c r="N15" s="17"/>
      <c r="O15" s="17"/>
    </row>
    <row r="16" spans="2:16" x14ac:dyDescent="0.25">
      <c r="B16" s="3">
        <v>13</v>
      </c>
      <c r="C16" s="3"/>
      <c r="D16" s="13">
        <f t="shared" si="0"/>
        <v>98914932</v>
      </c>
      <c r="E16" s="4">
        <f t="shared" si="4"/>
        <v>1030131.5842730996</v>
      </c>
      <c r="F16" s="5">
        <f t="shared" si="9"/>
        <v>21394.611795901536</v>
      </c>
      <c r="G16" s="4">
        <f t="shared" si="5"/>
        <v>1506016346.8938105</v>
      </c>
      <c r="H16" s="4">
        <f t="shared" si="6"/>
        <v>1407101414.8938105</v>
      </c>
      <c r="I16" s="4">
        <f t="shared" si="7"/>
        <v>8698907654.995388</v>
      </c>
      <c r="J16" s="6">
        <f t="shared" si="8"/>
        <v>0.28966437973668779</v>
      </c>
      <c r="K16" s="13">
        <f t="shared" si="1"/>
        <v>407587158.57183141</v>
      </c>
      <c r="L16" s="13">
        <f t="shared" si="2"/>
        <v>256190093.60024968</v>
      </c>
      <c r="M16" s="4">
        <f t="shared" si="3"/>
        <v>228693317.80993721</v>
      </c>
      <c r="N16" s="17"/>
      <c r="O16" s="17"/>
    </row>
    <row r="17" spans="2:17" x14ac:dyDescent="0.25">
      <c r="B17" s="3">
        <v>14</v>
      </c>
      <c r="C17" s="3"/>
      <c r="D17" s="13">
        <f t="shared" si="0"/>
        <v>98914932</v>
      </c>
      <c r="E17" s="4">
        <f t="shared" si="4"/>
        <v>1024980.9263517341</v>
      </c>
      <c r="F17" s="5">
        <f t="shared" si="9"/>
        <v>21287.638736922028</v>
      </c>
      <c r="G17" s="4">
        <f t="shared" si="5"/>
        <v>1498486265.1593416</v>
      </c>
      <c r="H17" s="4">
        <f t="shared" si="6"/>
        <v>1399571333.1593416</v>
      </c>
      <c r="I17" s="4">
        <f t="shared" si="7"/>
        <v>10098478988.15473</v>
      </c>
      <c r="J17" s="6">
        <f t="shared" si="8"/>
        <v>0.26333125430607973</v>
      </c>
      <c r="K17" s="13">
        <f t="shared" si="1"/>
        <v>368550874.6516816</v>
      </c>
      <c r="L17" s="13">
        <f t="shared" si="2"/>
        <v>223525523.00573152</v>
      </c>
      <c r="M17" s="4">
        <f t="shared" si="3"/>
        <v>197799538.27127829</v>
      </c>
      <c r="N17" s="17"/>
      <c r="O17" s="17"/>
    </row>
    <row r="18" spans="2:17" x14ac:dyDescent="0.25">
      <c r="B18" s="3">
        <v>15</v>
      </c>
      <c r="C18" s="3"/>
      <c r="D18" s="13">
        <f t="shared" si="0"/>
        <v>98914932</v>
      </c>
      <c r="E18" s="4">
        <f t="shared" si="4"/>
        <v>1019856.0217199754</v>
      </c>
      <c r="F18" s="5">
        <f t="shared" si="9"/>
        <v>21181.200543237417</v>
      </c>
      <c r="G18" s="4">
        <f t="shared" si="5"/>
        <v>1490993833.8335447</v>
      </c>
      <c r="H18" s="4">
        <f t="shared" si="6"/>
        <v>1392078901.8335447</v>
      </c>
      <c r="I18" s="4">
        <f t="shared" si="7"/>
        <v>11490557889.988274</v>
      </c>
      <c r="J18" s="6">
        <f t="shared" si="8"/>
        <v>0.23939204936916339</v>
      </c>
      <c r="K18" s="13">
        <f t="shared" si="1"/>
        <v>333252621.19350672</v>
      </c>
      <c r="L18" s="13">
        <f t="shared" si="2"/>
        <v>195025356.90957731</v>
      </c>
      <c r="M18" s="4">
        <f t="shared" si="3"/>
        <v>171078820.00604364</v>
      </c>
      <c r="N18" s="17"/>
      <c r="O18" s="17"/>
    </row>
    <row r="19" spans="2:17" x14ac:dyDescent="0.25">
      <c r="B19" s="3">
        <v>16</v>
      </c>
      <c r="C19" s="3"/>
      <c r="D19" s="13">
        <f t="shared" si="0"/>
        <v>98914932</v>
      </c>
      <c r="E19" s="4">
        <f t="shared" si="4"/>
        <v>1014756.7416113755</v>
      </c>
      <c r="F19" s="5">
        <f t="shared" si="9"/>
        <v>21075.29454052123</v>
      </c>
      <c r="G19" s="4">
        <f t="shared" si="5"/>
        <v>1483538864.6643772</v>
      </c>
      <c r="H19" s="4">
        <f t="shared" si="6"/>
        <v>1384623932.6643772</v>
      </c>
      <c r="I19" s="4">
        <f t="shared" si="7"/>
        <v>12875181822.652651</v>
      </c>
      <c r="J19" s="6">
        <f t="shared" si="8"/>
        <v>0.21762913579014853</v>
      </c>
      <c r="K19" s="13">
        <f t="shared" si="1"/>
        <v>301334509.86010522</v>
      </c>
      <c r="L19" s="13">
        <f t="shared" si="2"/>
        <v>170158721.01319551</v>
      </c>
      <c r="M19" s="4">
        <f t="shared" si="3"/>
        <v>147967517.74589321</v>
      </c>
      <c r="N19" s="17"/>
      <c r="O19" s="17"/>
    </row>
    <row r="20" spans="2:17" x14ac:dyDescent="0.25">
      <c r="B20" s="3">
        <v>17</v>
      </c>
      <c r="C20" s="3"/>
      <c r="D20" s="13">
        <f t="shared" si="0"/>
        <v>98914932</v>
      </c>
      <c r="E20" s="4">
        <f t="shared" si="4"/>
        <v>1009682.9579033186</v>
      </c>
      <c r="F20" s="5">
        <f>F19-F19*0.005</f>
        <v>20969.918067818624</v>
      </c>
      <c r="G20" s="4">
        <f t="shared" si="5"/>
        <v>1476121170.3410552</v>
      </c>
      <c r="H20" s="4">
        <f t="shared" si="6"/>
        <v>1377206238.3410552</v>
      </c>
      <c r="I20" s="4">
        <f t="shared" si="7"/>
        <v>14252388060.993706</v>
      </c>
      <c r="J20" s="6">
        <f t="shared" si="8"/>
        <v>0.19784466890013502</v>
      </c>
      <c r="K20" s="13">
        <f t="shared" si="1"/>
        <v>272472912.23178649</v>
      </c>
      <c r="L20" s="13">
        <f t="shared" si="2"/>
        <v>148462410.79969302</v>
      </c>
      <c r="M20" s="4">
        <f t="shared" si="3"/>
        <v>127978110.91304497</v>
      </c>
      <c r="N20" s="17"/>
      <c r="O20" s="17"/>
    </row>
    <row r="21" spans="2:17" x14ac:dyDescent="0.25">
      <c r="B21" s="3">
        <v>18</v>
      </c>
      <c r="C21" s="3"/>
      <c r="D21" s="13">
        <f t="shared" si="0"/>
        <v>98914932</v>
      </c>
      <c r="E21" s="4">
        <f t="shared" si="4"/>
        <v>1004634.543113802</v>
      </c>
      <c r="F21" s="5">
        <f>F20-F20*0.005</f>
        <v>20865.06847747953</v>
      </c>
      <c r="G21" s="4">
        <f t="shared" si="5"/>
        <v>1468740564.4893498</v>
      </c>
      <c r="H21" s="4">
        <f t="shared" si="6"/>
        <v>1369825632.4893498</v>
      </c>
      <c r="I21" s="4">
        <f t="shared" si="7"/>
        <v>15622213693.483055</v>
      </c>
      <c r="J21" s="6">
        <f t="shared" si="8"/>
        <v>0.17985878990921364</v>
      </c>
      <c r="K21" s="13">
        <f t="shared" si="1"/>
        <v>246375180.64615768</v>
      </c>
      <c r="L21" s="13">
        <f t="shared" si="2"/>
        <v>129532266.44630067</v>
      </c>
      <c r="M21" s="4">
        <f t="shared" si="3"/>
        <v>110688923.1040376</v>
      </c>
      <c r="N21" s="17"/>
      <c r="O21" s="17"/>
    </row>
    <row r="22" spans="2:17" x14ac:dyDescent="0.25">
      <c r="B22" s="3">
        <v>19</v>
      </c>
      <c r="C22" s="3"/>
      <c r="D22" s="13">
        <f t="shared" si="0"/>
        <v>98914932</v>
      </c>
      <c r="E22" s="4">
        <f t="shared" si="4"/>
        <v>999611.37039823295</v>
      </c>
      <c r="F22" s="5">
        <f t="shared" si="9"/>
        <v>20760.743135092132</v>
      </c>
      <c r="G22" s="4">
        <f t="shared" si="5"/>
        <v>1461396861.666903</v>
      </c>
      <c r="H22" s="4">
        <f t="shared" si="6"/>
        <v>1362481929.666903</v>
      </c>
      <c r="I22" s="4">
        <f t="shared" si="7"/>
        <v>16984695623.149958</v>
      </c>
      <c r="J22" s="6">
        <f t="shared" si="8"/>
        <v>0.16350799082655781</v>
      </c>
      <c r="K22" s="13">
        <f t="shared" si="1"/>
        <v>222776682.85732678</v>
      </c>
      <c r="L22" s="13">
        <f t="shared" si="2"/>
        <v>113015646.99378814</v>
      </c>
      <c r="M22" s="4">
        <f t="shared" si="3"/>
        <v>95735229.847227588</v>
      </c>
      <c r="N22" s="17"/>
      <c r="O22" s="17"/>
    </row>
    <row r="23" spans="2:17" x14ac:dyDescent="0.25">
      <c r="B23" s="3">
        <v>20</v>
      </c>
      <c r="C23" s="3"/>
      <c r="D23" s="13">
        <f>(G46*J23)+D22</f>
        <v>215823145.44098884</v>
      </c>
      <c r="E23" s="4">
        <f>E22-E22*0.005</f>
        <v>994613.31354624173</v>
      </c>
      <c r="F23" s="5">
        <f t="shared" si="9"/>
        <v>20656.939419416671</v>
      </c>
      <c r="G23" s="4">
        <f t="shared" si="5"/>
        <v>1454089877.3585684</v>
      </c>
      <c r="H23" s="4">
        <f t="shared" si="6"/>
        <v>1238266731.9175797</v>
      </c>
      <c r="I23" s="4">
        <f t="shared" si="7"/>
        <v>18222962355.067535</v>
      </c>
      <c r="J23" s="6">
        <f t="shared" si="8"/>
        <v>0.14864362802414349</v>
      </c>
      <c r="K23" s="13">
        <f t="shared" si="1"/>
        <v>184060459.49382851</v>
      </c>
      <c r="L23" s="13">
        <f t="shared" si="2"/>
        <v>90098420.667766318</v>
      </c>
      <c r="M23" s="4">
        <f t="shared" si="3"/>
        <v>75658442.722971335</v>
      </c>
      <c r="N23" s="17"/>
      <c r="O23" s="17"/>
    </row>
    <row r="24" spans="2:17" x14ac:dyDescent="0.25">
      <c r="B24" s="3">
        <v>21</v>
      </c>
      <c r="C24" s="3"/>
      <c r="D24" s="13">
        <f t="shared" si="0"/>
        <v>98914932</v>
      </c>
      <c r="E24" s="4">
        <f t="shared" si="4"/>
        <v>989640.24697851052</v>
      </c>
      <c r="F24" s="5">
        <f>F23-F23*0.005</f>
        <v>20553.654722319588</v>
      </c>
      <c r="G24" s="4">
        <f t="shared" si="5"/>
        <v>1446819427.9717755</v>
      </c>
      <c r="H24" s="4">
        <f t="shared" si="6"/>
        <v>1347904495.9717755</v>
      </c>
      <c r="I24" s="4">
        <f t="shared" si="7"/>
        <v>19570866851.03931</v>
      </c>
      <c r="J24" s="6">
        <f t="shared" si="8"/>
        <v>0.13513057093103953</v>
      </c>
      <c r="K24" s="13">
        <f t="shared" si="1"/>
        <v>182143104.10118109</v>
      </c>
      <c r="L24" s="13">
        <f t="shared" si="2"/>
        <v>86031450.229310066</v>
      </c>
      <c r="M24" s="4">
        <f t="shared" si="3"/>
        <v>71615078.86008805</v>
      </c>
      <c r="N24" s="17"/>
      <c r="O24" s="17"/>
    </row>
    <row r="25" spans="2:17" x14ac:dyDescent="0.25">
      <c r="B25" s="3">
        <v>22</v>
      </c>
      <c r="C25" s="3"/>
      <c r="D25" s="13">
        <f t="shared" si="0"/>
        <v>98914932</v>
      </c>
      <c r="E25" s="4">
        <f t="shared" si="4"/>
        <v>984692.04574361793</v>
      </c>
      <c r="F25" s="5">
        <f t="shared" si="9"/>
        <v>20450.886448707992</v>
      </c>
      <c r="G25" s="4">
        <f t="shared" si="5"/>
        <v>1439585330.8319168</v>
      </c>
      <c r="H25" s="4">
        <f t="shared" si="6"/>
        <v>1340670398.8319168</v>
      </c>
      <c r="I25" s="4">
        <f t="shared" si="7"/>
        <v>20911537249.871227</v>
      </c>
      <c r="J25" s="6">
        <f t="shared" si="8"/>
        <v>0.12284597357367227</v>
      </c>
      <c r="K25" s="13">
        <f t="shared" si="1"/>
        <v>164695960.38591033</v>
      </c>
      <c r="L25" s="13">
        <f t="shared" si="2"/>
        <v>75061163.350880697</v>
      </c>
      <c r="M25" s="4">
        <f t="shared" si="3"/>
        <v>61939762.068788528</v>
      </c>
      <c r="N25" s="17"/>
      <c r="O25" s="17"/>
    </row>
    <row r="26" spans="2:17" x14ac:dyDescent="0.25">
      <c r="B26" s="3">
        <v>23</v>
      </c>
      <c r="C26" s="3"/>
      <c r="D26" s="13">
        <f t="shared" si="0"/>
        <v>98914932</v>
      </c>
      <c r="E26" s="4">
        <f t="shared" si="4"/>
        <v>979768.58551489981</v>
      </c>
      <c r="F26" s="5">
        <f t="shared" si="9"/>
        <v>20348.632016464453</v>
      </c>
      <c r="G26" s="4">
        <f t="shared" si="5"/>
        <v>1432387404.177757</v>
      </c>
      <c r="H26" s="4">
        <f t="shared" si="6"/>
        <v>1333472472.177757</v>
      </c>
      <c r="I26" s="4">
        <f t="shared" si="7"/>
        <v>22245009722.048985</v>
      </c>
      <c r="J26" s="6">
        <f t="shared" si="8"/>
        <v>0.11167815779424752</v>
      </c>
      <c r="K26" s="13">
        <f t="shared" si="1"/>
        <v>148919749.16215289</v>
      </c>
      <c r="L26" s="13">
        <f t="shared" si="2"/>
        <v>65489620.522271797</v>
      </c>
      <c r="M26" s="4">
        <f t="shared" si="3"/>
        <v>53571490.102480508</v>
      </c>
      <c r="N26" s="17"/>
      <c r="O26" s="17"/>
      <c r="P26" s="1"/>
      <c r="Q26" s="7"/>
    </row>
    <row r="27" spans="2:17" x14ac:dyDescent="0.25">
      <c r="B27" s="3">
        <v>24</v>
      </c>
      <c r="C27" s="3"/>
      <c r="D27" s="13">
        <f t="shared" si="0"/>
        <v>98914932</v>
      </c>
      <c r="E27" s="4">
        <f t="shared" si="4"/>
        <v>974869.74258732528</v>
      </c>
      <c r="F27" s="5">
        <f t="shared" si="9"/>
        <v>20246.888856382131</v>
      </c>
      <c r="G27" s="4">
        <f t="shared" si="5"/>
        <v>1425225467.1568682</v>
      </c>
      <c r="H27" s="4">
        <f t="shared" si="6"/>
        <v>1326310535.1568682</v>
      </c>
      <c r="I27" s="4">
        <f t="shared" si="7"/>
        <v>23571320257.205853</v>
      </c>
      <c r="J27" s="6">
        <f t="shared" si="8"/>
        <v>0.10152559799477048</v>
      </c>
      <c r="K27" s="13">
        <f t="shared" si="1"/>
        <v>134654470.20856512</v>
      </c>
      <c r="L27" s="13">
        <f t="shared" si="2"/>
        <v>57138493.705506667</v>
      </c>
      <c r="M27" s="4">
        <f t="shared" si="3"/>
        <v>46333707.303721227</v>
      </c>
      <c r="N27" s="17"/>
      <c r="O27" s="17"/>
    </row>
    <row r="28" spans="2:17" x14ac:dyDescent="0.25">
      <c r="B28" s="3">
        <v>25</v>
      </c>
      <c r="C28" s="3"/>
      <c r="D28" s="13">
        <f t="shared" si="0"/>
        <v>98914932</v>
      </c>
      <c r="E28" s="4">
        <f>E27-E27*0.005</f>
        <v>969995.39387438865</v>
      </c>
      <c r="F28" s="5">
        <f t="shared" si="9"/>
        <v>20145.654412100219</v>
      </c>
      <c r="G28" s="4">
        <f t="shared" si="5"/>
        <v>1418099339.821084</v>
      </c>
      <c r="H28" s="4">
        <f>G28-D28</f>
        <v>1319184407.821084</v>
      </c>
      <c r="I28" s="4">
        <f t="shared" si="7"/>
        <v>24890504665.026936</v>
      </c>
      <c r="J28" s="6">
        <f t="shared" si="8"/>
        <v>9.2295998177064048E-2</v>
      </c>
      <c r="K28" s="13">
        <f t="shared" si="1"/>
        <v>121755441.69946608</v>
      </c>
      <c r="L28" s="13">
        <f t="shared" si="2"/>
        <v>49852188.223125115</v>
      </c>
      <c r="M28" s="4">
        <f t="shared" si="3"/>
        <v>40073705.353190415</v>
      </c>
      <c r="N28" s="17"/>
      <c r="O28" s="17"/>
    </row>
    <row r="29" spans="2:17" x14ac:dyDescent="0.25">
      <c r="D29" s="19">
        <f>SUM(D3:D28)</f>
        <v>12784504510.577314</v>
      </c>
      <c r="G29" s="17">
        <f>SUM(G3:G28)</f>
        <v>37675009175.604256</v>
      </c>
      <c r="H29" s="17">
        <f>SUM(H3:H28)</f>
        <v>24890504665.026936</v>
      </c>
      <c r="K29" s="19">
        <f>SUM(K4:K28)</f>
        <v>12959796656.901854</v>
      </c>
      <c r="L29" s="19">
        <f>SUM(L4:L28)</f>
        <v>9892358120.6368008</v>
      </c>
      <c r="M29" s="17">
        <f>SUM(M4:M28)</f>
        <v>9320571751.4308376</v>
      </c>
      <c r="O29" s="17"/>
    </row>
    <row r="30" spans="2:17" x14ac:dyDescent="0.25">
      <c r="G30" s="17"/>
      <c r="K30" s="19">
        <f>K29-G59</f>
        <v>3068303456.9018536</v>
      </c>
      <c r="L30" s="17">
        <f>L29+C3</f>
        <v>864920.63680076599</v>
      </c>
      <c r="M30" s="17">
        <f>M29+C3</f>
        <v>-570921448.56916237</v>
      </c>
    </row>
    <row r="31" spans="2:17" x14ac:dyDescent="0.25">
      <c r="N31" s="14"/>
    </row>
    <row r="32" spans="2:17" x14ac:dyDescent="0.25">
      <c r="F32" t="s">
        <v>51</v>
      </c>
      <c r="K32" t="s">
        <v>46</v>
      </c>
      <c r="L32" s="20">
        <f>L30/(L30-M30)*(M3-L3)+L3</f>
        <v>0.14001512663965743</v>
      </c>
      <c r="N32" s="15"/>
      <c r="O32" s="14"/>
      <c r="P32" s="15"/>
    </row>
    <row r="33" spans="2:16" x14ac:dyDescent="0.25">
      <c r="K33" t="s">
        <v>47</v>
      </c>
      <c r="L33" s="19">
        <f>SUM(K4:K28) - K3</f>
        <v>3068303456.9018536</v>
      </c>
      <c r="N33" s="15"/>
      <c r="O33" s="15"/>
      <c r="P33" s="15"/>
    </row>
    <row r="34" spans="2:16" x14ac:dyDescent="0.25">
      <c r="K34" t="s">
        <v>48</v>
      </c>
      <c r="L34" s="21">
        <f>B9+(-I9/H10)</f>
        <v>6.6935848771034072</v>
      </c>
      <c r="N34" s="15"/>
      <c r="O34" s="15"/>
      <c r="P34" s="15"/>
    </row>
    <row r="35" spans="2:16" x14ac:dyDescent="0.25">
      <c r="K35" t="s">
        <v>49</v>
      </c>
      <c r="L35" s="34">
        <f>K29/G59</f>
        <v>1.3101961852333734</v>
      </c>
      <c r="N35" s="15"/>
      <c r="O35" s="15"/>
      <c r="P35" s="15"/>
    </row>
    <row r="36" spans="2:16" x14ac:dyDescent="0.25">
      <c r="N36" s="15"/>
      <c r="O36" s="15"/>
      <c r="P36" s="15"/>
    </row>
    <row r="37" spans="2:16" x14ac:dyDescent="0.25">
      <c r="N37" s="15"/>
      <c r="O37" s="15"/>
      <c r="P37" s="15"/>
    </row>
    <row r="38" spans="2:16" x14ac:dyDescent="0.25">
      <c r="N38" s="15"/>
      <c r="O38" s="15"/>
      <c r="P38" s="15"/>
    </row>
    <row r="39" spans="2:16" x14ac:dyDescent="0.25">
      <c r="N39" s="15"/>
      <c r="O39" s="15"/>
      <c r="P39" s="15"/>
    </row>
    <row r="40" spans="2:16" x14ac:dyDescent="0.25">
      <c r="N40" s="15"/>
      <c r="O40" s="15"/>
      <c r="P40" s="15"/>
    </row>
    <row r="41" spans="2:16" x14ac:dyDescent="0.25">
      <c r="O41" s="15"/>
      <c r="P41" s="15"/>
    </row>
    <row r="45" spans="2:16" x14ac:dyDescent="0.25">
      <c r="B45" s="2" t="s">
        <v>5</v>
      </c>
      <c r="C45" s="2" t="s">
        <v>6</v>
      </c>
      <c r="D45" s="2" t="s">
        <v>7</v>
      </c>
      <c r="E45" s="2" t="s">
        <v>8</v>
      </c>
      <c r="F45" s="2" t="s">
        <v>21</v>
      </c>
      <c r="G45" s="2" t="s">
        <v>22</v>
      </c>
      <c r="H45" s="2" t="s">
        <v>9</v>
      </c>
    </row>
    <row r="46" spans="2:16" ht="75" x14ac:dyDescent="0.25">
      <c r="B46" s="8">
        <v>1</v>
      </c>
      <c r="C46" s="40" t="s">
        <v>11</v>
      </c>
      <c r="D46" s="41" t="s">
        <v>23</v>
      </c>
      <c r="E46" s="39">
        <v>78650000</v>
      </c>
      <c r="F46" s="10">
        <v>10</v>
      </c>
      <c r="G46" s="12">
        <f>E46*F46</f>
        <v>786500000</v>
      </c>
      <c r="H46" s="9" t="s">
        <v>78</v>
      </c>
    </row>
    <row r="47" spans="2:16" ht="30" x14ac:dyDescent="0.25">
      <c r="B47" s="8">
        <v>2</v>
      </c>
      <c r="C47" s="42" t="s">
        <v>10</v>
      </c>
      <c r="D47" s="41" t="s">
        <v>25</v>
      </c>
      <c r="E47" s="39">
        <v>2350000</v>
      </c>
      <c r="F47" s="10">
        <v>3420</v>
      </c>
      <c r="G47" s="12">
        <f t="shared" ref="G47:G58" si="10">E47*F47</f>
        <v>8037000000</v>
      </c>
      <c r="H47" s="9" t="s">
        <v>26</v>
      </c>
    </row>
    <row r="48" spans="2:16" ht="105" x14ac:dyDescent="0.25">
      <c r="B48" s="8">
        <v>3</v>
      </c>
      <c r="C48" s="42" t="s">
        <v>12</v>
      </c>
      <c r="D48" s="43" t="s">
        <v>71</v>
      </c>
      <c r="E48" s="39">
        <v>3100000</v>
      </c>
      <c r="F48" s="10">
        <v>36</v>
      </c>
      <c r="G48" s="12">
        <f t="shared" si="10"/>
        <v>111600000</v>
      </c>
      <c r="H48" s="9" t="s">
        <v>72</v>
      </c>
    </row>
    <row r="49" spans="2:8" ht="30" x14ac:dyDescent="0.25">
      <c r="B49" s="8">
        <v>4</v>
      </c>
      <c r="C49" s="42" t="s">
        <v>13</v>
      </c>
      <c r="D49" s="43" t="s">
        <v>28</v>
      </c>
      <c r="E49" s="39">
        <v>4000</v>
      </c>
      <c r="F49" s="10">
        <v>2080</v>
      </c>
      <c r="G49" s="12">
        <f t="shared" si="10"/>
        <v>8320000</v>
      </c>
      <c r="H49" s="9" t="s">
        <v>30</v>
      </c>
    </row>
    <row r="50" spans="2:8" ht="30" x14ac:dyDescent="0.25">
      <c r="B50" s="8">
        <v>5</v>
      </c>
      <c r="C50" s="42" t="s">
        <v>14</v>
      </c>
      <c r="D50" s="43" t="s">
        <v>29</v>
      </c>
      <c r="E50" s="39">
        <v>15000</v>
      </c>
      <c r="F50" s="10">
        <v>2080</v>
      </c>
      <c r="G50" s="12">
        <f t="shared" si="10"/>
        <v>31200000</v>
      </c>
      <c r="H50" s="9" t="s">
        <v>31</v>
      </c>
    </row>
    <row r="51" spans="2:8" ht="30" x14ac:dyDescent="0.25">
      <c r="B51" s="8">
        <v>6</v>
      </c>
      <c r="C51" s="42" t="s">
        <v>15</v>
      </c>
      <c r="D51" s="43" t="s">
        <v>18</v>
      </c>
      <c r="E51" s="39">
        <v>13000</v>
      </c>
      <c r="F51" s="10">
        <v>2080</v>
      </c>
      <c r="G51" s="12">
        <f t="shared" si="10"/>
        <v>27040000</v>
      </c>
      <c r="H51" s="9" t="s">
        <v>32</v>
      </c>
    </row>
    <row r="52" spans="2:8" ht="30" x14ac:dyDescent="0.25">
      <c r="B52" s="8">
        <v>7</v>
      </c>
      <c r="C52" s="44" t="s">
        <v>16</v>
      </c>
      <c r="D52" s="43" t="s">
        <v>19</v>
      </c>
      <c r="E52" s="39">
        <v>22000</v>
      </c>
      <c r="F52" s="10">
        <v>4160</v>
      </c>
      <c r="G52" s="12">
        <f t="shared" si="10"/>
        <v>91520000</v>
      </c>
      <c r="H52" s="9" t="s">
        <v>33</v>
      </c>
    </row>
    <row r="53" spans="2:8" ht="75" x14ac:dyDescent="0.25">
      <c r="B53" s="8">
        <v>8</v>
      </c>
      <c r="C53" s="45" t="s">
        <v>82</v>
      </c>
      <c r="D53" s="43" t="s">
        <v>83</v>
      </c>
      <c r="E53" s="39">
        <v>75800</v>
      </c>
      <c r="F53" s="10">
        <v>3600</v>
      </c>
      <c r="G53" s="12">
        <f t="shared" si="10"/>
        <v>272880000</v>
      </c>
      <c r="H53" s="9" t="s">
        <v>87</v>
      </c>
    </row>
    <row r="54" spans="2:8" ht="75" x14ac:dyDescent="0.25">
      <c r="B54" s="8">
        <v>9</v>
      </c>
      <c r="C54" s="45" t="s">
        <v>84</v>
      </c>
      <c r="D54" s="43" t="s">
        <v>85</v>
      </c>
      <c r="E54" s="39">
        <v>2500000</v>
      </c>
      <c r="F54" s="10">
        <v>3</v>
      </c>
      <c r="G54" s="12">
        <f t="shared" si="10"/>
        <v>7500000</v>
      </c>
      <c r="H54" s="9" t="s">
        <v>86</v>
      </c>
    </row>
    <row r="55" spans="2:8" ht="90" x14ac:dyDescent="0.25">
      <c r="B55" s="8">
        <v>10</v>
      </c>
      <c r="C55" s="45" t="s">
        <v>88</v>
      </c>
      <c r="D55" s="43" t="s">
        <v>94</v>
      </c>
      <c r="E55" s="39">
        <v>141191</v>
      </c>
      <c r="F55" s="10">
        <v>1200</v>
      </c>
      <c r="G55" s="12">
        <f t="shared" si="10"/>
        <v>169429200</v>
      </c>
      <c r="H55" s="9" t="s">
        <v>90</v>
      </c>
    </row>
    <row r="56" spans="2:8" ht="60" x14ac:dyDescent="0.25">
      <c r="B56" s="8">
        <v>11</v>
      </c>
      <c r="C56" s="45" t="s">
        <v>79</v>
      </c>
      <c r="D56" s="43" t="s">
        <v>80</v>
      </c>
      <c r="E56" s="39">
        <v>5200</v>
      </c>
      <c r="F56" s="10">
        <v>3420</v>
      </c>
      <c r="G56" s="12">
        <f t="shared" si="10"/>
        <v>17784000</v>
      </c>
      <c r="H56" s="9" t="s">
        <v>81</v>
      </c>
    </row>
    <row r="57" spans="2:8" ht="105" x14ac:dyDescent="0.25">
      <c r="B57" s="8">
        <v>12</v>
      </c>
      <c r="C57" s="45" t="s">
        <v>91</v>
      </c>
      <c r="D57" s="43" t="s">
        <v>93</v>
      </c>
      <c r="E57" s="39">
        <v>78000</v>
      </c>
      <c r="F57" s="10">
        <v>3120</v>
      </c>
      <c r="G57" s="12">
        <f t="shared" si="10"/>
        <v>243360000</v>
      </c>
      <c r="H57" s="9" t="s">
        <v>92</v>
      </c>
    </row>
    <row r="58" spans="2:8" ht="30" x14ac:dyDescent="0.25">
      <c r="B58" s="8">
        <v>13</v>
      </c>
      <c r="C58" s="45" t="s">
        <v>17</v>
      </c>
      <c r="D58" s="43" t="s">
        <v>20</v>
      </c>
      <c r="E58" s="39">
        <v>14000</v>
      </c>
      <c r="F58" s="10">
        <v>6240</v>
      </c>
      <c r="G58" s="12">
        <f t="shared" si="10"/>
        <v>87360000</v>
      </c>
      <c r="H58" s="9" t="s">
        <v>34</v>
      </c>
    </row>
    <row r="59" spans="2:8" x14ac:dyDescent="0.25">
      <c r="B59" s="8"/>
      <c r="C59" s="10" t="s">
        <v>39</v>
      </c>
      <c r="D59" s="8"/>
      <c r="E59" s="39">
        <f>SUM(E46:E58)</f>
        <v>86968191</v>
      </c>
      <c r="F59" s="10"/>
      <c r="G59" s="12">
        <f>SUM(G46:G58)</f>
        <v>9891493200</v>
      </c>
      <c r="H59" s="3"/>
    </row>
  </sheetData>
  <hyperlinks>
    <hyperlink ref="H52" r:id="rId1" xr:uid="{00000000-0004-0000-0400-000000000000}"/>
    <hyperlink ref="H51" r:id="rId2" xr:uid="{00000000-0004-0000-0400-000001000000}"/>
    <hyperlink ref="H50" r:id="rId3" xr:uid="{00000000-0004-0000-0400-000002000000}"/>
    <hyperlink ref="H49" r:id="rId4" xr:uid="{00000000-0004-0000-0400-000003000000}"/>
    <hyperlink ref="H47" r:id="rId5" xr:uid="{00000000-0004-0000-0400-000004000000}"/>
    <hyperlink ref="H58" r:id="rId6" xr:uid="{00000000-0004-0000-0400-000005000000}"/>
    <hyperlink ref="H55" r:id="rId7" xr:uid="{00000000-0004-0000-0400-000006000000}"/>
  </hyperlinks>
  <pageMargins left="0.7" right="0.7" top="0.75" bottom="0.75" header="0.3" footer="0.3"/>
  <pageSetup orientation="portrait" r:id="rId8"/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4"/>
  <sheetViews>
    <sheetView topLeftCell="H1" zoomScale="60" workbookViewId="0">
      <selection activeCell="L33" sqref="L33"/>
    </sheetView>
  </sheetViews>
  <sheetFormatPr defaultRowHeight="15" x14ac:dyDescent="0.25"/>
  <cols>
    <col min="2" max="2" width="11.5703125" customWidth="1"/>
    <col min="3" max="3" width="29.7109375" customWidth="1"/>
    <col min="4" max="4" width="40.85546875" customWidth="1"/>
    <col min="5" max="5" width="55" customWidth="1"/>
    <col min="6" max="6" width="41.28515625" customWidth="1"/>
    <col min="7" max="7" width="30" customWidth="1"/>
    <col min="8" max="8" width="26.7109375" customWidth="1"/>
    <col min="9" max="9" width="39.85546875" customWidth="1"/>
    <col min="11" max="11" width="18.7109375" customWidth="1"/>
    <col min="12" max="12" width="18.42578125" customWidth="1"/>
    <col min="13" max="13" width="19.42578125" customWidth="1"/>
  </cols>
  <sheetData>
    <row r="1" spans="2:14" x14ac:dyDescent="0.25">
      <c r="G1" s="2" t="s">
        <v>65</v>
      </c>
    </row>
    <row r="2" spans="2:14" x14ac:dyDescent="0.25">
      <c r="B2" s="1" t="s">
        <v>67</v>
      </c>
      <c r="F2" s="27">
        <f>12740153938/9711430</f>
        <v>1311.8720866031058</v>
      </c>
      <c r="G2" t="s">
        <v>0</v>
      </c>
    </row>
    <row r="3" spans="2:14" x14ac:dyDescent="0.25">
      <c r="B3" s="2" t="s">
        <v>1</v>
      </c>
      <c r="C3" s="2" t="s">
        <v>2</v>
      </c>
      <c r="D3" s="2" t="s">
        <v>64</v>
      </c>
      <c r="E3" s="2" t="s">
        <v>37</v>
      </c>
      <c r="F3" s="2" t="s">
        <v>36</v>
      </c>
      <c r="G3" s="2" t="s">
        <v>38</v>
      </c>
      <c r="H3" s="2" t="s">
        <v>63</v>
      </c>
      <c r="I3" s="2" t="s">
        <v>62</v>
      </c>
      <c r="J3" s="2" t="s">
        <v>3</v>
      </c>
      <c r="K3" s="2" t="s">
        <v>61</v>
      </c>
      <c r="L3" s="32" t="s">
        <v>43</v>
      </c>
      <c r="M3" s="32" t="s">
        <v>43</v>
      </c>
    </row>
    <row r="4" spans="2:14" x14ac:dyDescent="0.25">
      <c r="B4" s="3" t="s">
        <v>4</v>
      </c>
      <c r="C4" s="4">
        <f>G49</f>
        <v>12884194420</v>
      </c>
      <c r="D4" s="13">
        <f>C4</f>
        <v>12884194420</v>
      </c>
      <c r="E4" s="4"/>
      <c r="F4" s="3"/>
      <c r="G4" s="3"/>
      <c r="H4" s="13">
        <f>-G49</f>
        <v>-12884194420</v>
      </c>
      <c r="I4" s="13">
        <f>H4</f>
        <v>-12884194420</v>
      </c>
      <c r="J4" s="3">
        <v>1</v>
      </c>
      <c r="K4" s="4">
        <f>-G49</f>
        <v>-12884194420</v>
      </c>
      <c r="L4" s="18">
        <v>0.11</v>
      </c>
      <c r="M4" s="18">
        <v>0.12</v>
      </c>
    </row>
    <row r="5" spans="2:14" x14ac:dyDescent="0.25">
      <c r="B5" s="3">
        <v>1</v>
      </c>
      <c r="C5" s="3"/>
      <c r="D5" s="13">
        <f t="shared" ref="D5:D13" si="0">$C$4*0.01</f>
        <v>128841944.2</v>
      </c>
      <c r="E5" s="31">
        <v>1226878</v>
      </c>
      <c r="F5" s="31">
        <v>1455</v>
      </c>
      <c r="G5" s="4">
        <f>(E5*1444)+(F5*1134)</f>
        <v>1773261802</v>
      </c>
      <c r="H5" s="4">
        <f t="shared" ref="H5:H29" si="1">G5-D5</f>
        <v>1644419857.8</v>
      </c>
      <c r="I5" s="4">
        <f>H5+I4</f>
        <v>-11239774562.200001</v>
      </c>
      <c r="J5" s="6">
        <f>1/(1+0.1)^B5</f>
        <v>0.90909090909090906</v>
      </c>
      <c r="K5" s="4">
        <f t="shared" ref="K5:K29" si="2">J5*H5</f>
        <v>1494927143.4545453</v>
      </c>
      <c r="L5" s="4">
        <f t="shared" ref="L5:L29" si="3">H5/(1+$L$4)^B5</f>
        <v>1481459331.3513513</v>
      </c>
      <c r="M5" s="4">
        <f t="shared" ref="M5:M28" si="4">H5/(1+$M$4)^B5</f>
        <v>1468232015.8928571</v>
      </c>
    </row>
    <row r="6" spans="2:14" x14ac:dyDescent="0.25">
      <c r="B6" s="3">
        <v>2</v>
      </c>
      <c r="C6" s="3"/>
      <c r="D6" s="13">
        <f t="shared" si="0"/>
        <v>128841944.2</v>
      </c>
      <c r="E6" s="4">
        <f>$E$5*(1-0.005)^B6</f>
        <v>1214639.8919500001</v>
      </c>
      <c r="F6" s="30">
        <f t="shared" ref="F6:F28" si="5">F5-F5*0.0055</f>
        <v>1446.9974999999999</v>
      </c>
      <c r="G6" s="4">
        <f>(E6*1444)+(F6*1134)</f>
        <v>1755580899.1408</v>
      </c>
      <c r="H6" s="4">
        <f t="shared" si="1"/>
        <v>1626738954.9408</v>
      </c>
      <c r="I6" s="4">
        <f t="shared" ref="I6:I29" si="6">I5+H6</f>
        <v>-9613035607.259201</v>
      </c>
      <c r="J6" s="6">
        <f>1/(1+0.1)^B6</f>
        <v>0.82644628099173545</v>
      </c>
      <c r="K6" s="4">
        <f t="shared" si="2"/>
        <v>1344412359.4552064</v>
      </c>
      <c r="L6" s="4">
        <f t="shared" si="3"/>
        <v>1320297828.8619428</v>
      </c>
      <c r="M6" s="4">
        <f t="shared" si="4"/>
        <v>1296826335.2525508</v>
      </c>
    </row>
    <row r="7" spans="2:14" x14ac:dyDescent="0.25">
      <c r="B7" s="3">
        <v>3</v>
      </c>
      <c r="C7" s="3"/>
      <c r="D7" s="13">
        <f t="shared" si="0"/>
        <v>128841944.2</v>
      </c>
      <c r="E7" s="4">
        <f t="shared" ref="E7:E29" si="7">$E$5*(1-0.005)^B7</f>
        <v>1208566.6924902501</v>
      </c>
      <c r="F7" s="30">
        <f t="shared" si="5"/>
        <v>1439.0390137499999</v>
      </c>
      <c r="G7" s="4">
        <f t="shared" ref="G7:G29" si="8">(E7*1444)+(F7*1134)</f>
        <v>1746802174.1975136</v>
      </c>
      <c r="H7" s="4">
        <f t="shared" si="1"/>
        <v>1617960229.9975135</v>
      </c>
      <c r="I7" s="4">
        <f t="shared" si="6"/>
        <v>-7995075377.2616873</v>
      </c>
      <c r="J7" s="6">
        <f>1/(1+0.1)^B7</f>
        <v>0.75131480090157754</v>
      </c>
      <c r="K7" s="4">
        <f t="shared" si="2"/>
        <v>1215597468.0672524</v>
      </c>
      <c r="L7" s="4">
        <f t="shared" si="3"/>
        <v>1183038575.461885</v>
      </c>
      <c r="M7" s="4">
        <f t="shared" si="4"/>
        <v>1151632133.4598734</v>
      </c>
    </row>
    <row r="8" spans="2:14" x14ac:dyDescent="0.25">
      <c r="B8" s="3">
        <v>4</v>
      </c>
      <c r="C8" s="3"/>
      <c r="D8" s="13">
        <f t="shared" si="0"/>
        <v>128841944.2</v>
      </c>
      <c r="E8" s="4">
        <f t="shared" si="7"/>
        <v>1202523.8590277988</v>
      </c>
      <c r="F8" s="30">
        <f t="shared" si="5"/>
        <v>1431.1242991743748</v>
      </c>
      <c r="G8" s="4">
        <f t="shared" si="8"/>
        <v>1738067347.3914053</v>
      </c>
      <c r="H8" s="4">
        <f t="shared" si="1"/>
        <v>1609225403.1914053</v>
      </c>
      <c r="I8" s="4">
        <f t="shared" si="6"/>
        <v>-6385849974.070282</v>
      </c>
      <c r="J8" s="6">
        <f t="shared" ref="J8:J29" si="9">1/(1+0.1)^B8</f>
        <v>0.68301345536507052</v>
      </c>
      <c r="K8" s="4">
        <f t="shared" si="2"/>
        <v>1099122603.0950105</v>
      </c>
      <c r="L8" s="4">
        <f t="shared" si="3"/>
        <v>1060046617.463155</v>
      </c>
      <c r="M8" s="4">
        <f t="shared" si="4"/>
        <v>1022691835.9564415</v>
      </c>
    </row>
    <row r="9" spans="2:14" x14ac:dyDescent="0.25">
      <c r="B9" s="3">
        <v>5</v>
      </c>
      <c r="C9" s="3"/>
      <c r="D9" s="13">
        <f t="shared" si="0"/>
        <v>128841944.2</v>
      </c>
      <c r="E9" s="4">
        <f t="shared" si="7"/>
        <v>1196511.2397326599</v>
      </c>
      <c r="F9" s="30">
        <f t="shared" si="5"/>
        <v>1423.2531155289157</v>
      </c>
      <c r="G9" s="4">
        <f t="shared" si="8"/>
        <v>1729376199.2069707</v>
      </c>
      <c r="H9" s="4">
        <f t="shared" si="1"/>
        <v>1600534255.0069706</v>
      </c>
      <c r="I9" s="4">
        <f t="shared" si="6"/>
        <v>-4785315719.0633116</v>
      </c>
      <c r="J9" s="6">
        <f t="shared" si="9"/>
        <v>0.62092132305915493</v>
      </c>
      <c r="K9" s="4">
        <f t="shared" si="2"/>
        <v>993805847.22042704</v>
      </c>
      <c r="L9" s="4">
        <f t="shared" si="3"/>
        <v>949839179.23710251</v>
      </c>
      <c r="M9" s="4">
        <f t="shared" si="4"/>
        <v>908186119.78851604</v>
      </c>
    </row>
    <row r="10" spans="2:14" x14ac:dyDescent="0.25">
      <c r="B10" s="3">
        <v>6</v>
      </c>
      <c r="C10" s="3"/>
      <c r="D10" s="13">
        <f t="shared" si="0"/>
        <v>128841944.2</v>
      </c>
      <c r="E10" s="4">
        <f t="shared" si="7"/>
        <v>1190528.6835339966</v>
      </c>
      <c r="F10" s="30">
        <f t="shared" si="5"/>
        <v>1415.4252233935067</v>
      </c>
      <c r="G10" s="4">
        <f t="shared" si="8"/>
        <v>1720728511.2264192</v>
      </c>
      <c r="H10" s="4">
        <f t="shared" si="1"/>
        <v>1591886567.0264192</v>
      </c>
      <c r="I10" s="4">
        <f t="shared" si="6"/>
        <v>-3193429152.0368924</v>
      </c>
      <c r="J10" s="6">
        <f t="shared" si="9"/>
        <v>0.56447393005377722</v>
      </c>
      <c r="K10" s="4">
        <f t="shared" si="2"/>
        <v>898578466.68921852</v>
      </c>
      <c r="L10" s="4">
        <f t="shared" si="3"/>
        <v>851087565.15352082</v>
      </c>
      <c r="M10" s="4">
        <f t="shared" si="4"/>
        <v>806499276.23971081</v>
      </c>
    </row>
    <row r="11" spans="2:14" x14ac:dyDescent="0.25">
      <c r="B11" s="3">
        <v>7</v>
      </c>
      <c r="C11" s="3"/>
      <c r="D11" s="13">
        <f t="shared" si="0"/>
        <v>128841944.2</v>
      </c>
      <c r="E11" s="4">
        <f t="shared" si="7"/>
        <v>1184576.0401163267</v>
      </c>
      <c r="F11" s="30">
        <f t="shared" si="5"/>
        <v>1407.6403846648425</v>
      </c>
      <c r="G11" s="4">
        <f t="shared" si="8"/>
        <v>1712124066.1241856</v>
      </c>
      <c r="H11" s="4">
        <f t="shared" si="1"/>
        <v>1583282121.9241855</v>
      </c>
      <c r="I11" s="4">
        <f t="shared" si="6"/>
        <v>-1610147030.1127069</v>
      </c>
      <c r="J11" s="6">
        <f t="shared" si="9"/>
        <v>0.51315811823070645</v>
      </c>
      <c r="K11" s="4">
        <f t="shared" si="2"/>
        <v>812474074.31493497</v>
      </c>
      <c r="L11" s="4">
        <f t="shared" si="3"/>
        <v>762601150.83782208</v>
      </c>
      <c r="M11" s="4">
        <f t="shared" si="4"/>
        <v>716196425.50933695</v>
      </c>
    </row>
    <row r="12" spans="2:14" x14ac:dyDescent="0.25">
      <c r="B12" s="3">
        <v>8</v>
      </c>
      <c r="C12" s="3"/>
      <c r="D12" s="13">
        <f t="shared" si="0"/>
        <v>128841944.2</v>
      </c>
      <c r="E12" s="4">
        <f t="shared" si="7"/>
        <v>1178653.159915745</v>
      </c>
      <c r="F12" s="30">
        <f t="shared" si="5"/>
        <v>1399.8983625491858</v>
      </c>
      <c r="G12" s="4">
        <f t="shared" si="8"/>
        <v>1703562647.6614666</v>
      </c>
      <c r="H12" s="4">
        <f t="shared" si="1"/>
        <v>1574720703.4614666</v>
      </c>
      <c r="I12" s="4">
        <f t="shared" si="6"/>
        <v>-35426326.651240349</v>
      </c>
      <c r="J12" s="6">
        <f t="shared" si="9"/>
        <v>0.46650738020973315</v>
      </c>
      <c r="K12" s="4">
        <f t="shared" si="2"/>
        <v>734618829.93383682</v>
      </c>
      <c r="L12" s="4">
        <f t="shared" si="3"/>
        <v>683313037.50098872</v>
      </c>
      <c r="M12" s="4">
        <f t="shared" si="4"/>
        <v>636003280.87996006</v>
      </c>
    </row>
    <row r="13" spans="2:14" x14ac:dyDescent="0.25">
      <c r="B13" s="3">
        <v>9</v>
      </c>
      <c r="C13" s="3"/>
      <c r="D13" s="13">
        <f t="shared" si="0"/>
        <v>128841944.2</v>
      </c>
      <c r="E13" s="4">
        <f t="shared" si="7"/>
        <v>1172759.894116166</v>
      </c>
      <c r="F13" s="30">
        <f t="shared" si="5"/>
        <v>1392.1989215551653</v>
      </c>
      <c r="G13" s="4">
        <f t="shared" si="8"/>
        <v>1695044040.6807873</v>
      </c>
      <c r="H13" s="4">
        <f t="shared" si="1"/>
        <v>1566202096.4807873</v>
      </c>
      <c r="I13" s="4">
        <f t="shared" si="6"/>
        <v>1530775769.8295469</v>
      </c>
      <c r="J13" s="6">
        <f t="shared" si="9"/>
        <v>0.42409761837248466</v>
      </c>
      <c r="K13" s="4">
        <f t="shared" si="2"/>
        <v>664222579.00749433</v>
      </c>
      <c r="L13" s="4">
        <f t="shared" si="3"/>
        <v>612267196.59506547</v>
      </c>
      <c r="M13" s="4">
        <f t="shared" si="4"/>
        <v>564788177.13813901</v>
      </c>
      <c r="N13" s="17"/>
    </row>
    <row r="14" spans="2:14" x14ac:dyDescent="0.25">
      <c r="B14" s="3">
        <v>10</v>
      </c>
      <c r="C14" s="3"/>
      <c r="D14" s="12">
        <f>D5+(G40*J14)</f>
        <v>462706347.97993922</v>
      </c>
      <c r="E14" s="4">
        <f t="shared" si="7"/>
        <v>1166896.0946455854</v>
      </c>
      <c r="F14" s="30">
        <f t="shared" si="5"/>
        <v>1384.541827486612</v>
      </c>
      <c r="G14" s="4">
        <f t="shared" si="8"/>
        <v>1686568031.100595</v>
      </c>
      <c r="H14" s="4">
        <f t="shared" si="1"/>
        <v>1223861683.1206558</v>
      </c>
      <c r="I14" s="4">
        <f t="shared" si="6"/>
        <v>2754637452.9502029</v>
      </c>
      <c r="J14" s="6">
        <f t="shared" si="9"/>
        <v>0.38554328942953148</v>
      </c>
      <c r="K14" s="4">
        <f t="shared" si="2"/>
        <v>471851659.11710054</v>
      </c>
      <c r="L14" s="4">
        <f t="shared" si="3"/>
        <v>431025088.96188992</v>
      </c>
      <c r="M14" s="4">
        <f t="shared" si="4"/>
        <v>394050707.25369436</v>
      </c>
      <c r="N14" s="17"/>
    </row>
    <row r="15" spans="2:14" x14ac:dyDescent="0.25">
      <c r="B15" s="3">
        <v>11</v>
      </c>
      <c r="C15" s="3"/>
      <c r="D15" s="13">
        <f>$C$4*0.01</f>
        <v>128841944.2</v>
      </c>
      <c r="E15" s="4">
        <f t="shared" si="7"/>
        <v>1161061.6141723574</v>
      </c>
      <c r="F15" s="30">
        <f t="shared" si="5"/>
        <v>1376.9268474354355</v>
      </c>
      <c r="G15" s="4">
        <f t="shared" si="8"/>
        <v>1678134405.9098759</v>
      </c>
      <c r="H15" s="4">
        <f t="shared" si="1"/>
        <v>1549292461.7098758</v>
      </c>
      <c r="I15" s="4">
        <f t="shared" si="6"/>
        <v>4303929914.660079</v>
      </c>
      <c r="J15" s="6">
        <f t="shared" si="9"/>
        <v>0.3504938994813922</v>
      </c>
      <c r="K15" s="4">
        <f t="shared" si="2"/>
        <v>543017556.34181988</v>
      </c>
      <c r="L15" s="4">
        <f t="shared" si="3"/>
        <v>491564646.93378681</v>
      </c>
      <c r="M15" s="4">
        <f t="shared" si="4"/>
        <v>445384561.00204962</v>
      </c>
    </row>
    <row r="16" spans="2:14" x14ac:dyDescent="0.25">
      <c r="B16" s="3">
        <v>12</v>
      </c>
      <c r="C16" s="3"/>
      <c r="D16" s="13">
        <f>$C$4*0.01</f>
        <v>128841944.2</v>
      </c>
      <c r="E16" s="4">
        <f t="shared" si="7"/>
        <v>1155256.3061014956</v>
      </c>
      <c r="F16" s="30">
        <f t="shared" si="5"/>
        <v>1369.3537497745406</v>
      </c>
      <c r="G16" s="4">
        <f t="shared" si="8"/>
        <v>1669742953.1628041</v>
      </c>
      <c r="H16" s="4">
        <f t="shared" si="1"/>
        <v>1540901008.9628041</v>
      </c>
      <c r="I16" s="4">
        <f t="shared" si="6"/>
        <v>5844830923.6228828</v>
      </c>
      <c r="J16" s="6">
        <f t="shared" si="9"/>
        <v>0.31863081771035656</v>
      </c>
      <c r="K16" s="4">
        <f t="shared" si="2"/>
        <v>490978548.49653172</v>
      </c>
      <c r="L16" s="4">
        <f t="shared" si="3"/>
        <v>440452413.50914317</v>
      </c>
      <c r="M16" s="4">
        <f t="shared" si="4"/>
        <v>395510909.69517148</v>
      </c>
    </row>
    <row r="17" spans="2:19" x14ac:dyDescent="0.25">
      <c r="B17" s="3">
        <v>13</v>
      </c>
      <c r="C17" s="3"/>
      <c r="D17" s="13">
        <f>$C$4*0.01</f>
        <v>128841944.2</v>
      </c>
      <c r="E17" s="4">
        <f t="shared" si="7"/>
        <v>1149480.0245709883</v>
      </c>
      <c r="F17" s="30">
        <f t="shared" si="5"/>
        <v>1361.8223041507806</v>
      </c>
      <c r="G17" s="4">
        <f t="shared" si="8"/>
        <v>1661393461.9734142</v>
      </c>
      <c r="H17" s="4">
        <f t="shared" si="1"/>
        <v>1532551517.7734141</v>
      </c>
      <c r="I17" s="4">
        <f t="shared" si="6"/>
        <v>7377382441.3962975</v>
      </c>
      <c r="J17" s="6">
        <f t="shared" si="9"/>
        <v>0.28966437973668779</v>
      </c>
      <c r="K17" s="4">
        <f t="shared" si="2"/>
        <v>443925584.81035548</v>
      </c>
      <c r="L17" s="4">
        <f t="shared" si="3"/>
        <v>394653863.126858</v>
      </c>
      <c r="M17" s="4">
        <f t="shared" si="4"/>
        <v>351221252.91793573</v>
      </c>
    </row>
    <row r="18" spans="2:19" x14ac:dyDescent="0.25">
      <c r="B18" s="3">
        <v>14</v>
      </c>
      <c r="C18" s="3"/>
      <c r="D18" s="13">
        <f>$C$4*0.01</f>
        <v>128841944.2</v>
      </c>
      <c r="E18" s="4">
        <f t="shared" si="7"/>
        <v>1143732.6244481334</v>
      </c>
      <c r="F18" s="30">
        <f t="shared" si="5"/>
        <v>1354.3322814779513</v>
      </c>
      <c r="G18" s="4">
        <f t="shared" si="8"/>
        <v>1653085722.5103006</v>
      </c>
      <c r="H18" s="4">
        <f t="shared" si="1"/>
        <v>1524243778.3103006</v>
      </c>
      <c r="I18" s="4">
        <f t="shared" si="6"/>
        <v>8901626219.7065983</v>
      </c>
      <c r="J18" s="6">
        <f t="shared" si="9"/>
        <v>0.26333125430607973</v>
      </c>
      <c r="K18" s="4">
        <f t="shared" si="2"/>
        <v>401381026.01068956</v>
      </c>
      <c r="L18" s="4">
        <f t="shared" si="3"/>
        <v>353616668.27392888</v>
      </c>
      <c r="M18" s="4">
        <f t="shared" si="4"/>
        <v>311890476.29881001</v>
      </c>
    </row>
    <row r="19" spans="2:19" x14ac:dyDescent="0.25">
      <c r="B19" s="3">
        <v>15</v>
      </c>
      <c r="C19" s="3"/>
      <c r="D19" s="13">
        <f>$C$4*0.01</f>
        <v>128841944.2</v>
      </c>
      <c r="E19" s="4">
        <f t="shared" si="7"/>
        <v>1138013.9613258927</v>
      </c>
      <c r="F19" s="30">
        <f t="shared" si="5"/>
        <v>1346.8834539298225</v>
      </c>
      <c r="G19" s="4">
        <f t="shared" si="8"/>
        <v>1644819525.9913456</v>
      </c>
      <c r="H19" s="4">
        <f t="shared" si="1"/>
        <v>1515977581.7913456</v>
      </c>
      <c r="I19" s="4">
        <f t="shared" si="6"/>
        <v>10417603801.497944</v>
      </c>
      <c r="J19" s="6">
        <f t="shared" si="9"/>
        <v>0.23939204936916339</v>
      </c>
      <c r="K19" s="4">
        <f t="shared" si="2"/>
        <v>362912980.10273874</v>
      </c>
      <c r="L19" s="4">
        <f t="shared" si="3"/>
        <v>316845904.01883024</v>
      </c>
      <c r="M19" s="4">
        <f t="shared" si="4"/>
        <v>276963436.35362071</v>
      </c>
    </row>
    <row r="20" spans="2:19" x14ac:dyDescent="0.25">
      <c r="B20" s="3">
        <v>16</v>
      </c>
      <c r="C20" s="3"/>
      <c r="D20" s="13">
        <f>D5+(G34*J20)</f>
        <v>709389426.83380032</v>
      </c>
      <c r="E20" s="4">
        <f t="shared" si="7"/>
        <v>1132323.8915192632</v>
      </c>
      <c r="F20" s="30">
        <f t="shared" si="5"/>
        <v>1339.4755949332084</v>
      </c>
      <c r="G20" s="4">
        <f t="shared" si="8"/>
        <v>1636594664.6784704</v>
      </c>
      <c r="H20" s="4">
        <f t="shared" si="1"/>
        <v>927205237.84467006</v>
      </c>
      <c r="I20" s="4">
        <f t="shared" si="6"/>
        <v>11344809039.342613</v>
      </c>
      <c r="J20" s="6">
        <f t="shared" si="9"/>
        <v>0.21762913579014853</v>
      </c>
      <c r="K20" s="4">
        <f t="shared" si="2"/>
        <v>201786874.61223465</v>
      </c>
      <c r="L20" s="4">
        <f t="shared" si="3"/>
        <v>174585517.9698005</v>
      </c>
      <c r="M20" s="4">
        <f t="shared" si="4"/>
        <v>151247259.26678914</v>
      </c>
      <c r="N20" s="17"/>
    </row>
    <row r="21" spans="2:19" x14ac:dyDescent="0.25">
      <c r="B21" s="3">
        <v>17</v>
      </c>
      <c r="C21" s="3"/>
      <c r="D21" s="13">
        <f>$C$4*0.01</f>
        <v>128841944.2</v>
      </c>
      <c r="E21" s="4">
        <f t="shared" si="7"/>
        <v>1126662.2720616669</v>
      </c>
      <c r="F21" s="30">
        <f t="shared" si="5"/>
        <v>1332.1084791610758</v>
      </c>
      <c r="G21" s="4">
        <f t="shared" si="8"/>
        <v>1628410931.8724158</v>
      </c>
      <c r="H21" s="4">
        <f t="shared" si="1"/>
        <v>1499568987.6724157</v>
      </c>
      <c r="I21" s="4">
        <f t="shared" si="6"/>
        <v>12844378027.01503</v>
      </c>
      <c r="J21" s="6">
        <f t="shared" si="9"/>
        <v>0.19784466890013502</v>
      </c>
      <c r="K21" s="4">
        <f t="shared" si="2"/>
        <v>296681729.85895973</v>
      </c>
      <c r="L21" s="4">
        <f t="shared" si="3"/>
        <v>254375810.83155018</v>
      </c>
      <c r="M21" s="4">
        <f t="shared" si="4"/>
        <v>218403736.89053765</v>
      </c>
    </row>
    <row r="22" spans="2:19" x14ac:dyDescent="0.25">
      <c r="B22" s="3">
        <v>18</v>
      </c>
      <c r="C22" s="3"/>
      <c r="D22" s="13">
        <f>$C$4*0.01</f>
        <v>128841944.2</v>
      </c>
      <c r="E22" s="4">
        <f t="shared" si="7"/>
        <v>1121028.9607013585</v>
      </c>
      <c r="F22" s="30">
        <f t="shared" si="5"/>
        <v>1324.78188252569</v>
      </c>
      <c r="G22" s="4">
        <f t="shared" si="8"/>
        <v>1620268121.9075458</v>
      </c>
      <c r="H22" s="4">
        <f t="shared" si="1"/>
        <v>1491426177.7075458</v>
      </c>
      <c r="I22" s="4">
        <f t="shared" si="6"/>
        <v>14335804204.722576</v>
      </c>
      <c r="J22" s="6">
        <f t="shared" si="9"/>
        <v>0.17985878990921364</v>
      </c>
      <c r="K22" s="4">
        <f t="shared" si="2"/>
        <v>268246107.56140301</v>
      </c>
      <c r="L22" s="4">
        <f t="shared" si="3"/>
        <v>227922995.20042145</v>
      </c>
      <c r="M22" s="4">
        <f t="shared" si="4"/>
        <v>193944448.83917451</v>
      </c>
    </row>
    <row r="23" spans="2:19" x14ac:dyDescent="0.25">
      <c r="B23" s="3">
        <v>19</v>
      </c>
      <c r="C23" s="3"/>
      <c r="D23" s="13">
        <f>$C$4*0.01</f>
        <v>128841944.2</v>
      </c>
      <c r="E23" s="4">
        <f t="shared" si="7"/>
        <v>1115423.8158978517</v>
      </c>
      <c r="F23" s="30">
        <f t="shared" si="5"/>
        <v>1317.4955821717988</v>
      </c>
      <c r="G23" s="4">
        <f t="shared" si="8"/>
        <v>1612166030.1466808</v>
      </c>
      <c r="H23" s="4">
        <f t="shared" si="1"/>
        <v>1483324085.9466808</v>
      </c>
      <c r="I23" s="4">
        <f t="shared" si="6"/>
        <v>15819128290.669256</v>
      </c>
      <c r="J23" s="6">
        <f t="shared" si="9"/>
        <v>0.16350799082655781</v>
      </c>
      <c r="K23" s="4">
        <f t="shared" si="2"/>
        <v>242535341.03778213</v>
      </c>
      <c r="L23" s="4">
        <f t="shared" si="3"/>
        <v>204220554.86475563</v>
      </c>
      <c r="M23" s="4">
        <f t="shared" si="4"/>
        <v>172223978.70312461</v>
      </c>
    </row>
    <row r="24" spans="2:19" x14ac:dyDescent="0.25">
      <c r="B24" s="3">
        <v>20</v>
      </c>
      <c r="C24" s="3"/>
      <c r="D24" s="13">
        <f>D23+(G40*J24)</f>
        <v>257561124.6567471</v>
      </c>
      <c r="E24" s="4">
        <f t="shared" si="7"/>
        <v>1109846.6968183625</v>
      </c>
      <c r="F24" s="30">
        <f t="shared" si="5"/>
        <v>1310.2493564698539</v>
      </c>
      <c r="G24" s="4">
        <f t="shared" si="8"/>
        <v>1604104452.9759521</v>
      </c>
      <c r="H24" s="4">
        <f t="shared" si="1"/>
        <v>1346543328.319205</v>
      </c>
      <c r="I24" s="4">
        <f t="shared" si="6"/>
        <v>17165671618.988461</v>
      </c>
      <c r="J24" s="6">
        <f t="shared" si="9"/>
        <v>0.14864362802414349</v>
      </c>
      <c r="K24" s="4">
        <f t="shared" si="2"/>
        <v>200155085.61307204</v>
      </c>
      <c r="L24" s="4">
        <f t="shared" si="3"/>
        <v>167017030.07692289</v>
      </c>
      <c r="M24" s="4">
        <f t="shared" si="4"/>
        <v>139591790.88783517</v>
      </c>
    </row>
    <row r="25" spans="2:19" x14ac:dyDescent="0.25">
      <c r="B25" s="3">
        <v>21</v>
      </c>
      <c r="C25" s="3"/>
      <c r="D25" s="13">
        <f>$C$4*0.01</f>
        <v>128841944.2</v>
      </c>
      <c r="E25" s="4">
        <f t="shared" si="7"/>
        <v>1104297.4633342708</v>
      </c>
      <c r="F25" s="30">
        <f t="shared" si="5"/>
        <v>1303.0429850092696</v>
      </c>
      <c r="G25" s="4">
        <f t="shared" si="8"/>
        <v>1596083187.7996876</v>
      </c>
      <c r="H25" s="4">
        <f t="shared" si="1"/>
        <v>1467241243.5996876</v>
      </c>
      <c r="I25" s="4">
        <f t="shared" si="6"/>
        <v>18632912862.58815</v>
      </c>
      <c r="J25" s="6">
        <f t="shared" si="9"/>
        <v>0.13513057093103953</v>
      </c>
      <c r="K25" s="4">
        <f t="shared" si="2"/>
        <v>198269146.94119424</v>
      </c>
      <c r="L25" s="4">
        <f t="shared" si="3"/>
        <v>163952850.52859083</v>
      </c>
      <c r="M25" s="4">
        <f t="shared" si="4"/>
        <v>135807279.747273</v>
      </c>
    </row>
    <row r="26" spans="2:19" x14ac:dyDescent="0.25">
      <c r="B26" s="3">
        <v>22</v>
      </c>
      <c r="C26" s="3"/>
      <c r="D26" s="13">
        <f>$C$4*0.01</f>
        <v>128841944.2</v>
      </c>
      <c r="E26" s="4">
        <f t="shared" si="7"/>
        <v>1098775.9760175995</v>
      </c>
      <c r="F26" s="30">
        <f t="shared" si="5"/>
        <v>1295.8762485917186</v>
      </c>
      <c r="G26" s="4">
        <f t="shared" si="8"/>
        <v>1588102033.0353167</v>
      </c>
      <c r="H26" s="4">
        <f t="shared" si="1"/>
        <v>1459260088.8353167</v>
      </c>
      <c r="I26" s="4">
        <f t="shared" si="6"/>
        <v>20092172951.423466</v>
      </c>
      <c r="J26" s="6">
        <f t="shared" si="9"/>
        <v>0.12284597357367227</v>
      </c>
      <c r="K26" s="4">
        <f t="shared" si="2"/>
        <v>179264226.31017795</v>
      </c>
      <c r="L26" s="4">
        <f t="shared" si="3"/>
        <v>146901818.26006314</v>
      </c>
      <c r="M26" s="4">
        <f t="shared" si="4"/>
        <v>120596917.10851011</v>
      </c>
    </row>
    <row r="27" spans="2:19" x14ac:dyDescent="0.25">
      <c r="B27" s="3">
        <v>23</v>
      </c>
      <c r="C27" s="3"/>
      <c r="D27" s="13">
        <f>$C$4*0.01</f>
        <v>128841944.2</v>
      </c>
      <c r="E27" s="4">
        <f t="shared" si="7"/>
        <v>1093282.0961375113</v>
      </c>
      <c r="F27" s="30">
        <f t="shared" si="5"/>
        <v>1288.7489292244643</v>
      </c>
      <c r="G27" s="4">
        <f t="shared" si="8"/>
        <v>1580160788.1083069</v>
      </c>
      <c r="H27" s="4">
        <f t="shared" si="1"/>
        <v>1451318843.9083068</v>
      </c>
      <c r="I27" s="4">
        <f t="shared" si="6"/>
        <v>21543491795.331772</v>
      </c>
      <c r="J27" s="6">
        <f t="shared" si="9"/>
        <v>0.11167815779424752</v>
      </c>
      <c r="K27" s="4">
        <f t="shared" si="2"/>
        <v>162080614.85975677</v>
      </c>
      <c r="L27" s="4">
        <f t="shared" si="3"/>
        <v>131623768.8695057</v>
      </c>
      <c r="M27" s="4">
        <f t="shared" si="4"/>
        <v>107089850.61769611</v>
      </c>
      <c r="N27" s="1"/>
      <c r="O27" s="7"/>
      <c r="R27" s="1"/>
      <c r="S27" s="7"/>
    </row>
    <row r="28" spans="2:19" x14ac:dyDescent="0.25">
      <c r="B28" s="3">
        <v>24</v>
      </c>
      <c r="C28" s="3"/>
      <c r="D28" s="13">
        <f>$C$4*0.01</f>
        <v>128841944.2</v>
      </c>
      <c r="E28" s="4">
        <f t="shared" si="7"/>
        <v>1087815.6856568237</v>
      </c>
      <c r="F28" s="30">
        <f t="shared" si="5"/>
        <v>1281.6608101137297</v>
      </c>
      <c r="G28" s="4">
        <f t="shared" si="8"/>
        <v>1572259253.4471223</v>
      </c>
      <c r="H28" s="4">
        <f t="shared" si="1"/>
        <v>1443417309.2471223</v>
      </c>
      <c r="I28" s="4">
        <f t="shared" si="6"/>
        <v>22986909104.578896</v>
      </c>
      <c r="J28" s="6">
        <f t="shared" si="9"/>
        <v>0.10152559799477048</v>
      </c>
      <c r="K28" s="4">
        <f t="shared" si="2"/>
        <v>146543805.47731665</v>
      </c>
      <c r="L28" s="4">
        <f t="shared" si="3"/>
        <v>117934377.25114472</v>
      </c>
      <c r="M28" s="4">
        <f t="shared" si="4"/>
        <v>95095368.328433275</v>
      </c>
    </row>
    <row r="29" spans="2:19" x14ac:dyDescent="0.25">
      <c r="B29" s="3">
        <v>25</v>
      </c>
      <c r="C29" s="3"/>
      <c r="D29" s="13">
        <f>$C$4*0.01</f>
        <v>128841944.2</v>
      </c>
      <c r="E29" s="4">
        <f t="shared" si="7"/>
        <v>1082376.6072285397</v>
      </c>
      <c r="F29" s="30">
        <f>F28-F28*0.005</f>
        <v>1275.252506063161</v>
      </c>
      <c r="G29" s="4">
        <f t="shared" si="8"/>
        <v>1564397957.1798868</v>
      </c>
      <c r="H29" s="4">
        <f t="shared" si="1"/>
        <v>1435556012.9798868</v>
      </c>
      <c r="I29" s="4">
        <f t="shared" si="6"/>
        <v>24422465117.558781</v>
      </c>
      <c r="J29" s="6">
        <f t="shared" si="9"/>
        <v>9.2295998177064048E-2</v>
      </c>
      <c r="K29" s="4">
        <f t="shared" si="2"/>
        <v>132496075.15706496</v>
      </c>
      <c r="L29" s="4">
        <f t="shared" si="3"/>
        <v>105668531.73406269</v>
      </c>
      <c r="M29" s="4">
        <f>H29/(1+$M$4)^B29</f>
        <v>84444151.424446881</v>
      </c>
    </row>
    <row r="30" spans="2:19" x14ac:dyDescent="0.25">
      <c r="D30" s="19">
        <f>SUM(D4:D29)</f>
        <v>17148374091.870504</v>
      </c>
      <c r="E30" s="28">
        <f>SUM(E5:E29)</f>
        <v>28761911.551520646</v>
      </c>
      <c r="F30" s="29">
        <f>SUM(F5:F29)</f>
        <v>34073.129659135098</v>
      </c>
      <c r="G30" s="28">
        <f>SUM(G5:G29)</f>
        <v>41570839209.429276</v>
      </c>
      <c r="H30" s="17">
        <f>SUM(H4:H29)</f>
        <v>24422465117.558781</v>
      </c>
      <c r="K30" s="17">
        <f>SUM(K5:K29)</f>
        <v>13999885733.546124</v>
      </c>
      <c r="L30" s="17">
        <f>SUM(L5:L29)</f>
        <v>13026312322.874088</v>
      </c>
      <c r="M30" s="17">
        <f>SUM(M5:M29)</f>
        <v>12164521725.45249</v>
      </c>
    </row>
    <row r="31" spans="2:19" x14ac:dyDescent="0.25">
      <c r="H31" s="27"/>
      <c r="K31" s="17"/>
      <c r="L31" s="17">
        <f>L30-G49</f>
        <v>142117902.87408829</v>
      </c>
      <c r="M31" s="17">
        <f>M30-G49</f>
        <v>-719672694.54751015</v>
      </c>
    </row>
    <row r="32" spans="2:19" x14ac:dyDescent="0.25">
      <c r="B32" s="2" t="s">
        <v>5</v>
      </c>
      <c r="C32" s="2" t="s">
        <v>6</v>
      </c>
      <c r="D32" s="2" t="s">
        <v>7</v>
      </c>
      <c r="E32" s="2" t="s">
        <v>8</v>
      </c>
      <c r="F32" s="2" t="s">
        <v>21</v>
      </c>
      <c r="G32" s="2" t="s">
        <v>22</v>
      </c>
      <c r="H32" s="2" t="s">
        <v>9</v>
      </c>
      <c r="I32" s="14"/>
      <c r="J32" s="14"/>
      <c r="K32" t="s">
        <v>44</v>
      </c>
      <c r="L32" s="20">
        <f>(L31/(L31-M31))*(M4-L4) + L4</f>
        <v>0.11164910017931609</v>
      </c>
      <c r="M32" s="26"/>
    </row>
    <row r="33" spans="1:15" ht="28.5" customHeight="1" x14ac:dyDescent="0.25">
      <c r="B33" s="8">
        <v>1</v>
      </c>
      <c r="C33" s="42" t="s">
        <v>10</v>
      </c>
      <c r="D33" s="41" t="s">
        <v>25</v>
      </c>
      <c r="E33" s="39">
        <v>2350000</v>
      </c>
      <c r="F33" s="10">
        <v>3420</v>
      </c>
      <c r="G33" s="12">
        <f t="shared" ref="G33:G40" si="10">E33*F33</f>
        <v>8037000000</v>
      </c>
      <c r="H33" s="9" t="s">
        <v>26</v>
      </c>
      <c r="I33" s="15"/>
      <c r="J33" s="15"/>
      <c r="K33" t="s">
        <v>45</v>
      </c>
      <c r="L33" s="17">
        <f>K30+K4</f>
        <v>1115691313.5461235</v>
      </c>
      <c r="M33" s="20"/>
      <c r="O33" s="26"/>
    </row>
    <row r="34" spans="1:15" ht="27.75" customHeight="1" x14ac:dyDescent="0.25">
      <c r="B34" s="8">
        <v>2</v>
      </c>
      <c r="C34" s="44" t="s">
        <v>60</v>
      </c>
      <c r="D34" s="55" t="s">
        <v>105</v>
      </c>
      <c r="E34" s="39">
        <v>7800000</v>
      </c>
      <c r="F34" s="10">
        <v>342</v>
      </c>
      <c r="G34" s="12">
        <f t="shared" si="10"/>
        <v>2667600000</v>
      </c>
      <c r="H34" s="9" t="s">
        <v>59</v>
      </c>
      <c r="I34" s="15"/>
      <c r="J34" s="15"/>
      <c r="K34" s="24" t="s">
        <v>58</v>
      </c>
      <c r="L34" s="25">
        <f>B12+(-I12/H13)</f>
        <v>8.0226192563085199</v>
      </c>
    </row>
    <row r="35" spans="1:15" ht="25.5" customHeight="1" x14ac:dyDescent="0.25">
      <c r="B35" s="8">
        <v>3</v>
      </c>
      <c r="C35" s="42" t="s">
        <v>12</v>
      </c>
      <c r="D35" s="43" t="s">
        <v>73</v>
      </c>
      <c r="E35" s="39">
        <v>3100000</v>
      </c>
      <c r="F35" s="10">
        <v>36</v>
      </c>
      <c r="G35" s="12">
        <f t="shared" si="10"/>
        <v>111600000</v>
      </c>
      <c r="H35" s="9" t="s">
        <v>72</v>
      </c>
      <c r="I35" s="15"/>
      <c r="J35" s="15"/>
      <c r="K35" s="24" t="s">
        <v>57</v>
      </c>
      <c r="L35" s="34">
        <f>K30/G49</f>
        <v>1.0865937968006947</v>
      </c>
    </row>
    <row r="36" spans="1:15" ht="30" x14ac:dyDescent="0.25">
      <c r="B36" s="8">
        <v>4</v>
      </c>
      <c r="C36" s="42" t="s">
        <v>13</v>
      </c>
      <c r="D36" s="43" t="s">
        <v>28</v>
      </c>
      <c r="E36" s="39">
        <v>4000</v>
      </c>
      <c r="F36" s="10">
        <v>2080</v>
      </c>
      <c r="G36" s="12">
        <f t="shared" si="10"/>
        <v>8320000</v>
      </c>
      <c r="H36" s="9" t="s">
        <v>30</v>
      </c>
      <c r="I36" s="15"/>
      <c r="J36" s="15"/>
      <c r="K36" s="15"/>
    </row>
    <row r="37" spans="1:15" ht="30" x14ac:dyDescent="0.25">
      <c r="B37" s="8">
        <v>5</v>
      </c>
      <c r="C37" s="42" t="s">
        <v>14</v>
      </c>
      <c r="D37" s="43" t="s">
        <v>29</v>
      </c>
      <c r="E37" s="39">
        <v>15000</v>
      </c>
      <c r="F37" s="10">
        <v>2080</v>
      </c>
      <c r="G37" s="12">
        <f t="shared" si="10"/>
        <v>31200000</v>
      </c>
      <c r="H37" s="9" t="s">
        <v>31</v>
      </c>
      <c r="I37" s="15"/>
      <c r="J37" s="15"/>
      <c r="K37" s="15"/>
    </row>
    <row r="38" spans="1:15" ht="30" x14ac:dyDescent="0.25">
      <c r="B38" s="8">
        <v>6</v>
      </c>
      <c r="C38" s="42" t="s">
        <v>15</v>
      </c>
      <c r="D38" s="43" t="s">
        <v>18</v>
      </c>
      <c r="E38" s="39">
        <v>13000</v>
      </c>
      <c r="F38" s="10">
        <v>2080</v>
      </c>
      <c r="G38" s="12">
        <f t="shared" si="10"/>
        <v>27040000</v>
      </c>
      <c r="H38" s="9" t="s">
        <v>32</v>
      </c>
      <c r="I38" s="15"/>
      <c r="J38" s="15"/>
      <c r="K38" s="15"/>
    </row>
    <row r="39" spans="1:15" ht="30" x14ac:dyDescent="0.25">
      <c r="B39" s="8">
        <v>7</v>
      </c>
      <c r="C39" s="44" t="s">
        <v>16</v>
      </c>
      <c r="D39" s="43" t="s">
        <v>19</v>
      </c>
      <c r="E39" s="39">
        <v>22000</v>
      </c>
      <c r="F39" s="10">
        <v>4160</v>
      </c>
      <c r="G39" s="12">
        <f t="shared" si="10"/>
        <v>91520000</v>
      </c>
      <c r="H39" s="9" t="s">
        <v>33</v>
      </c>
      <c r="I39" s="15"/>
      <c r="J39" s="15"/>
      <c r="K39" s="15"/>
    </row>
    <row r="40" spans="1:15" ht="90" x14ac:dyDescent="0.25">
      <c r="B40" s="8">
        <v>8</v>
      </c>
      <c r="C40" s="45" t="s">
        <v>76</v>
      </c>
      <c r="D40" s="43" t="s">
        <v>56</v>
      </c>
      <c r="E40" s="39">
        <v>86595828</v>
      </c>
      <c r="F40" s="10">
        <v>10</v>
      </c>
      <c r="G40" s="12">
        <f t="shared" si="10"/>
        <v>865958280</v>
      </c>
      <c r="H40" s="9" t="s">
        <v>55</v>
      </c>
      <c r="I40" s="15"/>
      <c r="J40" s="15"/>
      <c r="K40" s="15"/>
    </row>
    <row r="41" spans="1:15" ht="15.75" x14ac:dyDescent="0.25">
      <c r="B41" s="8">
        <v>9</v>
      </c>
      <c r="C41" s="45" t="s">
        <v>75</v>
      </c>
      <c r="D41" s="43"/>
      <c r="E41" s="39">
        <v>238642940</v>
      </c>
      <c r="F41" s="10"/>
      <c r="G41" s="12">
        <v>238642940</v>
      </c>
      <c r="H41" s="9"/>
      <c r="I41" s="15"/>
      <c r="J41" s="15"/>
      <c r="K41" s="15"/>
    </row>
    <row r="42" spans="1:15" ht="75" x14ac:dyDescent="0.25">
      <c r="B42" s="8">
        <v>10</v>
      </c>
      <c r="C42" s="45" t="s">
        <v>84</v>
      </c>
      <c r="D42" s="43" t="s">
        <v>85</v>
      </c>
      <c r="E42" s="39">
        <v>2500000</v>
      </c>
      <c r="F42" s="10">
        <v>3</v>
      </c>
      <c r="G42" s="12">
        <f t="shared" ref="G42:G48" si="11">E42*F42</f>
        <v>7500000</v>
      </c>
      <c r="H42" s="9" t="s">
        <v>86</v>
      </c>
      <c r="I42" s="15"/>
      <c r="J42" s="15"/>
      <c r="K42" s="15"/>
    </row>
    <row r="43" spans="1:15" ht="75" x14ac:dyDescent="0.25">
      <c r="B43" s="8">
        <v>11</v>
      </c>
      <c r="C43" s="45" t="s">
        <v>82</v>
      </c>
      <c r="D43" s="43" t="s">
        <v>83</v>
      </c>
      <c r="E43" s="39">
        <v>75800</v>
      </c>
      <c r="F43" s="10">
        <v>3600</v>
      </c>
      <c r="G43" s="12">
        <f t="shared" si="11"/>
        <v>272880000</v>
      </c>
      <c r="H43" s="9" t="s">
        <v>87</v>
      </c>
      <c r="I43" s="15"/>
      <c r="J43" s="15"/>
    </row>
    <row r="44" spans="1:15" ht="75" x14ac:dyDescent="0.25">
      <c r="B44" s="8">
        <v>12</v>
      </c>
      <c r="C44" s="45" t="s">
        <v>79</v>
      </c>
      <c r="D44" s="43" t="s">
        <v>80</v>
      </c>
      <c r="E44" s="39">
        <v>5200</v>
      </c>
      <c r="F44" s="10">
        <v>3420</v>
      </c>
      <c r="G44" s="12">
        <f t="shared" si="11"/>
        <v>17784000</v>
      </c>
      <c r="H44" s="9" t="s">
        <v>81</v>
      </c>
      <c r="I44" s="22"/>
      <c r="J44" s="22"/>
      <c r="N44" t="s">
        <v>51</v>
      </c>
    </row>
    <row r="45" spans="1:15" ht="105" x14ac:dyDescent="0.25">
      <c r="B45" s="8">
        <v>13</v>
      </c>
      <c r="C45" s="45" t="s">
        <v>88</v>
      </c>
      <c r="D45" s="43" t="s">
        <v>94</v>
      </c>
      <c r="E45" s="39">
        <v>141191</v>
      </c>
      <c r="F45" s="10">
        <v>1200</v>
      </c>
      <c r="G45" s="12">
        <f t="shared" si="11"/>
        <v>169429200</v>
      </c>
      <c r="H45" s="9" t="s">
        <v>90</v>
      </c>
      <c r="I45" s="22"/>
      <c r="J45" s="22"/>
    </row>
    <row r="46" spans="1:15" ht="15.75" x14ac:dyDescent="0.25">
      <c r="A46" s="22"/>
      <c r="B46" s="8">
        <v>14</v>
      </c>
      <c r="C46" s="45" t="s">
        <v>91</v>
      </c>
      <c r="D46" s="43" t="str">
        <f>'on grid menjual'!D58</f>
        <v>Rail 2200mm</v>
      </c>
      <c r="E46" s="39">
        <f>'on grid menjual'!E58</f>
        <v>78000</v>
      </c>
      <c r="F46" s="10">
        <f>'on grid menjual'!F58</f>
        <v>3120</v>
      </c>
      <c r="G46" s="12">
        <f t="shared" si="11"/>
        <v>243360000</v>
      </c>
      <c r="H46" s="9"/>
    </row>
    <row r="47" spans="1:15" ht="30" x14ac:dyDescent="0.25">
      <c r="A47" s="22"/>
      <c r="B47" s="8">
        <v>15</v>
      </c>
      <c r="C47" s="45" t="s">
        <v>17</v>
      </c>
      <c r="D47" s="43" t="s">
        <v>20</v>
      </c>
      <c r="E47" s="39">
        <v>14000</v>
      </c>
      <c r="F47" s="10">
        <v>6240</v>
      </c>
      <c r="G47" s="12">
        <f t="shared" si="11"/>
        <v>87360000</v>
      </c>
      <c r="H47" s="9" t="s">
        <v>34</v>
      </c>
    </row>
    <row r="48" spans="1:15" ht="60" x14ac:dyDescent="0.25">
      <c r="B48" s="8">
        <v>16</v>
      </c>
      <c r="C48" s="56" t="s">
        <v>54</v>
      </c>
      <c r="D48" s="57" t="s">
        <v>53</v>
      </c>
      <c r="E48" s="39">
        <v>7000000</v>
      </c>
      <c r="F48" s="10">
        <v>1</v>
      </c>
      <c r="G48" s="12">
        <f t="shared" si="11"/>
        <v>7000000</v>
      </c>
      <c r="H48" s="9" t="s">
        <v>52</v>
      </c>
    </row>
    <row r="49" spans="2:8" x14ac:dyDescent="0.25">
      <c r="B49" s="8"/>
      <c r="C49" s="10" t="s">
        <v>50</v>
      </c>
      <c r="D49" s="8"/>
      <c r="E49" s="39">
        <f>SUM(E33:E48)</f>
        <v>348356959</v>
      </c>
      <c r="F49" s="10"/>
      <c r="G49" s="11">
        <f>SUM(G33:G48)</f>
        <v>12884194420</v>
      </c>
      <c r="H49" s="23"/>
    </row>
    <row r="54" spans="2:8" x14ac:dyDescent="0.25">
      <c r="D54" s="19"/>
    </row>
  </sheetData>
  <hyperlinks>
    <hyperlink ref="H33" r:id="rId1" xr:uid="{00000000-0004-0000-0500-000000000000}"/>
    <hyperlink ref="H39" r:id="rId2" xr:uid="{00000000-0004-0000-0500-000001000000}"/>
    <hyperlink ref="H38" r:id="rId3" xr:uid="{00000000-0004-0000-0500-000002000000}"/>
    <hyperlink ref="H37" r:id="rId4" xr:uid="{00000000-0004-0000-0500-000003000000}"/>
    <hyperlink ref="H36" r:id="rId5" xr:uid="{00000000-0004-0000-0500-000004000000}"/>
    <hyperlink ref="H47" r:id="rId6" xr:uid="{00000000-0004-0000-0500-000005000000}"/>
    <hyperlink ref="H40" r:id="rId7" xr:uid="{00000000-0004-0000-0500-000006000000}"/>
  </hyperlinks>
  <pageMargins left="0.7" right="0.7" top="0.75" bottom="0.75" header="0.3" footer="0.3"/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P67"/>
  <sheetViews>
    <sheetView tabSelected="1" zoomScale="55" workbookViewId="0">
      <selection activeCell="L33" sqref="L33"/>
    </sheetView>
  </sheetViews>
  <sheetFormatPr defaultRowHeight="15" x14ac:dyDescent="0.25"/>
  <cols>
    <col min="3" max="3" width="24.7109375" customWidth="1"/>
    <col min="4" max="4" width="25.85546875" customWidth="1"/>
    <col min="5" max="5" width="55.28515625" customWidth="1"/>
    <col min="6" max="6" width="28.7109375" customWidth="1"/>
    <col min="7" max="7" width="27" customWidth="1"/>
    <col min="8" max="8" width="32.42578125" customWidth="1"/>
    <col min="9" max="9" width="20.85546875" customWidth="1"/>
    <col min="10" max="10" width="32.5703125" customWidth="1"/>
    <col min="11" max="11" width="15.5703125" customWidth="1"/>
    <col min="12" max="12" width="18.85546875" customWidth="1"/>
  </cols>
  <sheetData>
    <row r="2" spans="2:15" x14ac:dyDescent="0.25">
      <c r="B2" s="1" t="s">
        <v>70</v>
      </c>
      <c r="F2" t="s">
        <v>0</v>
      </c>
    </row>
    <row r="3" spans="2:15" x14ac:dyDescent="0.25">
      <c r="B3" s="2" t="s">
        <v>1</v>
      </c>
      <c r="C3" s="2" t="s">
        <v>2</v>
      </c>
      <c r="D3" s="2" t="s">
        <v>40</v>
      </c>
      <c r="E3" s="2" t="s">
        <v>37</v>
      </c>
      <c r="F3" s="2" t="s">
        <v>38</v>
      </c>
      <c r="G3" s="2" t="s">
        <v>41</v>
      </c>
      <c r="H3" s="2" t="s">
        <v>42</v>
      </c>
      <c r="I3" s="2" t="s">
        <v>3</v>
      </c>
      <c r="J3" s="2" t="s">
        <v>35</v>
      </c>
      <c r="K3" s="2" t="s">
        <v>43</v>
      </c>
      <c r="L3" s="2" t="s">
        <v>43</v>
      </c>
      <c r="M3" s="14"/>
    </row>
    <row r="4" spans="2:15" x14ac:dyDescent="0.25">
      <c r="B4" s="3" t="s">
        <v>4</v>
      </c>
      <c r="C4" s="4">
        <f>-G67</f>
        <v>-9891493200</v>
      </c>
      <c r="D4" s="13">
        <f>G67</f>
        <v>9891493200</v>
      </c>
      <c r="E4" s="4"/>
      <c r="F4" s="3"/>
      <c r="G4" s="4">
        <f>C4</f>
        <v>-9891493200</v>
      </c>
      <c r="H4" s="4">
        <f>C4</f>
        <v>-9891493200</v>
      </c>
      <c r="I4" s="3">
        <v>1</v>
      </c>
      <c r="J4" s="4">
        <f>-C4</f>
        <v>9891493200</v>
      </c>
      <c r="K4" s="18">
        <v>0.13</v>
      </c>
      <c r="L4" s="18">
        <v>0.14000000000000001</v>
      </c>
      <c r="M4" s="17"/>
      <c r="N4" s="14"/>
    </row>
    <row r="5" spans="2:15" x14ac:dyDescent="0.25">
      <c r="B5" s="3">
        <v>1</v>
      </c>
      <c r="C5" s="3"/>
      <c r="D5" s="13">
        <f t="shared" ref="D5:D13" si="0">-$C$4*0.01</f>
        <v>98914932</v>
      </c>
      <c r="E5" s="16">
        <v>1093996.8999999999</v>
      </c>
      <c r="F5" s="4">
        <f t="shared" ref="F5:F29" si="1">(E5*1444)</f>
        <v>1579731523.5999999</v>
      </c>
      <c r="G5" s="4">
        <f t="shared" ref="G5:G29" si="2">F5-D5</f>
        <v>1480816591.5999999</v>
      </c>
      <c r="H5" s="4">
        <f t="shared" ref="H5:H29" si="3">G5+H4</f>
        <v>-8410676608.3999996</v>
      </c>
      <c r="I5" s="6">
        <f>1/(1+0.1)^B5</f>
        <v>0.90909090909090906</v>
      </c>
      <c r="J5" s="13">
        <f t="shared" ref="J5:J29" si="4">G5*I5</f>
        <v>1346196901.4545453</v>
      </c>
      <c r="K5" s="13">
        <f t="shared" ref="K5:K29" si="5">G5/(1+$K$4)^B5</f>
        <v>1310457160.7079647</v>
      </c>
      <c r="L5" s="4">
        <f t="shared" ref="L5:L29" si="6">G5/(1+$L$4)^B5</f>
        <v>1298961922.45614</v>
      </c>
      <c r="M5" s="17"/>
      <c r="N5" s="17"/>
    </row>
    <row r="6" spans="2:15" x14ac:dyDescent="0.25">
      <c r="B6" s="3">
        <v>2</v>
      </c>
      <c r="C6" s="3"/>
      <c r="D6" s="13">
        <f t="shared" si="0"/>
        <v>98914932</v>
      </c>
      <c r="E6" s="4">
        <f>$E$5*(1-0.005)^B6</f>
        <v>1083084.2809225</v>
      </c>
      <c r="F6" s="4">
        <f t="shared" si="1"/>
        <v>1563973701.6520898</v>
      </c>
      <c r="G6" s="4">
        <f t="shared" si="2"/>
        <v>1465058769.6520898</v>
      </c>
      <c r="H6" s="4">
        <f t="shared" si="3"/>
        <v>-6945617838.7479095</v>
      </c>
      <c r="I6" s="6">
        <f>1/(1+0.1)^B6</f>
        <v>0.82644628099173545</v>
      </c>
      <c r="J6" s="13">
        <f t="shared" si="4"/>
        <v>1210792371.6132972</v>
      </c>
      <c r="K6" s="13">
        <f t="shared" si="5"/>
        <v>1147355916.4007285</v>
      </c>
      <c r="L6" s="4">
        <f t="shared" si="6"/>
        <v>1127315150.5479298</v>
      </c>
      <c r="M6" s="17"/>
      <c r="N6" s="17"/>
    </row>
    <row r="7" spans="2:15" x14ac:dyDescent="0.25">
      <c r="B7" s="3">
        <v>3</v>
      </c>
      <c r="C7" s="3"/>
      <c r="D7" s="13">
        <f t="shared" si="0"/>
        <v>98914932</v>
      </c>
      <c r="E7" s="4">
        <f t="shared" ref="E7:E28" si="7">$E$5*(1-0.005)^B7</f>
        <v>1077668.8595178875</v>
      </c>
      <c r="F7" s="4">
        <f t="shared" si="1"/>
        <v>1556153833.1438296</v>
      </c>
      <c r="G7" s="4">
        <f t="shared" si="2"/>
        <v>1457238901.1438296</v>
      </c>
      <c r="H7" s="4">
        <f t="shared" si="3"/>
        <v>-5488378937.6040802</v>
      </c>
      <c r="I7" s="6">
        <f>1/(1+0.1)^B7</f>
        <v>0.75131480090157754</v>
      </c>
      <c r="J7" s="13">
        <f t="shared" si="4"/>
        <v>1094845154.8789101</v>
      </c>
      <c r="K7" s="13">
        <f t="shared" si="5"/>
        <v>1009939656.9151021</v>
      </c>
      <c r="L7" s="4">
        <f t="shared" si="6"/>
        <v>983594750.57361054</v>
      </c>
      <c r="M7" s="17"/>
      <c r="N7" s="17"/>
    </row>
    <row r="8" spans="2:15" x14ac:dyDescent="0.25">
      <c r="B8" s="3">
        <v>4</v>
      </c>
      <c r="C8" s="3"/>
      <c r="D8" s="13">
        <f t="shared" si="0"/>
        <v>98914932</v>
      </c>
      <c r="E8" s="4">
        <f t="shared" si="7"/>
        <v>1072280.515220298</v>
      </c>
      <c r="F8" s="4">
        <f t="shared" si="1"/>
        <v>1548373063.9781103</v>
      </c>
      <c r="G8" s="4">
        <f t="shared" si="2"/>
        <v>1449458131.9781103</v>
      </c>
      <c r="H8" s="4">
        <f t="shared" si="3"/>
        <v>-4038920805.6259699</v>
      </c>
      <c r="I8" s="6">
        <f t="shared" ref="I8:I29" si="8">1/(1+0.1)^B8</f>
        <v>0.68301345536507052</v>
      </c>
      <c r="J8" s="13">
        <f t="shared" si="4"/>
        <v>989999407.1293695</v>
      </c>
      <c r="K8" s="13">
        <f t="shared" si="5"/>
        <v>888979817.32934093</v>
      </c>
      <c r="L8" s="4">
        <f t="shared" si="6"/>
        <v>858195572.81807613</v>
      </c>
      <c r="M8" s="17"/>
      <c r="N8" s="17"/>
    </row>
    <row r="9" spans="2:15" x14ac:dyDescent="0.25">
      <c r="B9" s="3">
        <v>5</v>
      </c>
      <c r="C9" s="3"/>
      <c r="D9" s="13">
        <f t="shared" si="0"/>
        <v>98914932</v>
      </c>
      <c r="E9" s="4">
        <f t="shared" si="7"/>
        <v>1066919.1126441965</v>
      </c>
      <c r="F9" s="4">
        <f t="shared" si="1"/>
        <v>1540631198.6582198</v>
      </c>
      <c r="G9" s="4">
        <f t="shared" si="2"/>
        <v>1441716266.6582198</v>
      </c>
      <c r="H9" s="4">
        <f t="shared" si="3"/>
        <v>-2597204538.9677501</v>
      </c>
      <c r="I9" s="6">
        <f t="shared" si="8"/>
        <v>0.62092132305915493</v>
      </c>
      <c r="J9" s="13">
        <f t="shared" si="4"/>
        <v>895192371.76932728</v>
      </c>
      <c r="K9" s="13">
        <f t="shared" si="5"/>
        <v>782505828.6207794</v>
      </c>
      <c r="L9" s="4">
        <f t="shared" si="6"/>
        <v>748782251.8000989</v>
      </c>
      <c r="M9" s="17"/>
      <c r="N9" s="17"/>
      <c r="O9" s="17"/>
    </row>
    <row r="10" spans="2:15" x14ac:dyDescent="0.25">
      <c r="B10" s="3">
        <v>6</v>
      </c>
      <c r="C10" s="3"/>
      <c r="D10" s="13">
        <f t="shared" si="0"/>
        <v>98914932</v>
      </c>
      <c r="E10" s="4">
        <f t="shared" si="7"/>
        <v>1061584.5170809757</v>
      </c>
      <c r="F10" s="4">
        <f t="shared" si="1"/>
        <v>1532928042.6649289</v>
      </c>
      <c r="G10" s="4">
        <f t="shared" si="2"/>
        <v>1434013110.6649289</v>
      </c>
      <c r="H10" s="4">
        <f t="shared" si="3"/>
        <v>-1163191428.3028212</v>
      </c>
      <c r="I10" s="6">
        <f t="shared" si="8"/>
        <v>0.56447393005377722</v>
      </c>
      <c r="J10" s="13">
        <f t="shared" si="4"/>
        <v>809463016.32567453</v>
      </c>
      <c r="K10" s="13">
        <f t="shared" si="5"/>
        <v>688783065.63439572</v>
      </c>
      <c r="L10" s="4">
        <f t="shared" si="6"/>
        <v>653317082.42149818</v>
      </c>
      <c r="M10" s="17"/>
      <c r="N10" s="17"/>
    </row>
    <row r="11" spans="2:15" x14ac:dyDescent="0.25">
      <c r="B11" s="3">
        <v>7</v>
      </c>
      <c r="C11" s="3"/>
      <c r="D11" s="13">
        <f t="shared" si="0"/>
        <v>98914932</v>
      </c>
      <c r="E11" s="4">
        <f t="shared" si="7"/>
        <v>1056276.5944955708</v>
      </c>
      <c r="F11" s="4">
        <f t="shared" si="1"/>
        <v>1525263402.4516041</v>
      </c>
      <c r="G11" s="4">
        <f t="shared" si="2"/>
        <v>1426348470.4516041</v>
      </c>
      <c r="H11" s="4">
        <f t="shared" si="3"/>
        <v>263157042.14878297</v>
      </c>
      <c r="I11" s="6">
        <f t="shared" si="8"/>
        <v>0.51315811823070645</v>
      </c>
      <c r="J11" s="13">
        <f t="shared" si="4"/>
        <v>731942297.03819156</v>
      </c>
      <c r="K11" s="13">
        <f t="shared" si="5"/>
        <v>606284599.05648386</v>
      </c>
      <c r="L11" s="4">
        <f t="shared" si="6"/>
        <v>570022083.72585011</v>
      </c>
      <c r="M11" s="17"/>
      <c r="N11" s="17"/>
    </row>
    <row r="12" spans="2:15" x14ac:dyDescent="0.25">
      <c r="B12" s="3">
        <v>8</v>
      </c>
      <c r="C12" s="3"/>
      <c r="D12" s="13">
        <f t="shared" si="0"/>
        <v>98914932</v>
      </c>
      <c r="E12" s="4">
        <f t="shared" si="7"/>
        <v>1050995.2115230928</v>
      </c>
      <c r="F12" s="4">
        <f t="shared" si="1"/>
        <v>1517637085.4393461</v>
      </c>
      <c r="G12" s="4">
        <f t="shared" si="2"/>
        <v>1418722153.4393461</v>
      </c>
      <c r="H12" s="4">
        <f t="shared" si="3"/>
        <v>1681879195.588129</v>
      </c>
      <c r="I12" s="6">
        <f t="shared" si="8"/>
        <v>0.46650738020973315</v>
      </c>
      <c r="J12" s="13">
        <f t="shared" si="4"/>
        <v>661844355.04650044</v>
      </c>
      <c r="K12" s="13">
        <f t="shared" si="5"/>
        <v>533666329.0600366</v>
      </c>
      <c r="L12" s="4">
        <f t="shared" si="6"/>
        <v>497345897.20553273</v>
      </c>
      <c r="M12" s="17"/>
      <c r="N12" s="17"/>
    </row>
    <row r="13" spans="2:15" x14ac:dyDescent="0.25">
      <c r="B13" s="3">
        <v>9</v>
      </c>
      <c r="C13" s="3"/>
      <c r="D13" s="13">
        <f t="shared" si="0"/>
        <v>98914932</v>
      </c>
      <c r="E13" s="4">
        <f t="shared" si="7"/>
        <v>1045740.2354654773</v>
      </c>
      <c r="F13" s="4">
        <f t="shared" si="1"/>
        <v>1510048900.0121493</v>
      </c>
      <c r="G13" s="4">
        <f t="shared" si="2"/>
        <v>1411133968.0121493</v>
      </c>
      <c r="H13" s="4">
        <f t="shared" si="3"/>
        <v>3093013163.6002784</v>
      </c>
      <c r="I13" s="6">
        <f t="shared" si="8"/>
        <v>0.42409761837248466</v>
      </c>
      <c r="J13" s="13">
        <f t="shared" si="4"/>
        <v>598458555.03846645</v>
      </c>
      <c r="K13" s="13">
        <f t="shared" si="5"/>
        <v>469745095.82214117</v>
      </c>
      <c r="L13" s="4">
        <f t="shared" si="6"/>
        <v>433934903.59135288</v>
      </c>
      <c r="M13" s="17"/>
      <c r="N13" s="17"/>
    </row>
    <row r="14" spans="2:15" x14ac:dyDescent="0.25">
      <c r="B14" s="3">
        <v>10</v>
      </c>
      <c r="C14" s="3"/>
      <c r="D14" s="13">
        <f>D13+(G54*I14)</f>
        <v>402144729.13632649</v>
      </c>
      <c r="E14" s="4">
        <f t="shared" si="7"/>
        <v>1040511.53428815</v>
      </c>
      <c r="F14" s="4">
        <f t="shared" si="1"/>
        <v>1502498655.5120885</v>
      </c>
      <c r="G14" s="4">
        <f t="shared" si="2"/>
        <v>1100353926.375762</v>
      </c>
      <c r="H14" s="4">
        <f t="shared" si="3"/>
        <v>4193367089.9760404</v>
      </c>
      <c r="I14" s="6">
        <f t="shared" si="8"/>
        <v>0.38554328942953148</v>
      </c>
      <c r="J14" s="13">
        <f t="shared" si="4"/>
        <v>424234072.31161177</v>
      </c>
      <c r="K14" s="13">
        <f t="shared" si="5"/>
        <v>324151445.52513206</v>
      </c>
      <c r="L14" s="4">
        <f t="shared" si="6"/>
        <v>296813659.91967553</v>
      </c>
      <c r="M14" s="17"/>
      <c r="N14" s="17"/>
      <c r="O14" s="17"/>
    </row>
    <row r="15" spans="2:15" x14ac:dyDescent="0.25">
      <c r="B15" s="3">
        <v>11</v>
      </c>
      <c r="C15" s="3"/>
      <c r="D15" s="13">
        <f t="shared" ref="D15:D23" si="9">-$C$4*0.01</f>
        <v>98914932</v>
      </c>
      <c r="E15" s="4">
        <f t="shared" si="7"/>
        <v>1035308.9766167093</v>
      </c>
      <c r="F15" s="4">
        <f t="shared" si="1"/>
        <v>1494986162.2345281</v>
      </c>
      <c r="G15" s="4">
        <f t="shared" si="2"/>
        <v>1396071230.2345281</v>
      </c>
      <c r="H15" s="4">
        <f t="shared" si="3"/>
        <v>5589438320.2105684</v>
      </c>
      <c r="I15" s="6">
        <f t="shared" si="8"/>
        <v>0.3504938994813922</v>
      </c>
      <c r="J15" s="13">
        <f t="shared" si="4"/>
        <v>489314449.43868423</v>
      </c>
      <c r="K15" s="13">
        <f t="shared" si="5"/>
        <v>363952493.43468809</v>
      </c>
      <c r="L15" s="4">
        <f t="shared" si="6"/>
        <v>330334712.28350586</v>
      </c>
      <c r="M15" s="17"/>
      <c r="N15" s="17"/>
    </row>
    <row r="16" spans="2:15" x14ac:dyDescent="0.25">
      <c r="B16" s="3">
        <v>12</v>
      </c>
      <c r="C16" s="3"/>
      <c r="D16" s="13">
        <f t="shared" si="9"/>
        <v>98914932</v>
      </c>
      <c r="E16" s="4">
        <f t="shared" si="7"/>
        <v>1030132.4317336257</v>
      </c>
      <c r="F16" s="4">
        <f t="shared" si="1"/>
        <v>1487511231.4233556</v>
      </c>
      <c r="G16" s="4">
        <f t="shared" si="2"/>
        <v>1388596299.4233556</v>
      </c>
      <c r="H16" s="4">
        <f t="shared" si="3"/>
        <v>6978034619.6339245</v>
      </c>
      <c r="I16" s="6">
        <f>1/(1+0.1)^B16</f>
        <v>0.31863081771035656</v>
      </c>
      <c r="J16" s="13">
        <f t="shared" si="4"/>
        <v>442449574.35483891</v>
      </c>
      <c r="K16" s="13">
        <f t="shared" si="5"/>
        <v>320357342.04806733</v>
      </c>
      <c r="L16" s="4">
        <f t="shared" si="6"/>
        <v>288215801.54686111</v>
      </c>
      <c r="M16" s="17"/>
      <c r="N16" s="17"/>
    </row>
    <row r="17" spans="2:16" x14ac:dyDescent="0.25">
      <c r="B17" s="3">
        <v>13</v>
      </c>
      <c r="C17" s="3"/>
      <c r="D17" s="13">
        <f t="shared" si="9"/>
        <v>98914932</v>
      </c>
      <c r="E17" s="4">
        <f t="shared" si="7"/>
        <v>1024981.7695749577</v>
      </c>
      <c r="F17" s="4">
        <f t="shared" si="1"/>
        <v>1480073675.2662389</v>
      </c>
      <c r="G17" s="4">
        <f t="shared" si="2"/>
        <v>1381158743.2662389</v>
      </c>
      <c r="H17" s="4">
        <f t="shared" si="3"/>
        <v>8359193362.9001637</v>
      </c>
      <c r="I17" s="6">
        <f t="shared" si="8"/>
        <v>0.28966437973668779</v>
      </c>
      <c r="J17" s="13">
        <f t="shared" si="4"/>
        <v>400072490.6861183</v>
      </c>
      <c r="K17" s="13">
        <f t="shared" si="5"/>
        <v>281983587.65646952</v>
      </c>
      <c r="L17" s="4">
        <f t="shared" si="6"/>
        <v>251466727.25141427</v>
      </c>
      <c r="M17" s="17"/>
      <c r="N17" s="17"/>
    </row>
    <row r="18" spans="2:16" x14ac:dyDescent="0.25">
      <c r="B18" s="3">
        <v>14</v>
      </c>
      <c r="C18" s="3"/>
      <c r="D18" s="13">
        <f t="shared" si="9"/>
        <v>98914932</v>
      </c>
      <c r="E18" s="4">
        <f t="shared" si="7"/>
        <v>1019856.8607270829</v>
      </c>
      <c r="F18" s="4">
        <f t="shared" si="1"/>
        <v>1472673306.8899078</v>
      </c>
      <c r="G18" s="4">
        <f t="shared" si="2"/>
        <v>1373758374.8899078</v>
      </c>
      <c r="H18" s="4">
        <f t="shared" si="3"/>
        <v>9732951737.7900715</v>
      </c>
      <c r="I18" s="6">
        <f t="shared" si="8"/>
        <v>0.26333125430607973</v>
      </c>
      <c r="J18" s="13">
        <f t="shared" si="4"/>
        <v>361753515.97324115</v>
      </c>
      <c r="K18" s="13">
        <f t="shared" si="5"/>
        <v>248205924.89273643</v>
      </c>
      <c r="L18" s="4">
        <f t="shared" si="6"/>
        <v>219402935.71003744</v>
      </c>
      <c r="M18" s="17"/>
      <c r="N18" s="17"/>
    </row>
    <row r="19" spans="2:16" x14ac:dyDescent="0.25">
      <c r="B19" s="3">
        <v>15</v>
      </c>
      <c r="C19" s="3"/>
      <c r="D19" s="13">
        <f t="shared" si="9"/>
        <v>98914932</v>
      </c>
      <c r="E19" s="4">
        <f t="shared" si="7"/>
        <v>1014757.5764234475</v>
      </c>
      <c r="F19" s="4">
        <f t="shared" si="1"/>
        <v>1465309940.355458</v>
      </c>
      <c r="G19" s="4">
        <f t="shared" si="2"/>
        <v>1366395008.355458</v>
      </c>
      <c r="H19" s="4">
        <f t="shared" si="3"/>
        <v>11099346746.145529</v>
      </c>
      <c r="I19" s="6">
        <f t="shared" si="8"/>
        <v>0.23939204936916339</v>
      </c>
      <c r="J19" s="13">
        <f t="shared" si="4"/>
        <v>327104101.2980082</v>
      </c>
      <c r="K19" s="13">
        <f t="shared" si="5"/>
        <v>218473926.74739844</v>
      </c>
      <c r="L19" s="4">
        <f t="shared" si="6"/>
        <v>191427133.78745836</v>
      </c>
      <c r="M19" s="17"/>
      <c r="N19" s="17"/>
    </row>
    <row r="20" spans="2:16" x14ac:dyDescent="0.25">
      <c r="B20" s="3">
        <v>16</v>
      </c>
      <c r="C20" s="3"/>
      <c r="D20" s="13">
        <f t="shared" si="9"/>
        <v>98914932</v>
      </c>
      <c r="E20" s="4">
        <f t="shared" si="7"/>
        <v>1009683.7885413301</v>
      </c>
      <c r="F20" s="4">
        <f t="shared" si="1"/>
        <v>1457983390.6536808</v>
      </c>
      <c r="G20" s="4">
        <f t="shared" si="2"/>
        <v>1359068458.6536808</v>
      </c>
      <c r="H20" s="4">
        <f t="shared" si="3"/>
        <v>12458415204.79921</v>
      </c>
      <c r="I20" s="6">
        <f t="shared" si="8"/>
        <v>0.21762913579014853</v>
      </c>
      <c r="J20" s="13">
        <f t="shared" si="4"/>
        <v>295772894.13644975</v>
      </c>
      <c r="K20" s="13">
        <f t="shared" si="5"/>
        <v>192303078.93705454</v>
      </c>
      <c r="L20" s="4">
        <f t="shared" si="6"/>
        <v>167018166.62152147</v>
      </c>
      <c r="M20" s="17"/>
      <c r="N20" s="17"/>
    </row>
    <row r="21" spans="2:16" x14ac:dyDescent="0.25">
      <c r="B21" s="3">
        <v>17</v>
      </c>
      <c r="C21" s="3"/>
      <c r="D21" s="13">
        <f t="shared" si="9"/>
        <v>98914932</v>
      </c>
      <c r="E21" s="4">
        <f t="shared" si="7"/>
        <v>1004635.3695986236</v>
      </c>
      <c r="F21" s="4">
        <f t="shared" si="1"/>
        <v>1450693473.7004125</v>
      </c>
      <c r="G21" s="4">
        <f t="shared" si="2"/>
        <v>1351778541.7004125</v>
      </c>
      <c r="H21" s="4">
        <f t="shared" si="3"/>
        <v>13810193746.499622</v>
      </c>
      <c r="I21" s="6">
        <f t="shared" si="8"/>
        <v>0.19784466890013502</v>
      </c>
      <c r="J21" s="13">
        <f t="shared" si="4"/>
        <v>267442178.00902548</v>
      </c>
      <c r="K21" s="13">
        <f t="shared" si="5"/>
        <v>169266887.68743637</v>
      </c>
      <c r="L21" s="4">
        <f t="shared" si="6"/>
        <v>145721312.88766178</v>
      </c>
      <c r="M21" s="17"/>
      <c r="N21" s="17"/>
    </row>
    <row r="22" spans="2:16" x14ac:dyDescent="0.25">
      <c r="B22" s="3">
        <v>18</v>
      </c>
      <c r="C22" s="3"/>
      <c r="D22" s="13">
        <f t="shared" si="9"/>
        <v>98914932</v>
      </c>
      <c r="E22" s="4">
        <f t="shared" si="7"/>
        <v>999612.19275063043</v>
      </c>
      <c r="F22" s="4">
        <f t="shared" si="1"/>
        <v>1443440006.3319104</v>
      </c>
      <c r="G22" s="4">
        <f t="shared" si="2"/>
        <v>1344525074.3319104</v>
      </c>
      <c r="H22" s="4">
        <f t="shared" si="3"/>
        <v>15154718820.831533</v>
      </c>
      <c r="I22" s="6">
        <f t="shared" si="8"/>
        <v>0.17985878990921364</v>
      </c>
      <c r="J22" s="13">
        <f t="shared" si="4"/>
        <v>241824652.87193292</v>
      </c>
      <c r="K22" s="13">
        <f t="shared" si="5"/>
        <v>148989932.42681721</v>
      </c>
      <c r="L22" s="4">
        <f t="shared" si="6"/>
        <v>127139816.95290497</v>
      </c>
      <c r="M22" s="17"/>
      <c r="N22" s="17"/>
    </row>
    <row r="23" spans="2:16" x14ac:dyDescent="0.25">
      <c r="B23" s="3">
        <v>19</v>
      </c>
      <c r="C23" s="3"/>
      <c r="D23" s="13">
        <f t="shared" si="9"/>
        <v>98914932</v>
      </c>
      <c r="E23" s="4">
        <f t="shared" si="7"/>
        <v>994614.13178687729</v>
      </c>
      <c r="F23" s="4">
        <f t="shared" si="1"/>
        <v>1436222806.3002508</v>
      </c>
      <c r="G23" s="4">
        <f t="shared" si="2"/>
        <v>1337307874.3002508</v>
      </c>
      <c r="H23" s="4">
        <f t="shared" si="3"/>
        <v>16492026695.131784</v>
      </c>
      <c r="I23" s="6">
        <f t="shared" si="8"/>
        <v>0.16350799082655781</v>
      </c>
      <c r="J23" s="13">
        <f t="shared" si="4"/>
        <v>218660523.64336893</v>
      </c>
      <c r="K23" s="13">
        <f t="shared" si="5"/>
        <v>131141750.26814646</v>
      </c>
      <c r="L23" s="4">
        <f t="shared" si="6"/>
        <v>110927500.28683312</v>
      </c>
      <c r="M23" s="17"/>
      <c r="N23" s="17"/>
    </row>
    <row r="24" spans="2:16" x14ac:dyDescent="0.25">
      <c r="B24" s="3">
        <v>20</v>
      </c>
      <c r="C24" s="3"/>
      <c r="D24" s="13">
        <f>D23+(G54*I24)</f>
        <v>215823145.44098884</v>
      </c>
      <c r="E24" s="4">
        <f t="shared" si="7"/>
        <v>989641.06112794287</v>
      </c>
      <c r="F24" s="4">
        <f t="shared" si="1"/>
        <v>1429041692.2687495</v>
      </c>
      <c r="G24" s="4">
        <f t="shared" si="2"/>
        <v>1213218546.8277607</v>
      </c>
      <c r="H24" s="4">
        <f t="shared" si="3"/>
        <v>17705245241.959545</v>
      </c>
      <c r="I24" s="6">
        <f t="shared" si="8"/>
        <v>0.14864362802414349</v>
      </c>
      <c r="J24" s="13">
        <f t="shared" si="4"/>
        <v>180337206.38665757</v>
      </c>
      <c r="K24" s="13">
        <f t="shared" si="5"/>
        <v>105285889.65033264</v>
      </c>
      <c r="L24" s="4">
        <f t="shared" si="6"/>
        <v>88275871.568274885</v>
      </c>
      <c r="M24" s="17"/>
      <c r="N24" s="17"/>
    </row>
    <row r="25" spans="2:16" x14ac:dyDescent="0.25">
      <c r="B25" s="3">
        <v>21</v>
      </c>
      <c r="C25" s="3"/>
      <c r="D25" s="13">
        <f>-$C$4*0.01</f>
        <v>98914932</v>
      </c>
      <c r="E25" s="4">
        <f t="shared" si="7"/>
        <v>984692.85582230322</v>
      </c>
      <c r="F25" s="4">
        <f t="shared" si="1"/>
        <v>1421896483.8074059</v>
      </c>
      <c r="G25" s="4">
        <f t="shared" si="2"/>
        <v>1322981551.8074059</v>
      </c>
      <c r="H25" s="4">
        <f t="shared" si="3"/>
        <v>19028226793.766953</v>
      </c>
      <c r="I25" s="6">
        <f t="shared" si="8"/>
        <v>0.13513057093103953</v>
      </c>
      <c r="J25" s="13">
        <f t="shared" si="4"/>
        <v>178775252.42696741</v>
      </c>
      <c r="K25" s="13">
        <f t="shared" si="5"/>
        <v>101602986.82502884</v>
      </c>
      <c r="L25" s="4">
        <f t="shared" si="6"/>
        <v>84440716.585455716</v>
      </c>
      <c r="M25" s="17"/>
      <c r="N25" s="17"/>
    </row>
    <row r="26" spans="2:16" x14ac:dyDescent="0.25">
      <c r="B26" s="3">
        <v>22</v>
      </c>
      <c r="C26" s="3"/>
      <c r="D26" s="13">
        <f>-$C$4*0.01</f>
        <v>98914932</v>
      </c>
      <c r="E26" s="4">
        <f t="shared" si="7"/>
        <v>979769.39154319174</v>
      </c>
      <c r="F26" s="4">
        <f t="shared" si="1"/>
        <v>1414787001.3883688</v>
      </c>
      <c r="G26" s="4">
        <f t="shared" si="2"/>
        <v>1315872069.3883688</v>
      </c>
      <c r="H26" s="4">
        <f t="shared" si="3"/>
        <v>20344098863.155323</v>
      </c>
      <c r="I26" s="6">
        <f t="shared" si="8"/>
        <v>0.12284597357367227</v>
      </c>
      <c r="J26" s="13">
        <f t="shared" si="4"/>
        <v>161649585.46241701</v>
      </c>
      <c r="K26" s="13">
        <f t="shared" si="5"/>
        <v>89430963.985238388</v>
      </c>
      <c r="L26" s="4">
        <f t="shared" si="6"/>
        <v>73672759.863481507</v>
      </c>
      <c r="M26" s="17"/>
      <c r="N26" s="17"/>
    </row>
    <row r="27" spans="2:16" x14ac:dyDescent="0.25">
      <c r="B27" s="3">
        <v>23</v>
      </c>
      <c r="C27" s="3"/>
      <c r="D27" s="13">
        <f>-$C$4*0.01</f>
        <v>98914932</v>
      </c>
      <c r="E27" s="4">
        <f t="shared" si="7"/>
        <v>974870.5445854757</v>
      </c>
      <c r="F27" s="4">
        <f t="shared" si="1"/>
        <v>1407713066.3814268</v>
      </c>
      <c r="G27" s="4">
        <f t="shared" si="2"/>
        <v>1308798134.3814268</v>
      </c>
      <c r="H27" s="4">
        <f t="shared" si="3"/>
        <v>21652896997.536751</v>
      </c>
      <c r="I27" s="6">
        <f t="shared" si="8"/>
        <v>0.11167815779424752</v>
      </c>
      <c r="J27" s="13">
        <f t="shared" si="4"/>
        <v>146164164.57226574</v>
      </c>
      <c r="K27" s="13">
        <f t="shared" si="5"/>
        <v>78716987.837119937</v>
      </c>
      <c r="L27" s="4">
        <f t="shared" si="6"/>
        <v>64277812.21528741</v>
      </c>
      <c r="M27" s="17"/>
      <c r="N27" s="17"/>
      <c r="O27" s="1"/>
      <c r="P27" s="7"/>
    </row>
    <row r="28" spans="2:16" x14ac:dyDescent="0.25">
      <c r="B28" s="3">
        <v>24</v>
      </c>
      <c r="C28" s="3"/>
      <c r="D28" s="13">
        <f>-$C$4*0.01</f>
        <v>98914932</v>
      </c>
      <c r="E28" s="4">
        <f t="shared" si="7"/>
        <v>969996.19186254835</v>
      </c>
      <c r="F28" s="4">
        <f t="shared" si="1"/>
        <v>1400674501.0495198</v>
      </c>
      <c r="G28" s="4">
        <f t="shared" si="2"/>
        <v>1301759569.0495198</v>
      </c>
      <c r="H28" s="4">
        <f t="shared" si="3"/>
        <v>22954656566.586269</v>
      </c>
      <c r="I28" s="6">
        <f t="shared" si="8"/>
        <v>0.10152559799477048</v>
      </c>
      <c r="J28" s="13">
        <f t="shared" si="4"/>
        <v>132161918.69316721</v>
      </c>
      <c r="K28" s="13">
        <f t="shared" si="5"/>
        <v>69286422.08888647</v>
      </c>
      <c r="L28" s="4">
        <f t="shared" si="6"/>
        <v>56080818.911252752</v>
      </c>
      <c r="M28" s="17"/>
      <c r="N28" s="17"/>
    </row>
    <row r="29" spans="2:16" x14ac:dyDescent="0.25">
      <c r="B29" s="3">
        <v>25</v>
      </c>
      <c r="C29" s="3"/>
      <c r="D29" s="13">
        <f>-$C$4*0.01</f>
        <v>98914932</v>
      </c>
      <c r="E29" s="4">
        <f>$E$5*(1-0.005)^B29</f>
        <v>965146.21090323559</v>
      </c>
      <c r="F29" s="4">
        <f t="shared" si="1"/>
        <v>1393671128.5442722</v>
      </c>
      <c r="G29" s="4">
        <f t="shared" si="2"/>
        <v>1294756196.5442722</v>
      </c>
      <c r="H29" s="4">
        <f t="shared" si="3"/>
        <v>24249412763.130543</v>
      </c>
      <c r="I29" s="6">
        <f t="shared" si="8"/>
        <v>9.2295998177064048E-2</v>
      </c>
      <c r="J29" s="13">
        <f t="shared" si="4"/>
        <v>119500815.55599253</v>
      </c>
      <c r="K29" s="13">
        <f t="shared" si="5"/>
        <v>60985545.256595582</v>
      </c>
      <c r="L29" s="4">
        <f t="shared" si="6"/>
        <v>48929042.240421034</v>
      </c>
      <c r="M29" s="17"/>
      <c r="N29" s="17"/>
    </row>
    <row r="30" spans="2:16" x14ac:dyDescent="0.25">
      <c r="D30" s="19">
        <f>SUM(D4:D29)</f>
        <v>12784504510.577314</v>
      </c>
      <c r="F30" s="17">
        <f>SUM(F4:F29)</f>
        <v>37033917273.707863</v>
      </c>
      <c r="G30" s="17">
        <f>SUM(G4:G29)</f>
        <v>24249412763.130543</v>
      </c>
      <c r="J30" s="19">
        <f>SUM(J5:J29)</f>
        <v>12725951826.115032</v>
      </c>
      <c r="K30" s="19">
        <f>SUM(K5:K29)</f>
        <v>10341852634.814121</v>
      </c>
      <c r="L30" s="17">
        <f>SUM(L5:L29)</f>
        <v>9715614403.7721367</v>
      </c>
      <c r="N30" s="17"/>
    </row>
    <row r="31" spans="2:16" x14ac:dyDescent="0.25">
      <c r="J31" s="17">
        <f>J30-J4</f>
        <v>2834458626.1150322</v>
      </c>
      <c r="K31" s="19">
        <f>K30-G67</f>
        <v>450359434.81412125</v>
      </c>
      <c r="L31" s="17">
        <f>L30-G67</f>
        <v>-175878796.22786331</v>
      </c>
      <c r="M31" s="17"/>
    </row>
    <row r="32" spans="2:16" x14ac:dyDescent="0.25">
      <c r="N32" s="14"/>
    </row>
    <row r="33" spans="11:16" x14ac:dyDescent="0.25">
      <c r="K33" t="s">
        <v>46</v>
      </c>
      <c r="L33" s="20">
        <f>K31/(K31-L31)*(L4-K4)+K4</f>
        <v>0.13719150336869051</v>
      </c>
      <c r="N33" s="15"/>
      <c r="O33" s="14"/>
      <c r="P33" s="15"/>
    </row>
    <row r="34" spans="11:16" x14ac:dyDescent="0.25">
      <c r="K34" t="s">
        <v>47</v>
      </c>
      <c r="L34" s="19">
        <f>SUM(J5:J29) - J4</f>
        <v>2834458626.1150322</v>
      </c>
      <c r="N34" s="15"/>
      <c r="O34" s="15"/>
      <c r="P34" s="15"/>
    </row>
    <row r="35" spans="11:16" x14ac:dyDescent="0.25">
      <c r="K35" t="s">
        <v>48</v>
      </c>
      <c r="L35" s="21">
        <f>B11+(-H11/G12)</f>
        <v>6.8145112194725215</v>
      </c>
      <c r="N35" s="15"/>
      <c r="O35" s="15"/>
      <c r="P35" s="15"/>
    </row>
    <row r="36" spans="11:16" x14ac:dyDescent="0.25">
      <c r="K36" t="s">
        <v>49</v>
      </c>
      <c r="L36" s="35">
        <f>J30/J4</f>
        <v>1.2865551811848823</v>
      </c>
      <c r="N36" s="15"/>
      <c r="O36" s="15"/>
      <c r="P36" s="15"/>
    </row>
    <row r="37" spans="11:16" x14ac:dyDescent="0.25">
      <c r="N37" s="15"/>
      <c r="O37" s="15"/>
      <c r="P37" s="15"/>
    </row>
    <row r="38" spans="11:16" x14ac:dyDescent="0.25">
      <c r="N38" s="15"/>
      <c r="O38" s="15"/>
      <c r="P38" s="15"/>
    </row>
    <row r="39" spans="11:16" x14ac:dyDescent="0.25">
      <c r="N39" s="15"/>
      <c r="O39" s="15"/>
      <c r="P39" s="15"/>
    </row>
    <row r="40" spans="11:16" x14ac:dyDescent="0.25">
      <c r="N40" s="15"/>
      <c r="O40" s="15"/>
      <c r="P40" s="15"/>
    </row>
    <row r="41" spans="11:16" x14ac:dyDescent="0.25">
      <c r="N41" s="15"/>
      <c r="O41" s="15"/>
      <c r="P41" s="15"/>
    </row>
    <row r="42" spans="11:16" x14ac:dyDescent="0.25">
      <c r="O42" s="15"/>
      <c r="P42" s="15"/>
    </row>
    <row r="53" spans="2:8" x14ac:dyDescent="0.25">
      <c r="B53" s="2" t="s">
        <v>5</v>
      </c>
      <c r="C53" s="2" t="s">
        <v>6</v>
      </c>
      <c r="D53" s="2" t="s">
        <v>7</v>
      </c>
      <c r="E53" s="2" t="s">
        <v>8</v>
      </c>
      <c r="F53" s="2" t="s">
        <v>21</v>
      </c>
      <c r="G53" s="2" t="s">
        <v>22</v>
      </c>
      <c r="H53" s="2" t="s">
        <v>9</v>
      </c>
    </row>
    <row r="54" spans="2:8" ht="30" x14ac:dyDescent="0.25">
      <c r="B54" s="8">
        <v>1</v>
      </c>
      <c r="C54" s="40" t="s">
        <v>11</v>
      </c>
      <c r="D54" s="41" t="s">
        <v>23</v>
      </c>
      <c r="E54" s="11">
        <v>78650000</v>
      </c>
      <c r="F54" s="10">
        <v>10</v>
      </c>
      <c r="G54" s="12">
        <f t="shared" ref="G54:G66" si="10">E54*F54</f>
        <v>786500000</v>
      </c>
      <c r="H54" s="9" t="s">
        <v>24</v>
      </c>
    </row>
    <row r="55" spans="2:8" ht="30" x14ac:dyDescent="0.25">
      <c r="B55" s="8">
        <v>2</v>
      </c>
      <c r="C55" s="42" t="s">
        <v>10</v>
      </c>
      <c r="D55" s="41" t="s">
        <v>25</v>
      </c>
      <c r="E55" s="11">
        <v>2350000</v>
      </c>
      <c r="F55" s="10">
        <v>3420</v>
      </c>
      <c r="G55" s="12">
        <f t="shared" si="10"/>
        <v>8037000000</v>
      </c>
      <c r="H55" s="9" t="s">
        <v>26</v>
      </c>
    </row>
    <row r="56" spans="2:8" ht="30" x14ac:dyDescent="0.25">
      <c r="B56" s="8">
        <v>3</v>
      </c>
      <c r="C56" s="42" t="s">
        <v>12</v>
      </c>
      <c r="D56" s="43" t="s">
        <v>74</v>
      </c>
      <c r="E56" s="11">
        <v>3100000</v>
      </c>
      <c r="F56" s="10">
        <v>36</v>
      </c>
      <c r="G56" s="12">
        <f t="shared" si="10"/>
        <v>111600000</v>
      </c>
      <c r="H56" s="9" t="s">
        <v>27</v>
      </c>
    </row>
    <row r="57" spans="2:8" ht="30" x14ac:dyDescent="0.25">
      <c r="B57" s="8">
        <v>4</v>
      </c>
      <c r="C57" s="42" t="s">
        <v>13</v>
      </c>
      <c r="D57" s="43" t="s">
        <v>28</v>
      </c>
      <c r="E57" s="11">
        <v>4000</v>
      </c>
      <c r="F57" s="10">
        <f>'on grid menjual'!F50</f>
        <v>2080</v>
      </c>
      <c r="G57" s="12">
        <f t="shared" si="10"/>
        <v>8320000</v>
      </c>
      <c r="H57" s="9" t="s">
        <v>30</v>
      </c>
    </row>
    <row r="58" spans="2:8" ht="30" x14ac:dyDescent="0.25">
      <c r="B58" s="8">
        <v>5</v>
      </c>
      <c r="C58" s="42" t="s">
        <v>14</v>
      </c>
      <c r="D58" s="43" t="s">
        <v>29</v>
      </c>
      <c r="E58" s="11">
        <v>15000</v>
      </c>
      <c r="F58" s="10">
        <f>'on grid menjual'!F51</f>
        <v>2080</v>
      </c>
      <c r="G58" s="12">
        <f t="shared" si="10"/>
        <v>31200000</v>
      </c>
      <c r="H58" s="9" t="s">
        <v>31</v>
      </c>
    </row>
    <row r="59" spans="2:8" ht="30" x14ac:dyDescent="0.25">
      <c r="B59" s="8">
        <v>6</v>
      </c>
      <c r="C59" s="42" t="s">
        <v>15</v>
      </c>
      <c r="D59" s="43" t="s">
        <v>18</v>
      </c>
      <c r="E59" s="11">
        <v>13000</v>
      </c>
      <c r="F59" s="10">
        <f>'on grid menjual'!F52</f>
        <v>2080</v>
      </c>
      <c r="G59" s="12">
        <f t="shared" si="10"/>
        <v>27040000</v>
      </c>
      <c r="H59" s="9" t="s">
        <v>32</v>
      </c>
    </row>
    <row r="60" spans="2:8" ht="30" x14ac:dyDescent="0.25">
      <c r="B60" s="8">
        <v>7</v>
      </c>
      <c r="C60" s="44" t="s">
        <v>16</v>
      </c>
      <c r="D60" s="43" t="s">
        <v>19</v>
      </c>
      <c r="E60" s="11">
        <v>22000</v>
      </c>
      <c r="F60" s="10">
        <f>'on grid menjual'!F53</f>
        <v>4160</v>
      </c>
      <c r="G60" s="12">
        <f t="shared" si="10"/>
        <v>91520000</v>
      </c>
      <c r="H60" s="9" t="s">
        <v>33</v>
      </c>
    </row>
    <row r="61" spans="2:8" ht="60" x14ac:dyDescent="0.25">
      <c r="B61" s="8">
        <v>8</v>
      </c>
      <c r="C61" s="45" t="s">
        <v>84</v>
      </c>
      <c r="D61" s="43" t="s">
        <v>85</v>
      </c>
      <c r="E61" s="11">
        <v>2500000</v>
      </c>
      <c r="F61" s="10">
        <v>3</v>
      </c>
      <c r="G61" s="12">
        <f>E61*F61</f>
        <v>7500000</v>
      </c>
      <c r="H61" s="9" t="s">
        <v>86</v>
      </c>
    </row>
    <row r="62" spans="2:8" ht="75" x14ac:dyDescent="0.25">
      <c r="B62" s="8">
        <v>9</v>
      </c>
      <c r="C62" s="45" t="s">
        <v>82</v>
      </c>
      <c r="D62" s="43" t="s">
        <v>83</v>
      </c>
      <c r="E62" s="11">
        <v>75800</v>
      </c>
      <c r="F62" s="10">
        <v>3600</v>
      </c>
      <c r="G62" s="12">
        <f>E62*F62</f>
        <v>272880000</v>
      </c>
      <c r="H62" s="9" t="s">
        <v>87</v>
      </c>
    </row>
    <row r="63" spans="2:8" ht="90" x14ac:dyDescent="0.25">
      <c r="B63" s="8">
        <v>10</v>
      </c>
      <c r="C63" s="45" t="s">
        <v>88</v>
      </c>
      <c r="D63" s="43" t="s">
        <v>89</v>
      </c>
      <c r="E63" s="11">
        <v>141191</v>
      </c>
      <c r="F63" s="10">
        <v>1200</v>
      </c>
      <c r="G63" s="12">
        <f>E63*F63</f>
        <v>169429200</v>
      </c>
      <c r="H63" s="9" t="s">
        <v>90</v>
      </c>
    </row>
    <row r="64" spans="2:8" ht="60" x14ac:dyDescent="0.25">
      <c r="B64" s="8">
        <v>11</v>
      </c>
      <c r="C64" s="45" t="s">
        <v>79</v>
      </c>
      <c r="D64" s="43" t="s">
        <v>80</v>
      </c>
      <c r="E64" s="11">
        <v>5200</v>
      </c>
      <c r="F64" s="10">
        <v>3420</v>
      </c>
      <c r="G64" s="12">
        <f t="shared" si="10"/>
        <v>17784000</v>
      </c>
      <c r="H64" s="9" t="s">
        <v>81</v>
      </c>
    </row>
    <row r="65" spans="2:8" ht="15.75" x14ac:dyDescent="0.25">
      <c r="B65" s="8">
        <v>12</v>
      </c>
      <c r="C65" s="45" t="str">
        <f>'on grid menjual'!C58</f>
        <v xml:space="preserve">Mounting Rail </v>
      </c>
      <c r="D65" s="43" t="str">
        <f>'on grid menjual'!D58</f>
        <v>Rail 2200mm</v>
      </c>
      <c r="E65" s="11">
        <f>'on grid menjual'!E58</f>
        <v>78000</v>
      </c>
      <c r="F65" s="10">
        <f>'on grid menjual'!F58</f>
        <v>3120</v>
      </c>
      <c r="G65" s="12">
        <f>E65*F65</f>
        <v>243360000</v>
      </c>
      <c r="H65" s="9"/>
    </row>
    <row r="66" spans="2:8" ht="30" x14ac:dyDescent="0.25">
      <c r="B66" s="8">
        <v>13</v>
      </c>
      <c r="C66" s="45" t="s">
        <v>17</v>
      </c>
      <c r="D66" s="43" t="s">
        <v>20</v>
      </c>
      <c r="E66" s="11">
        <v>14000</v>
      </c>
      <c r="F66" s="10">
        <v>6240</v>
      </c>
      <c r="G66" s="12">
        <f t="shared" si="10"/>
        <v>87360000</v>
      </c>
      <c r="H66" s="9" t="s">
        <v>34</v>
      </c>
    </row>
    <row r="67" spans="2:8" x14ac:dyDescent="0.25">
      <c r="B67" s="8"/>
      <c r="C67" s="10" t="s">
        <v>39</v>
      </c>
      <c r="D67" s="8"/>
      <c r="E67" s="11">
        <f>SUM(E54:E66)</f>
        <v>86968191</v>
      </c>
      <c r="F67" s="10"/>
      <c r="G67" s="12">
        <f>SUM(G54:G66)</f>
        <v>9891493200</v>
      </c>
      <c r="H67" s="3"/>
    </row>
  </sheetData>
  <hyperlinks>
    <hyperlink ref="H54" r:id="rId1" xr:uid="{00000000-0004-0000-0600-000000000000}"/>
    <hyperlink ref="H60" r:id="rId2" xr:uid="{00000000-0004-0000-0600-000001000000}"/>
    <hyperlink ref="H59" r:id="rId3" xr:uid="{00000000-0004-0000-0600-000002000000}"/>
    <hyperlink ref="H58" r:id="rId4" xr:uid="{00000000-0004-0000-0600-000003000000}"/>
    <hyperlink ref="H57" r:id="rId5" xr:uid="{00000000-0004-0000-0600-000004000000}"/>
    <hyperlink ref="H56" r:id="rId6" xr:uid="{00000000-0004-0000-0600-000005000000}"/>
    <hyperlink ref="H55" r:id="rId7" xr:uid="{00000000-0004-0000-0600-000006000000}"/>
    <hyperlink ref="H66" r:id="rId8" xr:uid="{00000000-0004-0000-0600-000007000000}"/>
  </hyperlinks>
  <pageMargins left="0.7" right="0.7" top="0.75" bottom="0.75" header="0.3" footer="0.3"/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4"/>
  <sheetViews>
    <sheetView topLeftCell="G3" zoomScale="57" workbookViewId="0">
      <selection activeCell="L35" sqref="L35"/>
    </sheetView>
  </sheetViews>
  <sheetFormatPr defaultRowHeight="15" x14ac:dyDescent="0.25"/>
  <cols>
    <col min="3" max="3" width="19" customWidth="1"/>
    <col min="4" max="4" width="39.5703125" customWidth="1"/>
    <col min="5" max="5" width="65.7109375" customWidth="1"/>
    <col min="6" max="6" width="43.85546875" customWidth="1"/>
    <col min="7" max="7" width="20.85546875" customWidth="1"/>
    <col min="8" max="8" width="21.5703125" customWidth="1"/>
    <col min="9" max="9" width="29.5703125" customWidth="1"/>
    <col min="10" max="10" width="18.28515625" customWidth="1"/>
    <col min="11" max="11" width="19.7109375" customWidth="1"/>
    <col min="12" max="12" width="22.5703125" customWidth="1"/>
    <col min="13" max="13" width="23.85546875" customWidth="1"/>
  </cols>
  <sheetData>
    <row r="1" spans="2:13" x14ac:dyDescent="0.25">
      <c r="H1" s="2"/>
    </row>
    <row r="2" spans="2:13" x14ac:dyDescent="0.25">
      <c r="B2" s="1" t="s">
        <v>69</v>
      </c>
      <c r="G2" s="27"/>
      <c r="H2" t="s">
        <v>0</v>
      </c>
    </row>
    <row r="3" spans="2:13" x14ac:dyDescent="0.25">
      <c r="B3" s="2" t="s">
        <v>1</v>
      </c>
      <c r="C3" s="2" t="s">
        <v>2</v>
      </c>
      <c r="D3" s="2" t="s">
        <v>64</v>
      </c>
      <c r="E3" s="2" t="s">
        <v>37</v>
      </c>
      <c r="F3" s="2" t="s">
        <v>38</v>
      </c>
      <c r="G3" s="2" t="s">
        <v>63</v>
      </c>
      <c r="H3" s="2" t="s">
        <v>62</v>
      </c>
      <c r="I3" s="2" t="s">
        <v>3</v>
      </c>
      <c r="J3" s="2" t="s">
        <v>61</v>
      </c>
      <c r="K3" s="32" t="s">
        <v>43</v>
      </c>
      <c r="L3" s="32" t="s">
        <v>43</v>
      </c>
    </row>
    <row r="4" spans="2:13" x14ac:dyDescent="0.25">
      <c r="B4" s="3" t="s">
        <v>4</v>
      </c>
      <c r="C4" s="4">
        <f>G49</f>
        <v>12884194420</v>
      </c>
      <c r="D4" s="13">
        <f>C4</f>
        <v>12884194420</v>
      </c>
      <c r="E4" s="4"/>
      <c r="F4" s="3"/>
      <c r="G4" s="13">
        <f>-G49</f>
        <v>-12884194420</v>
      </c>
      <c r="H4" s="13">
        <f>G4</f>
        <v>-12884194420</v>
      </c>
      <c r="I4" s="3">
        <v>1</v>
      </c>
      <c r="J4" s="4">
        <f>-G49</f>
        <v>-12884194420</v>
      </c>
      <c r="K4" s="18">
        <v>0.11</v>
      </c>
      <c r="L4" s="18">
        <v>0.12</v>
      </c>
    </row>
    <row r="5" spans="2:13" ht="15.75" x14ac:dyDescent="0.25">
      <c r="B5" s="3">
        <v>1</v>
      </c>
      <c r="C5" s="3"/>
      <c r="D5" s="13">
        <f t="shared" ref="D5:D13" si="0">$C$4*0.01</f>
        <v>128841944.2</v>
      </c>
      <c r="E5" s="38">
        <v>1226878.24</v>
      </c>
      <c r="F5" s="4">
        <f t="shared" ref="F5:F29" si="1">(E5*1444)</f>
        <v>1771612178.5599999</v>
      </c>
      <c r="G5" s="4">
        <f t="shared" ref="G5:G29" si="2">F5-D5</f>
        <v>1642770234.3599999</v>
      </c>
      <c r="H5" s="4">
        <f>G5+H4</f>
        <v>-11241424185.639999</v>
      </c>
      <c r="I5" s="6">
        <f t="shared" ref="I5:I29" si="3">1/(1+0.1)^B5</f>
        <v>0.90909090909090906</v>
      </c>
      <c r="J5" s="4">
        <f t="shared" ref="J5:J28" si="4">I5*G5</f>
        <v>1493427485.7818182</v>
      </c>
      <c r="K5" s="4">
        <f t="shared" ref="K5:K29" si="5">G5/(1+$K$4)^B5</f>
        <v>1479973184.1081078</v>
      </c>
      <c r="L5" s="4">
        <f t="shared" ref="L5:L29" si="6">G5/(1+$L$4)^B5</f>
        <v>1466759137.8214283</v>
      </c>
    </row>
    <row r="6" spans="2:13" x14ac:dyDescent="0.25">
      <c r="B6" s="3">
        <v>2</v>
      </c>
      <c r="C6" s="3"/>
      <c r="D6" s="13">
        <f t="shared" si="0"/>
        <v>128841944.2</v>
      </c>
      <c r="E6" s="4">
        <f t="shared" ref="E6:E29" si="7">$E$5*(1-0.005)^B6</f>
        <v>1214640.129556</v>
      </c>
      <c r="F6" s="4">
        <f t="shared" si="1"/>
        <v>1753940347.0788641</v>
      </c>
      <c r="G6" s="4">
        <f t="shared" si="2"/>
        <v>1625098402.878864</v>
      </c>
      <c r="H6" s="4">
        <f t="shared" ref="H6:H29" si="8">H5+G6</f>
        <v>-9616325782.7611351</v>
      </c>
      <c r="I6" s="6">
        <f t="shared" si="3"/>
        <v>0.82644628099173545</v>
      </c>
      <c r="J6" s="4">
        <f t="shared" si="4"/>
        <v>1343056531.3048463</v>
      </c>
      <c r="K6" s="4">
        <f t="shared" si="5"/>
        <v>1318966320.0055709</v>
      </c>
      <c r="L6" s="4">
        <f t="shared" si="6"/>
        <v>1295518497.1929717</v>
      </c>
    </row>
    <row r="7" spans="2:13" x14ac:dyDescent="0.25">
      <c r="B7" s="3">
        <v>3</v>
      </c>
      <c r="C7" s="3"/>
      <c r="D7" s="13">
        <f t="shared" si="0"/>
        <v>128841944.2</v>
      </c>
      <c r="E7" s="4">
        <f t="shared" si="7"/>
        <v>1208566.92890822</v>
      </c>
      <c r="F7" s="4">
        <f t="shared" si="1"/>
        <v>1745170645.3434696</v>
      </c>
      <c r="G7" s="4">
        <f t="shared" si="2"/>
        <v>1616328701.1434696</v>
      </c>
      <c r="H7" s="4">
        <f t="shared" si="8"/>
        <v>-7999997081.6176653</v>
      </c>
      <c r="I7" s="6">
        <f t="shared" si="3"/>
        <v>0.75131480090157754</v>
      </c>
      <c r="J7" s="4">
        <f t="shared" si="4"/>
        <v>1214371676.2911112</v>
      </c>
      <c r="K7" s="4">
        <f t="shared" si="5"/>
        <v>1181845615.6254642</v>
      </c>
      <c r="L7" s="4">
        <f t="shared" si="6"/>
        <v>1150470843.4478273</v>
      </c>
    </row>
    <row r="8" spans="2:13" x14ac:dyDescent="0.25">
      <c r="B8" s="3">
        <v>4</v>
      </c>
      <c r="C8" s="3"/>
      <c r="D8" s="13">
        <f t="shared" si="0"/>
        <v>128841944.2</v>
      </c>
      <c r="E8" s="4">
        <f t="shared" si="7"/>
        <v>1202524.0942636789</v>
      </c>
      <c r="F8" s="4">
        <f t="shared" si="1"/>
        <v>1736444792.1167524</v>
      </c>
      <c r="G8" s="4">
        <f t="shared" si="2"/>
        <v>1607602847.9167523</v>
      </c>
      <c r="H8" s="4">
        <f t="shared" si="8"/>
        <v>-6392394233.7009125</v>
      </c>
      <c r="I8" s="6">
        <f t="shared" si="3"/>
        <v>0.68301345536507052</v>
      </c>
      <c r="J8" s="4">
        <f t="shared" si="4"/>
        <v>1098014376.010349</v>
      </c>
      <c r="K8" s="4">
        <f t="shared" si="5"/>
        <v>1058977790.0464787</v>
      </c>
      <c r="L8" s="4">
        <f t="shared" si="6"/>
        <v>1021660672.7461885</v>
      </c>
    </row>
    <row r="9" spans="2:13" x14ac:dyDescent="0.25">
      <c r="B9" s="3">
        <v>5</v>
      </c>
      <c r="C9" s="3"/>
      <c r="D9" s="13">
        <f t="shared" si="0"/>
        <v>128841944.2</v>
      </c>
      <c r="E9" s="4">
        <f t="shared" si="7"/>
        <v>1196511.4737923606</v>
      </c>
      <c r="F9" s="4">
        <f t="shared" si="1"/>
        <v>1727762568.1561687</v>
      </c>
      <c r="G9" s="4">
        <f t="shared" si="2"/>
        <v>1598920623.9561687</v>
      </c>
      <c r="H9" s="4">
        <f t="shared" si="8"/>
        <v>-4793473609.7447433</v>
      </c>
      <c r="I9" s="6">
        <f t="shared" si="3"/>
        <v>0.62092132305915493</v>
      </c>
      <c r="J9" s="4">
        <f t="shared" si="4"/>
        <v>992803909.29343379</v>
      </c>
      <c r="K9" s="4">
        <f t="shared" si="5"/>
        <v>948881567.74700749</v>
      </c>
      <c r="L9" s="4">
        <f t="shared" si="6"/>
        <v>907270502.19506955</v>
      </c>
    </row>
    <row r="10" spans="2:13" x14ac:dyDescent="0.25">
      <c r="B10" s="3">
        <v>6</v>
      </c>
      <c r="C10" s="3"/>
      <c r="D10" s="13">
        <f t="shared" si="0"/>
        <v>128841944.2</v>
      </c>
      <c r="E10" s="4">
        <f t="shared" si="7"/>
        <v>1190528.9164233988</v>
      </c>
      <c r="F10" s="4">
        <f t="shared" si="1"/>
        <v>1719123755.3153877</v>
      </c>
      <c r="G10" s="4">
        <f t="shared" si="2"/>
        <v>1590281811.1153877</v>
      </c>
      <c r="H10" s="4">
        <f t="shared" si="8"/>
        <v>-3203191798.6293554</v>
      </c>
      <c r="I10" s="6">
        <f t="shared" si="3"/>
        <v>0.56447393005377722</v>
      </c>
      <c r="J10" s="4">
        <f t="shared" si="4"/>
        <v>897672623.8133415</v>
      </c>
      <c r="K10" s="4">
        <f t="shared" si="5"/>
        <v>850229597.11152852</v>
      </c>
      <c r="L10" s="4">
        <f t="shared" si="6"/>
        <v>805686256.95328891</v>
      </c>
    </row>
    <row r="11" spans="2:13" x14ac:dyDescent="0.25">
      <c r="B11" s="3">
        <v>7</v>
      </c>
      <c r="C11" s="3"/>
      <c r="D11" s="13">
        <f t="shared" si="0"/>
        <v>128841944.2</v>
      </c>
      <c r="E11" s="4">
        <f t="shared" si="7"/>
        <v>1184576.2718412818</v>
      </c>
      <c r="F11" s="4">
        <f t="shared" si="1"/>
        <v>1710528136.538811</v>
      </c>
      <c r="G11" s="4">
        <f t="shared" si="2"/>
        <v>1581686192.3388109</v>
      </c>
      <c r="H11" s="4">
        <f t="shared" si="8"/>
        <v>-1621505606.2905445</v>
      </c>
      <c r="I11" s="6">
        <f t="shared" si="3"/>
        <v>0.51315811823070645</v>
      </c>
      <c r="J11" s="4">
        <f t="shared" si="4"/>
        <v>811655110.09207547</v>
      </c>
      <c r="K11" s="4">
        <f t="shared" si="5"/>
        <v>761832457.92983699</v>
      </c>
      <c r="L11" s="4">
        <f t="shared" si="6"/>
        <v>715474508.01365983</v>
      </c>
    </row>
    <row r="12" spans="2:13" x14ac:dyDescent="0.25">
      <c r="B12" s="3">
        <v>8</v>
      </c>
      <c r="C12" s="3"/>
      <c r="D12" s="13">
        <f t="shared" si="0"/>
        <v>128841944.2</v>
      </c>
      <c r="E12" s="4">
        <f t="shared" si="7"/>
        <v>1178653.3904820753</v>
      </c>
      <c r="F12" s="4">
        <f t="shared" si="1"/>
        <v>1701975495.8561168</v>
      </c>
      <c r="G12" s="4">
        <f t="shared" si="2"/>
        <v>1573133551.6561167</v>
      </c>
      <c r="H12" s="4">
        <f t="shared" si="8"/>
        <v>-48372054.634427786</v>
      </c>
      <c r="I12" s="6">
        <f t="shared" si="3"/>
        <v>0.46650738020973315</v>
      </c>
      <c r="J12" s="4">
        <f t="shared" si="4"/>
        <v>733878411.90312791</v>
      </c>
      <c r="K12" s="4">
        <f t="shared" si="5"/>
        <v>682624330.27900016</v>
      </c>
      <c r="L12" s="4">
        <f t="shared" si="6"/>
        <v>635362256.88552201</v>
      </c>
    </row>
    <row r="13" spans="2:13" x14ac:dyDescent="0.25">
      <c r="B13" s="3">
        <v>9</v>
      </c>
      <c r="C13" s="3"/>
      <c r="D13" s="13">
        <f t="shared" si="0"/>
        <v>128841944.2</v>
      </c>
      <c r="E13" s="4">
        <f t="shared" si="7"/>
        <v>1172760.1235296649</v>
      </c>
      <c r="F13" s="4">
        <f t="shared" si="1"/>
        <v>1693465618.3768361</v>
      </c>
      <c r="G13" s="4">
        <f t="shared" si="2"/>
        <v>1564623674.176836</v>
      </c>
      <c r="H13" s="4">
        <f t="shared" si="8"/>
        <v>1516251619.5424082</v>
      </c>
      <c r="I13" s="6">
        <f t="shared" si="3"/>
        <v>0.42409761837248466</v>
      </c>
      <c r="J13" s="4">
        <f t="shared" si="4"/>
        <v>663553173.86760259</v>
      </c>
      <c r="K13" s="4">
        <f t="shared" si="5"/>
        <v>611650152.216658</v>
      </c>
      <c r="L13" s="4">
        <f t="shared" si="6"/>
        <v>564218982.23167968</v>
      </c>
      <c r="M13" s="17"/>
    </row>
    <row r="14" spans="2:13" x14ac:dyDescent="0.25">
      <c r="B14" s="3">
        <v>10</v>
      </c>
      <c r="C14" s="3"/>
      <c r="D14" s="12">
        <f>D5+(G40*I14)</f>
        <v>462706347.97993922</v>
      </c>
      <c r="E14" s="4">
        <f t="shared" si="7"/>
        <v>1166896.3229120167</v>
      </c>
      <c r="F14" s="4">
        <f t="shared" si="1"/>
        <v>1684998290.2849519</v>
      </c>
      <c r="G14" s="4">
        <f t="shared" si="2"/>
        <v>1222291942.3050127</v>
      </c>
      <c r="H14" s="4">
        <f t="shared" si="8"/>
        <v>2738543561.8474207</v>
      </c>
      <c r="I14" s="6">
        <f t="shared" si="3"/>
        <v>0.38554328942953148</v>
      </c>
      <c r="J14" s="4">
        <f t="shared" si="4"/>
        <v>471246456.07948571</v>
      </c>
      <c r="K14" s="4">
        <f t="shared" si="5"/>
        <v>430472250.61092168</v>
      </c>
      <c r="L14" s="4">
        <f t="shared" si="6"/>
        <v>393545292.72267318</v>
      </c>
      <c r="M14" s="17"/>
    </row>
    <row r="15" spans="2:13" x14ac:dyDescent="0.25">
      <c r="B15" s="3">
        <v>11</v>
      </c>
      <c r="C15" s="3"/>
      <c r="D15" s="13">
        <f>$C$4*0.01</f>
        <v>128841944.2</v>
      </c>
      <c r="E15" s="4">
        <f t="shared" si="7"/>
        <v>1161061.8412974565</v>
      </c>
      <c r="F15" s="4">
        <f t="shared" si="1"/>
        <v>1676573298.8335273</v>
      </c>
      <c r="G15" s="4">
        <f t="shared" si="2"/>
        <v>1547731354.6335273</v>
      </c>
      <c r="H15" s="4">
        <f t="shared" si="8"/>
        <v>4286274916.480948</v>
      </c>
      <c r="I15" s="6">
        <f t="shared" si="3"/>
        <v>0.3504938994813922</v>
      </c>
      <c r="J15" s="4">
        <f t="shared" si="4"/>
        <v>542470397.83512247</v>
      </c>
      <c r="K15" s="4">
        <f t="shared" si="5"/>
        <v>491069333.70676434</v>
      </c>
      <c r="L15" s="4">
        <f t="shared" si="6"/>
        <v>444935780.02165985</v>
      </c>
    </row>
    <row r="16" spans="2:13" x14ac:dyDescent="0.25">
      <c r="B16" s="3">
        <v>12</v>
      </c>
      <c r="C16" s="3"/>
      <c r="D16" s="13">
        <f>$C$4*0.01</f>
        <v>128841944.2</v>
      </c>
      <c r="E16" s="4">
        <f t="shared" si="7"/>
        <v>1155256.5320909694</v>
      </c>
      <c r="F16" s="4">
        <f t="shared" si="1"/>
        <v>1668190432.3393598</v>
      </c>
      <c r="G16" s="4">
        <f t="shared" si="2"/>
        <v>1539348488.1393597</v>
      </c>
      <c r="H16" s="4">
        <f t="shared" si="8"/>
        <v>5825623404.6203079</v>
      </c>
      <c r="I16" s="6">
        <f t="shared" si="3"/>
        <v>0.31863081771035656</v>
      </c>
      <c r="J16" s="4">
        <f t="shared" si="4"/>
        <v>490483867.51704532</v>
      </c>
      <c r="K16" s="4">
        <f t="shared" si="5"/>
        <v>440008639.67829233</v>
      </c>
      <c r="L16" s="4">
        <f t="shared" si="6"/>
        <v>395112416.26851422</v>
      </c>
    </row>
    <row r="17" spans="2:18" x14ac:dyDescent="0.25">
      <c r="B17" s="3">
        <v>13</v>
      </c>
      <c r="C17" s="3"/>
      <c r="D17" s="13">
        <f>$C$4*0.01</f>
        <v>128841944.2</v>
      </c>
      <c r="E17" s="4">
        <f t="shared" si="7"/>
        <v>1149480.2494305146</v>
      </c>
      <c r="F17" s="4">
        <f t="shared" si="1"/>
        <v>1659849480.1776631</v>
      </c>
      <c r="G17" s="4">
        <f t="shared" si="2"/>
        <v>1531007535.977663</v>
      </c>
      <c r="H17" s="4">
        <f t="shared" si="8"/>
        <v>7356630940.597971</v>
      </c>
      <c r="I17" s="6">
        <f t="shared" si="3"/>
        <v>0.28966437973668779</v>
      </c>
      <c r="J17" s="4">
        <f t="shared" si="4"/>
        <v>443478348.28116447</v>
      </c>
      <c r="K17" s="4">
        <f t="shared" si="5"/>
        <v>394256265.8042075</v>
      </c>
      <c r="L17" s="4">
        <f t="shared" si="6"/>
        <v>350867412.14031929</v>
      </c>
    </row>
    <row r="18" spans="2:18" x14ac:dyDescent="0.25">
      <c r="B18" s="3">
        <v>14</v>
      </c>
      <c r="C18" s="3"/>
      <c r="D18" s="13">
        <f>$C$4*0.01</f>
        <v>128841944.2</v>
      </c>
      <c r="E18" s="4">
        <f t="shared" si="7"/>
        <v>1143732.848183362</v>
      </c>
      <c r="F18" s="4">
        <f t="shared" si="1"/>
        <v>1651550232.7767749</v>
      </c>
      <c r="G18" s="4">
        <f t="shared" si="2"/>
        <v>1522708288.5767748</v>
      </c>
      <c r="H18" s="4">
        <f t="shared" si="8"/>
        <v>8879339229.1747456</v>
      </c>
      <c r="I18" s="6">
        <f t="shared" si="3"/>
        <v>0.26333125430607973</v>
      </c>
      <c r="J18" s="4">
        <f t="shared" si="4"/>
        <v>400976683.57318616</v>
      </c>
      <c r="K18" s="4">
        <f t="shared" si="5"/>
        <v>353260442.60224527</v>
      </c>
      <c r="L18" s="4">
        <f t="shared" si="6"/>
        <v>311576284.67726231</v>
      </c>
    </row>
    <row r="19" spans="2:18" x14ac:dyDescent="0.25">
      <c r="B19" s="3">
        <v>15</v>
      </c>
      <c r="C19" s="3"/>
      <c r="D19" s="13">
        <f>$C$4*0.01</f>
        <v>128841944.2</v>
      </c>
      <c r="E19" s="4">
        <f t="shared" si="7"/>
        <v>1138014.1839424453</v>
      </c>
      <c r="F19" s="4">
        <f t="shared" si="1"/>
        <v>1643292481.612891</v>
      </c>
      <c r="G19" s="4">
        <f t="shared" si="2"/>
        <v>1514450537.4128909</v>
      </c>
      <c r="H19" s="4">
        <f t="shared" si="8"/>
        <v>10393789766.587637</v>
      </c>
      <c r="I19" s="6">
        <f t="shared" si="3"/>
        <v>0.23939204936916339</v>
      </c>
      <c r="J19" s="4">
        <f t="shared" si="4"/>
        <v>362547417.81950283</v>
      </c>
      <c r="K19" s="4">
        <f t="shared" si="5"/>
        <v>316526745.10620528</v>
      </c>
      <c r="L19" s="4">
        <f t="shared" si="6"/>
        <v>276684451.05489254</v>
      </c>
    </row>
    <row r="20" spans="2:18" x14ac:dyDescent="0.25">
      <c r="B20" s="3">
        <v>16</v>
      </c>
      <c r="C20" s="3"/>
      <c r="D20" s="13">
        <f>D5+(G34*I20)</f>
        <v>709389426.83380032</v>
      </c>
      <c r="E20" s="4">
        <f t="shared" si="7"/>
        <v>1132324.113022733</v>
      </c>
      <c r="F20" s="4">
        <f>(E20*1444)</f>
        <v>1635076019.2048264</v>
      </c>
      <c r="G20" s="4">
        <f t="shared" si="2"/>
        <v>925686592.37102604</v>
      </c>
      <c r="H20" s="4">
        <f t="shared" si="8"/>
        <v>11319476358.958664</v>
      </c>
      <c r="I20" s="6">
        <f t="shared" si="3"/>
        <v>0.21762913579014853</v>
      </c>
      <c r="J20" s="4">
        <f t="shared" si="4"/>
        <v>201456373.1102339</v>
      </c>
      <c r="K20" s="4">
        <f t="shared" si="5"/>
        <v>174299568.86618569</v>
      </c>
      <c r="L20" s="4">
        <f t="shared" si="6"/>
        <v>150999535.29337794</v>
      </c>
      <c r="M20" s="17"/>
    </row>
    <row r="21" spans="2:18" x14ac:dyDescent="0.25">
      <c r="B21" s="3">
        <v>17</v>
      </c>
      <c r="C21" s="3"/>
      <c r="D21" s="13">
        <f>$C$4*0.01</f>
        <v>128841944.2</v>
      </c>
      <c r="E21" s="4">
        <f t="shared" si="7"/>
        <v>1126662.4924576192</v>
      </c>
      <c r="F21" s="4">
        <f t="shared" si="1"/>
        <v>1626900639.1088021</v>
      </c>
      <c r="G21" s="4">
        <f t="shared" si="2"/>
        <v>1498058694.908802</v>
      </c>
      <c r="H21" s="4">
        <f t="shared" si="8"/>
        <v>12817535053.867466</v>
      </c>
      <c r="I21" s="6">
        <f t="shared" si="3"/>
        <v>0.19784466890013502</v>
      </c>
      <c r="J21" s="4">
        <f t="shared" si="4"/>
        <v>296382926.48720032</v>
      </c>
      <c r="K21" s="4">
        <f t="shared" si="5"/>
        <v>254119615.91854817</v>
      </c>
      <c r="L21" s="4">
        <f t="shared" si="6"/>
        <v>218183771.29636785</v>
      </c>
    </row>
    <row r="22" spans="2:18" x14ac:dyDescent="0.25">
      <c r="B22" s="3">
        <v>18</v>
      </c>
      <c r="C22" s="3"/>
      <c r="D22" s="13">
        <f>$C$4*0.01</f>
        <v>128841944.2</v>
      </c>
      <c r="E22" s="4">
        <f t="shared" si="7"/>
        <v>1121029.1799953312</v>
      </c>
      <c r="F22" s="4">
        <f t="shared" si="1"/>
        <v>1618766135.9132583</v>
      </c>
      <c r="G22" s="4">
        <f t="shared" si="2"/>
        <v>1489924191.7132583</v>
      </c>
      <c r="H22" s="4">
        <f t="shared" si="8"/>
        <v>14307459245.580725</v>
      </c>
      <c r="I22" s="6">
        <f t="shared" si="3"/>
        <v>0.17985878990921364</v>
      </c>
      <c r="J22" s="4">
        <f t="shared" si="4"/>
        <v>267975962.17800987</v>
      </c>
      <c r="K22" s="4">
        <f t="shared" si="5"/>
        <v>227693458.43106335</v>
      </c>
      <c r="L22" s="4">
        <f t="shared" si="6"/>
        <v>193749131.19611558</v>
      </c>
    </row>
    <row r="23" spans="2:18" x14ac:dyDescent="0.25">
      <c r="B23" s="3">
        <v>19</v>
      </c>
      <c r="C23" s="3"/>
      <c r="D23" s="13">
        <f>$C$4*0.01</f>
        <v>128841944.2</v>
      </c>
      <c r="E23" s="4">
        <f t="shared" si="7"/>
        <v>1115424.0340953544</v>
      </c>
      <c r="F23" s="4">
        <f t="shared" si="1"/>
        <v>1610672305.2336917</v>
      </c>
      <c r="G23" s="4">
        <f t="shared" si="2"/>
        <v>1481830361.0336916</v>
      </c>
      <c r="H23" s="4">
        <f t="shared" si="8"/>
        <v>15789289606.614416</v>
      </c>
      <c r="I23" s="6">
        <f t="shared" si="3"/>
        <v>0.16350799082655781</v>
      </c>
      <c r="J23" s="4">
        <f t="shared" si="4"/>
        <v>242291105.0784117</v>
      </c>
      <c r="K23" s="4">
        <f t="shared" si="5"/>
        <v>204014902.34860218</v>
      </c>
      <c r="L23" s="4">
        <f t="shared" si="6"/>
        <v>172050547.11791658</v>
      </c>
    </row>
    <row r="24" spans="2:18" x14ac:dyDescent="0.25">
      <c r="B24" s="3">
        <v>20</v>
      </c>
      <c r="C24" s="3"/>
      <c r="D24" s="13">
        <f xml:space="preserve"> D23+(G40*I24)</f>
        <v>257561124.6567471</v>
      </c>
      <c r="E24" s="4">
        <f t="shared" si="7"/>
        <v>1109846.9139248778</v>
      </c>
      <c r="F24" s="4">
        <f t="shared" si="1"/>
        <v>1602618943.7075236</v>
      </c>
      <c r="G24" s="4">
        <f t="shared" si="2"/>
        <v>1345057819.0507765</v>
      </c>
      <c r="H24" s="4">
        <f t="shared" si="8"/>
        <v>17134347425.665192</v>
      </c>
      <c r="I24" s="6">
        <f t="shared" si="3"/>
        <v>0.14864362802414349</v>
      </c>
      <c r="J24" s="4">
        <f t="shared" si="4"/>
        <v>199934274.12594932</v>
      </c>
      <c r="K24" s="4">
        <f t="shared" si="5"/>
        <v>166832776.5583418</v>
      </c>
      <c r="L24" s="4">
        <f t="shared" si="6"/>
        <v>139437792.94747978</v>
      </c>
    </row>
    <row r="25" spans="2:18" x14ac:dyDescent="0.25">
      <c r="B25" s="3">
        <v>21</v>
      </c>
      <c r="C25" s="3"/>
      <c r="D25" s="13">
        <f>$C$4*0.01</f>
        <v>128841944.2</v>
      </c>
      <c r="E25" s="4">
        <f t="shared" si="7"/>
        <v>1104297.6793552535</v>
      </c>
      <c r="F25" s="4">
        <f t="shared" si="1"/>
        <v>1594605848.988986</v>
      </c>
      <c r="G25" s="4">
        <f t="shared" si="2"/>
        <v>1465763904.788986</v>
      </c>
      <c r="H25" s="4">
        <f t="shared" si="8"/>
        <v>18600111330.454178</v>
      </c>
      <c r="I25" s="6">
        <f t="shared" si="3"/>
        <v>0.13513057093103953</v>
      </c>
      <c r="J25" s="4">
        <f t="shared" si="4"/>
        <v>198069513.30424553</v>
      </c>
      <c r="K25" s="4">
        <f t="shared" si="5"/>
        <v>163787769.35310751</v>
      </c>
      <c r="L25" s="4">
        <f t="shared" si="6"/>
        <v>135670537.84063587</v>
      </c>
    </row>
    <row r="26" spans="2:18" x14ac:dyDescent="0.25">
      <c r="B26" s="3">
        <v>22</v>
      </c>
      <c r="C26" s="3"/>
      <c r="D26" s="13">
        <f>$C$4*0.01</f>
        <v>128841944.2</v>
      </c>
      <c r="E26" s="4">
        <f t="shared" si="7"/>
        <v>1098776.1909584771</v>
      </c>
      <c r="F26" s="4">
        <f t="shared" si="1"/>
        <v>1586632819.744041</v>
      </c>
      <c r="G26" s="4">
        <f t="shared" si="2"/>
        <v>1457790875.5440409</v>
      </c>
      <c r="H26" s="4">
        <f t="shared" si="8"/>
        <v>20057902205.998219</v>
      </c>
      <c r="I26" s="6">
        <f t="shared" si="3"/>
        <v>0.12284597357367227</v>
      </c>
      <c r="J26" s="4">
        <f t="shared" si="4"/>
        <v>179083739.37302381</v>
      </c>
      <c r="K26" s="4">
        <f t="shared" si="5"/>
        <v>146753914.46583787</v>
      </c>
      <c r="L26" s="4">
        <f t="shared" si="6"/>
        <v>120475497.63376513</v>
      </c>
    </row>
    <row r="27" spans="2:18" x14ac:dyDescent="0.25">
      <c r="B27" s="3">
        <v>23</v>
      </c>
      <c r="C27" s="3"/>
      <c r="D27" s="13">
        <f>$C$4*0.01</f>
        <v>128841944.2</v>
      </c>
      <c r="E27" s="4">
        <f t="shared" si="7"/>
        <v>1093282.3100036846</v>
      </c>
      <c r="F27" s="4">
        <f t="shared" si="1"/>
        <v>1578699655.6453207</v>
      </c>
      <c r="G27" s="4">
        <f t="shared" si="2"/>
        <v>1449857711.4453206</v>
      </c>
      <c r="H27" s="4">
        <f t="shared" si="8"/>
        <v>21507759917.443539</v>
      </c>
      <c r="I27" s="6">
        <f t="shared" si="3"/>
        <v>0.11167815779424752</v>
      </c>
      <c r="J27" s="4">
        <f t="shared" si="4"/>
        <v>161917438.27799711</v>
      </c>
      <c r="K27" s="4">
        <f t="shared" si="5"/>
        <v>131491255.07875389</v>
      </c>
      <c r="L27" s="4">
        <f t="shared" si="6"/>
        <v>106982036.64018825</v>
      </c>
      <c r="M27" s="1"/>
      <c r="N27" s="7"/>
      <c r="Q27" s="1"/>
      <c r="R27" s="7"/>
    </row>
    <row r="28" spans="2:18" x14ac:dyDescent="0.25">
      <c r="B28" s="3">
        <v>24</v>
      </c>
      <c r="C28" s="3"/>
      <c r="D28" s="13">
        <f>$C$4*0.01</f>
        <v>128841944.2</v>
      </c>
      <c r="E28" s="4">
        <f t="shared" si="7"/>
        <v>1087815.8984536664</v>
      </c>
      <c r="F28" s="4">
        <f t="shared" si="1"/>
        <v>1570806157.3670943</v>
      </c>
      <c r="G28" s="4">
        <f t="shared" si="2"/>
        <v>1441964213.1670942</v>
      </c>
      <c r="H28" s="4">
        <f t="shared" si="8"/>
        <v>22949724130.610634</v>
      </c>
      <c r="I28" s="6">
        <f t="shared" si="3"/>
        <v>0.10152559799477048</v>
      </c>
      <c r="J28" s="4">
        <f t="shared" si="4"/>
        <v>146396279.02884793</v>
      </c>
      <c r="K28" s="4">
        <f t="shared" si="5"/>
        <v>117815652.07015492</v>
      </c>
      <c r="L28" s="4">
        <f t="shared" si="6"/>
        <v>94999635.302328065</v>
      </c>
    </row>
    <row r="29" spans="2:18" x14ac:dyDescent="0.25">
      <c r="B29" s="3">
        <v>25</v>
      </c>
      <c r="C29" s="3"/>
      <c r="D29" s="13">
        <f>$C$4*0.01</f>
        <v>128841944.2</v>
      </c>
      <c r="E29" s="4">
        <f t="shared" si="7"/>
        <v>1082376.818961398</v>
      </c>
      <c r="F29" s="4">
        <f t="shared" si="1"/>
        <v>1562952126.5802586</v>
      </c>
      <c r="G29" s="4">
        <f t="shared" si="2"/>
        <v>1434110182.3802586</v>
      </c>
      <c r="H29" s="4">
        <f t="shared" si="8"/>
        <v>24383834312.990891</v>
      </c>
      <c r="I29" s="6">
        <f t="shared" si="3"/>
        <v>9.2295998177064048E-2</v>
      </c>
      <c r="J29" s="4">
        <f>I29*G29</f>
        <v>132362630.77867733</v>
      </c>
      <c r="K29" s="4">
        <f t="shared" si="5"/>
        <v>105562106.90966189</v>
      </c>
      <c r="L29" s="4">
        <f t="shared" si="6"/>
        <v>84359102.887862325</v>
      </c>
    </row>
    <row r="30" spans="2:18" x14ac:dyDescent="0.25">
      <c r="D30" s="19">
        <f>SUM(D4:D29)</f>
        <v>17148374091.870504</v>
      </c>
      <c r="E30" s="17">
        <f>SUM(E5:E29)</f>
        <v>28761917.177881841</v>
      </c>
      <c r="F30" s="28">
        <f>SUM(F4:F29)</f>
        <v>41532208404.861374</v>
      </c>
      <c r="G30" s="28">
        <f>SUM(G4:G29)</f>
        <v>24383834312.990891</v>
      </c>
      <c r="H30" s="17"/>
      <c r="J30" s="17">
        <f>SUM(J5:J29)</f>
        <v>13985506711.205811</v>
      </c>
      <c r="K30" s="17">
        <f>SUM(K5:K29)</f>
        <v>13012945712.578547</v>
      </c>
      <c r="L30" s="17">
        <f>SUM(L5:L29)</f>
        <v>12152050882.528996</v>
      </c>
      <c r="M30" s="17"/>
    </row>
    <row r="31" spans="2:18" x14ac:dyDescent="0.25">
      <c r="J31" s="27"/>
      <c r="L31" s="17">
        <f>K30-G49</f>
        <v>128751292.57854652</v>
      </c>
      <c r="M31" s="17">
        <f>L30-G49</f>
        <v>-732143537.47100449</v>
      </c>
      <c r="N31" s="17"/>
      <c r="O31" s="17"/>
    </row>
    <row r="32" spans="2:18" x14ac:dyDescent="0.25">
      <c r="B32" s="2" t="s">
        <v>5</v>
      </c>
      <c r="C32" s="2" t="s">
        <v>6</v>
      </c>
      <c r="D32" s="2" t="s">
        <v>7</v>
      </c>
      <c r="E32" s="2" t="s">
        <v>8</v>
      </c>
      <c r="F32" s="2" t="s">
        <v>21</v>
      </c>
      <c r="G32" s="2" t="s">
        <v>22</v>
      </c>
      <c r="H32" s="2" t="s">
        <v>9</v>
      </c>
      <c r="I32" s="14"/>
      <c r="J32" s="14"/>
      <c r="K32" t="s">
        <v>44</v>
      </c>
      <c r="L32" s="20">
        <f>(L31/(L31-M31))*(L4-K4) + K4</f>
        <v>0.11149555193136815</v>
      </c>
      <c r="M32" s="26"/>
    </row>
    <row r="33" spans="1:15" ht="34.5" customHeight="1" x14ac:dyDescent="0.25">
      <c r="B33" s="8">
        <v>1</v>
      </c>
      <c r="C33" s="42" t="s">
        <v>10</v>
      </c>
      <c r="D33" s="41" t="s">
        <v>25</v>
      </c>
      <c r="E33" s="39">
        <v>2350000</v>
      </c>
      <c r="F33" s="10">
        <v>3420</v>
      </c>
      <c r="G33" s="12">
        <f t="shared" ref="G33:G40" si="9">E33*F33</f>
        <v>8037000000</v>
      </c>
      <c r="H33" s="9" t="s">
        <v>26</v>
      </c>
      <c r="I33" s="15"/>
      <c r="J33" s="15"/>
      <c r="K33" t="s">
        <v>45</v>
      </c>
      <c r="L33" s="17">
        <f>J30+J4</f>
        <v>1101312291.2058105</v>
      </c>
      <c r="M33" s="20"/>
      <c r="O33" s="26"/>
    </row>
    <row r="34" spans="1:15" ht="32.25" customHeight="1" x14ac:dyDescent="0.25">
      <c r="B34" s="8">
        <v>2</v>
      </c>
      <c r="C34" s="44" t="s">
        <v>60</v>
      </c>
      <c r="D34" s="55" t="s">
        <v>105</v>
      </c>
      <c r="E34" s="39">
        <v>7800000</v>
      </c>
      <c r="F34" s="10">
        <v>342</v>
      </c>
      <c r="G34" s="12">
        <f t="shared" si="9"/>
        <v>2667600000</v>
      </c>
      <c r="H34" s="9" t="s">
        <v>59</v>
      </c>
      <c r="I34" s="15"/>
      <c r="J34" s="15"/>
      <c r="K34" s="24" t="s">
        <v>58</v>
      </c>
      <c r="L34" s="25">
        <f>B12+(-H12/G13)</f>
        <v>8.0309160953095482</v>
      </c>
    </row>
    <row r="35" spans="1:15" ht="35.25" customHeight="1" x14ac:dyDescent="0.25">
      <c r="B35" s="8">
        <v>3</v>
      </c>
      <c r="C35" s="42" t="s">
        <v>12</v>
      </c>
      <c r="D35" s="43" t="s">
        <v>74</v>
      </c>
      <c r="E35" s="39">
        <v>3100000</v>
      </c>
      <c r="F35" s="10">
        <v>36</v>
      </c>
      <c r="G35" s="12">
        <f t="shared" si="9"/>
        <v>111600000</v>
      </c>
      <c r="H35" s="9" t="s">
        <v>72</v>
      </c>
      <c r="I35" s="15"/>
      <c r="J35" s="15"/>
      <c r="K35" s="24" t="s">
        <v>57</v>
      </c>
      <c r="L35" s="34">
        <f>J30/G49</f>
        <v>1.0854777765147858</v>
      </c>
    </row>
    <row r="36" spans="1:15" ht="27.75" customHeight="1" x14ac:dyDescent="0.25">
      <c r="B36" s="8">
        <v>4</v>
      </c>
      <c r="C36" s="42" t="s">
        <v>13</v>
      </c>
      <c r="D36" s="43" t="s">
        <v>28</v>
      </c>
      <c r="E36" s="39">
        <v>4000</v>
      </c>
      <c r="F36" s="10">
        <f>'hybrid menjual'!F36</f>
        <v>2080</v>
      </c>
      <c r="G36" s="12">
        <f t="shared" si="9"/>
        <v>8320000</v>
      </c>
      <c r="H36" s="9" t="s">
        <v>30</v>
      </c>
      <c r="I36" s="15"/>
      <c r="J36" s="15"/>
      <c r="K36" s="15"/>
    </row>
    <row r="37" spans="1:15" ht="30" customHeight="1" x14ac:dyDescent="0.25">
      <c r="B37" s="8">
        <v>5</v>
      </c>
      <c r="C37" s="42" t="s">
        <v>14</v>
      </c>
      <c r="D37" s="43" t="s">
        <v>29</v>
      </c>
      <c r="E37" s="39">
        <v>15000</v>
      </c>
      <c r="F37" s="10">
        <f>'hybrid menjual'!F37</f>
        <v>2080</v>
      </c>
      <c r="G37" s="12">
        <f t="shared" si="9"/>
        <v>31200000</v>
      </c>
      <c r="H37" s="9" t="s">
        <v>31</v>
      </c>
      <c r="I37" s="15"/>
      <c r="J37" s="15"/>
      <c r="K37" s="15"/>
    </row>
    <row r="38" spans="1:15" ht="27.75" customHeight="1" x14ac:dyDescent="0.25">
      <c r="B38" s="8">
        <v>6</v>
      </c>
      <c r="C38" s="42" t="s">
        <v>15</v>
      </c>
      <c r="D38" s="43" t="s">
        <v>18</v>
      </c>
      <c r="E38" s="39">
        <v>13000</v>
      </c>
      <c r="F38" s="10">
        <f>'hybrid menjual'!F38</f>
        <v>2080</v>
      </c>
      <c r="G38" s="12">
        <f t="shared" si="9"/>
        <v>27040000</v>
      </c>
      <c r="H38" s="9" t="s">
        <v>32</v>
      </c>
      <c r="I38" s="15"/>
      <c r="J38" s="15"/>
      <c r="K38" s="15"/>
    </row>
    <row r="39" spans="1:15" ht="28.5" customHeight="1" x14ac:dyDescent="0.25">
      <c r="B39" s="8">
        <v>7</v>
      </c>
      <c r="C39" s="44" t="s">
        <v>16</v>
      </c>
      <c r="D39" s="43" t="s">
        <v>19</v>
      </c>
      <c r="E39" s="39">
        <v>22000</v>
      </c>
      <c r="F39" s="10">
        <f>'hybrid menjual'!F39</f>
        <v>4160</v>
      </c>
      <c r="G39" s="12">
        <f t="shared" si="9"/>
        <v>91520000</v>
      </c>
      <c r="H39" s="9" t="s">
        <v>33</v>
      </c>
      <c r="I39" s="15"/>
      <c r="J39" s="15"/>
      <c r="K39" s="15"/>
    </row>
    <row r="40" spans="1:15" ht="28.5" customHeight="1" x14ac:dyDescent="0.25">
      <c r="B40" s="8">
        <v>8</v>
      </c>
      <c r="C40" s="45" t="s">
        <v>76</v>
      </c>
      <c r="D40" s="43" t="s">
        <v>56</v>
      </c>
      <c r="E40" s="39">
        <v>86595828</v>
      </c>
      <c r="F40" s="10">
        <v>10</v>
      </c>
      <c r="G40" s="12">
        <f t="shared" si="9"/>
        <v>865958280</v>
      </c>
      <c r="H40" s="9" t="s">
        <v>55</v>
      </c>
      <c r="I40" s="15"/>
      <c r="J40" s="15"/>
      <c r="K40" s="15"/>
    </row>
    <row r="41" spans="1:15" ht="15.75" x14ac:dyDescent="0.25">
      <c r="B41" s="8">
        <v>9</v>
      </c>
      <c r="C41" s="45" t="s">
        <v>77</v>
      </c>
      <c r="D41" s="43"/>
      <c r="E41" s="39">
        <v>238642940</v>
      </c>
      <c r="F41" s="10"/>
      <c r="G41" s="12">
        <v>238642940</v>
      </c>
      <c r="H41" s="9"/>
      <c r="I41" s="15"/>
      <c r="J41" s="15"/>
      <c r="K41" s="15"/>
    </row>
    <row r="42" spans="1:15" ht="30.75" customHeight="1" x14ac:dyDescent="0.25">
      <c r="B42" s="8">
        <v>10</v>
      </c>
      <c r="C42" s="45" t="s">
        <v>84</v>
      </c>
      <c r="D42" s="43" t="s">
        <v>85</v>
      </c>
      <c r="E42" s="39">
        <v>2500000</v>
      </c>
      <c r="F42" s="10">
        <v>3</v>
      </c>
      <c r="G42" s="12">
        <f t="shared" ref="G42:G48" si="10">E42*F42</f>
        <v>7500000</v>
      </c>
      <c r="H42" s="9" t="s">
        <v>86</v>
      </c>
      <c r="I42" s="15"/>
      <c r="J42" s="15"/>
      <c r="K42" s="15"/>
    </row>
    <row r="43" spans="1:15" ht="24" customHeight="1" x14ac:dyDescent="0.25">
      <c r="B43" s="8">
        <v>11</v>
      </c>
      <c r="C43" s="45" t="s">
        <v>82</v>
      </c>
      <c r="D43" s="43" t="s">
        <v>83</v>
      </c>
      <c r="E43" s="39">
        <v>75800</v>
      </c>
      <c r="F43" s="10">
        <v>3600</v>
      </c>
      <c r="G43" s="12">
        <f t="shared" si="10"/>
        <v>272880000</v>
      </c>
      <c r="H43" s="9" t="s">
        <v>87</v>
      </c>
      <c r="I43" s="15"/>
      <c r="J43" s="15"/>
      <c r="K43" s="15"/>
    </row>
    <row r="44" spans="1:15" ht="24.75" customHeight="1" x14ac:dyDescent="0.25">
      <c r="B44" s="8">
        <v>12</v>
      </c>
      <c r="C44" s="45" t="s">
        <v>79</v>
      </c>
      <c r="D44" s="43" t="s">
        <v>80</v>
      </c>
      <c r="E44" s="39">
        <v>5200</v>
      </c>
      <c r="F44" s="10">
        <v>3420</v>
      </c>
      <c r="G44" s="12">
        <f t="shared" si="10"/>
        <v>17784000</v>
      </c>
      <c r="H44" s="9" t="s">
        <v>81</v>
      </c>
      <c r="I44" s="15"/>
      <c r="J44" s="15"/>
    </row>
    <row r="45" spans="1:15" ht="30.75" customHeight="1" x14ac:dyDescent="0.25">
      <c r="B45" s="8">
        <v>13</v>
      </c>
      <c r="C45" s="45" t="s">
        <v>88</v>
      </c>
      <c r="D45" s="43" t="s">
        <v>89</v>
      </c>
      <c r="E45" s="39">
        <v>141191</v>
      </c>
      <c r="F45" s="10">
        <v>1200</v>
      </c>
      <c r="G45" s="12">
        <f t="shared" si="10"/>
        <v>169429200</v>
      </c>
      <c r="H45" s="9" t="s">
        <v>90</v>
      </c>
      <c r="I45" s="22"/>
      <c r="J45" s="22"/>
      <c r="N45" t="s">
        <v>51</v>
      </c>
    </row>
    <row r="46" spans="1:15" ht="15.75" x14ac:dyDescent="0.25">
      <c r="A46" s="22"/>
      <c r="B46" s="8">
        <v>14</v>
      </c>
      <c r="C46" s="45" t="s">
        <v>95</v>
      </c>
      <c r="D46" s="43" t="s">
        <v>93</v>
      </c>
      <c r="E46" s="39">
        <f>'hybrid menjual'!E46</f>
        <v>78000</v>
      </c>
      <c r="F46" s="11">
        <f>'hybrid menjual'!F46</f>
        <v>3120</v>
      </c>
      <c r="G46" s="12">
        <f t="shared" si="10"/>
        <v>243360000</v>
      </c>
      <c r="H46" s="9"/>
    </row>
    <row r="47" spans="1:15" ht="30" x14ac:dyDescent="0.25">
      <c r="A47" s="22"/>
      <c r="B47" s="8">
        <v>15</v>
      </c>
      <c r="C47" s="45" t="s">
        <v>17</v>
      </c>
      <c r="D47" s="43" t="s">
        <v>20</v>
      </c>
      <c r="E47" s="39">
        <v>14000</v>
      </c>
      <c r="F47" s="10">
        <v>6240</v>
      </c>
      <c r="G47" s="12">
        <f t="shared" si="10"/>
        <v>87360000</v>
      </c>
      <c r="H47" s="9" t="s">
        <v>34</v>
      </c>
    </row>
    <row r="48" spans="1:15" ht="18" customHeight="1" x14ac:dyDescent="0.25">
      <c r="A48" s="22"/>
      <c r="B48" s="8">
        <v>16</v>
      </c>
      <c r="C48" s="56" t="s">
        <v>54</v>
      </c>
      <c r="D48" s="57" t="s">
        <v>53</v>
      </c>
      <c r="E48" s="39">
        <v>7000000</v>
      </c>
      <c r="F48" s="10">
        <v>1</v>
      </c>
      <c r="G48" s="12">
        <f t="shared" si="10"/>
        <v>7000000</v>
      </c>
      <c r="H48" s="9" t="s">
        <v>52</v>
      </c>
    </row>
    <row r="49" spans="2:8" x14ac:dyDescent="0.25">
      <c r="B49" s="8"/>
      <c r="C49" s="10" t="s">
        <v>50</v>
      </c>
      <c r="D49" s="8"/>
      <c r="E49" s="39">
        <f>SUM(E33:E48)</f>
        <v>348356959</v>
      </c>
      <c r="F49" s="10"/>
      <c r="G49" s="11">
        <f>SUM(G33:G48)</f>
        <v>12884194420</v>
      </c>
      <c r="H49" s="23"/>
    </row>
    <row r="51" spans="2:8" x14ac:dyDescent="0.25">
      <c r="H51" s="19"/>
    </row>
    <row r="54" spans="2:8" x14ac:dyDescent="0.25">
      <c r="D54" s="19"/>
    </row>
  </sheetData>
  <hyperlinks>
    <hyperlink ref="H33" r:id="rId1" xr:uid="{00000000-0004-0000-0700-000000000000}"/>
    <hyperlink ref="H39" r:id="rId2" xr:uid="{00000000-0004-0000-0700-000001000000}"/>
    <hyperlink ref="H38" r:id="rId3" xr:uid="{00000000-0004-0000-0700-000002000000}"/>
    <hyperlink ref="H37" r:id="rId4" xr:uid="{00000000-0004-0000-0700-000003000000}"/>
    <hyperlink ref="H36" r:id="rId5" xr:uid="{00000000-0004-0000-0700-000004000000}"/>
    <hyperlink ref="H47" r:id="rId6" xr:uid="{00000000-0004-0000-0700-000005000000}"/>
    <hyperlink ref="H40" r:id="rId7" xr:uid="{00000000-0004-0000-0700-000006000000}"/>
    <hyperlink ref="H34" r:id="rId8" xr:uid="{00000000-0004-0000-0700-000007000000}"/>
  </hyperlinks>
  <pageMargins left="0.7" right="0.7" top="0.75" bottom="0.75" header="0.3" footer="0.3"/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34"/>
  <sheetViews>
    <sheetView topLeftCell="A3" zoomScale="80" workbookViewId="0">
      <selection activeCell="I36" sqref="I36"/>
    </sheetView>
  </sheetViews>
  <sheetFormatPr defaultRowHeight="15" x14ac:dyDescent="0.25"/>
  <cols>
    <col min="2" max="2" width="14" customWidth="1"/>
    <col min="3" max="3" width="22.42578125" customWidth="1"/>
    <col min="4" max="5" width="12.42578125" customWidth="1"/>
    <col min="6" max="6" width="17.85546875" customWidth="1"/>
    <col min="7" max="7" width="18.7109375" customWidth="1"/>
    <col min="8" max="8" width="16.42578125" customWidth="1"/>
    <col min="9" max="9" width="17.5703125" customWidth="1"/>
    <col min="11" max="11" width="11" bestFit="1" customWidth="1"/>
  </cols>
  <sheetData>
    <row r="3" spans="2:9" x14ac:dyDescent="0.25">
      <c r="B3" s="3" t="s">
        <v>1</v>
      </c>
      <c r="C3" s="8" t="s">
        <v>96</v>
      </c>
      <c r="D3" s="8" t="s">
        <v>97</v>
      </c>
      <c r="E3" s="8" t="s">
        <v>102</v>
      </c>
      <c r="F3" s="8" t="s">
        <v>100</v>
      </c>
      <c r="G3" s="36" t="s">
        <v>101</v>
      </c>
      <c r="H3" s="3" t="s">
        <v>103</v>
      </c>
      <c r="I3" s="3" t="s">
        <v>104</v>
      </c>
    </row>
    <row r="4" spans="2:9" x14ac:dyDescent="0.25">
      <c r="B4" s="3">
        <v>0</v>
      </c>
      <c r="C4" s="3"/>
      <c r="D4" s="3"/>
      <c r="E4" s="3"/>
      <c r="F4" s="13">
        <f>hybrid!$G$49</f>
        <v>12884194420</v>
      </c>
      <c r="G4" s="13">
        <v>9891493200</v>
      </c>
      <c r="H4" s="13">
        <f>F4/(1+0.1)^B4</f>
        <v>12884194420</v>
      </c>
      <c r="I4" s="13">
        <f>G4/(1+0.1)^B4</f>
        <v>9891493200</v>
      </c>
    </row>
    <row r="5" spans="2:9" x14ac:dyDescent="0.25">
      <c r="B5" s="3">
        <v>1</v>
      </c>
      <c r="C5" s="13">
        <v>1238207</v>
      </c>
      <c r="D5" s="13">
        <f>C5*(1-0.005)^B5</f>
        <v>1232015.9650000001</v>
      </c>
      <c r="E5" s="13">
        <f>D5/(1+0.08)^B5</f>
        <v>1140755.5231481481</v>
      </c>
      <c r="F5" s="13">
        <f>hybrid!D5</f>
        <v>128841944.2</v>
      </c>
      <c r="G5" s="37">
        <f>ongrid!D5</f>
        <v>98914932</v>
      </c>
      <c r="H5" s="13">
        <f>F5/(1+0.1)^B5</f>
        <v>117129040.18181817</v>
      </c>
      <c r="I5" s="13">
        <f>G5/(1+0.1)^B5</f>
        <v>89922665.454545453</v>
      </c>
    </row>
    <row r="6" spans="2:9" x14ac:dyDescent="0.25">
      <c r="B6" s="3">
        <v>2</v>
      </c>
      <c r="C6" s="13">
        <v>1238207</v>
      </c>
      <c r="D6" s="13">
        <f t="shared" ref="D6:D29" si="0">C6*(1-0.005)^B6</f>
        <v>1225855.8851749999</v>
      </c>
      <c r="E6" s="13">
        <f t="shared" ref="E6:E29" si="1">D6/(1+0.08)^B6</f>
        <v>1050973.8384559327</v>
      </c>
      <c r="F6" s="13">
        <f>hybrid!D6</f>
        <v>128841944.2</v>
      </c>
      <c r="G6" s="13">
        <f>ongrid!D6</f>
        <v>98914932</v>
      </c>
      <c r="H6" s="13">
        <f>F6/(1+0.1)^B6</f>
        <v>106480945.61983469</v>
      </c>
      <c r="I6" s="13">
        <f>G6/(1+0.1)^B6</f>
        <v>81747877.685950398</v>
      </c>
    </row>
    <row r="7" spans="2:9" x14ac:dyDescent="0.25">
      <c r="B7" s="3">
        <v>3</v>
      </c>
      <c r="C7" s="13">
        <v>1238207</v>
      </c>
      <c r="D7" s="13">
        <f t="shared" si="0"/>
        <v>1219726.6057491251</v>
      </c>
      <c r="E7" s="13">
        <f t="shared" si="1"/>
        <v>968258.30487375287</v>
      </c>
      <c r="F7" s="13">
        <f>hybrid!D7</f>
        <v>128841944.2</v>
      </c>
      <c r="G7" s="13">
        <f>ongrid!D7</f>
        <v>98914932</v>
      </c>
      <c r="H7" s="13">
        <f>F7/(1+0.1)^B7</f>
        <v>96800859.654395163</v>
      </c>
      <c r="I7" s="13">
        <f t="shared" ref="I7:I28" si="2">G7/(1+0.1)^B7</f>
        <v>74316252.441773087</v>
      </c>
    </row>
    <row r="8" spans="2:9" x14ac:dyDescent="0.25">
      <c r="B8" s="3">
        <v>4</v>
      </c>
      <c r="C8" s="13">
        <v>1238207</v>
      </c>
      <c r="D8" s="13">
        <f t="shared" si="0"/>
        <v>1213627.9727203795</v>
      </c>
      <c r="E8" s="13">
        <f t="shared" si="1"/>
        <v>892052.79013831855</v>
      </c>
      <c r="F8" s="13">
        <f>hybrid!D8</f>
        <v>128841944.2</v>
      </c>
      <c r="G8" s="13">
        <f>ongrid!D8</f>
        <v>98914932</v>
      </c>
      <c r="H8" s="13">
        <f t="shared" ref="H8:H29" si="3">F8/(1+0.1)^B8</f>
        <v>88000781.503995612</v>
      </c>
      <c r="I8" s="13">
        <f t="shared" si="2"/>
        <v>67560229.492520988</v>
      </c>
    </row>
    <row r="9" spans="2:9" x14ac:dyDescent="0.25">
      <c r="B9" s="3">
        <v>5</v>
      </c>
      <c r="C9" s="13">
        <v>1238207</v>
      </c>
      <c r="D9" s="13">
        <f t="shared" si="0"/>
        <v>1207559.8328567776</v>
      </c>
      <c r="E9" s="13">
        <f t="shared" si="1"/>
        <v>821844.93165521009</v>
      </c>
      <c r="F9" s="13">
        <f>hybrid!D9</f>
        <v>128841944.2</v>
      </c>
      <c r="G9" s="13">
        <f>ongrid!D9</f>
        <v>98914932</v>
      </c>
      <c r="H9" s="13">
        <f t="shared" si="3"/>
        <v>80000710.45817782</v>
      </c>
      <c r="I9" s="13">
        <f t="shared" si="2"/>
        <v>61418390.447746344</v>
      </c>
    </row>
    <row r="10" spans="2:9" x14ac:dyDescent="0.25">
      <c r="B10" s="3">
        <v>6</v>
      </c>
      <c r="C10" s="13">
        <v>1238207</v>
      </c>
      <c r="D10" s="13">
        <f t="shared" si="0"/>
        <v>1201522.0336924938</v>
      </c>
      <c r="E10" s="13">
        <f t="shared" si="1"/>
        <v>757162.69166382786</v>
      </c>
      <c r="F10" s="13">
        <f>hybrid!D10</f>
        <v>128841944.2</v>
      </c>
      <c r="G10" s="13">
        <f>ongrid!D10</f>
        <v>98914932</v>
      </c>
      <c r="H10" s="13">
        <f t="shared" si="3"/>
        <v>72727918.598343462</v>
      </c>
      <c r="I10" s="13">
        <f t="shared" si="2"/>
        <v>55834900.407042123</v>
      </c>
    </row>
    <row r="11" spans="2:9" x14ac:dyDescent="0.25">
      <c r="B11" s="3">
        <v>7</v>
      </c>
      <c r="C11" s="13">
        <v>1238207</v>
      </c>
      <c r="D11" s="13">
        <f t="shared" si="0"/>
        <v>1195514.4235240312</v>
      </c>
      <c r="E11" s="13">
        <f t="shared" si="1"/>
        <v>697571.18352361908</v>
      </c>
      <c r="F11" s="13">
        <f>hybrid!D11</f>
        <v>128841944.2</v>
      </c>
      <c r="G11" s="13">
        <f>ongrid!D11</f>
        <v>98914932</v>
      </c>
      <c r="H11" s="13">
        <f t="shared" si="3"/>
        <v>66116289.634857684</v>
      </c>
      <c r="I11" s="13">
        <f t="shared" si="2"/>
        <v>50759000.370038286</v>
      </c>
    </row>
    <row r="12" spans="2:9" x14ac:dyDescent="0.25">
      <c r="B12" s="3">
        <v>8</v>
      </c>
      <c r="C12" s="13">
        <v>1238207</v>
      </c>
      <c r="D12" s="13">
        <f t="shared" si="0"/>
        <v>1189536.851406411</v>
      </c>
      <c r="E12" s="13">
        <f t="shared" si="1"/>
        <v>642669.74778333423</v>
      </c>
      <c r="F12" s="13">
        <f>hybrid!D12</f>
        <v>128841944.2</v>
      </c>
      <c r="G12" s="13">
        <f>ongrid!D12</f>
        <v>98914932</v>
      </c>
      <c r="H12" s="13">
        <f t="shared" si="3"/>
        <v>60105717.84987063</v>
      </c>
      <c r="I12" s="13">
        <f t="shared" si="2"/>
        <v>46144545.790943906</v>
      </c>
    </row>
    <row r="13" spans="2:9" x14ac:dyDescent="0.25">
      <c r="B13" s="3">
        <v>9</v>
      </c>
      <c r="C13" s="13">
        <v>1238207</v>
      </c>
      <c r="D13" s="13">
        <f t="shared" si="0"/>
        <v>1183589.1671493789</v>
      </c>
      <c r="E13" s="13">
        <f t="shared" si="1"/>
        <v>592089.25837446062</v>
      </c>
      <c r="F13" s="13">
        <f>hybrid!D13</f>
        <v>128841944.2</v>
      </c>
      <c r="G13" s="13">
        <f>ongrid!D13</f>
        <v>98914932</v>
      </c>
      <c r="H13" s="13">
        <f t="shared" si="3"/>
        <v>54641561.681700565</v>
      </c>
      <c r="I13" s="13">
        <f t="shared" si="2"/>
        <v>41949587.082676269</v>
      </c>
    </row>
    <row r="14" spans="2:9" x14ac:dyDescent="0.25">
      <c r="B14" s="3">
        <v>10</v>
      </c>
      <c r="C14" s="13">
        <v>1238207</v>
      </c>
      <c r="D14" s="13">
        <f t="shared" si="0"/>
        <v>1177671.2213136321</v>
      </c>
      <c r="E14" s="13">
        <f t="shared" si="1"/>
        <v>545489.64081721136</v>
      </c>
      <c r="F14" s="13">
        <f>hybrid!D14</f>
        <v>462706347.97993922</v>
      </c>
      <c r="G14" s="13">
        <f>ongrid!D14</f>
        <v>402144729.13632649</v>
      </c>
      <c r="H14" s="13">
        <f t="shared" si="3"/>
        <v>178393327.44011122</v>
      </c>
      <c r="I14" s="13">
        <f t="shared" si="2"/>
        <v>155044201.69796726</v>
      </c>
    </row>
    <row r="15" spans="2:9" x14ac:dyDescent="0.25">
      <c r="B15" s="3">
        <v>11</v>
      </c>
      <c r="C15" s="13">
        <v>1238207</v>
      </c>
      <c r="D15" s="13">
        <f t="shared" si="0"/>
        <v>1171782.865207064</v>
      </c>
      <c r="E15" s="13">
        <f t="shared" si="1"/>
        <v>502557.58575289388</v>
      </c>
      <c r="F15" s="13">
        <f>hybrid!D15</f>
        <v>128841944.2</v>
      </c>
      <c r="G15" s="13">
        <f>ongrid!D15</f>
        <v>98914932</v>
      </c>
      <c r="H15" s="13">
        <f t="shared" si="3"/>
        <v>45158315.439421944</v>
      </c>
      <c r="I15" s="13">
        <f t="shared" si="2"/>
        <v>34669080.233616747</v>
      </c>
    </row>
    <row r="16" spans="2:9" x14ac:dyDescent="0.25">
      <c r="B16" s="3">
        <v>12</v>
      </c>
      <c r="C16" s="13">
        <v>1238207</v>
      </c>
      <c r="D16" s="13">
        <f t="shared" si="0"/>
        <v>1165923.9508810288</v>
      </c>
      <c r="E16" s="13">
        <f t="shared" si="1"/>
        <v>463004.44242974947</v>
      </c>
      <c r="F16" s="13">
        <f>hybrid!D16</f>
        <v>128841944.2</v>
      </c>
      <c r="G16" s="13">
        <f>ongrid!D16</f>
        <v>98914932</v>
      </c>
      <c r="H16" s="13">
        <f t="shared" si="3"/>
        <v>41053014.035838135</v>
      </c>
      <c r="I16" s="13">
        <f t="shared" si="2"/>
        <v>31517345.666924313</v>
      </c>
    </row>
    <row r="17" spans="2:9" x14ac:dyDescent="0.25">
      <c r="B17" s="3">
        <v>13</v>
      </c>
      <c r="C17" s="13">
        <v>1238207</v>
      </c>
      <c r="D17" s="13">
        <f t="shared" si="0"/>
        <v>1160094.3311266236</v>
      </c>
      <c r="E17" s="13">
        <f t="shared" si="1"/>
        <v>426564.2779792599</v>
      </c>
      <c r="F17" s="13">
        <f>hybrid!D17</f>
        <v>128841944.2</v>
      </c>
      <c r="G17" s="13">
        <f>ongrid!D17</f>
        <v>98914932</v>
      </c>
      <c r="H17" s="13">
        <f t="shared" si="3"/>
        <v>37320921.850761935</v>
      </c>
      <c r="I17" s="13">
        <f t="shared" si="2"/>
        <v>28652132.42447665</v>
      </c>
    </row>
    <row r="18" spans="2:9" x14ac:dyDescent="0.25">
      <c r="B18" s="3">
        <v>14</v>
      </c>
      <c r="C18" s="13">
        <v>1238207</v>
      </c>
      <c r="D18" s="13">
        <f t="shared" si="0"/>
        <v>1154293.8594709905</v>
      </c>
      <c r="E18" s="13">
        <f t="shared" si="1"/>
        <v>392992.08943459584</v>
      </c>
      <c r="F18" s="13">
        <f>hybrid!D18</f>
        <v>128841944.2</v>
      </c>
      <c r="G18" s="13">
        <f>ongrid!D18</f>
        <v>98914932</v>
      </c>
      <c r="H18" s="13">
        <f t="shared" si="3"/>
        <v>33928110.773419939</v>
      </c>
      <c r="I18" s="13">
        <f t="shared" si="2"/>
        <v>26047393.113160584</v>
      </c>
    </row>
    <row r="19" spans="2:9" x14ac:dyDescent="0.25">
      <c r="B19" s="3">
        <v>15</v>
      </c>
      <c r="C19" s="13">
        <v>1238207</v>
      </c>
      <c r="D19" s="13">
        <f t="shared" si="0"/>
        <v>1148522.3901736354</v>
      </c>
      <c r="E19" s="13">
        <f t="shared" si="1"/>
        <v>362062.15646983596</v>
      </c>
      <c r="F19" s="13">
        <f>hybrid!D19</f>
        <v>128841944.2</v>
      </c>
      <c r="G19" s="13">
        <f>ongrid!D19</f>
        <v>98914932</v>
      </c>
      <c r="H19" s="13">
        <f t="shared" si="3"/>
        <v>30843737.066745397</v>
      </c>
      <c r="I19" s="13">
        <f t="shared" si="2"/>
        <v>23679448.284691442</v>
      </c>
    </row>
    <row r="20" spans="2:9" x14ac:dyDescent="0.25">
      <c r="B20" s="3">
        <v>16</v>
      </c>
      <c r="C20" s="13">
        <v>1238207</v>
      </c>
      <c r="D20" s="13">
        <f t="shared" si="0"/>
        <v>1142779.7782227674</v>
      </c>
      <c r="E20" s="13">
        <f t="shared" si="1"/>
        <v>333566.52378471004</v>
      </c>
      <c r="F20" s="13">
        <f>hybrid!D20</f>
        <v>709389426.83380032</v>
      </c>
      <c r="G20" s="13">
        <f>ongrid!D20</f>
        <v>98914932</v>
      </c>
      <c r="H20" s="13">
        <f t="shared" si="3"/>
        <v>154383807.90050876</v>
      </c>
      <c r="I20" s="13">
        <f t="shared" si="2"/>
        <v>21526771.167901307</v>
      </c>
    </row>
    <row r="21" spans="2:9" x14ac:dyDescent="0.25">
      <c r="B21" s="3">
        <v>17</v>
      </c>
      <c r="C21" s="13">
        <v>1238207</v>
      </c>
      <c r="D21" s="13">
        <f t="shared" si="0"/>
        <v>1137065.8793316535</v>
      </c>
      <c r="E21" s="13">
        <f t="shared" si="1"/>
        <v>307313.60293128371</v>
      </c>
      <c r="F21" s="13">
        <f>hybrid!D21</f>
        <v>128841944.2</v>
      </c>
      <c r="G21" s="13">
        <f>ongrid!D21</f>
        <v>98914932</v>
      </c>
      <c r="H21" s="13">
        <f t="shared" si="3"/>
        <v>25490691.790698674</v>
      </c>
      <c r="I21" s="13">
        <f t="shared" si="2"/>
        <v>19569791.970819373</v>
      </c>
    </row>
    <row r="22" spans="2:9" x14ac:dyDescent="0.25">
      <c r="B22" s="3">
        <v>18</v>
      </c>
      <c r="C22" s="13">
        <v>1238207</v>
      </c>
      <c r="D22" s="13">
        <f t="shared" si="0"/>
        <v>1131380.5499349951</v>
      </c>
      <c r="E22" s="13">
        <f t="shared" si="1"/>
        <v>283126.88418206229</v>
      </c>
      <c r="F22" s="13">
        <f>hybrid!D22</f>
        <v>128841944.2</v>
      </c>
      <c r="G22" s="13">
        <f>ongrid!D22</f>
        <v>98914932</v>
      </c>
      <c r="H22" s="13">
        <f t="shared" si="3"/>
        <v>23173356.17336243</v>
      </c>
      <c r="I22" s="13">
        <f t="shared" si="2"/>
        <v>17790719.973472156</v>
      </c>
    </row>
    <row r="23" spans="2:9" x14ac:dyDescent="0.25">
      <c r="B23" s="3">
        <v>19</v>
      </c>
      <c r="C23" s="13">
        <v>1238207</v>
      </c>
      <c r="D23" s="13">
        <f t="shared" si="0"/>
        <v>1125723.6471853203</v>
      </c>
      <c r="E23" s="13">
        <f t="shared" si="1"/>
        <v>260843.74977884442</v>
      </c>
      <c r="F23" s="13">
        <f>hybrid!D23</f>
        <v>128841944.2</v>
      </c>
      <c r="G23" s="13">
        <f>ongrid!D23</f>
        <v>98914932</v>
      </c>
      <c r="H23" s="13">
        <f t="shared" si="3"/>
        <v>21066687.430329476</v>
      </c>
      <c r="I23" s="13">
        <f t="shared" si="2"/>
        <v>16173381.794065591</v>
      </c>
    </row>
    <row r="24" spans="2:9" x14ac:dyDescent="0.25">
      <c r="B24" s="3">
        <v>20</v>
      </c>
      <c r="C24" s="13">
        <v>1238207</v>
      </c>
      <c r="D24" s="13">
        <f t="shared" si="0"/>
        <v>1120095.0289493937</v>
      </c>
      <c r="E24" s="13">
        <f t="shared" si="1"/>
        <v>240314.38058328722</v>
      </c>
      <c r="F24" s="13">
        <f>hybrid!D24</f>
        <v>257561124.6567471</v>
      </c>
      <c r="G24" s="13">
        <f>ongrid!D24</f>
        <v>215823145.44098884</v>
      </c>
      <c r="H24" s="13">
        <f t="shared" si="3"/>
        <v>38284820.006957568</v>
      </c>
      <c r="I24" s="13">
        <f t="shared" si="2"/>
        <v>32080735.349930964</v>
      </c>
    </row>
    <row r="25" spans="2:9" x14ac:dyDescent="0.25">
      <c r="B25" s="3">
        <v>21</v>
      </c>
      <c r="C25" s="13">
        <v>1238207</v>
      </c>
      <c r="D25" s="13">
        <f t="shared" si="0"/>
        <v>1114494.5538046467</v>
      </c>
      <c r="E25" s="13">
        <f t="shared" si="1"/>
        <v>221400.74877812111</v>
      </c>
      <c r="F25" s="13">
        <f>hybrid!D25</f>
        <v>128841944.2</v>
      </c>
      <c r="G25" s="13">
        <f>ongrid!D25</f>
        <v>98914932</v>
      </c>
      <c r="H25" s="13">
        <f t="shared" si="3"/>
        <v>17410485.479611136</v>
      </c>
      <c r="I25" s="13">
        <f t="shared" si="2"/>
        <v>13366431.23476495</v>
      </c>
    </row>
    <row r="26" spans="2:9" x14ac:dyDescent="0.25">
      <c r="B26" s="3">
        <v>22</v>
      </c>
      <c r="C26" s="13">
        <v>1238207</v>
      </c>
      <c r="D26" s="13">
        <f t="shared" si="0"/>
        <v>1108922.0810356236</v>
      </c>
      <c r="E26" s="13">
        <f t="shared" si="1"/>
        <v>203975.68984650969</v>
      </c>
      <c r="F26" s="13">
        <f>hybrid!D26</f>
        <v>128841944.2</v>
      </c>
      <c r="G26" s="13">
        <f>ongrid!D26</f>
        <v>98914932</v>
      </c>
      <c r="H26" s="13">
        <f t="shared" si="3"/>
        <v>15827714.072373757</v>
      </c>
      <c r="I26" s="13">
        <f t="shared" si="2"/>
        <v>12151301.12251359</v>
      </c>
    </row>
    <row r="27" spans="2:9" x14ac:dyDescent="0.25">
      <c r="B27" s="3">
        <v>23</v>
      </c>
      <c r="C27" s="13">
        <v>1238207</v>
      </c>
      <c r="D27" s="13">
        <f t="shared" si="0"/>
        <v>1103377.4706304453</v>
      </c>
      <c r="E27" s="13">
        <f t="shared" si="1"/>
        <v>187922.04759007139</v>
      </c>
      <c r="F27" s="13">
        <f>hybrid!D27</f>
        <v>128841944.2</v>
      </c>
      <c r="G27" s="13">
        <f>ongrid!D27</f>
        <v>98914932</v>
      </c>
      <c r="H27" s="13">
        <f t="shared" si="3"/>
        <v>14388830.974885233</v>
      </c>
      <c r="I27" s="13">
        <f t="shared" si="2"/>
        <v>11046637.384103263</v>
      </c>
    </row>
    <row r="28" spans="2:9" x14ac:dyDescent="0.25">
      <c r="B28" s="3">
        <v>24</v>
      </c>
      <c r="C28" s="13">
        <v>1238207</v>
      </c>
      <c r="D28" s="13">
        <f t="shared" si="0"/>
        <v>1097860.583277293</v>
      </c>
      <c r="E28" s="13">
        <f t="shared" si="1"/>
        <v>173131.88643714911</v>
      </c>
      <c r="F28" s="13">
        <f>hybrid!D28</f>
        <v>128841944.2</v>
      </c>
      <c r="G28" s="13">
        <f>ongrid!D28</f>
        <v>98914932</v>
      </c>
      <c r="H28" s="13">
        <f t="shared" si="3"/>
        <v>13080755.431713849</v>
      </c>
      <c r="I28" s="13">
        <f t="shared" si="2"/>
        <v>10042397.621912058</v>
      </c>
    </row>
    <row r="29" spans="2:9" x14ac:dyDescent="0.25">
      <c r="B29" s="3">
        <v>25</v>
      </c>
      <c r="C29" s="13">
        <v>1238207</v>
      </c>
      <c r="D29" s="13">
        <f t="shared" si="0"/>
        <v>1092371.2803609066</v>
      </c>
      <c r="E29" s="13">
        <f t="shared" si="1"/>
        <v>159505.76574533642</v>
      </c>
      <c r="F29" s="13">
        <f>hybrid!D29</f>
        <v>128841944.2</v>
      </c>
      <c r="G29" s="13">
        <f>ongrid!D29</f>
        <v>98914932</v>
      </c>
      <c r="H29" s="13">
        <f t="shared" si="3"/>
        <v>11891595.847012589</v>
      </c>
      <c r="I29" s="13">
        <f>G29/(1+0.1)^B29</f>
        <v>9129452.3835564144</v>
      </c>
    </row>
    <row r="30" spans="2:9" x14ac:dyDescent="0.25">
      <c r="B30" s="3" t="s">
        <v>50</v>
      </c>
      <c r="C30" s="13">
        <f>SUM(C5:C29)</f>
        <v>30955175</v>
      </c>
      <c r="D30" s="13">
        <f>SUM(D5:D29)</f>
        <v>29021308.208179619</v>
      </c>
      <c r="E30" s="13">
        <f>SUM(E5:E29)</f>
        <v>12627149.742157528</v>
      </c>
      <c r="F30" s="13">
        <f>SUM(F4:F29)</f>
        <v>17148374091.870504</v>
      </c>
      <c r="G30" s="13">
        <f>SUM(G4:G29)</f>
        <v>12784504510.577314</v>
      </c>
      <c r="H30" s="13">
        <f>SUM(H4:H29)</f>
        <v>14327894416.896749</v>
      </c>
      <c r="I30" s="13">
        <f>SUM(I4:I29)</f>
        <v>10923633870.597113</v>
      </c>
    </row>
    <row r="31" spans="2:9" x14ac:dyDescent="0.25">
      <c r="C31" s="19"/>
      <c r="D31" s="19"/>
      <c r="E31" s="19"/>
      <c r="F31" s="19"/>
      <c r="G31" s="19"/>
    </row>
    <row r="32" spans="2:9" x14ac:dyDescent="0.25">
      <c r="B32" t="s">
        <v>98</v>
      </c>
      <c r="C32">
        <f>H30/E30</f>
        <v>1134.6895150107425</v>
      </c>
    </row>
    <row r="33" spans="2:3" x14ac:dyDescent="0.25">
      <c r="B33" t="s">
        <v>99</v>
      </c>
      <c r="C33">
        <f>I30/E30</f>
        <v>865.09102162042268</v>
      </c>
    </row>
    <row r="34" spans="2:3" x14ac:dyDescent="0.25">
      <c r="C34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on grid menjual</vt:lpstr>
      <vt:lpstr>hybrid menjual</vt:lpstr>
      <vt:lpstr>ongrid</vt:lpstr>
      <vt:lpstr>hybrid</vt:lpstr>
      <vt:lpstr>aktual on grid menjual</vt:lpstr>
      <vt:lpstr>aktual hybrid menjual</vt:lpstr>
      <vt:lpstr>aktual ongrid</vt:lpstr>
      <vt:lpstr>aktual hybrid</vt:lpstr>
      <vt:lpstr>LCOE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Kurniawan</dc:creator>
  <cp:lastModifiedBy>User</cp:lastModifiedBy>
  <dcterms:created xsi:type="dcterms:W3CDTF">2023-03-17T05:01:55Z</dcterms:created>
  <dcterms:modified xsi:type="dcterms:W3CDTF">2025-01-10T03:26:42Z</dcterms:modified>
</cp:coreProperties>
</file>