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_\Documents\GitHub\Token-Jenny-Public\Workbooks\"/>
    </mc:Choice>
  </mc:AlternateContent>
  <xr:revisionPtr revIDLastSave="0" documentId="13_ncr:1_{C32C5553-557C-4803-86C6-B29DA2D886D2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K29" i="1"/>
  <c r="K33" i="1"/>
  <c r="K34" i="1"/>
  <c r="K35" i="1"/>
  <c r="K36" i="1"/>
  <c r="K37" i="1"/>
  <c r="K38" i="1"/>
  <c r="K39" i="1"/>
  <c r="K41" i="1"/>
  <c r="K42" i="1"/>
  <c r="K43" i="1"/>
  <c r="K44" i="1"/>
  <c r="K45" i="1"/>
  <c r="K28" i="1"/>
  <c r="G19" i="1"/>
  <c r="K18" i="1"/>
  <c r="K19" i="1" s="1"/>
  <c r="K20" i="1" s="1"/>
  <c r="K21" i="1" s="1"/>
  <c r="K22" i="1" s="1"/>
  <c r="K23" i="1" s="1"/>
  <c r="G22" i="1"/>
  <c r="C6" i="4"/>
  <c r="G15" i="1"/>
  <c r="E30" i="1"/>
  <c r="E31" i="1"/>
  <c r="D29" i="1"/>
  <c r="G29" i="1" s="1"/>
  <c r="C29" i="1" s="1"/>
  <c r="D28" i="1"/>
  <c r="G28" i="1" s="1"/>
  <c r="C28" i="1" s="1"/>
  <c r="E21" i="1"/>
  <c r="E20" i="1"/>
  <c r="G20" i="1"/>
  <c r="B11" i="1"/>
  <c r="E28" i="1"/>
  <c r="D31" i="1"/>
  <c r="G31" i="1" s="1"/>
  <c r="C31" i="1" s="1"/>
  <c r="K40" i="1" l="1"/>
  <c r="K32" i="1"/>
  <c r="K31" i="1"/>
  <c r="K30" i="1"/>
  <c r="C8" i="4"/>
  <c r="C9" i="4" s="1"/>
  <c r="C10" i="4" s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C12" i="4" l="1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<sst xmlns="http://schemas.openxmlformats.org/spreadsheetml/2006/main" count="70" uniqueCount="64">
  <si>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</si>
  <si>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</si>
  <si>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</si>
  <si>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</si>
  <si>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</si>
  <si>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</si>
  <si>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</si>
  <si>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</si>
  <si>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</si>
  <si>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</si>
  <si>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</si>
  <si>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</si>
  <si>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</si>
  <si>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</si>
  <si>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</si>
  <si>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</si>
  <si>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</si>
  <si>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</si>
  <si>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</si>
  <si>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</si>
  <si>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</si>
  <si>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</si>
  <si>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</si>
  <si>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</si>
  <si>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</si>
  <si>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</si>
  <si>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</si>
  <si>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</si>
  <si>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</si>
  <si>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</si>
  <si>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</si>
  <si>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</si>
  <si>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</si>
  <si>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</si>
  <si>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</si>
  <si>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</si>
  <si>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</si>
  <si>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</si>
  <si>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</si>
  <si>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</si>
  <si>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</si>
  <si>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</si>
  <si>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</si>
  <si>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</si>
  <si>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</si>
  <si>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</si>
  <si>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</si>
  <si>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</si>
  <si>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</si>
  <si>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https://bit.ly/2ShMFZj</t>
  </si>
  <si>
    <t>https://bit.ly/3gYifn0</t>
  </si>
  <si>
    <t>TJ Fee Percentage</t>
  </si>
  <si>
    <t>Estimated Date/Time:</t>
  </si>
  <si>
    <t>Owner's Wallet</t>
  </si>
  <si>
    <t>0xfDC30bD4F4500cB2835Bc1808F5d3BA8a1aeBb1B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</si>
  <si>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</si>
  <si>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</si>
  <si>
    <t>Output Per Block</t>
  </si>
  <si>
    <t>Output Per Second</t>
  </si>
  <si>
    <t>Output Per Minute</t>
  </si>
  <si>
    <t>Output Per Hour</t>
  </si>
  <si>
    <t>Output Per Day</t>
  </si>
  <si>
    <t>Output Per Week</t>
  </si>
  <si>
    <t>Output Per Day Per Wallet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</si>
</sst>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409575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K45"/>
  <sheetViews>
    <sheetView tabSelected="1" topLeftCell="A10" workbookViewId="0">
      <selection activeCell="I24" sqref="I24"/>
    </sheetView>
  </sheetViews>
  <sheetFormatPr defaultRowHeight="14.25" x14ac:dyDescent="0.45"/>
  <cols>
    <col min="2" max="2" width="19.3984375" customWidth="1"/>
    <col min="3" max="3" width="45.86328125" customWidth="1"/>
    <col min="4" max="4" width="12.73046875" bestFit="1" customWidth="1"/>
    <col min="5" max="5" width="16.265625" customWidth="1"/>
    <col min="6" max="6" width="20.1328125" customWidth="1"/>
    <col min="7" max="7" width="16.3984375" customWidth="1"/>
    <col min="8" max="8" width="20.3984375" customWidth="1"/>
    <col min="9" max="9" width="20.73046875" customWidth="1"/>
    <col min="10" max="10" width="17.86328125" bestFit="1" customWidth="1"/>
    <col min="12" max="12" width="25.86328125" bestFit="1" customWidth="1"/>
    <col min="13" max="13" width="10.73046875" bestFit="1" customWidth="1"/>
    <col min="16" max="16" width="25.86328125" bestFit="1" customWidth="1"/>
    <col min="17" max="17" width="10.73046875" bestFit="1" customWidth="1"/>
  </cols>
  <sheetData>
    <row r="10" spans="2:10" ht="14.45" customHeight="1" x14ac:dyDescent="0.45">
      <c r="C10" s="1"/>
      <c r="D10" s="1"/>
      <c r="E10" s="1"/>
      <c r="H10" s="5"/>
      <c r="I10" s="5"/>
      <c r="J10" s="5"/>
    </row>
    <row r="11" spans="2:10" ht="14.45" customHeight="1" x14ac:dyDescent="0.45">
      <c r="B11" s="26" t="str">
        <f>"Gem Mine Planner for "&amp;C16&amp;" status as "&amp;INDEX('Dropdown Data'!C3:C7, MATCH(C22, 'Dropdown Data'!B3:B7, 0))</f>
        <v>Gem Mine Planner for JENN status as Diamond</v>
      </c>
      <c r="C11" s="26"/>
      <c r="D11" s="26"/>
      <c r="E11" s="26"/>
      <c r="F11" s="26"/>
      <c r="G11" s="26"/>
      <c r="H11" s="26"/>
      <c r="I11" s="20"/>
      <c r="J11" s="5"/>
    </row>
    <row r="12" spans="2:10" ht="14.25" customHeight="1" x14ac:dyDescent="0.45">
      <c r="B12" s="26"/>
      <c r="C12" s="26"/>
      <c r="D12" s="26"/>
      <c r="E12" s="26"/>
      <c r="F12" s="26"/>
      <c r="G12" s="26"/>
      <c r="H12" s="26"/>
      <c r="I12" s="20"/>
      <c r="J12" s="5"/>
    </row>
    <row r="13" spans="2:10" ht="14.25" customHeight="1" x14ac:dyDescent="0.45">
      <c r="B13" s="26"/>
      <c r="C13" s="26"/>
      <c r="D13" s="26"/>
      <c r="E13" s="26"/>
      <c r="F13" s="26"/>
      <c r="G13" s="26"/>
      <c r="H13" s="26"/>
      <c r="I13" s="20"/>
      <c r="J13" s="5"/>
    </row>
    <row r="14" spans="2:10" ht="14.25" customHeight="1" x14ac:dyDescent="0.45">
      <c r="C14" s="1"/>
      <c r="D14" s="1"/>
      <c r="E14" s="1"/>
      <c r="H14" s="5"/>
      <c r="I14" s="5"/>
      <c r="J14" s="5"/>
    </row>
    <row r="15" spans="2:10" ht="13.9" customHeight="1" x14ac:dyDescent="0.45">
      <c r="B15" t="s">
        <v>1</v>
      </c>
      <c r="C15" s="11" t="s">
        <v>9</v>
      </c>
      <c r="D15" s="21"/>
      <c r="E15" s="27" t="s">
        <v>51</v>
      </c>
      <c r="F15" s="27"/>
      <c r="G15" s="30">
        <f>INDEX('Dropdown Data'!G3:G7, MATCH(C22, 'Dropdown Data'!B3:B7, 0))</f>
        <v>0.5</v>
      </c>
      <c r="H15" s="30"/>
    </row>
    <row r="16" spans="2:10" x14ac:dyDescent="0.45">
      <c r="B16" t="s">
        <v>2</v>
      </c>
      <c r="C16" s="11" t="s">
        <v>0</v>
      </c>
      <c r="D16" s="21"/>
      <c r="E16" s="27" t="s">
        <v>6</v>
      </c>
      <c r="F16" s="27"/>
      <c r="G16" s="28">
        <v>1200000</v>
      </c>
      <c r="H16" s="28"/>
    </row>
    <row r="17" spans="2:11" x14ac:dyDescent="0.45">
      <c r="B17" t="s">
        <v>3</v>
      </c>
      <c r="C17" s="11">
        <v>18</v>
      </c>
      <c r="D17" s="21"/>
      <c r="E17" s="27" t="s">
        <v>7</v>
      </c>
      <c r="F17" s="27"/>
      <c r="G17" s="28">
        <v>14750026</v>
      </c>
      <c r="H17" s="28"/>
    </row>
    <row r="18" spans="2:11" x14ac:dyDescent="0.45">
      <c r="B18" t="s">
        <v>4</v>
      </c>
      <c r="C18" s="12">
        <v>8999999</v>
      </c>
      <c r="D18" s="17"/>
      <c r="E18" s="27" t="s">
        <v>8</v>
      </c>
      <c r="F18" s="27"/>
      <c r="G18" s="31">
        <v>2.9999999999999997E-4</v>
      </c>
      <c r="H18" s="31"/>
      <c r="J18" t="s">
        <v>57</v>
      </c>
      <c r="K18">
        <f>G18</f>
        <v>2.9999999999999997E-4</v>
      </c>
    </row>
    <row r="19" spans="2:11" x14ac:dyDescent="0.45">
      <c r="B19" t="s">
        <v>5</v>
      </c>
      <c r="C19" s="12">
        <v>599999</v>
      </c>
      <c r="D19" s="17"/>
      <c r="E19" s="27" t="s">
        <v>14</v>
      </c>
      <c r="F19" s="27"/>
      <c r="G19" s="29">
        <f>ROUNDUP((C18/G16)*INDEX('Dropdown Data'!F3:F7, MATCH(C22, 'Dropdown Data'!B3:B7, 0)), 0)</f>
        <v>375</v>
      </c>
      <c r="H19" s="29"/>
      <c r="J19" t="s">
        <v>58</v>
      </c>
      <c r="K19">
        <f>K18/2</f>
        <v>1.4999999999999999E-4</v>
      </c>
    </row>
    <row r="20" spans="2:11" x14ac:dyDescent="0.45">
      <c r="B20" t="s">
        <v>15</v>
      </c>
      <c r="C20" s="14" t="s">
        <v>49</v>
      </c>
      <c r="D20" s="22"/>
      <c r="E20" s="27" t="str">
        <f>"Minimum Entry Free ("&amp;INDEX('Dropdown Data'!E3:E7, MATCH(C22, 'Dropdown Data'!B3:B7, 0))&amp;")"</f>
        <v>Minimum Entry Free (JENN)</v>
      </c>
      <c r="F20" s="27"/>
      <c r="G20" s="33">
        <f>INDEX('Dropdown Data'!D3:D7, MATCH(C22, 'Dropdown Data'!B3:B7, 0))</f>
        <v>50</v>
      </c>
      <c r="H20" s="33"/>
      <c r="J20" t="s">
        <v>59</v>
      </c>
      <c r="K20">
        <f>K19*60</f>
        <v>8.9999999999999993E-3</v>
      </c>
    </row>
    <row r="21" spans="2:11" x14ac:dyDescent="0.45">
      <c r="B21" t="s">
        <v>16</v>
      </c>
      <c r="C21" s="14" t="s">
        <v>50</v>
      </c>
      <c r="D21" s="22"/>
      <c r="E21" s="27" t="str">
        <f>"Set Mine Fee ("&amp;INDEX('Dropdown Data'!E3:E7, MATCH(C22, 'Dropdown Data'!B3:B7, 0))&amp;")"</f>
        <v>Set Mine Fee (JENN)</v>
      </c>
      <c r="F21" s="27"/>
      <c r="G21" s="28">
        <v>300</v>
      </c>
      <c r="H21" s="28"/>
      <c r="J21" t="s">
        <v>60</v>
      </c>
      <c r="K21">
        <f>K20*60</f>
        <v>0.53999999999999992</v>
      </c>
    </row>
    <row r="22" spans="2:11" x14ac:dyDescent="0.45">
      <c r="B22" t="s">
        <v>20</v>
      </c>
      <c r="C22" s="11" t="s">
        <v>21</v>
      </c>
      <c r="D22" s="21"/>
      <c r="E22" s="27" t="s">
        <v>17</v>
      </c>
      <c r="F22" s="27"/>
      <c r="G22" s="34">
        <f>G21/G18</f>
        <v>1000000.0000000001</v>
      </c>
      <c r="H22" s="34"/>
      <c r="J22" t="s">
        <v>61</v>
      </c>
      <c r="K22">
        <f>K21*24</f>
        <v>12.959999999999997</v>
      </c>
    </row>
    <row r="23" spans="2:11" x14ac:dyDescent="0.45">
      <c r="B23" t="s">
        <v>53</v>
      </c>
      <c r="C23" s="23" t="s">
        <v>54</v>
      </c>
      <c r="D23" s="21"/>
      <c r="E23" s="1"/>
      <c r="F23" s="1"/>
      <c r="G23" s="35"/>
      <c r="H23" s="35"/>
      <c r="J23" t="s">
        <v>62</v>
      </c>
      <c r="K23">
        <f>K22*7</f>
        <v>90.719999999999985</v>
      </c>
    </row>
    <row r="24" spans="2:11" x14ac:dyDescent="0.45">
      <c r="C24" s="4"/>
      <c r="E24" s="8"/>
      <c r="F24" s="8"/>
      <c r="G24" s="9"/>
      <c r="H24" s="9"/>
    </row>
    <row r="25" spans="2:11" ht="15" customHeight="1" x14ac:dyDescent="0.45">
      <c r="B25" s="32" t="s">
        <v>55</v>
      </c>
      <c r="C25" s="32"/>
      <c r="D25" s="32"/>
      <c r="E25" s="32"/>
      <c r="F25" s="32"/>
      <c r="G25" s="32"/>
      <c r="H25" s="32"/>
      <c r="I25" s="19"/>
    </row>
    <row r="26" spans="2:11" x14ac:dyDescent="0.45">
      <c r="B26" s="32"/>
      <c r="C26" s="32"/>
      <c r="D26" s="32"/>
      <c r="E26" s="32"/>
      <c r="F26" s="32"/>
      <c r="G26" s="32"/>
      <c r="H26" s="32"/>
      <c r="I26" s="19"/>
    </row>
    <row r="27" spans="2:11" ht="60.75" customHeight="1" x14ac:dyDescent="0.45">
      <c r="B27" s="2" t="s">
        <v>10</v>
      </c>
      <c r="C27" s="24" t="s">
        <v>56</v>
      </c>
      <c r="D27" s="18" t="s">
        <v>11</v>
      </c>
      <c r="E27" s="7" t="s">
        <v>12</v>
      </c>
      <c r="F27" s="7" t="s">
        <v>18</v>
      </c>
      <c r="G27" s="2" t="s">
        <v>13</v>
      </c>
      <c r="H27" s="7" t="s">
        <v>19</v>
      </c>
      <c r="K27" s="25" t="s">
        <v>63</v>
      </c>
    </row>
    <row r="28" spans="2:11" x14ac:dyDescent="0.45">
      <c r="B28" s="10">
        <v>1</v>
      </c>
      <c r="C28" s="21">
        <f>G28*$G$18</f>
        <v>1200000</v>
      </c>
      <c r="D28" s="6">
        <f>IFERROR($G$17+($G$16/(B28*$G$18)), 0)</f>
        <v>4014750026.0000005</v>
      </c>
      <c r="E28" s="4">
        <f t="shared" ref="E28:E45" si="0">B28*$G$18</f>
        <v>2.9999999999999997E-4</v>
      </c>
      <c r="F28" s="6">
        <f t="shared" ref="F28:F45" si="1">B28*($G$21*(1-$G$15))</f>
        <v>150</v>
      </c>
      <c r="G28" s="6">
        <f t="shared" ref="G28:G45" si="2">D28-$G$17</f>
        <v>4000000000.0000005</v>
      </c>
      <c r="H28" s="4">
        <f>F28/$G$16</f>
        <v>1.25E-4</v>
      </c>
      <c r="J28">
        <f>$G$21/K28</f>
        <v>23.148148148148152</v>
      </c>
      <c r="K28">
        <f>$K$22*B28</f>
        <v>12.959999999999997</v>
      </c>
    </row>
    <row r="29" spans="2:11" x14ac:dyDescent="0.45">
      <c r="B29" s="4">
        <v>100</v>
      </c>
      <c r="C29" s="21">
        <f>G29*$G$18</f>
        <v>11999.999999999998</v>
      </c>
      <c r="D29" s="6">
        <f t="shared" ref="D29:D45" si="3">$G$17+($G$16/(B29*$G$18))</f>
        <v>54750026</v>
      </c>
      <c r="E29" s="4">
        <f t="shared" si="0"/>
        <v>0.03</v>
      </c>
      <c r="F29" s="6">
        <f t="shared" si="1"/>
        <v>15000</v>
      </c>
      <c r="G29" s="15">
        <f t="shared" si="2"/>
        <v>40000000</v>
      </c>
      <c r="H29" s="4">
        <f>F29/$G$16</f>
        <v>1.2500000000000001E-2</v>
      </c>
      <c r="K29">
        <f t="shared" ref="K29:K45" si="4">$K$22*B29</f>
        <v>1295.9999999999998</v>
      </c>
    </row>
    <row r="30" spans="2:11" x14ac:dyDescent="0.45">
      <c r="B30" s="4">
        <v>300</v>
      </c>
      <c r="C30" s="21">
        <f t="shared" ref="C30:C45" si="5">G30*$G$18</f>
        <v>4000.0000000000005</v>
      </c>
      <c r="D30" s="6">
        <f t="shared" si="3"/>
        <v>28083359.333333336</v>
      </c>
      <c r="E30" s="4">
        <f t="shared" si="0"/>
        <v>0.09</v>
      </c>
      <c r="F30" s="6">
        <f t="shared" si="1"/>
        <v>45000</v>
      </c>
      <c r="G30" s="15">
        <f t="shared" si="2"/>
        <v>13333333.333333336</v>
      </c>
      <c r="H30" s="4">
        <f t="shared" ref="H30:H45" si="6">F30/$G$16</f>
        <v>3.7499999999999999E-2</v>
      </c>
      <c r="K30">
        <f t="shared" si="4"/>
        <v>3887.9999999999991</v>
      </c>
    </row>
    <row r="31" spans="2:11" x14ac:dyDescent="0.45">
      <c r="B31" s="4">
        <v>500</v>
      </c>
      <c r="C31" s="21">
        <f t="shared" si="5"/>
        <v>2400</v>
      </c>
      <c r="D31" s="6">
        <f t="shared" si="3"/>
        <v>22750026</v>
      </c>
      <c r="E31" s="4">
        <f t="shared" si="0"/>
        <v>0.15</v>
      </c>
      <c r="F31" s="6">
        <f t="shared" si="1"/>
        <v>75000</v>
      </c>
      <c r="G31" s="15">
        <f t="shared" si="2"/>
        <v>8000000</v>
      </c>
      <c r="H31" s="4">
        <f t="shared" si="6"/>
        <v>6.25E-2</v>
      </c>
      <c r="K31">
        <f t="shared" si="4"/>
        <v>6479.9999999999991</v>
      </c>
    </row>
    <row r="32" spans="2:11" x14ac:dyDescent="0.45">
      <c r="B32" s="4">
        <v>700</v>
      </c>
      <c r="C32" s="21">
        <f t="shared" si="5"/>
        <v>1714.2857142857147</v>
      </c>
      <c r="D32" s="6">
        <f t="shared" si="3"/>
        <v>20464311.714285716</v>
      </c>
      <c r="E32" s="4">
        <f t="shared" si="0"/>
        <v>0.21</v>
      </c>
      <c r="F32" s="6">
        <f t="shared" si="1"/>
        <v>105000</v>
      </c>
      <c r="G32" s="15">
        <f t="shared" si="2"/>
        <v>5714285.7142857164</v>
      </c>
      <c r="H32" s="4">
        <f t="shared" si="6"/>
        <v>8.7499999999999994E-2</v>
      </c>
      <c r="K32">
        <f t="shared" si="4"/>
        <v>9071.9999999999982</v>
      </c>
    </row>
    <row r="33" spans="2:11" x14ac:dyDescent="0.45">
      <c r="B33" s="4">
        <v>1000</v>
      </c>
      <c r="C33" s="21">
        <f t="shared" si="5"/>
        <v>1200</v>
      </c>
      <c r="D33" s="6">
        <f t="shared" si="3"/>
        <v>18750026</v>
      </c>
      <c r="E33" s="4">
        <f t="shared" si="0"/>
        <v>0.3</v>
      </c>
      <c r="F33" s="6">
        <f t="shared" si="1"/>
        <v>150000</v>
      </c>
      <c r="G33" s="15">
        <f t="shared" si="2"/>
        <v>4000000</v>
      </c>
      <c r="H33" s="4">
        <f t="shared" si="6"/>
        <v>0.125</v>
      </c>
      <c r="K33">
        <f t="shared" si="4"/>
        <v>12959.999999999998</v>
      </c>
    </row>
    <row r="34" spans="2:11" x14ac:dyDescent="0.45">
      <c r="B34" s="4">
        <v>1500</v>
      </c>
      <c r="C34" s="21">
        <f t="shared" si="5"/>
        <v>800.00000000000034</v>
      </c>
      <c r="D34" s="6">
        <f t="shared" si="3"/>
        <v>17416692.666666668</v>
      </c>
      <c r="E34" s="4">
        <f t="shared" si="0"/>
        <v>0.44999999999999996</v>
      </c>
      <c r="F34" s="6">
        <f t="shared" si="1"/>
        <v>225000</v>
      </c>
      <c r="G34" s="15">
        <f t="shared" si="2"/>
        <v>2666666.6666666679</v>
      </c>
      <c r="H34" s="4">
        <f t="shared" si="6"/>
        <v>0.1875</v>
      </c>
      <c r="K34">
        <f t="shared" si="4"/>
        <v>19439.999999999996</v>
      </c>
    </row>
    <row r="35" spans="2:11" x14ac:dyDescent="0.45">
      <c r="B35" s="4">
        <v>2000</v>
      </c>
      <c r="C35" s="21">
        <f t="shared" si="5"/>
        <v>600</v>
      </c>
      <c r="D35" s="6">
        <f t="shared" si="3"/>
        <v>16750026</v>
      </c>
      <c r="E35" s="4">
        <f t="shared" si="0"/>
        <v>0.6</v>
      </c>
      <c r="F35" s="6">
        <f t="shared" si="1"/>
        <v>300000</v>
      </c>
      <c r="G35" s="15">
        <f t="shared" si="2"/>
        <v>2000000</v>
      </c>
      <c r="H35" s="4">
        <f t="shared" si="6"/>
        <v>0.25</v>
      </c>
      <c r="K35">
        <f t="shared" si="4"/>
        <v>25919.999999999996</v>
      </c>
    </row>
    <row r="36" spans="2:11" x14ac:dyDescent="0.45">
      <c r="B36" s="4">
        <v>2500</v>
      </c>
      <c r="C36" s="21">
        <f t="shared" si="5"/>
        <v>479.99999999999994</v>
      </c>
      <c r="D36" s="6">
        <f t="shared" si="3"/>
        <v>16350026</v>
      </c>
      <c r="E36" s="4">
        <f t="shared" si="0"/>
        <v>0.74999999999999989</v>
      </c>
      <c r="F36" s="6">
        <f t="shared" si="1"/>
        <v>375000</v>
      </c>
      <c r="G36" s="15">
        <f t="shared" si="2"/>
        <v>1600000</v>
      </c>
      <c r="H36" s="4">
        <f t="shared" si="6"/>
        <v>0.3125</v>
      </c>
      <c r="K36">
        <f t="shared" si="4"/>
        <v>32399.999999999993</v>
      </c>
    </row>
    <row r="37" spans="2:11" x14ac:dyDescent="0.45">
      <c r="B37" s="4">
        <v>3000</v>
      </c>
      <c r="C37" s="21">
        <f t="shared" si="5"/>
        <v>400.00000000000017</v>
      </c>
      <c r="D37" s="6">
        <f t="shared" si="3"/>
        <v>16083359.333333334</v>
      </c>
      <c r="E37" s="4">
        <f t="shared" si="0"/>
        <v>0.89999999999999991</v>
      </c>
      <c r="F37" s="6">
        <f t="shared" si="1"/>
        <v>450000</v>
      </c>
      <c r="G37" s="15">
        <f t="shared" si="2"/>
        <v>1333333.333333334</v>
      </c>
      <c r="H37" s="4">
        <f t="shared" si="6"/>
        <v>0.375</v>
      </c>
      <c r="K37">
        <f t="shared" si="4"/>
        <v>38879.999999999993</v>
      </c>
    </row>
    <row r="38" spans="2:11" x14ac:dyDescent="0.45">
      <c r="B38" s="4">
        <v>3500</v>
      </c>
      <c r="C38" s="21">
        <f t="shared" si="5"/>
        <v>342.85714285714306</v>
      </c>
      <c r="D38" s="6">
        <f t="shared" si="3"/>
        <v>15892883.142857144</v>
      </c>
      <c r="E38" s="4">
        <f t="shared" si="0"/>
        <v>1.0499999999999998</v>
      </c>
      <c r="F38" s="6">
        <f t="shared" si="1"/>
        <v>525000</v>
      </c>
      <c r="G38" s="15">
        <f t="shared" si="2"/>
        <v>1142857.1428571437</v>
      </c>
      <c r="H38" s="4">
        <f t="shared" si="6"/>
        <v>0.4375</v>
      </c>
      <c r="K38">
        <f t="shared" si="4"/>
        <v>45359.999999999993</v>
      </c>
    </row>
    <row r="39" spans="2:11" x14ac:dyDescent="0.45">
      <c r="B39" s="4">
        <v>4000</v>
      </c>
      <c r="C39" s="21">
        <f t="shared" si="5"/>
        <v>300</v>
      </c>
      <c r="D39" s="6">
        <f t="shared" si="3"/>
        <v>15750026</v>
      </c>
      <c r="E39" s="4">
        <f t="shared" si="0"/>
        <v>1.2</v>
      </c>
      <c r="F39" s="6">
        <f t="shared" si="1"/>
        <v>600000</v>
      </c>
      <c r="G39" s="15">
        <f t="shared" si="2"/>
        <v>1000000</v>
      </c>
      <c r="H39" s="4">
        <f t="shared" si="6"/>
        <v>0.5</v>
      </c>
      <c r="K39">
        <f t="shared" si="4"/>
        <v>51839.999999999993</v>
      </c>
    </row>
    <row r="40" spans="2:11" x14ac:dyDescent="0.45">
      <c r="B40" s="4">
        <v>4500</v>
      </c>
      <c r="C40" s="21">
        <f t="shared" si="5"/>
        <v>266.6666666666664</v>
      </c>
      <c r="D40" s="6">
        <f t="shared" si="3"/>
        <v>15638914.888888888</v>
      </c>
      <c r="E40" s="4">
        <f t="shared" si="0"/>
        <v>1.3499999999999999</v>
      </c>
      <c r="F40" s="6">
        <f t="shared" si="1"/>
        <v>675000</v>
      </c>
      <c r="G40" s="15">
        <f t="shared" si="2"/>
        <v>888888.88888888806</v>
      </c>
      <c r="H40" s="4">
        <f t="shared" si="6"/>
        <v>0.5625</v>
      </c>
      <c r="K40">
        <f t="shared" si="4"/>
        <v>58319.999999999985</v>
      </c>
    </row>
    <row r="41" spans="2:11" x14ac:dyDescent="0.45">
      <c r="B41" s="4">
        <v>5000</v>
      </c>
      <c r="C41" s="21">
        <f t="shared" si="5"/>
        <v>239.99999999999997</v>
      </c>
      <c r="D41" s="6">
        <f t="shared" si="3"/>
        <v>15550026</v>
      </c>
      <c r="E41" s="4">
        <f t="shared" si="0"/>
        <v>1.4999999999999998</v>
      </c>
      <c r="F41" s="6">
        <f t="shared" si="1"/>
        <v>750000</v>
      </c>
      <c r="G41" s="15">
        <f t="shared" si="2"/>
        <v>800000</v>
      </c>
      <c r="H41" s="4">
        <f t="shared" si="6"/>
        <v>0.625</v>
      </c>
      <c r="K41">
        <f t="shared" si="4"/>
        <v>64799.999999999985</v>
      </c>
    </row>
    <row r="42" spans="2:11" x14ac:dyDescent="0.45">
      <c r="B42" s="4">
        <v>10000</v>
      </c>
      <c r="C42" s="21">
        <f t="shared" si="5"/>
        <v>119.99999999999999</v>
      </c>
      <c r="D42" s="6">
        <f t="shared" si="3"/>
        <v>15150026</v>
      </c>
      <c r="E42" s="4">
        <f t="shared" si="0"/>
        <v>2.9999999999999996</v>
      </c>
      <c r="F42" s="6">
        <f t="shared" si="1"/>
        <v>1500000</v>
      </c>
      <c r="G42" s="15">
        <f t="shared" si="2"/>
        <v>400000</v>
      </c>
      <c r="H42" s="4">
        <f t="shared" si="6"/>
        <v>1.25</v>
      </c>
      <c r="K42">
        <f t="shared" si="4"/>
        <v>129599.99999999997</v>
      </c>
    </row>
    <row r="43" spans="2:11" x14ac:dyDescent="0.45">
      <c r="B43" s="4">
        <v>15000</v>
      </c>
      <c r="C43" s="21">
        <f t="shared" si="5"/>
        <v>79.999999999999801</v>
      </c>
      <c r="D43" s="6">
        <f t="shared" si="3"/>
        <v>15016692.666666666</v>
      </c>
      <c r="E43" s="4">
        <f t="shared" si="0"/>
        <v>4.5</v>
      </c>
      <c r="F43" s="6">
        <f t="shared" si="1"/>
        <v>2250000</v>
      </c>
      <c r="G43" s="15">
        <f t="shared" si="2"/>
        <v>266666.66666666605</v>
      </c>
      <c r="H43" s="4">
        <f t="shared" si="6"/>
        <v>1.875</v>
      </c>
      <c r="K43">
        <f t="shared" si="4"/>
        <v>194399.99999999997</v>
      </c>
    </row>
    <row r="44" spans="2:11" x14ac:dyDescent="0.45">
      <c r="B44" s="4">
        <v>20000</v>
      </c>
      <c r="C44" s="21">
        <f t="shared" si="5"/>
        <v>59.999999999999993</v>
      </c>
      <c r="D44" s="6">
        <f t="shared" si="3"/>
        <v>14950026</v>
      </c>
      <c r="E44" s="4">
        <f t="shared" si="0"/>
        <v>5.9999999999999991</v>
      </c>
      <c r="F44" s="6">
        <f t="shared" si="1"/>
        <v>3000000</v>
      </c>
      <c r="G44" s="15">
        <f t="shared" si="2"/>
        <v>200000</v>
      </c>
      <c r="H44" s="4">
        <f t="shared" si="6"/>
        <v>2.5</v>
      </c>
      <c r="K44">
        <f t="shared" si="4"/>
        <v>259199.99999999994</v>
      </c>
    </row>
    <row r="45" spans="2:11" x14ac:dyDescent="0.45">
      <c r="B45" s="4">
        <v>25000</v>
      </c>
      <c r="C45" s="21">
        <f t="shared" si="5"/>
        <v>47.999999999999993</v>
      </c>
      <c r="D45" s="6">
        <f t="shared" si="3"/>
        <v>14910026</v>
      </c>
      <c r="E45" s="4">
        <f t="shared" si="0"/>
        <v>7.4999999999999991</v>
      </c>
      <c r="F45" s="6">
        <f t="shared" si="1"/>
        <v>3750000</v>
      </c>
      <c r="G45" s="15">
        <f t="shared" si="2"/>
        <v>160000</v>
      </c>
      <c r="H45" s="4">
        <f t="shared" si="6"/>
        <v>3.125</v>
      </c>
      <c r="K45">
        <f t="shared" si="4"/>
        <v>323999.99999999994</v>
      </c>
    </row>
  </sheetData>
  <mergeCells count="19">
    <mergeCell ref="B25:H26"/>
    <mergeCell ref="E20:F20"/>
    <mergeCell ref="G20:H20"/>
    <mergeCell ref="E22:F22"/>
    <mergeCell ref="G22:H22"/>
    <mergeCell ref="G23:H23"/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0" sqref="C10"/>
    </sheetView>
  </sheetViews>
  <sheetFormatPr defaultRowHeight="14.25" x14ac:dyDescent="0.45"/>
  <cols>
    <col min="2" max="2" width="20.73046875" customWidth="1"/>
    <col min="3" max="3" width="14.73046875" customWidth="1"/>
  </cols>
  <sheetData>
    <row r="4" spans="2:9" x14ac:dyDescent="0.45">
      <c r="B4" s="13" t="s">
        <v>36</v>
      </c>
      <c r="C4" s="3">
        <v>14621097</v>
      </c>
      <c r="E4" s="36" t="s">
        <v>47</v>
      </c>
      <c r="F4" s="36"/>
      <c r="G4" s="36"/>
      <c r="H4" s="36"/>
      <c r="I4" s="36"/>
    </row>
    <row r="5" spans="2:9" x14ac:dyDescent="0.45">
      <c r="B5" s="13" t="s">
        <v>37</v>
      </c>
      <c r="C5" s="3">
        <v>14750000</v>
      </c>
      <c r="E5" s="36"/>
      <c r="F5" s="36"/>
      <c r="G5" s="36"/>
      <c r="H5" s="36"/>
      <c r="I5" s="36"/>
    </row>
    <row r="6" spans="2:9" x14ac:dyDescent="0.45">
      <c r="B6" s="13" t="s">
        <v>38</v>
      </c>
      <c r="C6">
        <f>C5-C4</f>
        <v>128903</v>
      </c>
      <c r="E6" s="36"/>
      <c r="F6" s="36"/>
      <c r="G6" s="36"/>
      <c r="H6" s="36"/>
      <c r="I6" s="36"/>
    </row>
    <row r="7" spans="2:9" x14ac:dyDescent="0.45">
      <c r="B7" s="13" t="s">
        <v>39</v>
      </c>
      <c r="C7">
        <v>2</v>
      </c>
      <c r="E7" s="36"/>
      <c r="F7" s="36"/>
      <c r="G7" s="36"/>
      <c r="H7" s="36"/>
      <c r="I7" s="36"/>
    </row>
    <row r="8" spans="2:9" x14ac:dyDescent="0.45">
      <c r="B8" s="13" t="s">
        <v>40</v>
      </c>
      <c r="C8">
        <f>C6*2</f>
        <v>257806</v>
      </c>
      <c r="E8" s="36"/>
      <c r="F8" s="36"/>
      <c r="G8" s="36"/>
      <c r="H8" s="36"/>
      <c r="I8" s="36"/>
    </row>
    <row r="9" spans="2:9" x14ac:dyDescent="0.45">
      <c r="B9" s="13" t="s">
        <v>41</v>
      </c>
      <c r="C9">
        <f>C8/60</f>
        <v>4296.7666666666664</v>
      </c>
      <c r="E9" s="36"/>
      <c r="F9" s="36"/>
      <c r="G9" s="36"/>
      <c r="H9" s="36"/>
      <c r="I9" s="36"/>
    </row>
    <row r="10" spans="2:9" x14ac:dyDescent="0.45">
      <c r="B10" s="13" t="s">
        <v>42</v>
      </c>
      <c r="C10">
        <f>C9/60</f>
        <v>71.612777777777779</v>
      </c>
      <c r="E10" s="36"/>
      <c r="F10" s="36"/>
      <c r="G10" s="36"/>
      <c r="H10" s="36"/>
      <c r="I10" s="36"/>
    </row>
    <row r="11" spans="2:9" x14ac:dyDescent="0.45">
      <c r="B11" s="13" t="s">
        <v>43</v>
      </c>
      <c r="C11">
        <f>C10/24</f>
        <v>2.983865740740741</v>
      </c>
      <c r="E11" s="36"/>
      <c r="F11" s="36"/>
      <c r="G11" s="36"/>
      <c r="H11" s="36"/>
      <c r="I11" s="36"/>
    </row>
    <row r="12" spans="2:9" x14ac:dyDescent="0.45">
      <c r="B12" s="13" t="s">
        <v>44</v>
      </c>
      <c r="C12">
        <f>C11/7</f>
        <v>0.42626653439153445</v>
      </c>
      <c r="E12" s="36"/>
      <c r="F12" s="36"/>
      <c r="G12" s="36"/>
      <c r="H12" s="36"/>
      <c r="I12" s="36"/>
    </row>
    <row r="13" spans="2:9" x14ac:dyDescent="0.45">
      <c r="B13" s="13" t="s">
        <v>45</v>
      </c>
      <c r="C13">
        <f>C12/4</f>
        <v>0.10656663359788361</v>
      </c>
      <c r="E13" s="36"/>
      <c r="F13" s="36"/>
      <c r="G13" s="36"/>
      <c r="H13" s="36"/>
      <c r="I13" s="36"/>
    </row>
    <row r="14" spans="2:9" x14ac:dyDescent="0.45">
      <c r="B14" s="13" t="s">
        <v>46</v>
      </c>
      <c r="C14">
        <f>C13/12</f>
        <v>8.8805527998236343E-3</v>
      </c>
      <c r="E14" s="36"/>
      <c r="F14" s="36"/>
      <c r="G14" s="36"/>
      <c r="H14" s="36"/>
      <c r="I14" s="36"/>
    </row>
    <row r="17" spans="2:3" x14ac:dyDescent="0.45">
      <c r="B17" s="13" t="s">
        <v>52</v>
      </c>
      <c r="C17" s="16">
        <f ca="1">NOW()+C11</f>
        <v>44377.81468935185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E4" sqref="E4"/>
    </sheetView>
  </sheetViews>
  <sheetFormatPr defaultRowHeight="14.25" x14ac:dyDescent="0.45"/>
  <cols>
    <col min="2" max="2" width="10.3984375" bestFit="1" customWidth="1"/>
    <col min="3" max="3" width="10.3984375" customWidth="1"/>
    <col min="4" max="4" width="17" bestFit="1" customWidth="1"/>
    <col min="5" max="5" width="17" customWidth="1"/>
    <col min="6" max="6" width="19" bestFit="1" customWidth="1"/>
    <col min="7" max="7" width="13.86328125" bestFit="1" customWidth="1"/>
  </cols>
  <sheetData>
    <row r="2" spans="2:7" x14ac:dyDescent="0.45">
      <c r="B2" s="4" t="s">
        <v>26</v>
      </c>
      <c r="C2" s="4" t="s">
        <v>31</v>
      </c>
      <c r="D2" s="4" t="s">
        <v>27</v>
      </c>
      <c r="E2" s="4" t="s">
        <v>29</v>
      </c>
      <c r="F2" s="4" t="s">
        <v>28</v>
      </c>
      <c r="G2" s="4" t="s">
        <v>30</v>
      </c>
    </row>
    <row r="3" spans="2:7" x14ac:dyDescent="0.45">
      <c r="B3" s="8" t="s">
        <v>21</v>
      </c>
      <c r="C3" s="8" t="s">
        <v>32</v>
      </c>
      <c r="D3" s="4">
        <v>50</v>
      </c>
      <c r="E3" s="8" t="s">
        <v>0</v>
      </c>
      <c r="F3" s="4">
        <v>50</v>
      </c>
      <c r="G3" s="4">
        <v>0.5</v>
      </c>
    </row>
    <row r="4" spans="2:7" x14ac:dyDescent="0.45">
      <c r="B4" s="8" t="s">
        <v>22</v>
      </c>
      <c r="C4" s="8" t="s">
        <v>33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45">
      <c r="B5" s="8" t="s">
        <v>23</v>
      </c>
      <c r="C5" s="8" t="s">
        <v>34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45">
      <c r="B6" s="8" t="s">
        <v>24</v>
      </c>
      <c r="C6" s="8" t="s">
        <v>48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45">
      <c r="B7" s="8" t="s">
        <v>25</v>
      </c>
      <c r="C7" s="8" t="s">
        <v>35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2021-06-28T00:56:25Z</dcterms:modified>
</cp:coreProperties>
</file>