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de_\Documents\GitHub\Token-Jenny-Public\Workbooks\"/>
    </mc:Choice>
  </mc:AlternateContent>
  <xr:revisionPtr revIDLastSave="0" documentId="13_ncr:1_{3F0C1ECB-E353-48FF-8F15-73CB6AABEEAF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Gem Mine Planner" sheetId="1" r:id="rId1"/>
    <sheet name="Block Time Assistance Calculato" sheetId="4" r:id="rId2"/>
    <sheet name="Dropdown Data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C6" i="4"/>
  <c r="G15" i="1"/>
  <c r="G19" i="1"/>
  <c r="E30" i="1"/>
  <c r="E31" i="1"/>
  <c r="D29" i="1"/>
  <c r="G29" i="1" s="1"/>
  <c r="C29" i="1" s="1"/>
  <c r="D28" i="1"/>
  <c r="G28" i="1" s="1"/>
  <c r="C28" i="1" s="1"/>
  <c r="E21" i="1"/>
  <c r="E20" i="1"/>
  <c r="G20" i="1"/>
  <c r="B11" i="1"/>
  <c r="E28" i="1"/>
  <c r="D31" i="1"/>
  <c r="G31" i="1" s="1"/>
  <c r="C31" i="1" s="1"/>
  <c r="C8" i="4" l="1"/>
  <c r="C9" i="4" s="1"/>
  <c r="C10" i="4" s="1"/>
  <c r="C11" i="4" s="1"/>
  <c r="C17" i="4" s="1"/>
  <c r="D30" i="1"/>
  <c r="G30" i="1" s="1"/>
  <c r="C30" i="1" s="1"/>
  <c r="E29" i="1"/>
  <c r="F31" i="1"/>
  <c r="H31" i="1" s="1"/>
  <c r="F30" i="1"/>
  <c r="H30" i="1" s="1"/>
  <c r="F29" i="1"/>
  <c r="H29" i="1" s="1"/>
  <c r="F28" i="1"/>
  <c r="H28" i="1" s="1"/>
  <c r="C12" i="4" l="1"/>
  <c r="C13" i="4" s="1"/>
  <c r="C14" i="4" s="1"/>
  <c r="D32" i="1"/>
  <c r="G32" i="1" s="1"/>
  <c r="C32" i="1" s="1"/>
  <c r="E32" i="1"/>
  <c r="F32" i="1"/>
  <c r="H32" i="1" s="1"/>
  <c r="E33" i="1" l="1"/>
  <c r="D33" i="1"/>
  <c r="G33" i="1" s="1"/>
  <c r="C33" i="1" s="1"/>
  <c r="F33" i="1"/>
  <c r="H33" i="1" s="1"/>
  <c r="D34" i="1" l="1"/>
  <c r="G34" i="1" s="1"/>
  <c r="C34" i="1" s="1"/>
  <c r="E34" i="1"/>
  <c r="F34" i="1"/>
  <c r="H34" i="1" s="1"/>
  <c r="D35" i="1" l="1"/>
  <c r="G35" i="1" s="1"/>
  <c r="C35" i="1" s="1"/>
  <c r="E35" i="1"/>
  <c r="F35" i="1"/>
  <c r="H35" i="1" s="1"/>
  <c r="D36" i="1" l="1"/>
  <c r="G36" i="1" s="1"/>
  <c r="C36" i="1" s="1"/>
  <c r="E36" i="1"/>
  <c r="F36" i="1"/>
  <c r="H36" i="1" s="1"/>
  <c r="E37" i="1" l="1"/>
  <c r="D37" i="1"/>
  <c r="G37" i="1" s="1"/>
  <c r="C37" i="1" s="1"/>
  <c r="F37" i="1"/>
  <c r="H37" i="1" s="1"/>
  <c r="D38" i="1" l="1"/>
  <c r="G38" i="1" s="1"/>
  <c r="C38" i="1" s="1"/>
  <c r="E38" i="1"/>
  <c r="F38" i="1"/>
  <c r="H38" i="1" s="1"/>
  <c r="E39" i="1" l="1"/>
  <c r="D39" i="1"/>
  <c r="G39" i="1" s="1"/>
  <c r="C39" i="1" s="1"/>
  <c r="F39" i="1"/>
  <c r="H39" i="1" s="1"/>
  <c r="D40" i="1" l="1"/>
  <c r="G40" i="1" s="1"/>
  <c r="C40" i="1" s="1"/>
  <c r="E40" i="1"/>
  <c r="F40" i="1"/>
  <c r="H40" i="1" s="1"/>
  <c r="D41" i="1" l="1"/>
  <c r="G41" i="1" s="1"/>
  <c r="C41" i="1" s="1"/>
  <c r="E41" i="1"/>
  <c r="F41" i="1"/>
  <c r="H41" i="1" s="1"/>
  <c r="D42" i="1" l="1"/>
  <c r="G42" i="1" s="1"/>
  <c r="C42" i="1" s="1"/>
  <c r="E42" i="1"/>
  <c r="F42" i="1"/>
  <c r="H42" i="1" s="1"/>
  <c r="D43" i="1" l="1"/>
  <c r="G43" i="1" s="1"/>
  <c r="C43" i="1" s="1"/>
  <c r="E43" i="1"/>
  <c r="F43" i="1"/>
  <c r="H43" i="1" s="1"/>
  <c r="D44" i="1" l="1"/>
  <c r="G44" i="1" s="1"/>
  <c r="C44" i="1" s="1"/>
  <c r="E44" i="1"/>
  <c r="F44" i="1"/>
  <c r="H44" i="1" s="1"/>
  <c r="E45" i="1" l="1"/>
  <c r="D45" i="1"/>
  <c r="G45" i="1" s="1"/>
  <c r="C45" i="1" s="1"/>
  <c r="F45" i="1"/>
  <c r="H45" i="1" s="1"/>
</calcChain>
</file>

<file path=xl/sharedStrings.xml><?xml version="1.0" encoding="utf-8"?>
<sst xmlns="http://schemas.openxmlformats.org/spreadsheetml/2006/main" count="63" uniqueCount="58">
  <si>
    <t>JENN</t>
  </si>
  <si>
    <t>Tokens Name</t>
  </si>
  <si>
    <t>Tokens Ticker</t>
  </si>
  <si>
    <t>Tokens Decimals</t>
  </si>
  <si>
    <t>Tokens Total Supply</t>
  </si>
  <si>
    <t>Tokens Circ Supply</t>
  </si>
  <si>
    <t>Anticipated Deposit Amt</t>
  </si>
  <si>
    <t>Gem Mine Block Start</t>
  </si>
  <si>
    <t>Rewards Per Wallet Per Block</t>
  </si>
  <si>
    <t>TokenJenny</t>
  </si>
  <si>
    <t>Wallet Count</t>
  </si>
  <si>
    <t>Estimated BlockEnds</t>
  </si>
  <si>
    <t>Dynamic Emissions Per Block</t>
  </si>
  <si>
    <t>BlockSpan</t>
  </si>
  <si>
    <t>Gem Mine Creation Fee (JENN/ONE LP)</t>
  </si>
  <si>
    <t>Tokens Logo URL</t>
  </si>
  <si>
    <t>Tokens Mine BG URL</t>
  </si>
  <si>
    <t>Miners Investment Recoup Blockspan</t>
  </si>
  <si>
    <t>Estimated Fees Generated for Mine Owner</t>
  </si>
  <si>
    <t>Generated Fees Earned for Mine Owner/Each Gem Mined</t>
  </si>
  <si>
    <t>Mine Type</t>
  </si>
  <si>
    <t>IDO</t>
  </si>
  <si>
    <t>Timelock</t>
  </si>
  <si>
    <t>Promotional</t>
  </si>
  <si>
    <t>Fundraiser</t>
  </si>
  <si>
    <t>Charity</t>
  </si>
  <si>
    <t>Type</t>
  </si>
  <si>
    <t>Miner Fee</t>
  </si>
  <si>
    <t>Creation Fee Multiplier</t>
  </si>
  <si>
    <t>Miner Fee Token</t>
  </si>
  <si>
    <t>JENN/ONE LP</t>
  </si>
  <si>
    <t>TJ Miner Fee Cut</t>
  </si>
  <si>
    <t>Status</t>
  </si>
  <si>
    <t>Diamond</t>
  </si>
  <si>
    <t>Ruby</t>
  </si>
  <si>
    <t>Sapphire</t>
  </si>
  <si>
    <t>Emerald</t>
  </si>
  <si>
    <t>Current Block</t>
  </si>
  <si>
    <t>Block To</t>
  </si>
  <si>
    <t>Delta</t>
  </si>
  <si>
    <t>Block Length (In Seconds)</t>
  </si>
  <si>
    <t>Total Seconds</t>
  </si>
  <si>
    <t>Total Minutes</t>
  </si>
  <si>
    <t>Total Hours</t>
  </si>
  <si>
    <t>Total Days</t>
  </si>
  <si>
    <t>Total Weeks</t>
  </si>
  <si>
    <t>Total Months</t>
  </si>
  <si>
    <t>Total Years</t>
  </si>
  <si>
    <t>Simply fill out the current block and the block to.                                              The numbers below auto calculate.</t>
  </si>
  <si>
    <t>Amethyst</t>
  </si>
  <si>
    <t>https://bit.ly/2ShMFZj</t>
  </si>
  <si>
    <t>https://bit.ly/3gYifn0</t>
  </si>
  <si>
    <t>TJ Fee Percentage</t>
  </si>
  <si>
    <t>Estimated Date/Time:</t>
  </si>
  <si>
    <t>Owner's Wallet</t>
  </si>
  <si>
    <t>0xfDC30bD4F4500cB2835Bc1808F5d3BA8a1aeBb1B</t>
  </si>
  <si>
    <t>The numbers below are estimates.  The blockends truly calculates based on the wallets registration block and those will unpredictably vary.                                                                                                                                                        Also due to rounding, there is a possibility that there is "mine dust" left over following the blockends.  This is withdrawable assuming all miners have claimed.</t>
  </si>
  <si>
    <t>Estimated Total Earnings Per Wallet                                       (This number will vary with when wallets register and on what block)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</si>
</sst>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37" fontId="0" fillId="0" borderId="0" xfId="1" applyNumberFormat="1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0" fontId="5" fillId="2" borderId="0" xfId="3" applyFill="1" applyAlignment="1">
      <alignment horizontal="center"/>
    </xf>
    <xf numFmtId="3" fontId="0" fillId="0" borderId="0" xfId="0" applyNumberFormat="1" applyAlignment="1">
      <alignment horizontal="center"/>
    </xf>
    <xf numFmtId="22" fontId="0" fillId="0" borderId="0" xfId="0" applyNumberFormat="1"/>
    <xf numFmtId="3" fontId="0" fillId="0" borderId="0" xfId="0" applyNumberForma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0" fillId="0" borderId="0" xfId="0" applyFill="1" applyAlignment="1">
      <alignment horizontal="center"/>
    </xf>
    <xf numFmtId="0" fontId="5" fillId="0" borderId="0" xfId="3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0" xfId="0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3" fontId="0" fillId="2" borderId="0" xfId="0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9" fontId="0" fillId="0" borderId="0" xfId="2" applyFont="1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7" fontId="0" fillId="0" borderId="0" xfId="1" applyNumberFormat="1" applyFont="1" applyAlignment="1">
      <alignment horizontal="center"/>
    </xf>
    <xf numFmtId="0" fontId="0" fillId="0" borderId="0" xfId="0" applyAlignment="1">
      <alignment horizontal="center" vertical="center"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576262</xdr:colOff>
      <xdr:row>0</xdr:row>
      <xdr:rowOff>152400</xdr:rowOff>
    </xdr:from>
    <xdr:to>
      <xdr:col>6</xdr:col>
      <xdr:colOff>409575</xdr:colOff>
      <xdr:row>9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91F6E7-98E1-44EC-9F76-B2CE811B2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1262" y="152400"/>
          <a:ext cx="6167438" cy="1666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it.ly/3gYifn0" TargetMode="External"/><Relationship Id="rId1" Type="http://schemas.openxmlformats.org/officeDocument/2006/relationships/hyperlink" Target="https://bit.ly/2ShMFZj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0:J45"/>
  <sheetViews>
    <sheetView tabSelected="1" topLeftCell="A13" workbookViewId="0">
      <selection activeCell="I24" sqref="I24"/>
    </sheetView>
  </sheetViews>
  <sheetFormatPr defaultRowHeight="14.25" x14ac:dyDescent="0.45"/>
  <cols>
    <col min="2" max="2" width="19.3984375" customWidth="1"/>
    <col min="3" max="3" width="45.86328125" customWidth="1"/>
    <col min="4" max="4" width="12.73046875" bestFit="1" customWidth="1"/>
    <col min="5" max="5" width="16.265625" customWidth="1"/>
    <col min="6" max="6" width="20.1328125" customWidth="1"/>
    <col min="7" max="7" width="16.3984375" customWidth="1"/>
    <col min="8" max="8" width="20.3984375" customWidth="1"/>
    <col min="9" max="9" width="20.73046875" customWidth="1"/>
    <col min="12" max="12" width="25.86328125" bestFit="1" customWidth="1"/>
    <col min="13" max="13" width="10.73046875" bestFit="1" customWidth="1"/>
    <col min="16" max="16" width="25.86328125" bestFit="1" customWidth="1"/>
    <col min="17" max="17" width="10.73046875" bestFit="1" customWidth="1"/>
  </cols>
  <sheetData>
    <row r="10" spans="2:10" ht="14.45" customHeight="1" x14ac:dyDescent="0.45">
      <c r="C10" s="1"/>
      <c r="D10" s="1"/>
      <c r="E10" s="1"/>
      <c r="H10" s="5"/>
      <c r="I10" s="5"/>
      <c r="J10" s="5"/>
    </row>
    <row r="11" spans="2:10" ht="14.45" customHeight="1" x14ac:dyDescent="0.45">
      <c r="B11" s="25" t="str">
        <f>"Gem Mine Planner for "&amp;C16&amp;" status as "&amp;INDEX('Dropdown Data'!C3:C7, MATCH(C22, 'Dropdown Data'!B3:B7, 0))</f>
        <v>Gem Mine Planner for JENN status as Diamond</v>
      </c>
      <c r="C11" s="25"/>
      <c r="D11" s="25"/>
      <c r="E11" s="25"/>
      <c r="F11" s="25"/>
      <c r="G11" s="25"/>
      <c r="H11" s="25"/>
      <c r="I11" s="20"/>
      <c r="J11" s="5"/>
    </row>
    <row r="12" spans="2:10" ht="14.25" customHeight="1" x14ac:dyDescent="0.45">
      <c r="B12" s="25"/>
      <c r="C12" s="25"/>
      <c r="D12" s="25"/>
      <c r="E12" s="25"/>
      <c r="F12" s="25"/>
      <c r="G12" s="25"/>
      <c r="H12" s="25"/>
      <c r="I12" s="20"/>
      <c r="J12" s="5"/>
    </row>
    <row r="13" spans="2:10" ht="14.25" customHeight="1" x14ac:dyDescent="0.45">
      <c r="B13" s="25"/>
      <c r="C13" s="25"/>
      <c r="D13" s="25"/>
      <c r="E13" s="25"/>
      <c r="F13" s="25"/>
      <c r="G13" s="25"/>
      <c r="H13" s="25"/>
      <c r="I13" s="20"/>
      <c r="J13" s="5"/>
    </row>
    <row r="14" spans="2:10" ht="14.25" customHeight="1" x14ac:dyDescent="0.45">
      <c r="C14" s="1"/>
      <c r="D14" s="1"/>
      <c r="E14" s="1"/>
      <c r="H14" s="5"/>
      <c r="I14" s="5"/>
      <c r="J14" s="5"/>
    </row>
    <row r="15" spans="2:10" ht="13.9" customHeight="1" x14ac:dyDescent="0.45">
      <c r="B15" t="s">
        <v>1</v>
      </c>
      <c r="C15" s="11" t="s">
        <v>9</v>
      </c>
      <c r="D15" s="21"/>
      <c r="E15" s="26" t="s">
        <v>52</v>
      </c>
      <c r="F15" s="26"/>
      <c r="G15" s="29">
        <f>INDEX('Dropdown Data'!G3:G7, MATCH(C22, 'Dropdown Data'!B3:B7, 0))</f>
        <v>0.5</v>
      </c>
      <c r="H15" s="29"/>
    </row>
    <row r="16" spans="2:10" x14ac:dyDescent="0.45">
      <c r="B16" t="s">
        <v>2</v>
      </c>
      <c r="C16" s="11" t="s">
        <v>0</v>
      </c>
      <c r="D16" s="21"/>
      <c r="E16" s="26" t="s">
        <v>6</v>
      </c>
      <c r="F16" s="26"/>
      <c r="G16" s="27">
        <v>1200000</v>
      </c>
      <c r="H16" s="27"/>
    </row>
    <row r="17" spans="2:9" x14ac:dyDescent="0.45">
      <c r="B17" t="s">
        <v>3</v>
      </c>
      <c r="C17" s="11">
        <v>18</v>
      </c>
      <c r="D17" s="21"/>
      <c r="E17" s="26" t="s">
        <v>7</v>
      </c>
      <c r="F17" s="26"/>
      <c r="G17" s="27">
        <v>14750000</v>
      </c>
      <c r="H17" s="27"/>
    </row>
    <row r="18" spans="2:9" x14ac:dyDescent="0.45">
      <c r="B18" t="s">
        <v>4</v>
      </c>
      <c r="C18" s="12">
        <v>8999999</v>
      </c>
      <c r="D18" s="17"/>
      <c r="E18" s="26" t="s">
        <v>8</v>
      </c>
      <c r="F18" s="26"/>
      <c r="G18" s="30">
        <v>2.0000000000000001E-4</v>
      </c>
      <c r="H18" s="30"/>
    </row>
    <row r="19" spans="2:9" x14ac:dyDescent="0.45">
      <c r="B19" t="s">
        <v>5</v>
      </c>
      <c r="C19" s="12">
        <v>599999</v>
      </c>
      <c r="D19" s="17"/>
      <c r="E19" s="26" t="s">
        <v>14</v>
      </c>
      <c r="F19" s="26"/>
      <c r="G19" s="28">
        <f>ROUNDUP((C18/G16)*INDEX('Dropdown Data'!F3:F7, MATCH(C22, 'Dropdown Data'!B3:B7, 0)), 0)</f>
        <v>375</v>
      </c>
      <c r="H19" s="28"/>
    </row>
    <row r="20" spans="2:9" x14ac:dyDescent="0.45">
      <c r="B20" t="s">
        <v>15</v>
      </c>
      <c r="C20" s="14" t="s">
        <v>50</v>
      </c>
      <c r="D20" s="22"/>
      <c r="E20" s="26" t="str">
        <f>"Minimum Entry Free ("&amp;INDEX('Dropdown Data'!E3:E7, MATCH(C22, 'Dropdown Data'!B3:B7, 0))&amp;")"</f>
        <v>Minimum Entry Free (JENN/ONE LP)</v>
      </c>
      <c r="F20" s="26"/>
      <c r="G20" s="32">
        <f>INDEX('Dropdown Data'!D3:D7, MATCH(C22, 'Dropdown Data'!B3:B7, 0))</f>
        <v>50</v>
      </c>
      <c r="H20" s="32"/>
    </row>
    <row r="21" spans="2:9" x14ac:dyDescent="0.45">
      <c r="B21" t="s">
        <v>16</v>
      </c>
      <c r="C21" s="14" t="s">
        <v>51</v>
      </c>
      <c r="D21" s="22"/>
      <c r="E21" s="26" t="str">
        <f>"Set Mine Fee ("&amp;INDEX('Dropdown Data'!E3:E7, MATCH(C22, 'Dropdown Data'!B3:B7, 0))&amp;")"</f>
        <v>Set Mine Fee (JENN/ONE LP)</v>
      </c>
      <c r="F21" s="26"/>
      <c r="G21" s="27">
        <v>150</v>
      </c>
      <c r="H21" s="27"/>
    </row>
    <row r="22" spans="2:9" x14ac:dyDescent="0.45">
      <c r="B22" t="s">
        <v>20</v>
      </c>
      <c r="C22" s="11" t="s">
        <v>21</v>
      </c>
      <c r="D22" s="21"/>
      <c r="E22" s="26" t="s">
        <v>17</v>
      </c>
      <c r="F22" s="26"/>
      <c r="G22" s="33">
        <f>G21/G18</f>
        <v>750000</v>
      </c>
      <c r="H22" s="33"/>
    </row>
    <row r="23" spans="2:9" x14ac:dyDescent="0.45">
      <c r="B23" t="s">
        <v>54</v>
      </c>
      <c r="C23" s="23" t="s">
        <v>55</v>
      </c>
      <c r="D23" s="21"/>
      <c r="E23" s="1"/>
      <c r="F23" s="1"/>
      <c r="G23" s="34"/>
      <c r="H23" s="34"/>
    </row>
    <row r="24" spans="2:9" x14ac:dyDescent="0.45">
      <c r="C24" s="4"/>
      <c r="E24" s="8"/>
      <c r="F24" s="8"/>
      <c r="G24" s="9"/>
      <c r="H24" s="9"/>
    </row>
    <row r="25" spans="2:9" ht="15" customHeight="1" x14ac:dyDescent="0.45">
      <c r="B25" s="31" t="s">
        <v>56</v>
      </c>
      <c r="C25" s="31"/>
      <c r="D25" s="31"/>
      <c r="E25" s="31"/>
      <c r="F25" s="31"/>
      <c r="G25" s="31"/>
      <c r="H25" s="31"/>
      <c r="I25" s="19"/>
    </row>
    <row r="26" spans="2:9" x14ac:dyDescent="0.45">
      <c r="B26" s="31"/>
      <c r="C26" s="31"/>
      <c r="D26" s="31"/>
      <c r="E26" s="31"/>
      <c r="F26" s="31"/>
      <c r="G26" s="31"/>
      <c r="H26" s="31"/>
      <c r="I26" s="19"/>
    </row>
    <row r="27" spans="2:9" ht="60.75" customHeight="1" x14ac:dyDescent="0.45">
      <c r="B27" s="2" t="s">
        <v>10</v>
      </c>
      <c r="C27" s="24" t="s">
        <v>57</v>
      </c>
      <c r="D27" s="18" t="s">
        <v>11</v>
      </c>
      <c r="E27" s="7" t="s">
        <v>12</v>
      </c>
      <c r="F27" s="7" t="s">
        <v>18</v>
      </c>
      <c r="G27" s="2" t="s">
        <v>13</v>
      </c>
      <c r="H27" s="7" t="s">
        <v>19</v>
      </c>
    </row>
    <row r="28" spans="2:9" x14ac:dyDescent="0.45">
      <c r="B28" s="10">
        <v>1</v>
      </c>
      <c r="C28" s="21">
        <f>G28*$G$18</f>
        <v>1200000</v>
      </c>
      <c r="D28" s="6">
        <f>IFERROR($G$17+($G$16/(B28*$G$18)), 0)</f>
        <v>6014750000</v>
      </c>
      <c r="E28" s="4">
        <f t="shared" ref="E28:E45" si="0">B28*$G$18</f>
        <v>2.0000000000000001E-4</v>
      </c>
      <c r="F28" s="6">
        <f t="shared" ref="F28:F45" si="1">B28*($G$21*(1-$G$15))</f>
        <v>75</v>
      </c>
      <c r="G28" s="6">
        <f t="shared" ref="G28:G45" si="2">D28-$G$17</f>
        <v>6000000000</v>
      </c>
      <c r="H28" s="4">
        <f>F28/$G$16</f>
        <v>6.2500000000000001E-5</v>
      </c>
    </row>
    <row r="29" spans="2:9" x14ac:dyDescent="0.45">
      <c r="B29" s="4">
        <v>100</v>
      </c>
      <c r="C29" s="21">
        <f t="shared" ref="C29:C45" si="3">G29*$G$18</f>
        <v>12000</v>
      </c>
      <c r="D29" s="6">
        <f t="shared" ref="D29:D45" si="4">$G$17+($G$16/(B29*$G$18))</f>
        <v>74750000</v>
      </c>
      <c r="E29" s="4">
        <f t="shared" si="0"/>
        <v>0.02</v>
      </c>
      <c r="F29" s="6">
        <f t="shared" si="1"/>
        <v>7500</v>
      </c>
      <c r="G29" s="15">
        <f t="shared" si="2"/>
        <v>60000000</v>
      </c>
      <c r="H29" s="4">
        <f>F29/$G$16</f>
        <v>6.2500000000000003E-3</v>
      </c>
    </row>
    <row r="30" spans="2:9" x14ac:dyDescent="0.45">
      <c r="B30" s="4">
        <v>300</v>
      </c>
      <c r="C30" s="21">
        <f t="shared" si="3"/>
        <v>4000</v>
      </c>
      <c r="D30" s="6">
        <f t="shared" si="4"/>
        <v>34750000</v>
      </c>
      <c r="E30" s="4">
        <f t="shared" si="0"/>
        <v>6.0000000000000005E-2</v>
      </c>
      <c r="F30" s="6">
        <f t="shared" si="1"/>
        <v>22500</v>
      </c>
      <c r="G30" s="15">
        <f t="shared" si="2"/>
        <v>20000000</v>
      </c>
      <c r="H30" s="4">
        <f t="shared" ref="H30:H45" si="5">F30/$G$16</f>
        <v>1.8749999999999999E-2</v>
      </c>
    </row>
    <row r="31" spans="2:9" x14ac:dyDescent="0.45">
      <c r="B31" s="4">
        <v>500</v>
      </c>
      <c r="C31" s="21">
        <f t="shared" si="3"/>
        <v>2400</v>
      </c>
      <c r="D31" s="6">
        <f t="shared" si="4"/>
        <v>26750000</v>
      </c>
      <c r="E31" s="4">
        <f t="shared" si="0"/>
        <v>0.1</v>
      </c>
      <c r="F31" s="6">
        <f t="shared" si="1"/>
        <v>37500</v>
      </c>
      <c r="G31" s="15">
        <f t="shared" si="2"/>
        <v>12000000</v>
      </c>
      <c r="H31" s="4">
        <f t="shared" si="5"/>
        <v>3.125E-2</v>
      </c>
    </row>
    <row r="32" spans="2:9" x14ac:dyDescent="0.45">
      <c r="B32" s="4">
        <v>700</v>
      </c>
      <c r="C32" s="21">
        <f t="shared" si="3"/>
        <v>1714.2857142857142</v>
      </c>
      <c r="D32" s="6">
        <f t="shared" si="4"/>
        <v>23321428.571428571</v>
      </c>
      <c r="E32" s="4">
        <f t="shared" si="0"/>
        <v>0.14000000000000001</v>
      </c>
      <c r="F32" s="6">
        <f t="shared" si="1"/>
        <v>52500</v>
      </c>
      <c r="G32" s="15">
        <f t="shared" si="2"/>
        <v>8571428.5714285709</v>
      </c>
      <c r="H32" s="4">
        <f t="shared" si="5"/>
        <v>4.3749999999999997E-2</v>
      </c>
    </row>
    <row r="33" spans="2:8" x14ac:dyDescent="0.45">
      <c r="B33" s="4">
        <v>1000</v>
      </c>
      <c r="C33" s="21">
        <f t="shared" si="3"/>
        <v>1200</v>
      </c>
      <c r="D33" s="6">
        <f t="shared" si="4"/>
        <v>20750000</v>
      </c>
      <c r="E33" s="4">
        <f t="shared" si="0"/>
        <v>0.2</v>
      </c>
      <c r="F33" s="6">
        <f t="shared" si="1"/>
        <v>75000</v>
      </c>
      <c r="G33" s="15">
        <f t="shared" si="2"/>
        <v>6000000</v>
      </c>
      <c r="H33" s="4">
        <f t="shared" si="5"/>
        <v>6.25E-2</v>
      </c>
    </row>
    <row r="34" spans="2:8" x14ac:dyDescent="0.45">
      <c r="B34" s="4">
        <v>1500</v>
      </c>
      <c r="C34" s="21">
        <f t="shared" si="3"/>
        <v>800</v>
      </c>
      <c r="D34" s="6">
        <f t="shared" si="4"/>
        <v>18750000</v>
      </c>
      <c r="E34" s="4">
        <f t="shared" si="0"/>
        <v>0.3</v>
      </c>
      <c r="F34" s="6">
        <f t="shared" si="1"/>
        <v>112500</v>
      </c>
      <c r="G34" s="15">
        <f t="shared" si="2"/>
        <v>4000000</v>
      </c>
      <c r="H34" s="4">
        <f t="shared" si="5"/>
        <v>9.375E-2</v>
      </c>
    </row>
    <row r="35" spans="2:8" x14ac:dyDescent="0.45">
      <c r="B35" s="4">
        <v>2000</v>
      </c>
      <c r="C35" s="21">
        <f t="shared" si="3"/>
        <v>600</v>
      </c>
      <c r="D35" s="6">
        <f t="shared" si="4"/>
        <v>17750000</v>
      </c>
      <c r="E35" s="4">
        <f t="shared" si="0"/>
        <v>0.4</v>
      </c>
      <c r="F35" s="6">
        <f t="shared" si="1"/>
        <v>150000</v>
      </c>
      <c r="G35" s="15">
        <f t="shared" si="2"/>
        <v>3000000</v>
      </c>
      <c r="H35" s="4">
        <f t="shared" si="5"/>
        <v>0.125</v>
      </c>
    </row>
    <row r="36" spans="2:8" x14ac:dyDescent="0.45">
      <c r="B36" s="4">
        <v>2500</v>
      </c>
      <c r="C36" s="21">
        <f t="shared" si="3"/>
        <v>480</v>
      </c>
      <c r="D36" s="6">
        <f t="shared" si="4"/>
        <v>17150000</v>
      </c>
      <c r="E36" s="4">
        <f t="shared" si="0"/>
        <v>0.5</v>
      </c>
      <c r="F36" s="6">
        <f t="shared" si="1"/>
        <v>187500</v>
      </c>
      <c r="G36" s="15">
        <f t="shared" si="2"/>
        <v>2400000</v>
      </c>
      <c r="H36" s="4">
        <f t="shared" si="5"/>
        <v>0.15625</v>
      </c>
    </row>
    <row r="37" spans="2:8" x14ac:dyDescent="0.45">
      <c r="B37" s="4">
        <v>3000</v>
      </c>
      <c r="C37" s="21">
        <f t="shared" si="3"/>
        <v>400</v>
      </c>
      <c r="D37" s="6">
        <f t="shared" si="4"/>
        <v>16750000</v>
      </c>
      <c r="E37" s="4">
        <f t="shared" si="0"/>
        <v>0.6</v>
      </c>
      <c r="F37" s="6">
        <f t="shared" si="1"/>
        <v>225000</v>
      </c>
      <c r="G37" s="15">
        <f t="shared" si="2"/>
        <v>2000000</v>
      </c>
      <c r="H37" s="4">
        <f t="shared" si="5"/>
        <v>0.1875</v>
      </c>
    </row>
    <row r="38" spans="2:8" x14ac:dyDescent="0.45">
      <c r="B38" s="4">
        <v>3500</v>
      </c>
      <c r="C38" s="21">
        <f t="shared" si="3"/>
        <v>342.85714285714295</v>
      </c>
      <c r="D38" s="6">
        <f t="shared" si="4"/>
        <v>16464285.714285715</v>
      </c>
      <c r="E38" s="4">
        <f t="shared" si="0"/>
        <v>0.70000000000000007</v>
      </c>
      <c r="F38" s="6">
        <f t="shared" si="1"/>
        <v>262500</v>
      </c>
      <c r="G38" s="15">
        <f t="shared" si="2"/>
        <v>1714285.7142857146</v>
      </c>
      <c r="H38" s="4">
        <f t="shared" si="5"/>
        <v>0.21875</v>
      </c>
    </row>
    <row r="39" spans="2:8" x14ac:dyDescent="0.45">
      <c r="B39" s="4">
        <v>4000</v>
      </c>
      <c r="C39" s="21">
        <f t="shared" si="3"/>
        <v>300</v>
      </c>
      <c r="D39" s="6">
        <f t="shared" si="4"/>
        <v>16250000</v>
      </c>
      <c r="E39" s="4">
        <f t="shared" si="0"/>
        <v>0.8</v>
      </c>
      <c r="F39" s="6">
        <f t="shared" si="1"/>
        <v>300000</v>
      </c>
      <c r="G39" s="15">
        <f t="shared" si="2"/>
        <v>1500000</v>
      </c>
      <c r="H39" s="4">
        <f t="shared" si="5"/>
        <v>0.25</v>
      </c>
    </row>
    <row r="40" spans="2:8" x14ac:dyDescent="0.45">
      <c r="B40" s="4">
        <v>4500</v>
      </c>
      <c r="C40" s="21">
        <f t="shared" si="3"/>
        <v>266.6666666666668</v>
      </c>
      <c r="D40" s="6">
        <f t="shared" si="4"/>
        <v>16083333.333333334</v>
      </c>
      <c r="E40" s="4">
        <f t="shared" si="0"/>
        <v>0.9</v>
      </c>
      <c r="F40" s="6">
        <f t="shared" si="1"/>
        <v>337500</v>
      </c>
      <c r="G40" s="15">
        <f t="shared" si="2"/>
        <v>1333333.333333334</v>
      </c>
      <c r="H40" s="4">
        <f t="shared" si="5"/>
        <v>0.28125</v>
      </c>
    </row>
    <row r="41" spans="2:8" x14ac:dyDescent="0.45">
      <c r="B41" s="4">
        <v>5000</v>
      </c>
      <c r="C41" s="21">
        <f t="shared" si="3"/>
        <v>240</v>
      </c>
      <c r="D41" s="6">
        <f t="shared" si="4"/>
        <v>15950000</v>
      </c>
      <c r="E41" s="4">
        <f t="shared" si="0"/>
        <v>1</v>
      </c>
      <c r="F41" s="6">
        <f t="shared" si="1"/>
        <v>375000</v>
      </c>
      <c r="G41" s="15">
        <f t="shared" si="2"/>
        <v>1200000</v>
      </c>
      <c r="H41" s="4">
        <f t="shared" si="5"/>
        <v>0.3125</v>
      </c>
    </row>
    <row r="42" spans="2:8" x14ac:dyDescent="0.45">
      <c r="B42" s="4">
        <v>10000</v>
      </c>
      <c r="C42" s="21">
        <f t="shared" si="3"/>
        <v>120</v>
      </c>
      <c r="D42" s="6">
        <f t="shared" si="4"/>
        <v>15350000</v>
      </c>
      <c r="E42" s="4">
        <f t="shared" si="0"/>
        <v>2</v>
      </c>
      <c r="F42" s="6">
        <f t="shared" si="1"/>
        <v>750000</v>
      </c>
      <c r="G42" s="15">
        <f t="shared" si="2"/>
        <v>600000</v>
      </c>
      <c r="H42" s="4">
        <f t="shared" si="5"/>
        <v>0.625</v>
      </c>
    </row>
    <row r="43" spans="2:8" x14ac:dyDescent="0.45">
      <c r="B43" s="4">
        <v>15000</v>
      </c>
      <c r="C43" s="21">
        <f t="shared" si="3"/>
        <v>80</v>
      </c>
      <c r="D43" s="6">
        <f t="shared" si="4"/>
        <v>15150000</v>
      </c>
      <c r="E43" s="4">
        <f t="shared" si="0"/>
        <v>3</v>
      </c>
      <c r="F43" s="6">
        <f t="shared" si="1"/>
        <v>1125000</v>
      </c>
      <c r="G43" s="15">
        <f t="shared" si="2"/>
        <v>400000</v>
      </c>
      <c r="H43" s="4">
        <f t="shared" si="5"/>
        <v>0.9375</v>
      </c>
    </row>
    <row r="44" spans="2:8" x14ac:dyDescent="0.45">
      <c r="B44" s="4">
        <v>20000</v>
      </c>
      <c r="C44" s="21">
        <f t="shared" si="3"/>
        <v>60</v>
      </c>
      <c r="D44" s="6">
        <f t="shared" si="4"/>
        <v>15050000</v>
      </c>
      <c r="E44" s="4">
        <f t="shared" si="0"/>
        <v>4</v>
      </c>
      <c r="F44" s="6">
        <f t="shared" si="1"/>
        <v>1500000</v>
      </c>
      <c r="G44" s="15">
        <f t="shared" si="2"/>
        <v>300000</v>
      </c>
      <c r="H44" s="4">
        <f t="shared" si="5"/>
        <v>1.25</v>
      </c>
    </row>
    <row r="45" spans="2:8" x14ac:dyDescent="0.45">
      <c r="B45" s="4">
        <v>25000</v>
      </c>
      <c r="C45" s="21">
        <f t="shared" si="3"/>
        <v>48</v>
      </c>
      <c r="D45" s="6">
        <f t="shared" si="4"/>
        <v>14990000</v>
      </c>
      <c r="E45" s="4">
        <f t="shared" si="0"/>
        <v>5</v>
      </c>
      <c r="F45" s="6">
        <f t="shared" si="1"/>
        <v>1875000</v>
      </c>
      <c r="G45" s="15">
        <f t="shared" si="2"/>
        <v>240000</v>
      </c>
      <c r="H45" s="4">
        <f t="shared" si="5"/>
        <v>1.5625</v>
      </c>
    </row>
  </sheetData>
  <mergeCells count="19">
    <mergeCell ref="B25:H26"/>
    <mergeCell ref="E20:F20"/>
    <mergeCell ref="G20:H20"/>
    <mergeCell ref="E22:F22"/>
    <mergeCell ref="G22:H22"/>
    <mergeCell ref="G23:H23"/>
    <mergeCell ref="B11:H13"/>
    <mergeCell ref="E21:F21"/>
    <mergeCell ref="E19:F19"/>
    <mergeCell ref="E18:F18"/>
    <mergeCell ref="E17:F17"/>
    <mergeCell ref="E16:F16"/>
    <mergeCell ref="G21:H21"/>
    <mergeCell ref="G19:H19"/>
    <mergeCell ref="E15:F15"/>
    <mergeCell ref="G15:H15"/>
    <mergeCell ref="G18:H18"/>
    <mergeCell ref="G17:H17"/>
    <mergeCell ref="G16:H16"/>
  </mergeCells>
  <hyperlinks>
    <hyperlink ref="C20" r:id="rId1" xr:uid="{B0BB3CFF-4EF8-4213-A811-9067C58A1058}"/>
    <hyperlink ref="C21" r:id="rId2" xr:uid="{5DD29EC0-95D4-4200-ABC6-1A5BD540B1D4}"/>
  </hyperlinks>
  <pageMargins left="0.7" right="0.7" top="0.75" bottom="0.75" header="0.3" footer="0.3"/>
  <pageSetup orientation="portrait" horizontalDpi="360" verticalDpi="360" r:id="rId3"/>
  <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D7F065-1232-48B7-8DE0-8D39C4DE7B69}">
          <x14:formula1>
            <xm:f>'Dropdown Data'!$B$3:$B$7</xm:f>
          </x14:formula1>
          <xm:sqref>C22:D22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FF274-E9A4-46A8-8F07-0B043A01F8C8}">
  <dimension ref="B4:I17"/>
  <sheetViews>
    <sheetView workbookViewId="0">
      <selection activeCell="C10" sqref="C10"/>
    </sheetView>
  </sheetViews>
  <sheetFormatPr defaultRowHeight="14.25" x14ac:dyDescent="0.45"/>
  <cols>
    <col min="2" max="2" width="20.73046875" customWidth="1"/>
    <col min="3" max="3" width="14.73046875" customWidth="1"/>
  </cols>
  <sheetData>
    <row r="4" spans="2:9" x14ac:dyDescent="0.45">
      <c r="B4" s="13" t="s">
        <v>37</v>
      </c>
      <c r="C4" s="3">
        <v>14621097</v>
      </c>
      <c r="E4" s="35" t="s">
        <v>48</v>
      </c>
      <c r="F4" s="35"/>
      <c r="G4" s="35"/>
      <c r="H4" s="35"/>
      <c r="I4" s="35"/>
    </row>
    <row r="5" spans="2:9" x14ac:dyDescent="0.45">
      <c r="B5" s="13" t="s">
        <v>38</v>
      </c>
      <c r="C5" s="3">
        <v>14750000</v>
      </c>
      <c r="E5" s="35"/>
      <c r="F5" s="35"/>
      <c r="G5" s="35"/>
      <c r="H5" s="35"/>
      <c r="I5" s="35"/>
    </row>
    <row r="6" spans="2:9" x14ac:dyDescent="0.45">
      <c r="B6" s="13" t="s">
        <v>39</v>
      </c>
      <c r="C6">
        <f>C5-C4</f>
        <v>128903</v>
      </c>
      <c r="E6" s="35"/>
      <c r="F6" s="35"/>
      <c r="G6" s="35"/>
      <c r="H6" s="35"/>
      <c r="I6" s="35"/>
    </row>
    <row r="7" spans="2:9" x14ac:dyDescent="0.45">
      <c r="B7" s="13" t="s">
        <v>40</v>
      </c>
      <c r="C7">
        <v>2</v>
      </c>
      <c r="E7" s="35"/>
      <c r="F7" s="35"/>
      <c r="G7" s="35"/>
      <c r="H7" s="35"/>
      <c r="I7" s="35"/>
    </row>
    <row r="8" spans="2:9" x14ac:dyDescent="0.45">
      <c r="B8" s="13" t="s">
        <v>41</v>
      </c>
      <c r="C8">
        <f>C6*2</f>
        <v>257806</v>
      </c>
      <c r="E8" s="35"/>
      <c r="F8" s="35"/>
      <c r="G8" s="35"/>
      <c r="H8" s="35"/>
      <c r="I8" s="35"/>
    </row>
    <row r="9" spans="2:9" x14ac:dyDescent="0.45">
      <c r="B9" s="13" t="s">
        <v>42</v>
      </c>
      <c r="C9">
        <f>C8/60</f>
        <v>4296.7666666666664</v>
      </c>
      <c r="E9" s="35"/>
      <c r="F9" s="35"/>
      <c r="G9" s="35"/>
      <c r="H9" s="35"/>
      <c r="I9" s="35"/>
    </row>
    <row r="10" spans="2:9" x14ac:dyDescent="0.45">
      <c r="B10" s="13" t="s">
        <v>43</v>
      </c>
      <c r="C10">
        <f>C9/60</f>
        <v>71.612777777777779</v>
      </c>
      <c r="E10" s="35"/>
      <c r="F10" s="35"/>
      <c r="G10" s="35"/>
      <c r="H10" s="35"/>
      <c r="I10" s="35"/>
    </row>
    <row r="11" spans="2:9" x14ac:dyDescent="0.45">
      <c r="B11" s="13" t="s">
        <v>44</v>
      </c>
      <c r="C11">
        <f>C10/24</f>
        <v>2.983865740740741</v>
      </c>
      <c r="E11" s="35"/>
      <c r="F11" s="35"/>
      <c r="G11" s="35"/>
      <c r="H11" s="35"/>
      <c r="I11" s="35"/>
    </row>
    <row r="12" spans="2:9" x14ac:dyDescent="0.45">
      <c r="B12" s="13" t="s">
        <v>45</v>
      </c>
      <c r="C12">
        <f>C11/7</f>
        <v>0.42626653439153445</v>
      </c>
      <c r="E12" s="35"/>
      <c r="F12" s="35"/>
      <c r="G12" s="35"/>
      <c r="H12" s="35"/>
      <c r="I12" s="35"/>
    </row>
    <row r="13" spans="2:9" x14ac:dyDescent="0.45">
      <c r="B13" s="13" t="s">
        <v>46</v>
      </c>
      <c r="C13">
        <f>C12/4</f>
        <v>0.10656663359788361</v>
      </c>
      <c r="E13" s="35"/>
      <c r="F13" s="35"/>
      <c r="G13" s="35"/>
      <c r="H13" s="35"/>
      <c r="I13" s="35"/>
    </row>
    <row r="14" spans="2:9" x14ac:dyDescent="0.45">
      <c r="B14" s="13" t="s">
        <v>47</v>
      </c>
      <c r="C14">
        <f>C13/12</f>
        <v>8.8805527998236343E-3</v>
      </c>
      <c r="E14" s="35"/>
      <c r="F14" s="35"/>
      <c r="G14" s="35"/>
      <c r="H14" s="35"/>
      <c r="I14" s="35"/>
    </row>
    <row r="17" spans="2:3" x14ac:dyDescent="0.45">
      <c r="B17" s="13" t="s">
        <v>53</v>
      </c>
      <c r="C17" s="16">
        <f ca="1">NOW()+C11</f>
        <v>44375.707793402777</v>
      </c>
    </row>
  </sheetData>
  <mergeCells count="1">
    <mergeCell ref="E4:I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4F0C-4A66-4DA6-A7D4-6840B9F01B48}">
  <dimension ref="B2:G7"/>
  <sheetViews>
    <sheetView workbookViewId="0">
      <selection activeCell="D15" sqref="D15"/>
    </sheetView>
  </sheetViews>
  <sheetFormatPr defaultRowHeight="14.25" x14ac:dyDescent="0.45"/>
  <cols>
    <col min="2" max="2" width="10.3984375" bestFit="1" customWidth="1"/>
    <col min="3" max="3" width="10.3984375" customWidth="1"/>
    <col min="4" max="4" width="17" bestFit="1" customWidth="1"/>
    <col min="5" max="5" width="17" customWidth="1"/>
    <col min="6" max="6" width="19" bestFit="1" customWidth="1"/>
    <col min="7" max="7" width="13.86328125" bestFit="1" customWidth="1"/>
  </cols>
  <sheetData>
    <row r="2" spans="2:7" x14ac:dyDescent="0.45">
      <c r="B2" s="4" t="s">
        <v>26</v>
      </c>
      <c r="C2" s="4" t="s">
        <v>32</v>
      </c>
      <c r="D2" s="4" t="s">
        <v>27</v>
      </c>
      <c r="E2" s="4" t="s">
        <v>29</v>
      </c>
      <c r="F2" s="4" t="s">
        <v>28</v>
      </c>
      <c r="G2" s="4" t="s">
        <v>31</v>
      </c>
    </row>
    <row r="3" spans="2:7" x14ac:dyDescent="0.45">
      <c r="B3" s="8" t="s">
        <v>21</v>
      </c>
      <c r="C3" s="8" t="s">
        <v>33</v>
      </c>
      <c r="D3" s="4">
        <v>50</v>
      </c>
      <c r="E3" s="8" t="s">
        <v>30</v>
      </c>
      <c r="F3" s="4">
        <v>50</v>
      </c>
      <c r="G3" s="4">
        <v>0.5</v>
      </c>
    </row>
    <row r="4" spans="2:7" x14ac:dyDescent="0.45">
      <c r="B4" s="8" t="s">
        <v>22</v>
      </c>
      <c r="C4" s="8" t="s">
        <v>34</v>
      </c>
      <c r="D4" s="4">
        <v>0</v>
      </c>
      <c r="E4" s="8" t="s">
        <v>0</v>
      </c>
      <c r="F4" s="4">
        <v>50</v>
      </c>
      <c r="G4" s="4">
        <v>0</v>
      </c>
    </row>
    <row r="5" spans="2:7" x14ac:dyDescent="0.45">
      <c r="B5" s="8" t="s">
        <v>23</v>
      </c>
      <c r="C5" s="8" t="s">
        <v>35</v>
      </c>
      <c r="D5" s="4">
        <v>10</v>
      </c>
      <c r="E5" s="8" t="s">
        <v>0</v>
      </c>
      <c r="F5" s="4">
        <v>25</v>
      </c>
      <c r="G5" s="4">
        <v>0.5</v>
      </c>
    </row>
    <row r="6" spans="2:7" x14ac:dyDescent="0.45">
      <c r="B6" s="8" t="s">
        <v>24</v>
      </c>
      <c r="C6" s="8" t="s">
        <v>49</v>
      </c>
      <c r="D6" s="4">
        <v>50</v>
      </c>
      <c r="E6" s="8" t="s">
        <v>0</v>
      </c>
      <c r="F6" s="4">
        <v>50</v>
      </c>
      <c r="G6" s="4">
        <v>0.5</v>
      </c>
    </row>
    <row r="7" spans="2:7" x14ac:dyDescent="0.45">
      <c r="B7" s="8" t="s">
        <v>25</v>
      </c>
      <c r="C7" s="8" t="s">
        <v>36</v>
      </c>
      <c r="D7" s="4">
        <v>100</v>
      </c>
      <c r="E7" s="8" t="s">
        <v>0</v>
      </c>
      <c r="F7" s="4">
        <v>0</v>
      </c>
      <c r="G7" s="4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Gem Mine Planner</vt:lpstr>
      <vt:lpstr>Block Time Assistance Calculato</vt:lpstr>
      <vt:lpstr>Dropdown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hunt</dc:creator>
  <cp:lastModifiedBy>jeff hunt</cp:lastModifiedBy>
  <dcterms:created xsi:type="dcterms:W3CDTF">2021-06-11T23:24:44Z</dcterms:created>
  <dcterms:modified xsi:type="dcterms:W3CDTF">2021-06-25T22:50:26Z</dcterms:modified>
</cp:coreProperties>
</file>