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walterheselwood-my.sharepoint.com/personal/misbah_khan_heselwood_com/Documents/Documents/WHL/Misbah/Docs - Misbah/WHL-exports-tracker/"/>
    </mc:Choice>
  </mc:AlternateContent>
  <xr:revisionPtr revIDLastSave="691" documentId="120_S{3A58C58F-642C-511B-BB69-36D53222445C}" xr6:coauthVersionLast="47" xr6:coauthVersionMax="47" xr10:uidLastSave="{280710CC-889E-47A4-8644-E845FBC3576F}"/>
  <bookViews>
    <workbookView xWindow="-120" yWindow="-120" windowWidth="29040" windowHeight="15720" xr2:uid="{8B25BEA1-06F2-49A6-909D-F47AD7FB83DE}"/>
  </bookViews>
  <sheets>
    <sheet name="Source data" sheetId="1" r:id="rId1"/>
    <sheet name="Pivot" sheetId="2" r:id="rId2"/>
    <sheet name="Checking" sheetId="5" r:id="rId3"/>
    <sheet name="Chart" sheetId="4" r:id="rId4"/>
  </sheets>
  <definedNames>
    <definedName name="_xlnm._FilterDatabase" localSheetId="0" hidden="1">'Source data'!$A$2:$AL$12</definedName>
  </definedNames>
  <calcPr calcId="19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2" i="1" l="1"/>
  <c r="W374" i="1"/>
  <c r="W373" i="1"/>
  <c r="U373" i="1"/>
  <c r="U374" i="1"/>
  <c r="W63" i="1"/>
  <c r="W64" i="1"/>
  <c r="W65" i="1"/>
  <c r="W66" i="1"/>
  <c r="W67" i="1"/>
  <c r="W68" i="1"/>
  <c r="W69" i="1"/>
  <c r="W70" i="1"/>
  <c r="W71" i="1"/>
  <c r="W72" i="1"/>
  <c r="W53" i="1"/>
  <c r="W54" i="1"/>
  <c r="W55" i="1"/>
  <c r="W56" i="1"/>
  <c r="W57" i="1"/>
  <c r="W58" i="1"/>
  <c r="W59" i="1"/>
  <c r="W60" i="1"/>
  <c r="W61" i="1"/>
  <c r="W6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23" i="1"/>
  <c r="W24" i="1"/>
  <c r="W25" i="1"/>
  <c r="W26" i="1"/>
  <c r="W27" i="1"/>
  <c r="W28" i="1"/>
  <c r="W29" i="1"/>
  <c r="W30" i="1"/>
  <c r="W31" i="1"/>
  <c r="W32" i="1"/>
  <c r="W13" i="1"/>
  <c r="W14" i="1"/>
  <c r="W15" i="1"/>
  <c r="W16" i="1"/>
  <c r="W17" i="1"/>
  <c r="W18" i="1"/>
  <c r="W19" i="1"/>
  <c r="W20" i="1"/>
  <c r="W21" i="1"/>
  <c r="W22" i="1"/>
  <c r="W3" i="1"/>
  <c r="W4" i="1"/>
  <c r="W5" i="1"/>
  <c r="W6" i="1"/>
  <c r="W7" i="1"/>
  <c r="W8" i="1"/>
  <c r="W9" i="1"/>
  <c r="W10" i="1"/>
  <c r="W11" i="1"/>
  <c r="U3" i="1"/>
  <c r="V3" i="1" l="1"/>
  <c r="X372" i="1"/>
  <c r="Y372" i="1" s="1"/>
  <c r="X371" i="1"/>
  <c r="Y371" i="1" s="1"/>
  <c r="X370" i="1"/>
  <c r="Y370" i="1" s="1"/>
  <c r="X369" i="1"/>
  <c r="Y369" i="1" s="1"/>
  <c r="X368" i="1"/>
  <c r="Y368" i="1" s="1"/>
  <c r="X367" i="1"/>
  <c r="Y367" i="1" s="1"/>
  <c r="X366" i="1"/>
  <c r="Y366" i="1" s="1"/>
  <c r="X365" i="1"/>
  <c r="Y365" i="1" s="1"/>
  <c r="X364" i="1"/>
  <c r="Y364" i="1" s="1"/>
  <c r="X363" i="1"/>
  <c r="Y363" i="1" s="1"/>
  <c r="X362" i="1"/>
  <c r="Y362" i="1" s="1"/>
  <c r="X361" i="1"/>
  <c r="Y361" i="1" s="1"/>
  <c r="X360" i="1"/>
  <c r="Y360" i="1" s="1"/>
  <c r="X359" i="1"/>
  <c r="Y359" i="1" s="1"/>
  <c r="X358" i="1"/>
  <c r="Y358" i="1" s="1"/>
  <c r="X357" i="1"/>
  <c r="Y357" i="1" s="1"/>
  <c r="X356" i="1"/>
  <c r="Y356" i="1" s="1"/>
  <c r="X355" i="1"/>
  <c r="Y355" i="1" s="1"/>
  <c r="X354" i="1"/>
  <c r="Y354" i="1" s="1"/>
  <c r="X353" i="1"/>
  <c r="Y353" i="1" s="1"/>
  <c r="X352" i="1"/>
  <c r="Y352" i="1" s="1"/>
  <c r="X351" i="1"/>
  <c r="Y351" i="1" s="1"/>
  <c r="X350" i="1"/>
  <c r="Y350" i="1" s="1"/>
  <c r="X349" i="1"/>
  <c r="Y349" i="1" s="1"/>
  <c r="X348" i="1"/>
  <c r="Y348" i="1" s="1"/>
  <c r="X347" i="1"/>
  <c r="Y347" i="1" s="1"/>
  <c r="X346" i="1"/>
  <c r="Y346" i="1" s="1"/>
  <c r="X345" i="1"/>
  <c r="Y345" i="1" s="1"/>
  <c r="X344" i="1"/>
  <c r="Y344" i="1" s="1"/>
  <c r="X343" i="1"/>
  <c r="Y343" i="1" s="1"/>
  <c r="X342" i="1"/>
  <c r="Y342" i="1" s="1"/>
  <c r="X341" i="1"/>
  <c r="Y341" i="1" s="1"/>
  <c r="X340" i="1"/>
  <c r="Y340" i="1" s="1"/>
  <c r="X339" i="1"/>
  <c r="Y339" i="1" s="1"/>
  <c r="X338" i="1"/>
  <c r="Y338" i="1" s="1"/>
  <c r="X337" i="1"/>
  <c r="Y337" i="1" s="1"/>
  <c r="X336" i="1"/>
  <c r="Y336" i="1" s="1"/>
  <c r="X335" i="1"/>
  <c r="Y335" i="1" s="1"/>
  <c r="X334" i="1"/>
  <c r="Y334" i="1" s="1"/>
  <c r="X333" i="1"/>
  <c r="Y333" i="1" s="1"/>
  <c r="X332" i="1"/>
  <c r="Y332" i="1" s="1"/>
  <c r="X331" i="1"/>
  <c r="Y331" i="1" s="1"/>
  <c r="X330" i="1"/>
  <c r="Y330" i="1" s="1"/>
  <c r="X329" i="1"/>
  <c r="Y329" i="1" s="1"/>
  <c r="X328" i="1"/>
  <c r="Y328" i="1" s="1"/>
  <c r="X327" i="1"/>
  <c r="Y327" i="1" s="1"/>
  <c r="X326" i="1"/>
  <c r="Y326" i="1" s="1"/>
  <c r="X325" i="1"/>
  <c r="Y325" i="1" s="1"/>
  <c r="X324" i="1"/>
  <c r="Y324" i="1" s="1"/>
  <c r="X323" i="1"/>
  <c r="Y323" i="1" s="1"/>
  <c r="X322" i="1"/>
  <c r="Y322" i="1" s="1"/>
  <c r="X321" i="1"/>
  <c r="Y321" i="1" s="1"/>
  <c r="X320" i="1"/>
  <c r="Y320" i="1" s="1"/>
  <c r="X319" i="1"/>
  <c r="Y319" i="1" s="1"/>
  <c r="X318" i="1"/>
  <c r="Y318" i="1" s="1"/>
  <c r="X317" i="1"/>
  <c r="Y317" i="1" s="1"/>
  <c r="X316" i="1"/>
  <c r="Y316" i="1" s="1"/>
  <c r="X315" i="1"/>
  <c r="Y315" i="1" s="1"/>
  <c r="X314" i="1"/>
  <c r="Y314" i="1" s="1"/>
  <c r="X313" i="1"/>
  <c r="Y313" i="1" s="1"/>
  <c r="X312" i="1"/>
  <c r="Y312" i="1" s="1"/>
  <c r="X311" i="1"/>
  <c r="Y311" i="1" s="1"/>
  <c r="X310" i="1"/>
  <c r="Y310" i="1" s="1"/>
  <c r="X309" i="1"/>
  <c r="Y309" i="1" s="1"/>
  <c r="X308" i="1"/>
  <c r="Y308" i="1" s="1"/>
  <c r="X307" i="1"/>
  <c r="Y307" i="1" s="1"/>
  <c r="X306" i="1"/>
  <c r="Y306" i="1" s="1"/>
  <c r="X305" i="1"/>
  <c r="Y305" i="1" s="1"/>
  <c r="X304" i="1"/>
  <c r="Y304" i="1" s="1"/>
  <c r="X303" i="1"/>
  <c r="Y303" i="1" s="1"/>
  <c r="X302" i="1"/>
  <c r="Y302" i="1" s="1"/>
  <c r="X301" i="1"/>
  <c r="Y301" i="1" s="1"/>
  <c r="X300" i="1"/>
  <c r="Y300" i="1" s="1"/>
  <c r="X299" i="1"/>
  <c r="Y299" i="1" s="1"/>
  <c r="X298" i="1"/>
  <c r="Y298" i="1" s="1"/>
  <c r="X297" i="1"/>
  <c r="Y297" i="1" s="1"/>
  <c r="X296" i="1"/>
  <c r="Y296" i="1" s="1"/>
  <c r="X295" i="1"/>
  <c r="Y295" i="1" s="1"/>
  <c r="X294" i="1"/>
  <c r="Y294" i="1" s="1"/>
  <c r="X293" i="1"/>
  <c r="Y293" i="1" s="1"/>
  <c r="X292" i="1"/>
  <c r="Y292" i="1" s="1"/>
  <c r="X291" i="1"/>
  <c r="Y291" i="1" s="1"/>
  <c r="X290" i="1"/>
  <c r="Y290" i="1" s="1"/>
  <c r="X289" i="1"/>
  <c r="Y289" i="1" s="1"/>
  <c r="X288" i="1"/>
  <c r="Y288" i="1" s="1"/>
  <c r="X287" i="1"/>
  <c r="Y287" i="1" s="1"/>
  <c r="X286" i="1"/>
  <c r="Y286" i="1" s="1"/>
  <c r="X285" i="1"/>
  <c r="Y285" i="1" s="1"/>
  <c r="X284" i="1"/>
  <c r="Y284" i="1" s="1"/>
  <c r="X283" i="1"/>
  <c r="Y283" i="1" s="1"/>
  <c r="X282" i="1"/>
  <c r="Y282" i="1" s="1"/>
  <c r="X281" i="1"/>
  <c r="Y281" i="1" s="1"/>
  <c r="X280" i="1"/>
  <c r="Y280" i="1" s="1"/>
  <c r="X279" i="1"/>
  <c r="Y279" i="1" s="1"/>
  <c r="X278" i="1"/>
  <c r="Y278" i="1" s="1"/>
  <c r="X277" i="1"/>
  <c r="Y277" i="1" s="1"/>
  <c r="X276" i="1"/>
  <c r="Y276" i="1" s="1"/>
  <c r="X275" i="1"/>
  <c r="Y275" i="1" s="1"/>
  <c r="X274" i="1"/>
  <c r="Y274" i="1" s="1"/>
  <c r="X273" i="1"/>
  <c r="Y273" i="1" s="1"/>
  <c r="X272" i="1"/>
  <c r="Y272" i="1" s="1"/>
  <c r="X271" i="1"/>
  <c r="Y271" i="1" s="1"/>
  <c r="X270" i="1"/>
  <c r="Y270" i="1" s="1"/>
  <c r="X269" i="1"/>
  <c r="Y269" i="1" s="1"/>
  <c r="X268" i="1"/>
  <c r="Y268" i="1" s="1"/>
  <c r="X267" i="1"/>
  <c r="Y267" i="1" s="1"/>
  <c r="X266" i="1"/>
  <c r="Y266" i="1" s="1"/>
  <c r="X265" i="1"/>
  <c r="Y265" i="1" s="1"/>
  <c r="X264" i="1"/>
  <c r="Y264" i="1" s="1"/>
  <c r="X263" i="1"/>
  <c r="Y263" i="1" s="1"/>
  <c r="X262" i="1"/>
  <c r="Y262" i="1" s="1"/>
  <c r="X261" i="1"/>
  <c r="Y261" i="1" s="1"/>
  <c r="X260" i="1"/>
  <c r="Y260" i="1" s="1"/>
  <c r="X259" i="1"/>
  <c r="Y259" i="1" s="1"/>
  <c r="X258" i="1"/>
  <c r="Y258" i="1" s="1"/>
  <c r="X257" i="1"/>
  <c r="Y257" i="1" s="1"/>
  <c r="X256" i="1"/>
  <c r="Y256" i="1" s="1"/>
  <c r="X255" i="1"/>
  <c r="Y255" i="1" s="1"/>
  <c r="X254" i="1"/>
  <c r="Y254" i="1" s="1"/>
  <c r="X253" i="1"/>
  <c r="Y253" i="1" s="1"/>
  <c r="X252" i="1"/>
  <c r="Y252" i="1" s="1"/>
  <c r="X251" i="1"/>
  <c r="Y251" i="1" s="1"/>
  <c r="X250" i="1"/>
  <c r="Y250" i="1" s="1"/>
  <c r="X249" i="1"/>
  <c r="Y249" i="1" s="1"/>
  <c r="X248" i="1"/>
  <c r="Y248" i="1" s="1"/>
  <c r="X247" i="1"/>
  <c r="Y247" i="1" s="1"/>
  <c r="X246" i="1"/>
  <c r="Y246" i="1" s="1"/>
  <c r="X245" i="1"/>
  <c r="Y245" i="1" s="1"/>
  <c r="X244" i="1"/>
  <c r="Y244" i="1" s="1"/>
  <c r="X243" i="1"/>
  <c r="Y243" i="1" s="1"/>
  <c r="X242" i="1"/>
  <c r="Y242" i="1" s="1"/>
  <c r="X241" i="1"/>
  <c r="Y241" i="1" s="1"/>
  <c r="X240" i="1"/>
  <c r="Y240" i="1" s="1"/>
  <c r="X239" i="1"/>
  <c r="Y239" i="1" s="1"/>
  <c r="X238" i="1"/>
  <c r="Y238" i="1" s="1"/>
  <c r="X237" i="1"/>
  <c r="Y237" i="1" s="1"/>
  <c r="X236" i="1"/>
  <c r="Y236" i="1" s="1"/>
  <c r="X235" i="1"/>
  <c r="Y235" i="1" s="1"/>
  <c r="X234" i="1"/>
  <c r="Y234" i="1" s="1"/>
  <c r="X233" i="1"/>
  <c r="Y233" i="1" s="1"/>
  <c r="X232" i="1"/>
  <c r="Y232" i="1" s="1"/>
  <c r="X231" i="1"/>
  <c r="Y231" i="1" s="1"/>
  <c r="X230" i="1"/>
  <c r="Y230" i="1" s="1"/>
  <c r="X229" i="1"/>
  <c r="Y229" i="1" s="1"/>
  <c r="X228" i="1"/>
  <c r="Y228" i="1" s="1"/>
  <c r="X227" i="1"/>
  <c r="Y227" i="1" s="1"/>
  <c r="X226" i="1"/>
  <c r="Y226" i="1" s="1"/>
  <c r="X225" i="1"/>
  <c r="Y225" i="1" s="1"/>
  <c r="X224" i="1"/>
  <c r="Y224" i="1" s="1"/>
  <c r="X223" i="1"/>
  <c r="Y223" i="1" s="1"/>
  <c r="X222" i="1"/>
  <c r="Y222" i="1" s="1"/>
  <c r="X221" i="1"/>
  <c r="Y221" i="1" s="1"/>
  <c r="X220" i="1"/>
  <c r="Y220" i="1" s="1"/>
  <c r="X219" i="1"/>
  <c r="Y219" i="1" s="1"/>
  <c r="X218" i="1"/>
  <c r="Y218" i="1" s="1"/>
  <c r="X217" i="1"/>
  <c r="Y217" i="1" s="1"/>
  <c r="X216" i="1"/>
  <c r="Y216" i="1" s="1"/>
  <c r="X215" i="1"/>
  <c r="Y215" i="1" s="1"/>
  <c r="X214" i="1"/>
  <c r="Y214" i="1" s="1"/>
  <c r="X213" i="1"/>
  <c r="Y213" i="1" s="1"/>
  <c r="X212" i="1"/>
  <c r="Y212" i="1" s="1"/>
  <c r="X211" i="1"/>
  <c r="Y211" i="1" s="1"/>
  <c r="X210" i="1"/>
  <c r="Y210" i="1" s="1"/>
  <c r="X209" i="1"/>
  <c r="Y209" i="1" s="1"/>
  <c r="X208" i="1"/>
  <c r="Y208" i="1" s="1"/>
  <c r="X207" i="1"/>
  <c r="Y207" i="1" s="1"/>
  <c r="X206" i="1"/>
  <c r="Y206" i="1" s="1"/>
  <c r="X205" i="1"/>
  <c r="Y205" i="1" s="1"/>
  <c r="X204" i="1"/>
  <c r="Y204" i="1" s="1"/>
  <c r="X203" i="1"/>
  <c r="Y203" i="1" s="1"/>
  <c r="X202" i="1"/>
  <c r="Y202" i="1" s="1"/>
  <c r="X201" i="1"/>
  <c r="Y201" i="1" s="1"/>
  <c r="X200" i="1"/>
  <c r="Y200" i="1" s="1"/>
  <c r="X199" i="1"/>
  <c r="Y199" i="1" s="1"/>
  <c r="X198" i="1"/>
  <c r="Y198" i="1" s="1"/>
  <c r="X197" i="1"/>
  <c r="Y197" i="1" s="1"/>
  <c r="X196" i="1"/>
  <c r="Y196" i="1" s="1"/>
  <c r="X195" i="1"/>
  <c r="Y195" i="1" s="1"/>
  <c r="X194" i="1"/>
  <c r="Y194" i="1" s="1"/>
  <c r="X193" i="1"/>
  <c r="Y193" i="1" s="1"/>
  <c r="X192" i="1"/>
  <c r="Y192" i="1" s="1"/>
  <c r="X191" i="1"/>
  <c r="Y191" i="1" s="1"/>
  <c r="X190" i="1"/>
  <c r="Y190" i="1" s="1"/>
  <c r="X189" i="1"/>
  <c r="Y189" i="1" s="1"/>
  <c r="X188" i="1"/>
  <c r="Y188" i="1" s="1"/>
  <c r="X187" i="1"/>
  <c r="Y187" i="1" s="1"/>
  <c r="X186" i="1"/>
  <c r="Y186" i="1" s="1"/>
  <c r="X185" i="1"/>
  <c r="Y185" i="1" s="1"/>
  <c r="X184" i="1"/>
  <c r="Y184" i="1" s="1"/>
  <c r="X183" i="1"/>
  <c r="Y183" i="1" s="1"/>
  <c r="X182" i="1"/>
  <c r="Y182" i="1" s="1"/>
  <c r="X181" i="1"/>
  <c r="Y181" i="1" s="1"/>
  <c r="X180" i="1"/>
  <c r="Y180" i="1" s="1"/>
  <c r="X179" i="1"/>
  <c r="Y179" i="1" s="1"/>
  <c r="X178" i="1"/>
  <c r="Y178" i="1" s="1"/>
  <c r="X177" i="1"/>
  <c r="Y177" i="1" s="1"/>
  <c r="X176" i="1"/>
  <c r="Y176" i="1" s="1"/>
  <c r="X175" i="1"/>
  <c r="Y175" i="1" s="1"/>
  <c r="X174" i="1"/>
  <c r="Y174" i="1" s="1"/>
  <c r="X173" i="1"/>
  <c r="Y173" i="1" s="1"/>
  <c r="X172" i="1"/>
  <c r="Y172" i="1" s="1"/>
  <c r="X171" i="1"/>
  <c r="Y171" i="1" s="1"/>
  <c r="X170" i="1"/>
  <c r="Y170" i="1" s="1"/>
  <c r="X169" i="1"/>
  <c r="Y169" i="1" s="1"/>
  <c r="X168" i="1"/>
  <c r="Y168" i="1" s="1"/>
  <c r="X167" i="1"/>
  <c r="Y167" i="1" s="1"/>
  <c r="X166" i="1"/>
  <c r="Y166" i="1" s="1"/>
  <c r="X165" i="1"/>
  <c r="Y165" i="1" s="1"/>
  <c r="X164" i="1"/>
  <c r="Y164" i="1" s="1"/>
  <c r="X163" i="1"/>
  <c r="Y163" i="1" s="1"/>
  <c r="X162" i="1"/>
  <c r="Y162" i="1" s="1"/>
  <c r="X161" i="1"/>
  <c r="Y161" i="1" s="1"/>
  <c r="X160" i="1"/>
  <c r="Y160" i="1" s="1"/>
  <c r="X159" i="1"/>
  <c r="Y159" i="1" s="1"/>
  <c r="X158" i="1"/>
  <c r="Y158" i="1" s="1"/>
  <c r="X157" i="1"/>
  <c r="Y157" i="1" s="1"/>
  <c r="X156" i="1"/>
  <c r="Y156" i="1" s="1"/>
  <c r="X155" i="1"/>
  <c r="Y155" i="1" s="1"/>
  <c r="X154" i="1"/>
  <c r="Y154" i="1" s="1"/>
  <c r="X153" i="1"/>
  <c r="Y153" i="1" s="1"/>
  <c r="X152" i="1"/>
  <c r="Y152" i="1" s="1"/>
  <c r="X151" i="1"/>
  <c r="Y151" i="1" s="1"/>
  <c r="X150" i="1"/>
  <c r="Y150" i="1" s="1"/>
  <c r="X149" i="1"/>
  <c r="Y149" i="1" s="1"/>
  <c r="X148" i="1"/>
  <c r="Y148" i="1" s="1"/>
  <c r="X147" i="1"/>
  <c r="Y147" i="1" s="1"/>
  <c r="X146" i="1"/>
  <c r="Y146" i="1" s="1"/>
  <c r="X145" i="1"/>
  <c r="Y145" i="1" s="1"/>
  <c r="X144" i="1"/>
  <c r="Y144" i="1" s="1"/>
  <c r="X143" i="1"/>
  <c r="Y143" i="1" s="1"/>
  <c r="X142" i="1"/>
  <c r="Y142" i="1" s="1"/>
  <c r="X141" i="1"/>
  <c r="Y141" i="1" s="1"/>
  <c r="X140" i="1"/>
  <c r="Y140" i="1" s="1"/>
  <c r="X139" i="1"/>
  <c r="Y139" i="1" s="1"/>
  <c r="X138" i="1"/>
  <c r="Y138" i="1" s="1"/>
  <c r="X137" i="1"/>
  <c r="Y137" i="1" s="1"/>
  <c r="X136" i="1"/>
  <c r="Y136" i="1" s="1"/>
  <c r="X135" i="1"/>
  <c r="Y135" i="1" s="1"/>
  <c r="X134" i="1"/>
  <c r="Y134" i="1" s="1"/>
  <c r="X133" i="1"/>
  <c r="Y133" i="1" s="1"/>
  <c r="X132" i="1"/>
  <c r="Y132" i="1" s="1"/>
  <c r="X131" i="1"/>
  <c r="Y131" i="1" s="1"/>
  <c r="X130" i="1"/>
  <c r="Y130" i="1" s="1"/>
  <c r="X129" i="1"/>
  <c r="Y129" i="1" s="1"/>
  <c r="X128" i="1"/>
  <c r="Y128" i="1" s="1"/>
  <c r="X127" i="1"/>
  <c r="Y127" i="1" s="1"/>
  <c r="X126" i="1"/>
  <c r="Y126" i="1" s="1"/>
  <c r="X125" i="1"/>
  <c r="Y125" i="1" s="1"/>
  <c r="X124" i="1"/>
  <c r="Y124" i="1" s="1"/>
  <c r="X123" i="1"/>
  <c r="Y123" i="1" s="1"/>
  <c r="X122" i="1"/>
  <c r="Y122" i="1" s="1"/>
  <c r="X121" i="1"/>
  <c r="Y121" i="1" s="1"/>
  <c r="X120" i="1"/>
  <c r="Y120" i="1" s="1"/>
  <c r="X119" i="1"/>
  <c r="Y119" i="1" s="1"/>
  <c r="X118" i="1"/>
  <c r="Y118" i="1" s="1"/>
  <c r="X117" i="1"/>
  <c r="Y117" i="1" s="1"/>
  <c r="X116" i="1"/>
  <c r="Y116" i="1" s="1"/>
  <c r="X115" i="1"/>
  <c r="Y115" i="1" s="1"/>
  <c r="X114" i="1"/>
  <c r="Y114" i="1" s="1"/>
  <c r="X113" i="1"/>
  <c r="Y113" i="1" s="1"/>
  <c r="X112" i="1"/>
  <c r="Y112" i="1" s="1"/>
  <c r="X111" i="1"/>
  <c r="Y111" i="1" s="1"/>
  <c r="X110" i="1"/>
  <c r="Y110" i="1" s="1"/>
  <c r="X109" i="1"/>
  <c r="Y109" i="1" s="1"/>
  <c r="X108" i="1"/>
  <c r="Y108" i="1" s="1"/>
  <c r="X107" i="1"/>
  <c r="Y107" i="1" s="1"/>
  <c r="X106" i="1"/>
  <c r="Y106" i="1" s="1"/>
  <c r="X105" i="1"/>
  <c r="Y105" i="1" s="1"/>
  <c r="X104" i="1"/>
  <c r="Y104" i="1" s="1"/>
  <c r="X103" i="1"/>
  <c r="Y103" i="1" s="1"/>
  <c r="X102" i="1"/>
  <c r="Y102" i="1" s="1"/>
  <c r="X101" i="1"/>
  <c r="Y101" i="1" s="1"/>
  <c r="X100" i="1"/>
  <c r="Y100" i="1" s="1"/>
  <c r="X99" i="1"/>
  <c r="Y99" i="1" s="1"/>
  <c r="X98" i="1"/>
  <c r="Y98" i="1" s="1"/>
  <c r="X97" i="1"/>
  <c r="Y97" i="1" s="1"/>
  <c r="X96" i="1"/>
  <c r="Y96" i="1" s="1"/>
  <c r="X95" i="1"/>
  <c r="Y95" i="1" s="1"/>
  <c r="X94" i="1"/>
  <c r="Y94" i="1" s="1"/>
  <c r="X93" i="1"/>
  <c r="Y93" i="1" s="1"/>
  <c r="X92" i="1"/>
  <c r="Y92" i="1" s="1"/>
  <c r="X91" i="1"/>
  <c r="Y91" i="1" s="1"/>
  <c r="X90" i="1"/>
  <c r="Y90" i="1" s="1"/>
  <c r="X89" i="1"/>
  <c r="Y89" i="1" s="1"/>
  <c r="X88" i="1"/>
  <c r="Y88" i="1" s="1"/>
  <c r="X87" i="1"/>
  <c r="Y87" i="1" s="1"/>
  <c r="X86" i="1"/>
  <c r="Y86" i="1" s="1"/>
  <c r="X85" i="1"/>
  <c r="Y85" i="1" s="1"/>
  <c r="X84" i="1"/>
  <c r="Y84" i="1" s="1"/>
  <c r="X83" i="1"/>
  <c r="Y83" i="1" s="1"/>
  <c r="X82" i="1"/>
  <c r="Y82" i="1" s="1"/>
  <c r="X81" i="1"/>
  <c r="Y81" i="1" s="1"/>
  <c r="X80" i="1"/>
  <c r="Y80" i="1" s="1"/>
  <c r="X79" i="1"/>
  <c r="Y79" i="1" s="1"/>
  <c r="X78" i="1"/>
  <c r="Y78" i="1" s="1"/>
  <c r="X77" i="1"/>
  <c r="Y77" i="1" s="1"/>
  <c r="X76" i="1"/>
  <c r="Y76" i="1" s="1"/>
  <c r="X75" i="1"/>
  <c r="Y75" i="1" s="1"/>
  <c r="X74" i="1"/>
  <c r="Y74" i="1" s="1"/>
  <c r="X73" i="1"/>
  <c r="Y73" i="1" s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U4" i="1"/>
  <c r="U5" i="1"/>
  <c r="U6" i="1"/>
  <c r="U7" i="1"/>
  <c r="U8" i="1"/>
  <c r="U9" i="1"/>
  <c r="U10" i="1"/>
  <c r="U11" i="1"/>
  <c r="U12" i="1"/>
  <c r="O4" i="1"/>
  <c r="Q4" i="1" s="1"/>
  <c r="U375" i="1" l="1"/>
  <c r="W375" i="1" l="1"/>
  <c r="O373" i="1"/>
  <c r="O374" i="1"/>
  <c r="V374" i="1"/>
  <c r="V373" i="1"/>
  <c r="V72" i="1"/>
  <c r="V71" i="1"/>
  <c r="V68" i="1"/>
  <c r="V69" i="1"/>
  <c r="V70" i="1"/>
  <c r="V63" i="1"/>
  <c r="V64" i="1"/>
  <c r="V65" i="1"/>
  <c r="V66" i="1"/>
  <c r="V67" i="1"/>
  <c r="V60" i="1"/>
  <c r="V61" i="1"/>
  <c r="V62" i="1"/>
  <c r="V57" i="1"/>
  <c r="V58" i="1"/>
  <c r="V59" i="1"/>
  <c r="V53" i="1"/>
  <c r="V54" i="1"/>
  <c r="V55" i="1"/>
  <c r="V56" i="1"/>
  <c r="V47" i="1"/>
  <c r="V46" i="1"/>
  <c r="V48" i="1"/>
  <c r="V49" i="1"/>
  <c r="V51" i="1"/>
  <c r="V52" i="1"/>
  <c r="V44" i="1"/>
  <c r="V45" i="1"/>
  <c r="V50" i="1"/>
  <c r="V43" i="1"/>
  <c r="V42" i="1"/>
  <c r="V41" i="1"/>
  <c r="V38" i="1"/>
  <c r="V39" i="1"/>
  <c r="V40" i="1"/>
  <c r="V36" i="1"/>
  <c r="V37" i="1"/>
  <c r="V33" i="1"/>
  <c r="V34" i="1"/>
  <c r="V35" i="1"/>
  <c r="V29" i="1"/>
  <c r="V30" i="1"/>
  <c r="V31" i="1"/>
  <c r="V32" i="1"/>
  <c r="V27" i="1"/>
  <c r="V28" i="1"/>
  <c r="V23" i="1"/>
  <c r="V24" i="1"/>
  <c r="V25" i="1"/>
  <c r="V26" i="1"/>
  <c r="V19" i="1"/>
  <c r="V17" i="1"/>
  <c r="V15" i="1"/>
  <c r="V14" i="1"/>
  <c r="V13" i="1"/>
  <c r="V16" i="1"/>
  <c r="V18" i="1"/>
  <c r="V20" i="1"/>
  <c r="V21" i="1"/>
  <c r="V22" i="1"/>
  <c r="V7" i="1"/>
  <c r="V8" i="1"/>
  <c r="V9" i="1"/>
  <c r="V10" i="1"/>
  <c r="V11" i="1"/>
  <c r="V12" i="1"/>
  <c r="V6" i="1"/>
  <c r="V5" i="1"/>
  <c r="V4" i="1"/>
  <c r="V375" i="1" l="1"/>
  <c r="X44" i="1"/>
  <c r="X30" i="1"/>
  <c r="X29" i="1"/>
  <c r="X49" i="1"/>
  <c r="X64" i="1"/>
  <c r="Y64" i="1" s="1"/>
  <c r="X14" i="1"/>
  <c r="Y14" i="1" s="1"/>
  <c r="X33" i="1"/>
  <c r="X46" i="1"/>
  <c r="X63" i="1"/>
  <c r="Y63" i="1" s="1"/>
  <c r="X31" i="1"/>
  <c r="X52" i="1"/>
  <c r="X65" i="1"/>
  <c r="Y65" i="1" s="1"/>
  <c r="X15" i="1"/>
  <c r="Y15" i="1" s="1"/>
  <c r="X40" i="1"/>
  <c r="X67" i="1"/>
  <c r="Y67" i="1" s="1"/>
  <c r="X51" i="1"/>
  <c r="X35" i="1"/>
  <c r="X48" i="1"/>
  <c r="X70" i="1"/>
  <c r="Y70" i="1" s="1"/>
  <c r="X17" i="1"/>
  <c r="X19" i="1"/>
  <c r="X12" i="1"/>
  <c r="X54" i="1"/>
  <c r="X25" i="1"/>
  <c r="X60" i="1"/>
  <c r="Y60" i="1" s="1"/>
  <c r="X66" i="1"/>
  <c r="Y66" i="1" s="1"/>
  <c r="X13" i="1"/>
  <c r="Y13" i="1" s="1"/>
  <c r="X37" i="1"/>
  <c r="X56" i="1"/>
  <c r="Y56" i="1" s="1"/>
  <c r="X68" i="1"/>
  <c r="Y68" i="1" s="1"/>
  <c r="X39" i="1"/>
  <c r="X38" i="1"/>
  <c r="X24" i="1"/>
  <c r="X21" i="1"/>
  <c r="X20" i="1"/>
  <c r="X18" i="1"/>
  <c r="X16" i="1"/>
  <c r="X47" i="1"/>
  <c r="X36" i="1"/>
  <c r="X55" i="1"/>
  <c r="X26" i="1"/>
  <c r="X72" i="1"/>
  <c r="Y72" i="1" s="1"/>
  <c r="X34" i="1"/>
  <c r="X69" i="1"/>
  <c r="Y69" i="1" s="1"/>
  <c r="X71" i="1"/>
  <c r="Y71" i="1" s="1"/>
  <c r="X53" i="1"/>
  <c r="X41" i="1"/>
  <c r="X59" i="1"/>
  <c r="Y59" i="1" s="1"/>
  <c r="X373" i="1"/>
  <c r="X23" i="1"/>
  <c r="X42" i="1"/>
  <c r="X58" i="1"/>
  <c r="Y58" i="1" s="1"/>
  <c r="X374" i="1"/>
  <c r="X28" i="1"/>
  <c r="X43" i="1"/>
  <c r="X57" i="1"/>
  <c r="Y57" i="1" s="1"/>
  <c r="X27" i="1"/>
  <c r="X50" i="1"/>
  <c r="X62" i="1"/>
  <c r="Y62" i="1" s="1"/>
  <c r="X22" i="1"/>
  <c r="X32" i="1"/>
  <c r="X45" i="1"/>
  <c r="X61" i="1"/>
  <c r="Y61" i="1" s="1"/>
  <c r="X4" i="1"/>
  <c r="X6" i="1"/>
  <c r="X11" i="1"/>
  <c r="X5" i="1"/>
  <c r="X3" i="1"/>
  <c r="X10" i="1"/>
  <c r="X8" i="1"/>
  <c r="Q374" i="1"/>
  <c r="X7" i="1"/>
  <c r="Q373" i="1"/>
  <c r="X9" i="1"/>
  <c r="Y374" i="1" l="1"/>
  <c r="Y373" i="1"/>
  <c r="Y52" i="1"/>
  <c r="Y38" i="1"/>
  <c r="Y39" i="1"/>
  <c r="Y34" i="1"/>
  <c r="Y27" i="1"/>
  <c r="Y50" i="1"/>
  <c r="Y31" i="1"/>
  <c r="Y26" i="1"/>
  <c r="Y47" i="1"/>
  <c r="Y46" i="1"/>
  <c r="Y36" i="1"/>
  <c r="Y49" i="1"/>
  <c r="Y45" i="1"/>
  <c r="Y53" i="1"/>
  <c r="Y40" i="1"/>
  <c r="Y32" i="1"/>
  <c r="Y22" i="1"/>
  <c r="Y37" i="1"/>
  <c r="Y54" i="1"/>
  <c r="Y18" i="1"/>
  <c r="Y17" i="1"/>
  <c r="Y42" i="1"/>
  <c r="Y20" i="1"/>
  <c r="Y29" i="1"/>
  <c r="Y48" i="1"/>
  <c r="Y30" i="1"/>
  <c r="Y51" i="1"/>
  <c r="Y41" i="1"/>
  <c r="Y55" i="1"/>
  <c r="Y25" i="1"/>
  <c r="Y43" i="1"/>
  <c r="Y33" i="1"/>
  <c r="Y28" i="1"/>
  <c r="Y16" i="1"/>
  <c r="Y19" i="1"/>
  <c r="Y23" i="1"/>
  <c r="Y21" i="1"/>
  <c r="Y24" i="1"/>
  <c r="Y35" i="1"/>
  <c r="Y44" i="1"/>
  <c r="Y4" i="1"/>
  <c r="R371" i="1" l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R372" i="1" l="1"/>
  <c r="M374" i="1" l="1"/>
  <c r="M373" i="1"/>
  <c r="P373" i="1" l="1"/>
  <c r="P374" i="1"/>
  <c r="AH373" i="1"/>
  <c r="AG373" i="1"/>
  <c r="AH374" i="1"/>
  <c r="AG374" i="1"/>
  <c r="L32" i="2"/>
  <c r="L33" i="2"/>
  <c r="K33" i="2"/>
  <c r="J32" i="2"/>
  <c r="K32" i="2"/>
  <c r="Z374" i="1" l="1"/>
  <c r="Z373" i="1"/>
  <c r="R374" i="1"/>
  <c r="R373" i="1"/>
  <c r="AI374" i="1"/>
  <c r="AI373" i="1"/>
  <c r="F375" i="1" l="1"/>
  <c r="AF375" i="1"/>
  <c r="X375" i="1" l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9" i="1"/>
  <c r="AE30" i="1"/>
  <c r="AE31" i="1"/>
  <c r="AE32" i="1"/>
  <c r="AE28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5" i="1" l="1"/>
  <c r="AH13" i="1"/>
  <c r="AO13" i="1" s="1"/>
  <c r="AH14" i="1"/>
  <c r="AO14" i="1" s="1"/>
  <c r="AH15" i="1"/>
  <c r="AO15" i="1" s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9" i="1"/>
  <c r="AH30" i="1"/>
  <c r="AH31" i="1"/>
  <c r="AH32" i="1"/>
  <c r="AH28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O22" i="1" l="1"/>
  <c r="AO24" i="1"/>
  <c r="AO36" i="1"/>
  <c r="AO17" i="1"/>
  <c r="AO47" i="1"/>
  <c r="AO32" i="1"/>
  <c r="AO27" i="1"/>
  <c r="AO41" i="1"/>
  <c r="AO40" i="1"/>
  <c r="AO38" i="1"/>
  <c r="AO37" i="1"/>
  <c r="AO20" i="1"/>
  <c r="AO50" i="1"/>
  <c r="AO49" i="1"/>
  <c r="AO28" i="1"/>
  <c r="AO42" i="1"/>
  <c r="AO25" i="1"/>
  <c r="AO39" i="1"/>
  <c r="AO21" i="1"/>
  <c r="AO51" i="1"/>
  <c r="AO19" i="1"/>
  <c r="AO34" i="1"/>
  <c r="AO18" i="1"/>
  <c r="AO33" i="1"/>
  <c r="AO48" i="1"/>
  <c r="AO16" i="1"/>
  <c r="AO46" i="1"/>
  <c r="AO31" i="1"/>
  <c r="AO45" i="1"/>
  <c r="AO30" i="1"/>
  <c r="AO43" i="1"/>
  <c r="AO26" i="1"/>
  <c r="AO23" i="1"/>
  <c r="AO52" i="1"/>
  <c r="AO35" i="1"/>
  <c r="AO44" i="1"/>
  <c r="AO29" i="1"/>
  <c r="AH372" i="1"/>
  <c r="AI372" i="1" s="1"/>
  <c r="AG372" i="1"/>
  <c r="AH371" i="1"/>
  <c r="AI371" i="1" s="1"/>
  <c r="AG371" i="1"/>
  <c r="AH370" i="1"/>
  <c r="AI370" i="1" s="1"/>
  <c r="AG370" i="1"/>
  <c r="AH369" i="1"/>
  <c r="AI369" i="1" s="1"/>
  <c r="AG369" i="1"/>
  <c r="AH368" i="1"/>
  <c r="AI368" i="1" s="1"/>
  <c r="AG368" i="1"/>
  <c r="AH367" i="1"/>
  <c r="AI367" i="1" s="1"/>
  <c r="AG367" i="1"/>
  <c r="AH366" i="1"/>
  <c r="AI366" i="1" s="1"/>
  <c r="AG366" i="1"/>
  <c r="AH365" i="1"/>
  <c r="AI365" i="1" s="1"/>
  <c r="AG365" i="1"/>
  <c r="AH364" i="1"/>
  <c r="AI364" i="1" s="1"/>
  <c r="AG364" i="1"/>
  <c r="AH363" i="1"/>
  <c r="AI363" i="1" s="1"/>
  <c r="AG363" i="1"/>
  <c r="AH362" i="1"/>
  <c r="AI362" i="1" s="1"/>
  <c r="AG362" i="1"/>
  <c r="AH361" i="1"/>
  <c r="AI361" i="1" s="1"/>
  <c r="AG361" i="1"/>
  <c r="AH360" i="1"/>
  <c r="AI360" i="1" s="1"/>
  <c r="AG360" i="1"/>
  <c r="AH359" i="1"/>
  <c r="AI359" i="1" s="1"/>
  <c r="AG359" i="1"/>
  <c r="AH358" i="1"/>
  <c r="AI358" i="1" s="1"/>
  <c r="AG358" i="1"/>
  <c r="AH357" i="1"/>
  <c r="AI357" i="1" s="1"/>
  <c r="AG357" i="1"/>
  <c r="AH356" i="1"/>
  <c r="AI356" i="1" s="1"/>
  <c r="AG356" i="1"/>
  <c r="AH355" i="1"/>
  <c r="AI355" i="1" s="1"/>
  <c r="AG355" i="1"/>
  <c r="AH354" i="1"/>
  <c r="AI354" i="1" s="1"/>
  <c r="AG354" i="1"/>
  <c r="AH353" i="1"/>
  <c r="AI353" i="1" s="1"/>
  <c r="AG353" i="1"/>
  <c r="AH352" i="1"/>
  <c r="AI352" i="1" s="1"/>
  <c r="AG352" i="1"/>
  <c r="AH351" i="1"/>
  <c r="AI351" i="1" s="1"/>
  <c r="AG351" i="1"/>
  <c r="AH350" i="1"/>
  <c r="AI350" i="1" s="1"/>
  <c r="AG350" i="1"/>
  <c r="AH349" i="1"/>
  <c r="AI349" i="1" s="1"/>
  <c r="AG349" i="1"/>
  <c r="AH348" i="1"/>
  <c r="AI348" i="1" s="1"/>
  <c r="AG348" i="1"/>
  <c r="AH347" i="1"/>
  <c r="AI347" i="1" s="1"/>
  <c r="AG347" i="1"/>
  <c r="AH346" i="1"/>
  <c r="AI346" i="1" s="1"/>
  <c r="AG346" i="1"/>
  <c r="AH345" i="1"/>
  <c r="AI345" i="1" s="1"/>
  <c r="AG345" i="1"/>
  <c r="AH344" i="1"/>
  <c r="AI344" i="1" s="1"/>
  <c r="AG344" i="1"/>
  <c r="AH343" i="1"/>
  <c r="AI343" i="1" s="1"/>
  <c r="AG343" i="1"/>
  <c r="AH342" i="1"/>
  <c r="AI342" i="1" s="1"/>
  <c r="AG342" i="1"/>
  <c r="AH341" i="1"/>
  <c r="AI341" i="1" s="1"/>
  <c r="AG341" i="1"/>
  <c r="AH340" i="1"/>
  <c r="AI340" i="1" s="1"/>
  <c r="AG340" i="1"/>
  <c r="AH339" i="1"/>
  <c r="AI339" i="1" s="1"/>
  <c r="AG339" i="1"/>
  <c r="AH338" i="1"/>
  <c r="AI338" i="1" s="1"/>
  <c r="AG338" i="1"/>
  <c r="AH337" i="1"/>
  <c r="AI337" i="1" s="1"/>
  <c r="AG337" i="1"/>
  <c r="AH336" i="1"/>
  <c r="AI336" i="1" s="1"/>
  <c r="AG336" i="1"/>
  <c r="AH335" i="1"/>
  <c r="AI335" i="1" s="1"/>
  <c r="AG335" i="1"/>
  <c r="AH334" i="1"/>
  <c r="AI334" i="1" s="1"/>
  <c r="AG334" i="1"/>
  <c r="AH333" i="1"/>
  <c r="AI333" i="1" s="1"/>
  <c r="AG333" i="1"/>
  <c r="AH332" i="1"/>
  <c r="AI332" i="1" s="1"/>
  <c r="AG332" i="1"/>
  <c r="AH331" i="1"/>
  <c r="AI331" i="1" s="1"/>
  <c r="AG331" i="1"/>
  <c r="AH330" i="1"/>
  <c r="AI330" i="1" s="1"/>
  <c r="AG330" i="1"/>
  <c r="AH329" i="1"/>
  <c r="AI329" i="1" s="1"/>
  <c r="AG329" i="1"/>
  <c r="AH328" i="1"/>
  <c r="AI328" i="1" s="1"/>
  <c r="AG328" i="1"/>
  <c r="AH327" i="1"/>
  <c r="AI327" i="1" s="1"/>
  <c r="AG327" i="1"/>
  <c r="AH326" i="1"/>
  <c r="AI326" i="1" s="1"/>
  <c r="AG326" i="1"/>
  <c r="AH325" i="1"/>
  <c r="AI325" i="1" s="1"/>
  <c r="AG325" i="1"/>
  <c r="AH324" i="1"/>
  <c r="AI324" i="1" s="1"/>
  <c r="AG324" i="1"/>
  <c r="AH323" i="1"/>
  <c r="AI323" i="1" s="1"/>
  <c r="AG323" i="1"/>
  <c r="AH322" i="1"/>
  <c r="AI322" i="1" s="1"/>
  <c r="AG322" i="1"/>
  <c r="AH321" i="1"/>
  <c r="AI321" i="1" s="1"/>
  <c r="AG321" i="1"/>
  <c r="AH320" i="1"/>
  <c r="AI320" i="1" s="1"/>
  <c r="AG320" i="1"/>
  <c r="AH319" i="1"/>
  <c r="AI319" i="1" s="1"/>
  <c r="AG319" i="1"/>
  <c r="AH318" i="1"/>
  <c r="AI318" i="1" s="1"/>
  <c r="AG318" i="1"/>
  <c r="AH317" i="1"/>
  <c r="AI317" i="1" s="1"/>
  <c r="AG317" i="1"/>
  <c r="AH316" i="1"/>
  <c r="AI316" i="1" s="1"/>
  <c r="AG316" i="1"/>
  <c r="AH315" i="1"/>
  <c r="AI315" i="1" s="1"/>
  <c r="AG315" i="1"/>
  <c r="AH314" i="1"/>
  <c r="AI314" i="1" s="1"/>
  <c r="AG314" i="1"/>
  <c r="AH313" i="1"/>
  <c r="AI313" i="1" s="1"/>
  <c r="AG313" i="1"/>
  <c r="AH312" i="1"/>
  <c r="AI312" i="1" s="1"/>
  <c r="AG312" i="1"/>
  <c r="AH311" i="1"/>
  <c r="AI311" i="1" s="1"/>
  <c r="AG311" i="1"/>
  <c r="AH310" i="1"/>
  <c r="AI310" i="1" s="1"/>
  <c r="AG310" i="1"/>
  <c r="AH309" i="1"/>
  <c r="AI309" i="1" s="1"/>
  <c r="AG309" i="1"/>
  <c r="AH308" i="1"/>
  <c r="AI308" i="1" s="1"/>
  <c r="AG308" i="1"/>
  <c r="AH307" i="1"/>
  <c r="AI307" i="1" s="1"/>
  <c r="AG307" i="1"/>
  <c r="AH306" i="1"/>
  <c r="AI306" i="1" s="1"/>
  <c r="AG306" i="1"/>
  <c r="AH305" i="1"/>
  <c r="AI305" i="1" s="1"/>
  <c r="AG305" i="1"/>
  <c r="AH304" i="1"/>
  <c r="AI304" i="1" s="1"/>
  <c r="AG304" i="1"/>
  <c r="AH303" i="1"/>
  <c r="AI303" i="1" s="1"/>
  <c r="AG303" i="1"/>
  <c r="AH302" i="1"/>
  <c r="AI302" i="1" s="1"/>
  <c r="AG302" i="1"/>
  <c r="AH301" i="1"/>
  <c r="AI301" i="1" s="1"/>
  <c r="AG301" i="1"/>
  <c r="AH300" i="1"/>
  <c r="AI300" i="1" s="1"/>
  <c r="AG300" i="1"/>
  <c r="AH299" i="1"/>
  <c r="AI299" i="1" s="1"/>
  <c r="AG299" i="1"/>
  <c r="AH298" i="1"/>
  <c r="AI298" i="1" s="1"/>
  <c r="AG298" i="1"/>
  <c r="AH297" i="1"/>
  <c r="AI297" i="1" s="1"/>
  <c r="AG297" i="1"/>
  <c r="AH296" i="1"/>
  <c r="AI296" i="1" s="1"/>
  <c r="AG296" i="1"/>
  <c r="AH295" i="1"/>
  <c r="AI295" i="1" s="1"/>
  <c r="AG295" i="1"/>
  <c r="AH294" i="1"/>
  <c r="AI294" i="1" s="1"/>
  <c r="AG294" i="1"/>
  <c r="AH293" i="1"/>
  <c r="AI293" i="1" s="1"/>
  <c r="AG293" i="1"/>
  <c r="AH292" i="1"/>
  <c r="AI292" i="1" s="1"/>
  <c r="AG292" i="1"/>
  <c r="AH291" i="1"/>
  <c r="AI291" i="1" s="1"/>
  <c r="AG291" i="1"/>
  <c r="AH290" i="1"/>
  <c r="AI290" i="1" s="1"/>
  <c r="AG290" i="1"/>
  <c r="AH289" i="1"/>
  <c r="AI289" i="1" s="1"/>
  <c r="AG289" i="1"/>
  <c r="AH288" i="1"/>
  <c r="AI288" i="1" s="1"/>
  <c r="AG288" i="1"/>
  <c r="AH287" i="1"/>
  <c r="AI287" i="1" s="1"/>
  <c r="AG287" i="1"/>
  <c r="AH286" i="1"/>
  <c r="AI286" i="1" s="1"/>
  <c r="AG286" i="1"/>
  <c r="AH285" i="1"/>
  <c r="AI285" i="1" s="1"/>
  <c r="AG285" i="1"/>
  <c r="AH284" i="1"/>
  <c r="AI284" i="1" s="1"/>
  <c r="AG284" i="1"/>
  <c r="AH283" i="1"/>
  <c r="AI283" i="1" s="1"/>
  <c r="AG283" i="1"/>
  <c r="AH282" i="1"/>
  <c r="AI282" i="1" s="1"/>
  <c r="AG282" i="1"/>
  <c r="AH281" i="1"/>
  <c r="AI281" i="1" s="1"/>
  <c r="AG281" i="1"/>
  <c r="AH280" i="1"/>
  <c r="AI280" i="1" s="1"/>
  <c r="AG280" i="1"/>
  <c r="AH279" i="1"/>
  <c r="AI279" i="1" s="1"/>
  <c r="AG279" i="1"/>
  <c r="AH278" i="1"/>
  <c r="AI278" i="1" s="1"/>
  <c r="AG278" i="1"/>
  <c r="AH277" i="1"/>
  <c r="AI277" i="1" s="1"/>
  <c r="AG277" i="1"/>
  <c r="AH276" i="1"/>
  <c r="AI276" i="1" s="1"/>
  <c r="AG276" i="1"/>
  <c r="AH275" i="1"/>
  <c r="AI275" i="1" s="1"/>
  <c r="AG275" i="1"/>
  <c r="AH274" i="1"/>
  <c r="AI274" i="1" s="1"/>
  <c r="AG274" i="1"/>
  <c r="AH273" i="1"/>
  <c r="AI273" i="1" s="1"/>
  <c r="AG273" i="1"/>
  <c r="AH272" i="1"/>
  <c r="AI272" i="1" s="1"/>
  <c r="AG272" i="1"/>
  <c r="AH271" i="1"/>
  <c r="AI271" i="1" s="1"/>
  <c r="AG271" i="1"/>
  <c r="AH270" i="1"/>
  <c r="AI270" i="1" s="1"/>
  <c r="AG270" i="1"/>
  <c r="AH269" i="1"/>
  <c r="AI269" i="1" s="1"/>
  <c r="AG269" i="1"/>
  <c r="AH268" i="1"/>
  <c r="AI268" i="1" s="1"/>
  <c r="AG268" i="1"/>
  <c r="AH267" i="1"/>
  <c r="AI267" i="1" s="1"/>
  <c r="AG267" i="1"/>
  <c r="AH266" i="1"/>
  <c r="AI266" i="1" s="1"/>
  <c r="AG266" i="1"/>
  <c r="AH265" i="1"/>
  <c r="AI265" i="1" s="1"/>
  <c r="AG265" i="1"/>
  <c r="AH264" i="1"/>
  <c r="AI264" i="1" s="1"/>
  <c r="AG264" i="1"/>
  <c r="AH263" i="1"/>
  <c r="AI263" i="1" s="1"/>
  <c r="AG263" i="1"/>
  <c r="AH262" i="1"/>
  <c r="AI262" i="1" s="1"/>
  <c r="AG262" i="1"/>
  <c r="AH261" i="1"/>
  <c r="AI261" i="1" s="1"/>
  <c r="AG261" i="1"/>
  <c r="AH260" i="1"/>
  <c r="AI260" i="1" s="1"/>
  <c r="AG260" i="1"/>
  <c r="AH259" i="1"/>
  <c r="AI259" i="1" s="1"/>
  <c r="AG259" i="1"/>
  <c r="AH258" i="1"/>
  <c r="AI258" i="1" s="1"/>
  <c r="AG258" i="1"/>
  <c r="AH257" i="1"/>
  <c r="AI257" i="1" s="1"/>
  <c r="AG257" i="1"/>
  <c r="AH256" i="1"/>
  <c r="AI256" i="1" s="1"/>
  <c r="AG256" i="1"/>
  <c r="AH255" i="1"/>
  <c r="AI255" i="1" s="1"/>
  <c r="AG255" i="1"/>
  <c r="AH254" i="1"/>
  <c r="AI254" i="1" s="1"/>
  <c r="AG254" i="1"/>
  <c r="AH253" i="1"/>
  <c r="AI253" i="1" s="1"/>
  <c r="AG253" i="1"/>
  <c r="AH252" i="1"/>
  <c r="AI252" i="1" s="1"/>
  <c r="AG252" i="1"/>
  <c r="AH251" i="1"/>
  <c r="AI251" i="1" s="1"/>
  <c r="AG251" i="1"/>
  <c r="AH250" i="1"/>
  <c r="AI250" i="1" s="1"/>
  <c r="AG250" i="1"/>
  <c r="AH249" i="1"/>
  <c r="AI249" i="1" s="1"/>
  <c r="AG249" i="1"/>
  <c r="AH248" i="1"/>
  <c r="AI248" i="1" s="1"/>
  <c r="AG248" i="1"/>
  <c r="AH247" i="1"/>
  <c r="AI247" i="1" s="1"/>
  <c r="AG247" i="1"/>
  <c r="AH246" i="1"/>
  <c r="AI246" i="1" s="1"/>
  <c r="AG246" i="1"/>
  <c r="AH245" i="1"/>
  <c r="AI245" i="1" s="1"/>
  <c r="AG245" i="1"/>
  <c r="AH244" i="1"/>
  <c r="AI244" i="1" s="1"/>
  <c r="AG244" i="1"/>
  <c r="AH243" i="1"/>
  <c r="AI243" i="1" s="1"/>
  <c r="AG243" i="1"/>
  <c r="AH242" i="1"/>
  <c r="AI242" i="1" s="1"/>
  <c r="AG242" i="1"/>
  <c r="AH241" i="1"/>
  <c r="AI241" i="1" s="1"/>
  <c r="AG241" i="1"/>
  <c r="AH240" i="1"/>
  <c r="AI240" i="1" s="1"/>
  <c r="AG240" i="1"/>
  <c r="AH239" i="1"/>
  <c r="AI239" i="1" s="1"/>
  <c r="AG239" i="1"/>
  <c r="AH238" i="1"/>
  <c r="AI238" i="1" s="1"/>
  <c r="AG238" i="1"/>
  <c r="AH237" i="1"/>
  <c r="AI237" i="1" s="1"/>
  <c r="AG237" i="1"/>
  <c r="AH236" i="1"/>
  <c r="AI236" i="1" s="1"/>
  <c r="AG236" i="1"/>
  <c r="AH235" i="1"/>
  <c r="AI235" i="1" s="1"/>
  <c r="AG235" i="1"/>
  <c r="AH234" i="1"/>
  <c r="AI234" i="1" s="1"/>
  <c r="AG234" i="1"/>
  <c r="AH233" i="1"/>
  <c r="AI233" i="1" s="1"/>
  <c r="AG233" i="1"/>
  <c r="AH232" i="1"/>
  <c r="AI232" i="1" s="1"/>
  <c r="AG232" i="1"/>
  <c r="AH231" i="1"/>
  <c r="AI231" i="1" s="1"/>
  <c r="AG231" i="1"/>
  <c r="AH230" i="1"/>
  <c r="AI230" i="1" s="1"/>
  <c r="AG230" i="1"/>
  <c r="AH229" i="1"/>
  <c r="AI229" i="1" s="1"/>
  <c r="AG229" i="1"/>
  <c r="AH228" i="1"/>
  <c r="AI228" i="1" s="1"/>
  <c r="AG228" i="1"/>
  <c r="AH227" i="1"/>
  <c r="AI227" i="1" s="1"/>
  <c r="AG227" i="1"/>
  <c r="AH226" i="1"/>
  <c r="AI226" i="1" s="1"/>
  <c r="AG226" i="1"/>
  <c r="AH225" i="1"/>
  <c r="AI225" i="1" s="1"/>
  <c r="AG225" i="1"/>
  <c r="AH224" i="1"/>
  <c r="AI224" i="1" s="1"/>
  <c r="AG224" i="1"/>
  <c r="AH223" i="1"/>
  <c r="AI223" i="1" s="1"/>
  <c r="AG223" i="1"/>
  <c r="AH222" i="1"/>
  <c r="AI222" i="1" s="1"/>
  <c r="AG222" i="1"/>
  <c r="AH221" i="1"/>
  <c r="AI221" i="1" s="1"/>
  <c r="AG221" i="1"/>
  <c r="AH220" i="1"/>
  <c r="AI220" i="1" s="1"/>
  <c r="AG220" i="1"/>
  <c r="AH219" i="1"/>
  <c r="AI219" i="1" s="1"/>
  <c r="AG219" i="1"/>
  <c r="AH218" i="1"/>
  <c r="AI218" i="1" s="1"/>
  <c r="AG218" i="1"/>
  <c r="AH217" i="1"/>
  <c r="AI217" i="1" s="1"/>
  <c r="AG217" i="1"/>
  <c r="AH216" i="1"/>
  <c r="AI216" i="1" s="1"/>
  <c r="AG216" i="1"/>
  <c r="AH215" i="1"/>
  <c r="AI215" i="1" s="1"/>
  <c r="AG215" i="1"/>
  <c r="AH214" i="1"/>
  <c r="AI214" i="1" s="1"/>
  <c r="AG214" i="1"/>
  <c r="AH213" i="1"/>
  <c r="AI213" i="1" s="1"/>
  <c r="AG213" i="1"/>
  <c r="AH212" i="1"/>
  <c r="AI212" i="1" s="1"/>
  <c r="AG212" i="1"/>
  <c r="AH211" i="1"/>
  <c r="AI211" i="1" s="1"/>
  <c r="AG211" i="1"/>
  <c r="AH210" i="1"/>
  <c r="AI210" i="1" s="1"/>
  <c r="AG210" i="1"/>
  <c r="AH209" i="1"/>
  <c r="AI209" i="1" s="1"/>
  <c r="AG209" i="1"/>
  <c r="AH208" i="1"/>
  <c r="AI208" i="1" s="1"/>
  <c r="AG208" i="1"/>
  <c r="AH207" i="1"/>
  <c r="AI207" i="1" s="1"/>
  <c r="AG207" i="1"/>
  <c r="AH206" i="1"/>
  <c r="AI206" i="1" s="1"/>
  <c r="AG206" i="1"/>
  <c r="AH205" i="1"/>
  <c r="AI205" i="1" s="1"/>
  <c r="AG205" i="1"/>
  <c r="AH204" i="1"/>
  <c r="AI204" i="1" s="1"/>
  <c r="AG204" i="1"/>
  <c r="AH203" i="1"/>
  <c r="AI203" i="1" s="1"/>
  <c r="AG203" i="1"/>
  <c r="AH202" i="1"/>
  <c r="AI202" i="1" s="1"/>
  <c r="AG202" i="1"/>
  <c r="AH201" i="1"/>
  <c r="AI201" i="1" s="1"/>
  <c r="AG201" i="1"/>
  <c r="AH200" i="1"/>
  <c r="AI200" i="1" s="1"/>
  <c r="AG200" i="1"/>
  <c r="AH199" i="1"/>
  <c r="AI199" i="1" s="1"/>
  <c r="AG199" i="1"/>
  <c r="AH198" i="1"/>
  <c r="AI198" i="1" s="1"/>
  <c r="AG198" i="1"/>
  <c r="AH197" i="1"/>
  <c r="AI197" i="1" s="1"/>
  <c r="AG197" i="1"/>
  <c r="AH196" i="1"/>
  <c r="AI196" i="1" s="1"/>
  <c r="AG196" i="1"/>
  <c r="AH195" i="1"/>
  <c r="AI195" i="1" s="1"/>
  <c r="AG195" i="1"/>
  <c r="AH194" i="1"/>
  <c r="AI194" i="1" s="1"/>
  <c r="AG194" i="1"/>
  <c r="AH193" i="1"/>
  <c r="AI193" i="1" s="1"/>
  <c r="AG193" i="1"/>
  <c r="AH192" i="1"/>
  <c r="AI192" i="1" s="1"/>
  <c r="AG192" i="1"/>
  <c r="AH191" i="1"/>
  <c r="AI191" i="1" s="1"/>
  <c r="AG191" i="1"/>
  <c r="AH190" i="1"/>
  <c r="AI190" i="1" s="1"/>
  <c r="AG190" i="1"/>
  <c r="AH189" i="1"/>
  <c r="AI189" i="1" s="1"/>
  <c r="AG189" i="1"/>
  <c r="AH188" i="1"/>
  <c r="AI188" i="1" s="1"/>
  <c r="AG188" i="1"/>
  <c r="AH187" i="1"/>
  <c r="AI187" i="1" s="1"/>
  <c r="AG187" i="1"/>
  <c r="AH186" i="1"/>
  <c r="AI186" i="1" s="1"/>
  <c r="AG186" i="1"/>
  <c r="AH185" i="1"/>
  <c r="AI185" i="1" s="1"/>
  <c r="AG185" i="1"/>
  <c r="AH184" i="1"/>
  <c r="AI184" i="1" s="1"/>
  <c r="AG184" i="1"/>
  <c r="AH183" i="1"/>
  <c r="AI183" i="1" s="1"/>
  <c r="AG183" i="1"/>
  <c r="AH182" i="1"/>
  <c r="AI182" i="1" s="1"/>
  <c r="AG182" i="1"/>
  <c r="AH181" i="1"/>
  <c r="AI181" i="1" s="1"/>
  <c r="AG181" i="1"/>
  <c r="AH180" i="1"/>
  <c r="AI180" i="1" s="1"/>
  <c r="AG180" i="1"/>
  <c r="AH179" i="1"/>
  <c r="AI179" i="1" s="1"/>
  <c r="AG179" i="1"/>
  <c r="AH178" i="1"/>
  <c r="AI178" i="1" s="1"/>
  <c r="AG178" i="1"/>
  <c r="AH177" i="1"/>
  <c r="AI177" i="1" s="1"/>
  <c r="AG177" i="1"/>
  <c r="AH176" i="1"/>
  <c r="AI176" i="1" s="1"/>
  <c r="AG176" i="1"/>
  <c r="AH175" i="1"/>
  <c r="AI175" i="1" s="1"/>
  <c r="AG175" i="1"/>
  <c r="AH174" i="1"/>
  <c r="AI174" i="1" s="1"/>
  <c r="AG174" i="1"/>
  <c r="AH173" i="1"/>
  <c r="AI173" i="1" s="1"/>
  <c r="AG173" i="1"/>
  <c r="AH172" i="1"/>
  <c r="AI172" i="1" s="1"/>
  <c r="AG172" i="1"/>
  <c r="AH171" i="1"/>
  <c r="AI171" i="1" s="1"/>
  <c r="AG171" i="1"/>
  <c r="AH170" i="1"/>
  <c r="AI170" i="1" s="1"/>
  <c r="AG170" i="1"/>
  <c r="AH169" i="1"/>
  <c r="AI169" i="1" s="1"/>
  <c r="AG169" i="1"/>
  <c r="AH168" i="1"/>
  <c r="AI168" i="1" s="1"/>
  <c r="AG168" i="1"/>
  <c r="AH167" i="1"/>
  <c r="AI167" i="1" s="1"/>
  <c r="AG167" i="1"/>
  <c r="AH166" i="1"/>
  <c r="AI166" i="1" s="1"/>
  <c r="AG166" i="1"/>
  <c r="AH165" i="1"/>
  <c r="AI165" i="1" s="1"/>
  <c r="AG165" i="1"/>
  <c r="AH164" i="1"/>
  <c r="AI164" i="1" s="1"/>
  <c r="AG164" i="1"/>
  <c r="AH163" i="1"/>
  <c r="AI163" i="1" s="1"/>
  <c r="AG163" i="1"/>
  <c r="AH162" i="1"/>
  <c r="AI162" i="1" s="1"/>
  <c r="AG162" i="1"/>
  <c r="AH161" i="1"/>
  <c r="AI161" i="1" s="1"/>
  <c r="AG161" i="1"/>
  <c r="AH160" i="1"/>
  <c r="AI160" i="1" s="1"/>
  <c r="AG160" i="1"/>
  <c r="AH159" i="1"/>
  <c r="AI159" i="1" s="1"/>
  <c r="AG159" i="1"/>
  <c r="AH158" i="1"/>
  <c r="AI158" i="1" s="1"/>
  <c r="AG158" i="1"/>
  <c r="AH157" i="1"/>
  <c r="AI157" i="1" s="1"/>
  <c r="AG157" i="1"/>
  <c r="AH156" i="1"/>
  <c r="AI156" i="1" s="1"/>
  <c r="AG156" i="1"/>
  <c r="AH155" i="1"/>
  <c r="AI155" i="1" s="1"/>
  <c r="AG155" i="1"/>
  <c r="AH154" i="1"/>
  <c r="AI154" i="1" s="1"/>
  <c r="AG154" i="1"/>
  <c r="AH153" i="1"/>
  <c r="AI153" i="1" s="1"/>
  <c r="AG153" i="1"/>
  <c r="AH152" i="1"/>
  <c r="AI152" i="1" s="1"/>
  <c r="AG152" i="1"/>
  <c r="AH151" i="1"/>
  <c r="AI151" i="1" s="1"/>
  <c r="AG151" i="1"/>
  <c r="AH150" i="1"/>
  <c r="AI150" i="1" s="1"/>
  <c r="AG150" i="1"/>
  <c r="AH149" i="1"/>
  <c r="AI149" i="1" s="1"/>
  <c r="AG149" i="1"/>
  <c r="AH148" i="1"/>
  <c r="AI148" i="1" s="1"/>
  <c r="AG148" i="1"/>
  <c r="AH147" i="1"/>
  <c r="AI147" i="1" s="1"/>
  <c r="AG147" i="1"/>
  <c r="AH146" i="1"/>
  <c r="AI146" i="1" s="1"/>
  <c r="AG146" i="1"/>
  <c r="AH145" i="1"/>
  <c r="AI145" i="1" s="1"/>
  <c r="AG145" i="1"/>
  <c r="AH144" i="1"/>
  <c r="AI144" i="1" s="1"/>
  <c r="AG144" i="1"/>
  <c r="AH143" i="1"/>
  <c r="AI143" i="1" s="1"/>
  <c r="AG143" i="1"/>
  <c r="AH142" i="1"/>
  <c r="AI142" i="1" s="1"/>
  <c r="AG142" i="1"/>
  <c r="AH141" i="1"/>
  <c r="AI141" i="1" s="1"/>
  <c r="AG141" i="1"/>
  <c r="AH140" i="1"/>
  <c r="AI140" i="1" s="1"/>
  <c r="AG140" i="1"/>
  <c r="AH139" i="1"/>
  <c r="AI139" i="1" s="1"/>
  <c r="AG139" i="1"/>
  <c r="AH138" i="1"/>
  <c r="AI138" i="1" s="1"/>
  <c r="AG138" i="1"/>
  <c r="AH137" i="1"/>
  <c r="AI137" i="1" s="1"/>
  <c r="AG137" i="1"/>
  <c r="AH136" i="1"/>
  <c r="AI136" i="1" s="1"/>
  <c r="AG136" i="1"/>
  <c r="AH135" i="1"/>
  <c r="AI135" i="1" s="1"/>
  <c r="AG135" i="1"/>
  <c r="AH134" i="1"/>
  <c r="AI134" i="1" s="1"/>
  <c r="AG134" i="1"/>
  <c r="AH133" i="1"/>
  <c r="AI133" i="1" s="1"/>
  <c r="AG133" i="1"/>
  <c r="AH132" i="1"/>
  <c r="AI132" i="1" s="1"/>
  <c r="AG132" i="1"/>
  <c r="AH131" i="1"/>
  <c r="AI131" i="1" s="1"/>
  <c r="AG131" i="1"/>
  <c r="AH130" i="1"/>
  <c r="AI130" i="1" s="1"/>
  <c r="AG130" i="1"/>
  <c r="AH129" i="1"/>
  <c r="AI129" i="1" s="1"/>
  <c r="AG129" i="1"/>
  <c r="AH128" i="1"/>
  <c r="AI128" i="1" s="1"/>
  <c r="AG128" i="1"/>
  <c r="AH127" i="1"/>
  <c r="AI127" i="1" s="1"/>
  <c r="AG127" i="1"/>
  <c r="AH126" i="1"/>
  <c r="AI126" i="1" s="1"/>
  <c r="AG126" i="1"/>
  <c r="AH125" i="1"/>
  <c r="AI125" i="1" s="1"/>
  <c r="AG125" i="1"/>
  <c r="AH124" i="1"/>
  <c r="AI124" i="1" s="1"/>
  <c r="AG124" i="1"/>
  <c r="AH123" i="1"/>
  <c r="AI123" i="1" s="1"/>
  <c r="AG123" i="1"/>
  <c r="AH122" i="1"/>
  <c r="AI122" i="1" s="1"/>
  <c r="AG122" i="1"/>
  <c r="AH121" i="1"/>
  <c r="AI121" i="1" s="1"/>
  <c r="AG121" i="1"/>
  <c r="AH120" i="1"/>
  <c r="AI120" i="1" s="1"/>
  <c r="AG120" i="1"/>
  <c r="AH119" i="1"/>
  <c r="AI119" i="1" s="1"/>
  <c r="AG119" i="1"/>
  <c r="AH118" i="1"/>
  <c r="AI118" i="1" s="1"/>
  <c r="AG118" i="1"/>
  <c r="AH117" i="1"/>
  <c r="AI117" i="1" s="1"/>
  <c r="AG117" i="1"/>
  <c r="AH116" i="1"/>
  <c r="AI116" i="1" s="1"/>
  <c r="AG116" i="1"/>
  <c r="AH115" i="1"/>
  <c r="AI115" i="1" s="1"/>
  <c r="AG115" i="1"/>
  <c r="AH114" i="1"/>
  <c r="AI114" i="1" s="1"/>
  <c r="AG114" i="1"/>
  <c r="AH113" i="1"/>
  <c r="AI113" i="1" s="1"/>
  <c r="AG113" i="1"/>
  <c r="AH112" i="1"/>
  <c r="AI112" i="1" s="1"/>
  <c r="AG112" i="1"/>
  <c r="AH111" i="1"/>
  <c r="AI111" i="1" s="1"/>
  <c r="AG111" i="1"/>
  <c r="AH110" i="1"/>
  <c r="AI110" i="1" s="1"/>
  <c r="AG110" i="1"/>
  <c r="AH109" i="1"/>
  <c r="AI109" i="1" s="1"/>
  <c r="AG109" i="1"/>
  <c r="AH108" i="1"/>
  <c r="AI108" i="1" s="1"/>
  <c r="AG108" i="1"/>
  <c r="AH107" i="1"/>
  <c r="AI107" i="1" s="1"/>
  <c r="AG107" i="1"/>
  <c r="AH106" i="1"/>
  <c r="AI106" i="1" s="1"/>
  <c r="AG106" i="1"/>
  <c r="AH105" i="1"/>
  <c r="AI105" i="1" s="1"/>
  <c r="AG105" i="1"/>
  <c r="AH104" i="1"/>
  <c r="AI104" i="1" s="1"/>
  <c r="AG104" i="1"/>
  <c r="AH103" i="1"/>
  <c r="AI103" i="1" s="1"/>
  <c r="AG103" i="1"/>
  <c r="AH102" i="1"/>
  <c r="AI102" i="1" s="1"/>
  <c r="AG102" i="1"/>
  <c r="AH101" i="1"/>
  <c r="AI101" i="1" s="1"/>
  <c r="AG101" i="1"/>
  <c r="AH100" i="1"/>
  <c r="AI100" i="1" s="1"/>
  <c r="AG100" i="1"/>
  <c r="AH99" i="1"/>
  <c r="AI99" i="1" s="1"/>
  <c r="AG99" i="1"/>
  <c r="AH98" i="1"/>
  <c r="AI98" i="1" s="1"/>
  <c r="AG98" i="1"/>
  <c r="AH97" i="1"/>
  <c r="AI97" i="1" s="1"/>
  <c r="AG97" i="1"/>
  <c r="AH96" i="1"/>
  <c r="AI96" i="1" s="1"/>
  <c r="AG96" i="1"/>
  <c r="AH95" i="1"/>
  <c r="AG95" i="1"/>
  <c r="AH94" i="1"/>
  <c r="AI94" i="1" s="1"/>
  <c r="AG94" i="1"/>
  <c r="AH93" i="1"/>
  <c r="AI93" i="1" s="1"/>
  <c r="AG93" i="1"/>
  <c r="AH92" i="1"/>
  <c r="AI92" i="1" s="1"/>
  <c r="AG92" i="1"/>
  <c r="AH91" i="1"/>
  <c r="AI91" i="1" s="1"/>
  <c r="AG91" i="1"/>
  <c r="AH90" i="1"/>
  <c r="AI90" i="1" s="1"/>
  <c r="AG90" i="1"/>
  <c r="AH89" i="1"/>
  <c r="AI89" i="1" s="1"/>
  <c r="AG89" i="1"/>
  <c r="AH88" i="1"/>
  <c r="AI88" i="1" s="1"/>
  <c r="AG88" i="1"/>
  <c r="AH87" i="1"/>
  <c r="AI87" i="1" s="1"/>
  <c r="AG87" i="1"/>
  <c r="AH86" i="1"/>
  <c r="AI86" i="1" s="1"/>
  <c r="AG86" i="1"/>
  <c r="AH85" i="1"/>
  <c r="AI85" i="1" s="1"/>
  <c r="AG85" i="1"/>
  <c r="AH84" i="1"/>
  <c r="AI84" i="1" s="1"/>
  <c r="AG84" i="1"/>
  <c r="AH83" i="1"/>
  <c r="AI83" i="1" s="1"/>
  <c r="AG83" i="1"/>
  <c r="AH82" i="1"/>
  <c r="AI82" i="1" s="1"/>
  <c r="AG82" i="1"/>
  <c r="AH81" i="1"/>
  <c r="AI81" i="1" s="1"/>
  <c r="AG81" i="1"/>
  <c r="AH80" i="1"/>
  <c r="AI80" i="1" s="1"/>
  <c r="AG80" i="1"/>
  <c r="AH79" i="1"/>
  <c r="AI79" i="1" s="1"/>
  <c r="AG79" i="1"/>
  <c r="AH78" i="1"/>
  <c r="AI78" i="1" s="1"/>
  <c r="AG78" i="1"/>
  <c r="AH77" i="1"/>
  <c r="AI77" i="1" s="1"/>
  <c r="AG77" i="1"/>
  <c r="AH76" i="1"/>
  <c r="AI76" i="1" s="1"/>
  <c r="AG76" i="1"/>
  <c r="AH75" i="1"/>
  <c r="AI75" i="1" s="1"/>
  <c r="AG75" i="1"/>
  <c r="AH74" i="1"/>
  <c r="AI74" i="1" s="1"/>
  <c r="AG74" i="1"/>
  <c r="AH73" i="1"/>
  <c r="AG73" i="1"/>
  <c r="AI73" i="1" l="1"/>
  <c r="AI95" i="1"/>
  <c r="J29" i="2"/>
  <c r="K28" i="2"/>
  <c r="K31" i="2"/>
  <c r="J30" i="2"/>
  <c r="J31" i="2"/>
  <c r="K29" i="2"/>
  <c r="K30" i="2"/>
  <c r="J28" i="2"/>
  <c r="J34" i="2" l="1"/>
  <c r="L30" i="2"/>
  <c r="L31" i="2"/>
  <c r="L28" i="2"/>
  <c r="L29" i="2"/>
  <c r="L34" i="2" l="1"/>
  <c r="K24" i="2"/>
  <c r="L24" i="2"/>
  <c r="L20" i="2"/>
  <c r="L18" i="2"/>
  <c r="L16" i="2"/>
  <c r="K16" i="2"/>
  <c r="K18" i="2"/>
  <c r="K20" i="2"/>
  <c r="N16" i="2" l="1"/>
  <c r="N18" i="2"/>
  <c r="N24" i="2"/>
  <c r="N20" i="2"/>
  <c r="A3" i="5"/>
  <c r="C3" i="5"/>
  <c r="D3" i="5"/>
  <c r="E3" i="5" s="1"/>
  <c r="F3" i="5"/>
  <c r="G3" i="5"/>
  <c r="I3" i="5"/>
  <c r="J3" i="5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M24" i="2" l="1"/>
  <c r="O24" i="2" s="1"/>
  <c r="Z112" i="1" l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M92" i="1"/>
  <c r="P92" i="1" s="1"/>
  <c r="M91" i="1"/>
  <c r="P91" i="1" s="1"/>
  <c r="M90" i="1"/>
  <c r="P90" i="1" s="1"/>
  <c r="M89" i="1"/>
  <c r="P89" i="1" s="1"/>
  <c r="M88" i="1"/>
  <c r="P88" i="1" s="1"/>
  <c r="M87" i="1"/>
  <c r="P87" i="1" s="1"/>
  <c r="M86" i="1"/>
  <c r="P86" i="1" s="1"/>
  <c r="M85" i="1"/>
  <c r="P85" i="1" s="1"/>
  <c r="M84" i="1"/>
  <c r="P84" i="1" s="1"/>
  <c r="M83" i="1"/>
  <c r="P83" i="1" s="1"/>
  <c r="M82" i="1"/>
  <c r="P82" i="1" s="1"/>
  <c r="M81" i="1"/>
  <c r="P81" i="1" s="1"/>
  <c r="M80" i="1"/>
  <c r="P80" i="1" s="1"/>
  <c r="M79" i="1"/>
  <c r="P79" i="1" s="1"/>
  <c r="M78" i="1"/>
  <c r="P78" i="1" s="1"/>
  <c r="M77" i="1"/>
  <c r="P77" i="1" s="1"/>
  <c r="M76" i="1"/>
  <c r="P76" i="1" s="1"/>
  <c r="M75" i="1"/>
  <c r="P75" i="1" s="1"/>
  <c r="M74" i="1"/>
  <c r="P74" i="1" s="1"/>
  <c r="M73" i="1"/>
  <c r="P73" i="1" s="1"/>
  <c r="M111" i="1" l="1"/>
  <c r="P111" i="1" s="1"/>
  <c r="M110" i="1"/>
  <c r="P110" i="1" s="1"/>
  <c r="M109" i="1"/>
  <c r="P109" i="1" s="1"/>
  <c r="M108" i="1"/>
  <c r="P108" i="1" s="1"/>
  <c r="M107" i="1"/>
  <c r="P107" i="1" s="1"/>
  <c r="M106" i="1"/>
  <c r="P106" i="1" s="1"/>
  <c r="M105" i="1"/>
  <c r="P105" i="1" s="1"/>
  <c r="M104" i="1"/>
  <c r="P104" i="1" s="1"/>
  <c r="M103" i="1"/>
  <c r="P103" i="1" s="1"/>
  <c r="M102" i="1"/>
  <c r="P102" i="1" s="1"/>
  <c r="M101" i="1"/>
  <c r="P101" i="1" s="1"/>
  <c r="M100" i="1"/>
  <c r="P100" i="1" s="1"/>
  <c r="M99" i="1"/>
  <c r="P99" i="1" s="1"/>
  <c r="M98" i="1"/>
  <c r="P98" i="1" s="1"/>
  <c r="M97" i="1"/>
  <c r="P97" i="1" s="1"/>
  <c r="M96" i="1"/>
  <c r="P96" i="1" s="1"/>
  <c r="M95" i="1"/>
  <c r="P95" i="1" s="1"/>
  <c r="M94" i="1"/>
  <c r="P94" i="1" s="1"/>
  <c r="M93" i="1"/>
  <c r="P93" i="1" s="1"/>
  <c r="AH72" i="1"/>
  <c r="AO72" i="1" s="1"/>
  <c r="AG72" i="1"/>
  <c r="M72" i="1"/>
  <c r="P72" i="1" s="1"/>
  <c r="R72" i="1" s="1"/>
  <c r="A2" i="5"/>
  <c r="B4" i="5"/>
  <c r="J2" i="5"/>
  <c r="I2" i="5"/>
  <c r="G2" i="5"/>
  <c r="F2" i="5"/>
  <c r="D2" i="5"/>
  <c r="E2" i="5" s="1"/>
  <c r="C2" i="5"/>
  <c r="Z53" i="1" l="1"/>
  <c r="AI72" i="1"/>
  <c r="C4" i="5"/>
  <c r="J4" i="5"/>
  <c r="M53" i="1" l="1"/>
  <c r="P53" i="1" s="1"/>
  <c r="M54" i="1"/>
  <c r="P54" i="1" s="1"/>
  <c r="M55" i="1"/>
  <c r="P55" i="1" s="1"/>
  <c r="M56" i="1"/>
  <c r="P56" i="1" s="1"/>
  <c r="R56" i="1" s="1"/>
  <c r="M57" i="1"/>
  <c r="P57" i="1" s="1"/>
  <c r="R57" i="1" s="1"/>
  <c r="M58" i="1"/>
  <c r="P58" i="1" s="1"/>
  <c r="R58" i="1" s="1"/>
  <c r="M59" i="1"/>
  <c r="P59" i="1" s="1"/>
  <c r="R59" i="1" s="1"/>
  <c r="M60" i="1"/>
  <c r="P60" i="1" s="1"/>
  <c r="R60" i="1" s="1"/>
  <c r="M61" i="1"/>
  <c r="P61" i="1" s="1"/>
  <c r="R61" i="1" s="1"/>
  <c r="M62" i="1"/>
  <c r="P62" i="1" s="1"/>
  <c r="R62" i="1" s="1"/>
  <c r="M63" i="1"/>
  <c r="P63" i="1" s="1"/>
  <c r="R63" i="1" s="1"/>
  <c r="M64" i="1"/>
  <c r="P64" i="1" s="1"/>
  <c r="R64" i="1" s="1"/>
  <c r="M65" i="1"/>
  <c r="P65" i="1" s="1"/>
  <c r="R65" i="1" s="1"/>
  <c r="M66" i="1"/>
  <c r="P66" i="1" s="1"/>
  <c r="R66" i="1" s="1"/>
  <c r="M67" i="1"/>
  <c r="P67" i="1" s="1"/>
  <c r="R67" i="1" s="1"/>
  <c r="M68" i="1"/>
  <c r="P68" i="1" s="1"/>
  <c r="R68" i="1" s="1"/>
  <c r="M69" i="1"/>
  <c r="P69" i="1" s="1"/>
  <c r="R69" i="1" s="1"/>
  <c r="M70" i="1"/>
  <c r="P70" i="1" s="1"/>
  <c r="R70" i="1" s="1"/>
  <c r="M71" i="1"/>
  <c r="P71" i="1" s="1"/>
  <c r="R71" i="1" s="1"/>
  <c r="M112" i="1"/>
  <c r="P112" i="1" s="1"/>
  <c r="R55" i="1" l="1"/>
  <c r="R54" i="1"/>
  <c r="R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70" i="1"/>
  <c r="AG71" i="1"/>
  <c r="AH57" i="1"/>
  <c r="AO57" i="1" s="1"/>
  <c r="AH58" i="1"/>
  <c r="AO58" i="1" s="1"/>
  <c r="AH59" i="1"/>
  <c r="AO59" i="1" s="1"/>
  <c r="AH60" i="1"/>
  <c r="AO60" i="1" s="1"/>
  <c r="AH61" i="1"/>
  <c r="AO61" i="1" s="1"/>
  <c r="AH62" i="1"/>
  <c r="AO62" i="1" s="1"/>
  <c r="AH63" i="1"/>
  <c r="AO63" i="1" s="1"/>
  <c r="AH64" i="1"/>
  <c r="AO64" i="1" s="1"/>
  <c r="AH65" i="1"/>
  <c r="AO65" i="1" s="1"/>
  <c r="AH66" i="1"/>
  <c r="AO66" i="1" s="1"/>
  <c r="AH67" i="1"/>
  <c r="AO67" i="1" s="1"/>
  <c r="AH68" i="1"/>
  <c r="AO68" i="1" s="1"/>
  <c r="AG69" i="1"/>
  <c r="AH69" i="1"/>
  <c r="AO69" i="1" s="1"/>
  <c r="AH70" i="1"/>
  <c r="AO70" i="1" s="1"/>
  <c r="AH71" i="1"/>
  <c r="AO71" i="1" s="1"/>
  <c r="AH53" i="1"/>
  <c r="AH54" i="1"/>
  <c r="AH55" i="1"/>
  <c r="AH56" i="1"/>
  <c r="AO56" i="1" s="1"/>
  <c r="AO55" i="1" l="1"/>
  <c r="AO54" i="1"/>
  <c r="AO53" i="1"/>
  <c r="AI69" i="1"/>
  <c r="H3" i="5"/>
  <c r="H2" i="5"/>
  <c r="AI71" i="1"/>
  <c r="AG53" i="1"/>
  <c r="J20" i="2"/>
  <c r="M20" i="2" s="1"/>
  <c r="O20" i="2" s="1"/>
  <c r="AI57" i="1"/>
  <c r="AI59" i="1"/>
  <c r="AI54" i="1"/>
  <c r="AI70" i="1"/>
  <c r="AI58" i="1"/>
  <c r="AI67" i="1"/>
  <c r="AI66" i="1"/>
  <c r="AI64" i="1"/>
  <c r="AI63" i="1"/>
  <c r="AI65" i="1"/>
  <c r="AI62" i="1"/>
  <c r="AI56" i="1"/>
  <c r="AI60" i="1"/>
  <c r="AI55" i="1"/>
  <c r="AI61" i="1"/>
  <c r="AI68" i="1"/>
  <c r="O3" i="1"/>
  <c r="O5" i="1"/>
  <c r="O6" i="1"/>
  <c r="O7" i="1"/>
  <c r="O8" i="1"/>
  <c r="O9" i="1"/>
  <c r="O10" i="1"/>
  <c r="O11" i="1"/>
  <c r="O12" i="1"/>
  <c r="Q11" i="1" l="1"/>
  <c r="Y11" i="1"/>
  <c r="Q8" i="1"/>
  <c r="Y8" i="1"/>
  <c r="Q6" i="1"/>
  <c r="Y6" i="1"/>
  <c r="Q5" i="1"/>
  <c r="Y5" i="1"/>
  <c r="Q3" i="1"/>
  <c r="Y3" i="1"/>
  <c r="Q10" i="1"/>
  <c r="Y10" i="1"/>
  <c r="Q12" i="1"/>
  <c r="Y12" i="1"/>
  <c r="Q9" i="1"/>
  <c r="Y9" i="1"/>
  <c r="Q7" i="1"/>
  <c r="Y7" i="1"/>
  <c r="O375" i="1"/>
  <c r="H4" i="5"/>
  <c r="AI53" i="1"/>
  <c r="Z19" i="1" l="1"/>
  <c r="Z16" i="1"/>
  <c r="Z20" i="1"/>
  <c r="Z21" i="1"/>
  <c r="Z14" i="1"/>
  <c r="Z15" i="1"/>
  <c r="Z17" i="1"/>
  <c r="Z22" i="1"/>
  <c r="Z23" i="1"/>
  <c r="Z24" i="1"/>
  <c r="Z25" i="1"/>
  <c r="Z26" i="1"/>
  <c r="Z27" i="1"/>
  <c r="Z29" i="1"/>
  <c r="Z30" i="1"/>
  <c r="Z31" i="1"/>
  <c r="Z32" i="1"/>
  <c r="Z28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13" i="1" l="1"/>
  <c r="Z12" i="1"/>
  <c r="Z11" i="1"/>
  <c r="Z10" i="1"/>
  <c r="Z9" i="1"/>
  <c r="Z8" i="1"/>
  <c r="Z7" i="1"/>
  <c r="Z6" i="1"/>
  <c r="Z5" i="1"/>
  <c r="Z4" i="1"/>
  <c r="Z3" i="1" l="1"/>
  <c r="AH3" i="1"/>
  <c r="AH4" i="1"/>
  <c r="AH5" i="1"/>
  <c r="AH6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28" i="1"/>
  <c r="AG32" i="1"/>
  <c r="AG31" i="1"/>
  <c r="AG30" i="1"/>
  <c r="AG29" i="1"/>
  <c r="AG27" i="1"/>
  <c r="AG26" i="1"/>
  <c r="AG25" i="1"/>
  <c r="AG24" i="1"/>
  <c r="AG23" i="1"/>
  <c r="AG22" i="1"/>
  <c r="AG17" i="1"/>
  <c r="AG15" i="1"/>
  <c r="AG14" i="1"/>
  <c r="AG13" i="1"/>
  <c r="AG21" i="1"/>
  <c r="AG20" i="1"/>
  <c r="AG16" i="1"/>
  <c r="AG19" i="1"/>
  <c r="AG18" i="1"/>
  <c r="AG6" i="1"/>
  <c r="M12" i="1"/>
  <c r="P12" i="1" s="1"/>
  <c r="R12" i="1" s="1"/>
  <c r="M11" i="1"/>
  <c r="P11" i="1" s="1"/>
  <c r="R11" i="1" s="1"/>
  <c r="M10" i="1"/>
  <c r="P10" i="1" s="1"/>
  <c r="R10" i="1" s="1"/>
  <c r="M9" i="1"/>
  <c r="P9" i="1" s="1"/>
  <c r="R9" i="1" s="1"/>
  <c r="M8" i="1"/>
  <c r="P8" i="1" s="1"/>
  <c r="R8" i="1" s="1"/>
  <c r="M7" i="1"/>
  <c r="P7" i="1" s="1"/>
  <c r="R7" i="1" s="1"/>
  <c r="M6" i="1"/>
  <c r="P6" i="1" s="1"/>
  <c r="R6" i="1" s="1"/>
  <c r="M5" i="1"/>
  <c r="P5" i="1" s="1"/>
  <c r="R5" i="1" s="1"/>
  <c r="M4" i="1"/>
  <c r="P4" i="1" s="1"/>
  <c r="R4" i="1" s="1"/>
  <c r="M3" i="1"/>
  <c r="P3" i="1" s="1"/>
  <c r="R3" i="1" s="1"/>
  <c r="M18" i="1"/>
  <c r="P18" i="1" s="1"/>
  <c r="M19" i="1"/>
  <c r="P19" i="1" s="1"/>
  <c r="M16" i="1"/>
  <c r="P16" i="1" s="1"/>
  <c r="M20" i="1"/>
  <c r="P20" i="1" s="1"/>
  <c r="M21" i="1"/>
  <c r="P21" i="1" s="1"/>
  <c r="M13" i="1"/>
  <c r="P13" i="1" s="1"/>
  <c r="R13" i="1" s="1"/>
  <c r="M14" i="1"/>
  <c r="P14" i="1" s="1"/>
  <c r="R14" i="1" s="1"/>
  <c r="M15" i="1"/>
  <c r="P15" i="1" s="1"/>
  <c r="R15" i="1" s="1"/>
  <c r="M17" i="1"/>
  <c r="P17" i="1" s="1"/>
  <c r="M22" i="1"/>
  <c r="P22" i="1" s="1"/>
  <c r="M23" i="1"/>
  <c r="P23" i="1" s="1"/>
  <c r="M24" i="1"/>
  <c r="P24" i="1" s="1"/>
  <c r="M25" i="1"/>
  <c r="P25" i="1" s="1"/>
  <c r="M26" i="1"/>
  <c r="P26" i="1" s="1"/>
  <c r="M27" i="1"/>
  <c r="P27" i="1" s="1"/>
  <c r="M29" i="1"/>
  <c r="P29" i="1" s="1"/>
  <c r="M30" i="1"/>
  <c r="P30" i="1" s="1"/>
  <c r="M31" i="1"/>
  <c r="P31" i="1" s="1"/>
  <c r="M32" i="1"/>
  <c r="P32" i="1" s="1"/>
  <c r="M28" i="1"/>
  <c r="P28" i="1" s="1"/>
  <c r="M33" i="1"/>
  <c r="P33" i="1" s="1"/>
  <c r="M34" i="1"/>
  <c r="P34" i="1" s="1"/>
  <c r="M35" i="1"/>
  <c r="P35" i="1" s="1"/>
  <c r="M36" i="1"/>
  <c r="P36" i="1" s="1"/>
  <c r="M37" i="1"/>
  <c r="P37" i="1" s="1"/>
  <c r="M38" i="1"/>
  <c r="P38" i="1" s="1"/>
  <c r="M39" i="1"/>
  <c r="P39" i="1" s="1"/>
  <c r="M40" i="1"/>
  <c r="P40" i="1" s="1"/>
  <c r="M41" i="1"/>
  <c r="P41" i="1" s="1"/>
  <c r="M42" i="1"/>
  <c r="P42" i="1" s="1"/>
  <c r="M43" i="1"/>
  <c r="P43" i="1" s="1"/>
  <c r="M44" i="1"/>
  <c r="P44" i="1" s="1"/>
  <c r="M45" i="1"/>
  <c r="P45" i="1" s="1"/>
  <c r="M46" i="1"/>
  <c r="P46" i="1" s="1"/>
  <c r="M47" i="1"/>
  <c r="P47" i="1" s="1"/>
  <c r="M48" i="1"/>
  <c r="P48" i="1" s="1"/>
  <c r="M49" i="1"/>
  <c r="P49" i="1" s="1"/>
  <c r="M50" i="1"/>
  <c r="P50" i="1" s="1"/>
  <c r="M51" i="1"/>
  <c r="P51" i="1" s="1"/>
  <c r="M52" i="1"/>
  <c r="P52" i="1" s="1"/>
  <c r="R52" i="1" l="1"/>
  <c r="R34" i="1"/>
  <c r="R48" i="1"/>
  <c r="R28" i="1"/>
  <c r="R20" i="1"/>
  <c r="R47" i="1"/>
  <c r="R32" i="1"/>
  <c r="R16" i="1"/>
  <c r="R19" i="1"/>
  <c r="R42" i="1"/>
  <c r="R26" i="1"/>
  <c r="R51" i="1"/>
  <c r="R21" i="1"/>
  <c r="R31" i="1"/>
  <c r="R45" i="1"/>
  <c r="R18" i="1"/>
  <c r="R35" i="1"/>
  <c r="R49" i="1"/>
  <c r="R46" i="1"/>
  <c r="R30" i="1"/>
  <c r="R44" i="1"/>
  <c r="R29" i="1"/>
  <c r="R39" i="1"/>
  <c r="R23" i="1"/>
  <c r="R43" i="1"/>
  <c r="R41" i="1"/>
  <c r="R24" i="1"/>
  <c r="R38" i="1"/>
  <c r="R36" i="1"/>
  <c r="R50" i="1"/>
  <c r="R33" i="1"/>
  <c r="R27" i="1"/>
  <c r="R25" i="1"/>
  <c r="R40" i="1"/>
  <c r="R22" i="1"/>
  <c r="R37" i="1"/>
  <c r="R17" i="1"/>
  <c r="AO6" i="1"/>
  <c r="AO5" i="1"/>
  <c r="AO4" i="1"/>
  <c r="AO3" i="1"/>
  <c r="M375" i="1"/>
  <c r="AI43" i="1"/>
  <c r="AI29" i="1"/>
  <c r="AI31" i="1"/>
  <c r="AI48" i="1"/>
  <c r="AI33" i="1"/>
  <c r="AI34" i="1"/>
  <c r="AI51" i="1"/>
  <c r="AI26" i="1"/>
  <c r="AI18" i="1"/>
  <c r="AI46" i="1"/>
  <c r="AI28" i="1"/>
  <c r="AI21" i="1"/>
  <c r="AI50" i="1"/>
  <c r="AI14" i="1"/>
  <c r="AI52" i="1"/>
  <c r="AI17" i="1"/>
  <c r="AI22" i="1"/>
  <c r="AI38" i="1"/>
  <c r="AI16" i="1"/>
  <c r="AI15" i="1"/>
  <c r="AI42" i="1"/>
  <c r="AI44" i="1"/>
  <c r="AI30" i="1"/>
  <c r="AI47" i="1"/>
  <c r="AI20" i="1"/>
  <c r="AI13" i="1"/>
  <c r="AI36" i="1"/>
  <c r="AI37" i="1"/>
  <c r="AI24" i="1"/>
  <c r="AI40" i="1"/>
  <c r="AI27" i="1"/>
  <c r="AI45" i="1"/>
  <c r="AI19" i="1"/>
  <c r="AI32" i="1"/>
  <c r="AI49" i="1"/>
  <c r="AI35" i="1"/>
  <c r="AI23" i="1"/>
  <c r="AI39" i="1"/>
  <c r="AI25" i="1"/>
  <c r="AI41" i="1"/>
  <c r="J18" i="2"/>
  <c r="M18" i="2" s="1"/>
  <c r="O18" i="2" s="1"/>
  <c r="J16" i="2"/>
  <c r="M16" i="2" s="1"/>
  <c r="O16" i="2" s="1"/>
  <c r="AH7" i="1"/>
  <c r="AH8" i="1"/>
  <c r="AH9" i="1"/>
  <c r="AH10" i="1"/>
  <c r="AH11" i="1"/>
  <c r="AH12" i="1"/>
  <c r="AO12" i="1" s="1"/>
  <c r="AO11" i="1" l="1"/>
  <c r="AO10" i="1"/>
  <c r="AO9" i="1"/>
  <c r="AO8" i="1"/>
  <c r="AO7" i="1"/>
  <c r="AH375" i="1"/>
  <c r="AE380" i="1" s="1"/>
  <c r="I375" i="1"/>
  <c r="O21" i="2"/>
  <c r="O25" i="2" s="1"/>
  <c r="Y375" i="1"/>
  <c r="AO375" i="1" l="1"/>
  <c r="Z18" i="1"/>
  <c r="Z375" i="1" s="1"/>
  <c r="Z376" i="1" s="1"/>
  <c r="AG11" i="1"/>
  <c r="AG10" i="1"/>
  <c r="AG9" i="1"/>
  <c r="AG8" i="1"/>
  <c r="AG7" i="1"/>
  <c r="AG5" i="1"/>
  <c r="AG4" i="1"/>
  <c r="AG3" i="1"/>
  <c r="AI9" i="1" l="1"/>
  <c r="AI10" i="1"/>
  <c r="AI5" i="1"/>
  <c r="AI7" i="1"/>
  <c r="AI8" i="1"/>
  <c r="AI3" i="1"/>
  <c r="AI4" i="1"/>
  <c r="AI11" i="1"/>
  <c r="AI6" i="1"/>
  <c r="O384" i="1" l="1"/>
  <c r="AG12" i="1"/>
  <c r="AG375" i="1" s="1"/>
  <c r="AD380" i="1" s="1"/>
  <c r="P375" i="1" l="1"/>
  <c r="O380" i="1" s="1"/>
  <c r="Q375" i="1"/>
  <c r="AI12" i="1"/>
  <c r="AI375" i="1" s="1"/>
  <c r="R375" i="1" l="1"/>
  <c r="Q376" i="1" s="1"/>
  <c r="AI376" i="1"/>
  <c r="P384" i="1"/>
  <c r="Q384" i="1" s="1"/>
  <c r="P380" i="1"/>
  <c r="P381" i="1" s="1"/>
  <c r="P382" i="1" s="1"/>
  <c r="O381" i="1"/>
  <c r="O382" i="1" s="1"/>
  <c r="O378" i="1"/>
  <c r="P378" i="1"/>
  <c r="P379" i="1" s="1"/>
  <c r="O379" i="1" l="1"/>
  <c r="Q379" i="1" s="1" a="1"/>
  <c r="Q379" i="1" s="1"/>
  <c r="Q378" i="1" a="1"/>
  <c r="Q37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tc={0A69E0C8-7931-4572-95B8-61ABF7A1BDC7}</author>
    <author>tc={52E9E17B-F7BF-4806-AAAC-B97DC956BFE3}</author>
    <author>tc={38A7FC30-C7DE-49AD-9F16-C277660B683D}</author>
    <author>tc={A93C8F85-2800-4D8A-90CE-13A1DCA1C042}</author>
    <author>tc={EF1DC3A5-04DA-4894-83DD-4CD71AB4A437}</author>
    <author>tc={4A57615D-6FAA-43F6-94E3-4A3B72F2B468}</author>
  </authors>
  <commentList>
    <comment ref="O3" authorId="0" shapeId="0" xr:uid="{0A69E0C8-7931-4572-95B8-61ABF7A1BDC7}">
      <text>
        <t>[Threaded comment]
Your version of Excel allows you to read this threaded comment; however, any edits to it will get removed if the file is opened in a newer version of Excel. Learn more: https://go.microsoft.com/fwlink/?linkid=870924
Comment:
    £220 converted @1.2978 Fx rate (HMRC April avg.)</t>
      </text>
    </comment>
    <comment ref="AK3" authorId="1" shapeId="0" xr:uid="{52E9E17B-F7BF-4806-AAAC-B97DC956BFE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sent at the inception: 110042025</t>
      </text>
    </comment>
    <comment ref="F6" authorId="2" shapeId="0" xr:uid="{38A7FC30-C7DE-49AD-9F16-C277660B683D}">
      <text>
        <t>[Threaded comment]
Your version of Excel allows you to read this threaded comment; however, any edits to it will get removed if the file is opened in a newer version of Excel. Learn more: https://go.microsoft.com/fwlink/?linkid=870924
Comment:
    Wrong weight entered on BL as 22.430MT</t>
      </text>
    </comment>
    <comment ref="R12" authorId="3" shapeId="0" xr:uid="{A93C8F85-2800-4D8A-90CE-13A1DCA1C04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Container waste journey and Cancellation charges to Conquest -$2,397.30 +VAT (2,876.76)</t>
      </text>
    </comment>
    <comment ref="O13" authorId="4" shapeId="0" xr:uid="{EF1DC3A5-04DA-4894-83DD-4CD71AB4A437}">
      <text>
        <t>[Threaded comment]
Your version of Excel allows you to read this threaded comment; however, any edits to it will get removed if the file is opened in a newer version of Excel. Learn more: https://go.microsoft.com/fwlink/?linkid=870924
Comment:
    244.89GBP @1.3271</t>
      </text>
    </comment>
    <comment ref="AC73" authorId="5" shapeId="0" xr:uid="{4A57615D-6FAA-43F6-94E3-4A3B72F2B468}">
      <text>
        <t>[Threaded comment]
Your version of Excel allows you to read this threaded comment; however, any edits to it will get removed if the file is opened in a newer version of Excel. Learn more: https://go.microsoft.com/fwlink/?linkid=870924
Comment:
    SC-2025-000004 was cancelled and the supplier qty was allocated to SC-2025-000005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<sst xmlns="http://schemas.openxmlformats.org/spreadsheetml/2006/main" count="3375" uniqueCount="207">
  <si>
    <t>CONTRACTS TRADED - Walter Heselwood Ltd.</t>
  </si>
  <si>
    <t>Supplier</t>
  </si>
  <si>
    <t>PC#</t>
  </si>
  <si>
    <t>SC#</t>
  </si>
  <si>
    <t>Commodity</t>
  </si>
  <si>
    <t>Inco term</t>
  </si>
  <si>
    <t>POL</t>
  </si>
  <si>
    <t>POD</t>
  </si>
  <si>
    <t>Nhava Sheva</t>
  </si>
  <si>
    <t>Spartan Metals</t>
  </si>
  <si>
    <t>Customer</t>
  </si>
  <si>
    <t>EVSL</t>
  </si>
  <si>
    <t>PC 02</t>
  </si>
  <si>
    <t>PC 03</t>
  </si>
  <si>
    <t>CNF</t>
  </si>
  <si>
    <t>PI#</t>
  </si>
  <si>
    <t>CI#</t>
  </si>
  <si>
    <t>April</t>
  </si>
  <si>
    <t>Customer Final Price</t>
  </si>
  <si>
    <t>Customer Price Difference</t>
  </si>
  <si>
    <t>Grand Total</t>
  </si>
  <si>
    <t>May</t>
  </si>
  <si>
    <t>Total</t>
  </si>
  <si>
    <t>Lon Gateway</t>
  </si>
  <si>
    <t>HLXU1092493</t>
  </si>
  <si>
    <t>TRHU1653668</t>
  </si>
  <si>
    <t>TEMU1848558</t>
  </si>
  <si>
    <t>Cost Per MT</t>
  </si>
  <si>
    <t>PI03</t>
  </si>
  <si>
    <t>Gross Margin</t>
  </si>
  <si>
    <t>CI-2505-000001</t>
  </si>
  <si>
    <t>FBIU0431161</t>
  </si>
  <si>
    <t>HLXU1124203</t>
  </si>
  <si>
    <t>HLXU1061300</t>
  </si>
  <si>
    <t>TGBU2240990</t>
  </si>
  <si>
    <t>TEMU1406920</t>
  </si>
  <si>
    <t>TEMU2236475</t>
  </si>
  <si>
    <t>BL Number</t>
  </si>
  <si>
    <t>HLCULIV250456516</t>
  </si>
  <si>
    <t>HLCULIV250438625</t>
  </si>
  <si>
    <t>HMMU2225407</t>
  </si>
  <si>
    <t>TEMU1339566</t>
  </si>
  <si>
    <t>GCXU2115402</t>
  </si>
  <si>
    <t>TLLU8326026</t>
  </si>
  <si>
    <t>TEMU4069952</t>
  </si>
  <si>
    <t>BEAU2061511</t>
  </si>
  <si>
    <t>DFSU2831584</t>
  </si>
  <si>
    <t>FCIU4838429</t>
  </si>
  <si>
    <t>HMMU2043085</t>
  </si>
  <si>
    <t>GCXU2116570</t>
  </si>
  <si>
    <t>HLBU2940349</t>
  </si>
  <si>
    <t>EXW</t>
  </si>
  <si>
    <t>Container Qty</t>
  </si>
  <si>
    <t>Container Number</t>
  </si>
  <si>
    <t>SOB Date</t>
  </si>
  <si>
    <t>ETA Date</t>
  </si>
  <si>
    <t>Shipment Period</t>
  </si>
  <si>
    <t>PC Qty (MT)</t>
  </si>
  <si>
    <t>Purchase Rate/MT (USD)</t>
  </si>
  <si>
    <t>Supplier Final Price</t>
  </si>
  <si>
    <t>SC Qty (MT)</t>
  </si>
  <si>
    <t>Sales Rate/MT (USD)</t>
  </si>
  <si>
    <t>Customer  Prov. Price</t>
  </si>
  <si>
    <t>BHMA94978500</t>
  </si>
  <si>
    <t>Southampton</t>
  </si>
  <si>
    <t>BHMA94978501</t>
  </si>
  <si>
    <t>CI-2025-000002</t>
  </si>
  <si>
    <t>HMS 80:20</t>
  </si>
  <si>
    <t>PI-2025-000002</t>
  </si>
  <si>
    <t>CI-2025-000003</t>
  </si>
  <si>
    <t>MSKU7334140</t>
  </si>
  <si>
    <t>MSKU7975040</t>
  </si>
  <si>
    <t>HASU1349781</t>
  </si>
  <si>
    <t>MRKU9932540</t>
  </si>
  <si>
    <t>MRKU8748707</t>
  </si>
  <si>
    <t>MSKU3273874</t>
  </si>
  <si>
    <t>TRHU2448159</t>
  </si>
  <si>
    <t>HASU1522644</t>
  </si>
  <si>
    <t>MRKU8718580</t>
  </si>
  <si>
    <t>MSKU5418391</t>
  </si>
  <si>
    <t>CI-2025-000004</t>
  </si>
  <si>
    <t>SC-2025-000003</t>
  </si>
  <si>
    <t>PC-2025-000004</t>
  </si>
  <si>
    <t>June</t>
  </si>
  <si>
    <t>PI-2025-000004</t>
  </si>
  <si>
    <t>HLXU1315391</t>
  </si>
  <si>
    <t>NIDU2345492</t>
  </si>
  <si>
    <t>HLXU1267082</t>
  </si>
  <si>
    <t>TLLU8332707</t>
  </si>
  <si>
    <t>HLXU1000368</t>
  </si>
  <si>
    <t>CAIU2655436</t>
  </si>
  <si>
    <t>TRHU1496430</t>
  </si>
  <si>
    <t>CAIU6748115</t>
  </si>
  <si>
    <t>TRHU1528033</t>
  </si>
  <si>
    <t>TCLU2874786</t>
  </si>
  <si>
    <t>HLBU1095540</t>
  </si>
  <si>
    <t>UACU3801211</t>
  </si>
  <si>
    <t>HLBU3616530</t>
  </si>
  <si>
    <t>GESU1255398</t>
  </si>
  <si>
    <t>HLXU1273526</t>
  </si>
  <si>
    <t>HLBU3051006</t>
  </si>
  <si>
    <t>HAMU1056020</t>
  </si>
  <si>
    <t>HAMU1003061</t>
  </si>
  <si>
    <t>UACU4046460</t>
  </si>
  <si>
    <t>FCIU6287243</t>
  </si>
  <si>
    <t>£</t>
  </si>
  <si>
    <t>Supplier Prov. Price</t>
  </si>
  <si>
    <t>VAT in £</t>
  </si>
  <si>
    <t>Cum VAT in £</t>
  </si>
  <si>
    <t>HLCULIV250702054</t>
  </si>
  <si>
    <t>HLCULIV250642939</t>
  </si>
  <si>
    <t>Supplier Price Diff. (VAT incl.)</t>
  </si>
  <si>
    <t>Fx</t>
  </si>
  <si>
    <t>Supplier Invoice#</t>
  </si>
  <si>
    <t>CI-2025-000006</t>
  </si>
  <si>
    <t>CI-2025-000005</t>
  </si>
  <si>
    <t xml:space="preserve"> PC Qty (MT)</t>
  </si>
  <si>
    <t xml:space="preserve"> Supplier Final Price</t>
  </si>
  <si>
    <t xml:space="preserve"> Customer Final Price</t>
  </si>
  <si>
    <t xml:space="preserve"> Gross Margin</t>
  </si>
  <si>
    <t>VAT in $</t>
  </si>
  <si>
    <t>Cum VAT in $</t>
  </si>
  <si>
    <t xml:space="preserve"> (Under) / Overloading</t>
  </si>
  <si>
    <t>Puchase Contract</t>
  </si>
  <si>
    <t>PC-2025-000005</t>
  </si>
  <si>
    <t>SC-2025-000004</t>
  </si>
  <si>
    <t>July</t>
  </si>
  <si>
    <t>(blank)</t>
  </si>
  <si>
    <t xml:space="preserve"> </t>
  </si>
  <si>
    <t>Sales Contract</t>
  </si>
  <si>
    <t xml:space="preserve"> Container Qty (MT)</t>
  </si>
  <si>
    <t>Contract Status</t>
  </si>
  <si>
    <t>Rate/MT (USD)</t>
  </si>
  <si>
    <t>Completed</t>
  </si>
  <si>
    <t>Pending</t>
  </si>
  <si>
    <t>BMOU2250839</t>
  </si>
  <si>
    <t>BMOU2025925</t>
  </si>
  <si>
    <t>FTAU1185444</t>
  </si>
  <si>
    <t>FBIU0430463</t>
  </si>
  <si>
    <t>CXDU1830657</t>
  </si>
  <si>
    <t>HAMU1033030</t>
  </si>
  <si>
    <t>FBIU0109221</t>
  </si>
  <si>
    <t>FCIU4621161</t>
  </si>
  <si>
    <t>BEAU2099224</t>
  </si>
  <si>
    <t>BMOU2750140</t>
  </si>
  <si>
    <t>HLCULIV250713411</t>
  </si>
  <si>
    <t>Loaded Quantity (MT)</t>
  </si>
  <si>
    <t>Provisional Price (USD)</t>
  </si>
  <si>
    <t xml:space="preserve"> Final Price (USD)</t>
  </si>
  <si>
    <t xml:space="preserve"> Price Difference (USD)</t>
  </si>
  <si>
    <t>CI-2025-000007</t>
  </si>
  <si>
    <t>Legend:</t>
  </si>
  <si>
    <t>Settled</t>
  </si>
  <si>
    <t>MRSU0076743</t>
  </si>
  <si>
    <t>MRKU7152694</t>
  </si>
  <si>
    <t>TCKU1268489</t>
  </si>
  <si>
    <t>SUDU1469434</t>
  </si>
  <si>
    <t>AXIU2170640</t>
  </si>
  <si>
    <t>SC-2025-000005</t>
  </si>
  <si>
    <t>PI-2025-000006</t>
  </si>
  <si>
    <t>MSKU7904746</t>
  </si>
  <si>
    <t>MRKU7437697</t>
  </si>
  <si>
    <t>MRKU7189008</t>
  </si>
  <si>
    <t>CI-2025-000008</t>
  </si>
  <si>
    <t>CI-2025-000009</t>
  </si>
  <si>
    <t>MRKU9316800</t>
  </si>
  <si>
    <t>AXIU2214498</t>
  </si>
  <si>
    <t>CI-2025-000010</t>
  </si>
  <si>
    <t>CI-2025-000003/04/05/06/07</t>
  </si>
  <si>
    <t>CI-2505-000001/02</t>
  </si>
  <si>
    <t>CI-2025-000008/09/010</t>
  </si>
  <si>
    <t>Status</t>
  </si>
  <si>
    <t>Under/-Over loading</t>
  </si>
  <si>
    <t>PC-2025-000006</t>
  </si>
  <si>
    <t>September</t>
  </si>
  <si>
    <t>CANCELLED</t>
  </si>
  <si>
    <t>Column6</t>
  </si>
  <si>
    <t>FX Rate</t>
  </si>
  <si>
    <t>PC Date</t>
  </si>
  <si>
    <t>SC Date</t>
  </si>
  <si>
    <t>Date of Inspection</t>
  </si>
  <si>
    <t>Margin/MT</t>
  </si>
  <si>
    <t>,</t>
  </si>
  <si>
    <t>SC-2025-000006</t>
  </si>
  <si>
    <t>Turnnings</t>
  </si>
  <si>
    <t>TGCU2456447</t>
  </si>
  <si>
    <t>GLDU5182336</t>
  </si>
  <si>
    <t>Walter Heselwood Ltd</t>
  </si>
  <si>
    <t>CI-2025-000011</t>
  </si>
  <si>
    <t>PC-2025-000007</t>
  </si>
  <si>
    <t>Inspection Cost/MT</t>
  </si>
  <si>
    <t>PI-2025-000007</t>
  </si>
  <si>
    <t>Sum of Container Qty</t>
  </si>
  <si>
    <t>SCJUB0810619AA</t>
  </si>
  <si>
    <t>DHL Charges PMT</t>
  </si>
  <si>
    <t>URJA</t>
  </si>
  <si>
    <t>Freight Charges</t>
  </si>
  <si>
    <t>GP</t>
  </si>
  <si>
    <t>Prov.</t>
  </si>
  <si>
    <t>Final</t>
  </si>
  <si>
    <t>Felixstove</t>
  </si>
  <si>
    <t>PC-2025-000008</t>
  </si>
  <si>
    <t>HLXU3541130</t>
  </si>
  <si>
    <t>PENDING</t>
  </si>
  <si>
    <t>TGHU0538164</t>
  </si>
  <si>
    <t>GLDU5432203</t>
  </si>
  <si>
    <t>UACU3778277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</si>
</sst>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#,##0.000"/>
    <numFmt numFmtId="165" formatCode="[$$-409]#,##0.00_ ;[Red]\-[$$-409]#,##0.00\ "/>
    <numFmt numFmtId="166" formatCode="0.000"/>
    <numFmt numFmtId="167" formatCode="[$$-409]#,##0.000_ ;[Red]\-[$$-409]#,##0.000\ "/>
    <numFmt numFmtId="168" formatCode="[$$-409]#,##0_ ;[Red]\-[$$-409]#,##0\ "/>
    <numFmt numFmtId="169" formatCode="0.00_ ;[Red]\-0.00\ "/>
    <numFmt numFmtId="170" formatCode="[$$-409]#,##0.0000_ ;[Red]\-[$$-409]#,##0.0000\ "/>
    <numFmt numFmtId="171" formatCode="#,##0.000000000"/>
    <numFmt numFmtId="172" formatCode="#,##0.0000"/>
  </numFmts>
  <fonts count="7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0"/>
      <name val="Arial"/>
      <family val="2"/>
    </font>
    <font>
      <b/>
      <u/>
      <sz val="11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ont="0" applyFill="0" applyBorder="0" applyAlignment="0" applyProtection="0"/>
  </cellStyleXfs>
  <cellXfs count="1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5" fontId="0" fillId="0" borderId="0" xfId="0" applyNumberFormat="1" applyAlignment="1">
      <alignment horizont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2" fillId="4" borderId="0" xfId="0" applyFont="1" applyFill="1" applyAlignment="1">
      <alignment horizontal="center" vertical="center" wrapText="1"/>
    </xf>
    <xf numFmtId="165" fontId="0" fillId="3" borderId="0" xfId="0" applyNumberFormat="1" applyFill="1"/>
    <xf numFmtId="0" fontId="0" fillId="0" borderId="0" xfId="0" applyAlignment="1">
      <alignment horizontal="left"/>
    </xf>
    <xf numFmtId="166" fontId="0" fillId="0" borderId="0" xfId="0" applyNumberFormat="1"/>
    <xf numFmtId="4" fontId="0" fillId="0" borderId="0" xfId="0" applyNumberFormat="1"/>
    <xf numFmtId="164" fontId="2" fillId="0" borderId="1" xfId="0" applyNumberFormat="1" applyFont="1" applyBorder="1"/>
    <xf numFmtId="164" fontId="0" fillId="0" borderId="0" xfId="0" applyNumberForma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indent="63"/>
    </xf>
    <xf numFmtId="165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0" fillId="5" borderId="0" xfId="0" applyNumberFormat="1" applyFill="1"/>
    <xf numFmtId="0" fontId="2" fillId="3" borderId="0" xfId="0" applyFont="1" applyFill="1" applyAlignment="1">
      <alignment horizontal="center"/>
    </xf>
    <xf numFmtId="0" fontId="2" fillId="3" borderId="0" xfId="0" applyFont="1" applyFill="1"/>
    <xf numFmtId="165" fontId="2" fillId="0" borderId="0" xfId="0" applyNumberFormat="1" applyFont="1"/>
    <xf numFmtId="167" fontId="0" fillId="0" borderId="0" xfId="0" applyNumberFormat="1"/>
    <xf numFmtId="168" fontId="0" fillId="0" borderId="0" xfId="0" applyNumberFormat="1" applyAlignment="1">
      <alignment horizontal="center"/>
    </xf>
    <xf numFmtId="164" fontId="0" fillId="0" borderId="0" xfId="0" applyNumberFormat="1"/>
    <xf numFmtId="169" fontId="0" fillId="0" borderId="0" xfId="0" applyNumberFormat="1"/>
    <xf numFmtId="165" fontId="2" fillId="7" borderId="0" xfId="0" applyNumberFormat="1" applyFont="1" applyFill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/>
    </xf>
    <xf numFmtId="164" fontId="2" fillId="0" borderId="0" xfId="0" applyNumberFormat="1" applyFont="1"/>
    <xf numFmtId="169" fontId="2" fillId="0" borderId="0" xfId="0" applyNumberFormat="1" applyFont="1"/>
    <xf numFmtId="0" fontId="0" fillId="0" borderId="0" xfId="0" pivotButton="1"/>
    <xf numFmtId="0" fontId="2" fillId="0" borderId="0" xfId="0" pivotButton="1" applyFont="1" applyAlignment="1">
      <alignment vertical="center"/>
    </xf>
    <xf numFmtId="166" fontId="2" fillId="0" borderId="1" xfId="0" applyNumberFormat="1" applyFont="1" applyBorder="1"/>
    <xf numFmtId="0" fontId="2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right" vertical="center"/>
    </xf>
    <xf numFmtId="165" fontId="4" fillId="5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9" borderId="2" xfId="0" applyFont="1" applyFill="1" applyBorder="1" applyAlignment="1">
      <alignment horizontal="left"/>
    </xf>
    <xf numFmtId="165" fontId="2" fillId="9" borderId="2" xfId="0" applyNumberFormat="1" applyFont="1" applyFill="1" applyBorder="1"/>
    <xf numFmtId="15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40" fontId="2" fillId="0" borderId="1" xfId="0" applyNumberFormat="1" applyFont="1" applyBorder="1"/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164" fontId="2" fillId="5" borderId="3" xfId="0" applyNumberFormat="1" applyFont="1" applyFill="1" applyBorder="1" applyAlignment="1">
      <alignment horizontal="center" vertical="center" wrapText="1"/>
    </xf>
    <xf numFmtId="40" fontId="2" fillId="5" borderId="3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right"/>
    </xf>
    <xf numFmtId="43" fontId="0" fillId="0" borderId="3" xfId="0" applyNumberFormat="1" applyBorder="1"/>
    <xf numFmtId="4" fontId="0" fillId="0" borderId="3" xfId="0" applyNumberFormat="1" applyBorder="1" applyAlignment="1">
      <alignment horizontal="right"/>
    </xf>
    <xf numFmtId="40" fontId="0" fillId="0" borderId="3" xfId="0" applyNumberFormat="1" applyBorder="1" applyAlignment="1">
      <alignment horizontal="right"/>
    </xf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164" fontId="0" fillId="10" borderId="5" xfId="0" applyNumberFormat="1" applyFill="1" applyBorder="1" applyAlignment="1">
      <alignment horizontal="right"/>
    </xf>
    <xf numFmtId="43" fontId="0" fillId="10" borderId="5" xfId="0" applyNumberFormat="1" applyFill="1" applyBorder="1" applyAlignment="1">
      <alignment horizontal="right"/>
    </xf>
    <xf numFmtId="4" fontId="0" fillId="10" borderId="5" xfId="0" applyNumberFormat="1" applyFill="1" applyBorder="1" applyAlignment="1">
      <alignment horizontal="right"/>
    </xf>
    <xf numFmtId="40" fontId="0" fillId="10" borderId="5" xfId="0" applyNumberFormat="1" applyFill="1" applyBorder="1" applyAlignment="1">
      <alignment horizontal="right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164" fontId="0" fillId="10" borderId="7" xfId="0" applyNumberFormat="1" applyFill="1" applyBorder="1" applyAlignment="1">
      <alignment horizontal="right"/>
    </xf>
    <xf numFmtId="43" fontId="0" fillId="10" borderId="7" xfId="0" applyNumberFormat="1" applyFill="1" applyBorder="1" applyAlignment="1">
      <alignment horizontal="right"/>
    </xf>
    <xf numFmtId="4" fontId="0" fillId="10" borderId="7" xfId="0" applyNumberFormat="1" applyFill="1" applyBorder="1" applyAlignment="1">
      <alignment horizontal="right"/>
    </xf>
    <xf numFmtId="0" fontId="0" fillId="0" borderId="7" xfId="0" applyBorder="1"/>
    <xf numFmtId="15" fontId="0" fillId="0" borderId="0" xfId="0" quotePrefix="1" applyNumberFormat="1" applyAlignment="1">
      <alignment horizontal="center"/>
    </xf>
    <xf numFmtId="170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2" fillId="0" borderId="0" xfId="0" applyNumberFormat="1" applyFont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2" fillId="0" borderId="0" xfId="0" applyFont="1" applyAlignment="1">
      <alignment horizontal="right" vertical="top"/>
    </xf>
    <xf numFmtId="3" fontId="2" fillId="0" borderId="0" xfId="0" applyNumberFormat="1" applyFont="1"/>
    <xf numFmtId="171" fontId="0" fillId="0" borderId="0" xfId="0" applyNumberFormat="1" applyAlignment="1">
      <alignment horizontal="center"/>
    </xf>
    <xf numFmtId="166" fontId="0" fillId="10" borderId="0" xfId="0" applyNumberFormat="1" applyFill="1"/>
    <xf numFmtId="0" fontId="1" fillId="8" borderId="0" xfId="0" applyFont="1" applyFill="1" applyAlignment="1">
      <alignment horizontal="center" vertical="center" wrapText="1"/>
    </xf>
    <xf numFmtId="164" fontId="2" fillId="9" borderId="2" xfId="0" applyNumberFormat="1" applyFont="1" applyFill="1" applyBorder="1"/>
    <xf numFmtId="0" fontId="2" fillId="9" borderId="2" xfId="0" applyFont="1" applyFill="1" applyBorder="1"/>
    <xf numFmtId="169" fontId="2" fillId="9" borderId="2" xfId="0" applyNumberFormat="1" applyFont="1" applyFill="1" applyBorder="1"/>
    <xf numFmtId="164" fontId="2" fillId="9" borderId="2" xfId="0" applyNumberFormat="1" applyFont="1" applyFill="1" applyBorder="1" applyAlignment="1">
      <alignment horizontal="center" vertical="center"/>
    </xf>
    <xf numFmtId="40" fontId="0" fillId="0" borderId="8" xfId="0" applyNumberFormat="1" applyBorder="1" applyAlignment="1">
      <alignment horizontal="right"/>
    </xf>
    <xf numFmtId="40" fontId="2" fillId="11" borderId="1" xfId="0" applyNumberFormat="1" applyFont="1" applyFill="1" applyBorder="1" applyAlignment="1">
      <alignment horizontal="right"/>
    </xf>
    <xf numFmtId="164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72" fontId="0" fillId="0" borderId="0" xfId="0" applyNumberFormat="1"/>
    <xf numFmtId="0" fontId="0" fillId="0" borderId="0" xfId="0" quotePrefix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1" fillId="8" borderId="0" xfId="0" applyFont="1" applyFill="1" applyAlignment="1">
      <alignment horizontal="center" vertical="center"/>
    </xf>
    <xf numFmtId="0" fontId="2" fillId="0" borderId="0" xfId="0" pivotButton="1" applyFont="1" applyAlignment="1">
      <alignment horizontal="center" vertical="center"/>
    </xf>
    <xf numFmtId="165" fontId="0" fillId="12" borderId="0" xfId="0" applyNumberFormat="1" applyFill="1"/>
    <xf numFmtId="0" fontId="2" fillId="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 applyNumberFormat="1"/>
    <xf numFmtId="0" fontId="2" fillId="0" borderId="0" xfId="0" applyNumberFormat="1" applyFont="1"/>
  </cellXfs>
  <cellStyles count="2">
    <cellStyle name="Normal" xfId="0" builtinId="0"/>
    <cellStyle name="Normal 2" xfId="1" xr:uid="{D2220298-5CBE-47F5-B672-37FE2A3033B3}"/>
  </cellStyles>
  <dxfs count="162">
    <dxf>
      <alignment horizontal="center"/>
    </dxf>
    <dxf>
      <alignment vertical="center"/>
    </dxf>
    <dxf>
      <alignment horizontal="center" vertical="center"/>
    </dxf>
    <dxf>
      <numFmt numFmtId="165" formatCode="[$$-409]#,##0.00_ ;[Red]\-[$$-409]#,##0.00\ "/>
    </dxf>
    <dxf>
      <font>
        <b/>
      </font>
    </dxf>
    <dxf>
      <alignment wrapText="1"/>
    </dxf>
    <dxf>
      <font>
        <b/>
      </font>
    </dxf>
    <dxf>
      <font>
        <b/>
      </font>
    </dxf>
    <dxf>
      <alignment vertical="center"/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9" formatCode="0.00_ ;[Red]\-0.00\ "/>
    </dxf>
    <dxf>
      <alignment horizontal="center" vertical="center"/>
    </dxf>
    <dxf>
      <numFmt numFmtId="165" formatCode="[$$-409]#,##0.00_ ;[Red]\-[$$-409]#,##0.00\ "/>
    </dxf>
    <dxf>
      <font>
        <b/>
      </font>
    </dxf>
    <dxf>
      <alignment wrapText="1"/>
    </dxf>
    <dxf>
      <font>
        <b/>
      </font>
    </dxf>
    <dxf>
      <font>
        <b/>
      </font>
    </dxf>
    <dxf>
      <alignment vertical="center"/>
    </dxf>
    <dxf>
      <font>
        <b/>
      </font>
    </dxf>
    <dxf>
      <alignment vertical="center"/>
    </dxf>
    <dxf>
      <font>
        <color rgb="FF9C0006"/>
      </font>
      <fill>
        <patternFill>
          <bgColor rgb="FFFFC7CE"/>
        </patternFill>
      </fill>
    </dxf>
    <dxf>
      <fill>
        <gradientFill degree="180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180">
          <stop position="0">
            <color theme="0"/>
          </stop>
          <stop position="1">
            <color rgb="FFFF6161"/>
          </stop>
        </gradientFill>
      </fill>
    </dxf>
    <dxf>
      <fill>
        <gradientFill degree="180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180">
          <stop position="0">
            <color theme="0"/>
          </stop>
          <stop position="1">
            <color rgb="FFFF6161"/>
          </stop>
        </gradientFill>
      </fill>
    </dxf>
    <dxf>
      <font>
        <color rgb="FF9C0006"/>
      </font>
      <fill>
        <patternFill>
          <bgColor rgb="FFFFC7CE"/>
        </patternFill>
      </fill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alignment vertical="center"/>
    </dxf>
    <dxf>
      <font>
        <b/>
      </font>
    </dxf>
    <dxf>
      <font>
        <b/>
      </font>
    </dxf>
    <dxf>
      <alignment wrapText="1"/>
    </dxf>
    <dxf>
      <font>
        <b/>
      </font>
    </dxf>
    <dxf>
      <numFmt numFmtId="165" formatCode="[$$-409]#,##0.00_ ;[Red]\-[$$-409]#,##0.00\ "/>
    </dxf>
    <dxf>
      <alignment horizontal="center" vertical="center"/>
    </dxf>
    <dxf>
      <alignment vertical="center"/>
    </dxf>
    <dxf>
      <alignment horizont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5" formatCode="[$$-409]#,##0.00_ ;[Red]\-[$$-409]#,##0.00\ 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0.00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6" formatCode="0.00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  <protection locked="1" hidden="0"/>
    </dxf>
    <dxf>
      <font>
        <b/>
        <family val="2"/>
      </font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alignment vertical="center"/>
    </dxf>
    <dxf>
      <font>
        <b/>
      </font>
    </dxf>
    <dxf>
      <alignment vertical="center"/>
    </dxf>
    <dxf>
      <font>
        <b/>
      </font>
    </dxf>
    <dxf>
      <font>
        <b/>
      </font>
    </dxf>
    <dxf>
      <alignment wrapText="1"/>
    </dxf>
    <dxf>
      <font>
        <b/>
      </font>
    </dxf>
    <dxf>
      <numFmt numFmtId="165" formatCode="[$$-409]#,##0.00_ ;[Red]\-[$$-409]#,##0.00\ "/>
    </dxf>
    <dxf>
      <alignment horizontal="center" vertical="center"/>
    </dxf>
    <dxf>
      <numFmt numFmtId="169" formatCode="0.00_ ;[Red]\-0.00\ 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4" formatCode="#,##0.0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[$$-409]#,##0.00_ ;[Red]\-[$$-409]#,##0.00\ "/>
      <alignment horizontal="center" vertical="bottom" textRotation="0" wrapText="0" indent="0" justifyLastLine="0" shrinkToFit="0" readingOrder="0"/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4" formatCode="#,##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20" formatCode="dd\-mmm\-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72" formatCode="#,##0.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4" formatCode="#,##0.000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6" formatCode="0.0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Margin Trend for Completed Contracts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Chart!$E$2:$E$8</c:f>
              <c:strCache>
                <c:ptCount val="4"/>
                <c:pt idx="0">
                  <c:v>705119</c:v>
                </c:pt>
                <c:pt idx="1">
                  <c:v>PC 02</c:v>
                </c:pt>
                <c:pt idx="2">
                  <c:v>PC 03</c:v>
                </c:pt>
                <c:pt idx="3">
                  <c:v>PC-2025-000004</c:v>
                </c:pt>
              </c:strCache>
            </c:strRef>
          </c:cat>
          <c:val>
            <c:numRef>
              <c:f>Chart!$F$2:$F$8</c:f>
              <c:numCache>
                <c:formatCode>[$$-409]#,##0.00_ ;[Red]\-[$$-409]#,##0.00\ </c:formatCode>
                <c:ptCount val="7"/>
                <c:pt idx="0">
                  <c:v>4910.4418399999959</c:v>
                </c:pt>
                <c:pt idx="1">
                  <c:v>11293.580000000011</c:v>
                </c:pt>
                <c:pt idx="2">
                  <c:v>11377.839999999989</c:v>
                </c:pt>
                <c:pt idx="3">
                  <c:v>16213.940000000004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6-459A-8A08-A2E27440B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652368"/>
        <c:axId val="1460669168"/>
      </c:lineChart>
      <c:catAx>
        <c:axId val="14606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69168"/>
        <c:crosses val="autoZero"/>
        <c:auto val="1"/>
        <c:lblAlgn val="ctr"/>
        <c:lblOffset val="100"/>
        <c:noMultiLvlLbl val="0"/>
      </c:catAx>
      <c:valAx>
        <c:axId val="1460669168"/>
        <c:scaling>
          <c:orientation val="minMax"/>
        </c:scaling>
        <c:delete val="0"/>
        <c:axPos val="l"/>
        <c:numFmt formatCode="[$$-409]#,##0.00_ ;[Red]\-[$$-409]#,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5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</xdr:col>
      <xdr:colOff>666750</xdr:colOff>
      <xdr:row>13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988D7-E303-43E0-B849-509822451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sbah Khan" id="{8B5E629A-0381-40A9-B643-2EC0B743611A}" userId="da52c24a9933acf4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umer Khan" refreshedDate="45932.438446296299" createdVersion="8" refreshedVersion="8" minRefreshableVersion="3" recordCount="372" xr:uid="{D23632ED-FBBC-433D-B7A2-A0D924F33A88}">
  <cacheSource type="worksheet">
    <worksheetSource name="CT"/>
  </cacheSource>
  <cacheFields count="41">
    <cacheField name="Supplier" numFmtId="0">
      <sharedItems/>
    </cacheField>
    <cacheField name="PC#" numFmtId="0">
      <sharedItems containsBlank="1" containsMixedTypes="1" containsNumber="1" containsInteger="1" minValue="705119" maxValue="705119" count="9">
        <n v="705119"/>
        <s v="PC 02"/>
        <s v="PC 03"/>
        <s v="PC-2025-000004"/>
        <s v="PC-2025-000005"/>
        <s v="PC-2025-000006"/>
        <s v="PC-2025-000007"/>
        <m/>
        <s v="PC-2025-000008"/>
      </sharedItems>
    </cacheField>
    <cacheField name="PC Date" numFmtId="15">
      <sharedItems containsNonDate="0" containsDate="1" containsString="0" containsBlank="1" minDate="2025-04-01T00:00:00" maxDate="2025-08-14T00:00:00"/>
    </cacheField>
    <cacheField name="Commodity" numFmtId="0">
      <sharedItems/>
    </cacheField>
    <cacheField name="Container Number" numFmtId="0">
      <sharedItems containsBlank="1" count="78">
        <s v="HLXU1092493"/>
        <s v="TRHU1653668"/>
        <s v="HLBU2940349"/>
        <s v="TEMU1848558"/>
        <s v="TGBU2240990"/>
        <s v="TEMU1406920"/>
        <s v="TEMU2236475"/>
        <s v="HLXU1061300"/>
        <s v="FBIU0431161"/>
        <s v="HLXU1124203"/>
        <s v="BEAU2061511"/>
        <s v="DFSU2831584"/>
        <s v="FCIU4838429"/>
        <s v="GCXU2115402"/>
        <s v="HMMU2043085"/>
        <s v="HMMU2225407"/>
        <s v="GCXU2116570"/>
        <s v="TEMU1339566"/>
        <s v="TEMU4069952"/>
        <s v="TLLU8326026"/>
        <s v="MSKU7334140"/>
        <s v="MSKU7975040"/>
        <s v="HASU1349781"/>
        <s v="MRKU9932540"/>
        <s v="MRKU8748707"/>
        <s v="MSKU5418391"/>
        <s v="MSKU3273874"/>
        <s v="TRHU2448159"/>
        <s v="HASU1522644"/>
        <s v="MRKU8718580"/>
        <s v="HLXU1315391"/>
        <s v="NIDU2345492"/>
        <s v="HLXU1273526"/>
        <s v="HLXU1267082"/>
        <s v="TLLU8332707"/>
        <s v="HLXU1000368"/>
        <s v="CAIU2655436"/>
        <s v="TRHU1496430"/>
        <s v="CAIU6748115"/>
        <s v="TRHU1528033"/>
        <s v="TCLU2874786"/>
        <s v="HLBU1095540"/>
        <s v="UACU3801211"/>
        <s v="HLBU3051006"/>
        <s v="HAMU1003061"/>
        <s v="UACU4046460"/>
        <s v="FCIU6287243"/>
        <s v="HLBU3616530"/>
        <s v="GESU1255398"/>
        <s v="HAMU1056020"/>
        <s v="BMOU2250839"/>
        <s v="BMOU2025925"/>
        <s v="FTAU1185444"/>
        <s v="FBIU0430463"/>
        <s v="CXDU1830657"/>
        <s v="HAMU1033030"/>
        <s v="FBIU0109221"/>
        <s v="FCIU4621161"/>
        <s v="BEAU2099224"/>
        <s v="BMOU2750140"/>
        <s v="MRSU0076743"/>
        <s v="MRKU7152694"/>
        <s v="TCKU1268489"/>
        <s v="SUDU1469434"/>
        <s v="AXIU2170640"/>
        <s v="MSKU7904746"/>
        <s v="MRKU7437697"/>
        <s v="AXIU2214498"/>
        <s v="MRKU7189008"/>
        <s v="MRKU9316800"/>
        <s v="HLXU3541130"/>
        <s v="TGHU0538164"/>
        <s v="UACU3778277"/>
        <s v="GLDU5432203"/>
        <m/>
        <s v="TGCU2456447"/>
        <s v="GLDU5182336"/>
        <s v="AIXU2214498" u="1"/>
      </sharedItems>
    </cacheField>
    <cacheField name="Container Qty" numFmtId="166">
      <sharedItems containsString="0" containsBlank="1" containsNumber="1" minValue="22.27" maxValue="27.46"/>
    </cacheField>
    <cacheField name="SOB Date" numFmtId="15">
      <sharedItems containsNonDate="0" containsDate="1" containsString="0" containsBlank="1" minDate="2025-05-04T00:00:00" maxDate="2025-08-29T00:00:00"/>
    </cacheField>
    <cacheField name="ETA Date" numFmtId="15">
      <sharedItems containsNonDate="0" containsDate="1" containsString="0" containsBlank="1" minDate="2025-06-11T00:00:00" maxDate="2025-10-15T00:00:00"/>
    </cacheField>
    <cacheField name="BL Number" numFmtId="0">
      <sharedItems containsBlank="1" containsMixedTypes="1" containsNumber="1" containsInteger="1" minValue="254297937" maxValue="257067816"/>
    </cacheField>
    <cacheField name="Shipment Period" numFmtId="0">
      <sharedItems containsBlank="1"/>
    </cacheField>
    <cacheField name="Inco term" numFmtId="0">
      <sharedItems containsBlank="1"/>
    </cacheField>
    <cacheField name="POL" numFmtId="0">
      <sharedItems containsBlank="1"/>
    </cacheField>
    <cacheField name="PC Qty (MT)" numFmtId="164">
      <sharedItems containsSemiMixedTypes="0" containsString="0" containsNumber="1" minValue="24" maxValue="25.86"/>
    </cacheField>
    <cacheField name="Supplier Invoice#" numFmtId="0">
      <sharedItems containsString="0" containsBlank="1" containsNumber="1" containsInteger="1" minValue="1" maxValue="103"/>
    </cacheField>
    <cacheField name="Purchase Rate/MT (USD)" numFmtId="165">
      <sharedItems containsString="0" containsBlank="1" containsNumber="1" minValue="226.13470000000001" maxValue="325"/>
    </cacheField>
    <cacheField name="Supplier Prov. Price" numFmtId="165">
      <sharedItems containsSemiMixedTypes="0" containsString="0" containsNumber="1" minValue="0" maxValue="8125"/>
    </cacheField>
    <cacheField name="Supplier Final Price" numFmtId="165">
      <sharedItems containsSemiMixedTypes="0" containsString="0" containsNumber="1" minValue="0" maxValue="8924.5"/>
    </cacheField>
    <cacheField name="Supplier Price Diff. (VAT incl.)" numFmtId="165">
      <sharedItems containsMixedTypes="1" containsNumber="1" minValue="-959.4" maxValue="3144.0029760000002"/>
    </cacheField>
    <cacheField name="FX Rate" numFmtId="172">
      <sharedItems containsString="0" containsBlank="1" containsNumber="1" minValue="1.2978000000000001" maxValue="1.3541000000000001"/>
    </cacheField>
    <cacheField name="Date of Inspection" numFmtId="15">
      <sharedItems containsNonDate="0" containsDate="1" containsString="0" containsBlank="1" minDate="2025-04-28T00:00:00" maxDate="2025-08-19T00:00:00"/>
    </cacheField>
    <cacheField name="Freight Charges" numFmtId="165">
      <sharedItems containsString="0" containsBlank="1" containsNumber="1" minValue="0" maxValue="58.618629167456568"/>
    </cacheField>
    <cacheField name="Inspection Cost/MT" numFmtId="165">
      <sharedItems containsString="0" containsBlank="1" containsNumber="1" minValue="2.4056012402264764" maxValue="15.959757680657724"/>
    </cacheField>
    <cacheField name="DHL Charges PMT" numFmtId="4">
      <sharedItems containsString="0" containsBlank="1" containsNumber="1" minValue="0.11437861288450378" maxValue="1.1326548513302033"/>
    </cacheField>
    <cacheField name="Cost Per MT" numFmtId="165">
      <sharedItems containsSemiMixedTypes="0" containsString="0" containsNumber="1" minValue="0" maxValue="67.035663909240597"/>
    </cacheField>
    <cacheField name="Margin/MT" numFmtId="165">
      <sharedItems containsSemiMixedTypes="0" containsString="0" containsNumber="1" minValue="6.8296360907593794" maxValue="335"/>
    </cacheField>
    <cacheField name="Gross Margin" numFmtId="165">
      <sharedItems containsSemiMixedTypes="0" containsString="0" containsNumber="1" minValue="0" maxValue="874.5"/>
    </cacheField>
    <cacheField name="Column6" numFmtId="165">
      <sharedItems containsNonDate="0" containsString="0" containsBlank="1"/>
    </cacheField>
    <cacheField name="Customer" numFmtId="0">
      <sharedItems/>
    </cacheField>
    <cacheField name="SC#" numFmtId="0">
      <sharedItems containsMixedTypes="1" containsNumber="1" containsInteger="1" minValue="705119" maxValue="705120"/>
    </cacheField>
    <cacheField name="SC Date" numFmtId="15">
      <sharedItems containsSemiMixedTypes="0" containsNonDate="0" containsDate="1" containsString="0" minDate="2025-03-27T00:00:00" maxDate="2025-08-20T00:00:00"/>
    </cacheField>
    <cacheField name="SC Qty (MT)" numFmtId="164">
      <sharedItems containsSemiMixedTypes="0" containsString="0" containsNumber="1" minValue="24" maxValue="25.86"/>
    </cacheField>
    <cacheField name="Sales Rate/MT (USD)" numFmtId="165">
      <sharedItems containsSemiMixedTypes="0" containsString="0" containsNumber="1" containsInteger="1" minValue="300" maxValue="360"/>
    </cacheField>
    <cacheField name="Customer  Prov. Price" numFmtId="165">
      <sharedItems containsSemiMixedTypes="0" containsString="0" containsNumber="1" minValue="7578.0000000000009" maxValue="8750"/>
    </cacheField>
    <cacheField name="Customer Final Price" numFmtId="165">
      <sharedItems containsMixedTypes="1" containsNumber="1" minValue="7578.0000000000009" maxValue="9611"/>
    </cacheField>
    <cacheField name="Customer Price Difference" numFmtId="165">
      <sharedItems containsMixedTypes="1" containsNumber="1" minValue="-955.5" maxValue="861"/>
    </cacheField>
    <cacheField name="POD" numFmtId="0">
      <sharedItems/>
    </cacheField>
    <cacheField name="PI#" numFmtId="0">
      <sharedItems/>
    </cacheField>
    <cacheField name="CI#" numFmtId="0">
      <sharedItems containsBlank="1"/>
    </cacheField>
    <cacheField name="Status" numFmtId="0">
      <sharedItems/>
    </cacheField>
    <cacheField name="(Under)/Overloading" numFmtId="0" formula="'Container Qty'-'PC Qty (MT)'" databaseField="0"/>
    <cacheField name="Field1" numFmtId="0" formula="'Sales Rate/MT (USD)'/Customer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">
  <r>
    <s v="Spartan Metals"/>
    <x v="0"/>
    <d v="2025-04-01T00:00:00"/>
    <s v="HMS 80:20"/>
    <x v="0"/>
    <n v="22.56"/>
    <d v="2025-05-04T00:00:00"/>
    <d v="2025-06-11T00:00:00"/>
    <s v="HLCULIV250438625"/>
    <s v="April"/>
    <s v="EXW"/>
    <s v="Lon Gateway"/>
    <n v="24"/>
    <n v="91"/>
    <n v="285.51600000000002"/>
    <n v="6852.384"/>
    <n v="6441.2409600000001"/>
    <n v="493.37164799999988"/>
    <n v="1.2978000000000001"/>
    <d v="2025-04-29T00:00:00"/>
    <n v="55.92917785222491"/>
    <n v="7.4601797658862878"/>
    <n v="0.22055055268975679"/>
    <n v="63.609908170800956"/>
    <n v="10.874091829199017"/>
    <n v="245.3195116667298"/>
    <m/>
    <s v="EVSL"/>
    <n v="705119"/>
    <d v="2025-03-27T00:00:00"/>
    <n v="24"/>
    <n v="360"/>
    <n v="8640"/>
    <n v="8121.5999999999995"/>
    <n v="-518.40000000000055"/>
    <s v="Nhava Sheva"/>
    <s v="PI-2025-000002"/>
    <s v="CI-2505-000001"/>
    <s v="Completed"/>
  </r>
  <r>
    <s v="Spartan Metals"/>
    <x v="0"/>
    <d v="2025-04-01T00:00:00"/>
    <s v="HMS 80:20"/>
    <x v="1"/>
    <n v="23.56"/>
    <d v="2025-05-04T00:00:00"/>
    <d v="2025-06-11T00:00:00"/>
    <s v="HLCULIV250438625"/>
    <s v="April"/>
    <s v="EXW"/>
    <s v="Lon Gateway"/>
    <n v="24"/>
    <n v="91"/>
    <n v="285.51600000000002"/>
    <n v="6852.384"/>
    <n v="6726.7569599999997"/>
    <n v="150.75244800000036"/>
    <n v="1.2978000000000001"/>
    <d v="2025-04-28T00:00:00"/>
    <n v="53.577403598471101"/>
    <n v="7.4260299625468171"/>
    <n v="0.22055055268975679"/>
    <n v="61.223984113707672"/>
    <n v="13.260015886292308"/>
    <n v="312.40597428104678"/>
    <m/>
    <s v="EVSL"/>
    <n v="705119"/>
    <d v="2025-03-27T00:00:00"/>
    <n v="24"/>
    <n v="360"/>
    <n v="8640"/>
    <n v="8481.6"/>
    <n v="-158.39999999999964"/>
    <s v="Nhava Sheva"/>
    <s v="PI-2025-000002"/>
    <s v="CI-2505-000001"/>
    <s v="Completed"/>
  </r>
  <r>
    <s v="Spartan Metals"/>
    <x v="0"/>
    <d v="2025-04-01T00:00:00"/>
    <s v="HMS 80:20"/>
    <x v="2"/>
    <n v="24.5"/>
    <d v="2025-05-04T00:00:00"/>
    <d v="2025-06-11T00:00:00"/>
    <s v="HLCULIV250438625"/>
    <s v="April"/>
    <s v="EXW"/>
    <s v="Lon Gateway"/>
    <n v="24"/>
    <n v="91"/>
    <n v="285.51600000000002"/>
    <n v="6852.384"/>
    <n v="6995.1420000000007"/>
    <n v="-171.30960000000087"/>
    <n v="1.2978000000000001"/>
    <d v="2025-04-28T00:00:00"/>
    <n v="51.541784597050501"/>
    <n v="7.4260299625468171"/>
    <n v="0.22055055268975679"/>
    <n v="59.188365112287073"/>
    <n v="15.295634887712936"/>
    <n v="374.74305474896693"/>
    <m/>
    <s v="EVSL"/>
    <n v="705119"/>
    <d v="2025-03-27T00:00:00"/>
    <n v="24"/>
    <n v="360"/>
    <n v="8640"/>
    <n v="8820"/>
    <n v="180"/>
    <s v="Nhava Sheva"/>
    <s v="PI-2025-000002"/>
    <s v="CI-2505-000001"/>
    <s v="Completed"/>
  </r>
  <r>
    <s v="Spartan Metals"/>
    <x v="0"/>
    <d v="2025-04-01T00:00:00"/>
    <s v="HMS 80:20"/>
    <x v="3"/>
    <n v="25.28"/>
    <d v="2025-05-04T00:00:00"/>
    <d v="2025-06-11T00:00:00"/>
    <s v="HLCULIV250438625"/>
    <s v="April"/>
    <s v="EXW"/>
    <s v="Lon Gateway"/>
    <n v="24"/>
    <n v="91"/>
    <n v="285.51600000000002"/>
    <n v="6852.384"/>
    <n v="7217.8444800000007"/>
    <n v="-438.55257600000078"/>
    <n v="1.2978000000000001"/>
    <d v="2025-04-29T00:00:00"/>
    <n v="49.967578965430761"/>
    <n v="7.4601797658862878"/>
    <n v="0.22055055268975679"/>
    <n v="57.648309284006807"/>
    <n v="16.835690715993167"/>
    <n v="425.60626130030727"/>
    <m/>
    <s v="EVSL"/>
    <n v="705119"/>
    <d v="2025-03-27T00:00:00"/>
    <n v="24"/>
    <n v="360"/>
    <n v="8640"/>
    <n v="9100.8000000000011"/>
    <n v="460.80000000000109"/>
    <s v="Nhava Sheva"/>
    <s v="PI-2025-000002"/>
    <s v="CI-2505-000001"/>
    <s v="Completed"/>
  </r>
  <r>
    <s v="Spartan Metals"/>
    <x v="0"/>
    <d v="2025-04-01T00:00:00"/>
    <s v="HMS 80:20"/>
    <x v="4"/>
    <n v="26.14"/>
    <d v="2025-05-11T00:00:00"/>
    <d v="2025-06-18T00:00:00"/>
    <s v="HLCULIV250456516"/>
    <s v="April"/>
    <s v="EXW"/>
    <s v="Lon Gateway"/>
    <n v="24"/>
    <n v="91"/>
    <n v="285.51600000000002"/>
    <n v="6852.384"/>
    <n v="7463.3882400000002"/>
    <n v="-733.20508800000027"/>
    <n v="1.2978000000000001"/>
    <d v="2025-05-06T00:00:00"/>
    <n v="48.156451882071835"/>
    <n v="2.4056012402264764"/>
    <n v="0.22055055268975679"/>
    <n v="50.782603674988067"/>
    <n v="23.701396325011899"/>
    <n v="619.55449993581101"/>
    <m/>
    <s v="EVSL"/>
    <n v="705119"/>
    <d v="2025-03-27T00:00:00"/>
    <n v="24"/>
    <n v="360"/>
    <n v="8640"/>
    <n v="9410.4"/>
    <n v="770.39999999999964"/>
    <s v="Nhava Sheva"/>
    <s v="PI-2025-000002"/>
    <s v="CI-2025-000002"/>
    <s v="Completed"/>
  </r>
  <r>
    <s v="Spartan Metals"/>
    <x v="0"/>
    <d v="2025-04-01T00:00:00"/>
    <s v="HMS 80:20"/>
    <x v="5"/>
    <n v="24.8"/>
    <d v="2025-05-11T00:00:00"/>
    <d v="2025-06-18T00:00:00"/>
    <s v="HLCULIV250456516"/>
    <s v="April"/>
    <s v="EXW"/>
    <s v="Lon Gateway"/>
    <n v="24"/>
    <n v="91"/>
    <n v="285.51600000000002"/>
    <n v="6852.384"/>
    <n v="7080.796800000001"/>
    <n v="-274.09536000000116"/>
    <n v="1.2978000000000001"/>
    <d v="2025-05-06T00:00:00"/>
    <n v="50.74024387061985"/>
    <n v="2.4056012402264764"/>
    <n v="0.22055055268975679"/>
    <n v="53.366395663536082"/>
    <n v="21.117604336463899"/>
    <n v="523.71658754430473"/>
    <m/>
    <s v="EVSL"/>
    <n v="705119"/>
    <d v="2025-03-27T00:00:00"/>
    <n v="24"/>
    <n v="360"/>
    <n v="8640"/>
    <n v="8928"/>
    <n v="288"/>
    <s v="Nhava Sheva"/>
    <s v="PI-2025-000002"/>
    <s v="CI-2025-000002"/>
    <s v="Completed"/>
  </r>
  <r>
    <s v="Spartan Metals"/>
    <x v="0"/>
    <d v="2025-04-01T00:00:00"/>
    <s v="HMS 80:20"/>
    <x v="6"/>
    <n v="24.8"/>
    <d v="2025-05-11T00:00:00"/>
    <d v="2025-06-18T00:00:00"/>
    <s v="HLCULIV250456516"/>
    <s v="April"/>
    <s v="EXW"/>
    <s v="Lon Gateway"/>
    <n v="24"/>
    <n v="91"/>
    <n v="285.51600000000002"/>
    <n v="6852.384"/>
    <n v="7080.796800000001"/>
    <n v="-274.09536000000116"/>
    <n v="1.2978000000000001"/>
    <d v="2025-05-06T00:00:00"/>
    <n v="50.74024387061985"/>
    <n v="2.4056012402264764"/>
    <n v="0.22055055268975679"/>
    <n v="53.366395663536082"/>
    <n v="21.117604336463899"/>
    <n v="523.71658754430473"/>
    <m/>
    <s v="EVSL"/>
    <n v="705119"/>
    <d v="2025-03-27T00:00:00"/>
    <n v="24"/>
    <n v="360"/>
    <n v="8640"/>
    <n v="8928"/>
    <n v="288"/>
    <s v="Nhava Sheva"/>
    <s v="PI-2025-000002"/>
    <s v="CI-2025-000002"/>
    <s v="Completed"/>
  </r>
  <r>
    <s v="Spartan Metals"/>
    <x v="0"/>
    <d v="2025-04-01T00:00:00"/>
    <s v="HMS 80:20"/>
    <x v="7"/>
    <n v="23.54"/>
    <d v="2025-05-11T00:00:00"/>
    <d v="2025-06-18T00:00:00"/>
    <s v="HLCULIV250456516"/>
    <s v="April"/>
    <s v="EXW"/>
    <s v="Lon Gateway"/>
    <n v="24"/>
    <n v="91"/>
    <n v="285.51600000000002"/>
    <n v="6852.384"/>
    <n v="6721.0466400000005"/>
    <n v="157.60483199999945"/>
    <n v="1.2978000000000001"/>
    <d v="2025-05-06T00:00:00"/>
    <n v="53.438122567141903"/>
    <n v="2.4056012402264764"/>
    <n v="0.22055055268975679"/>
    <n v="56.064274360058135"/>
    <n v="18.419725639941817"/>
    <n v="433.60034156423035"/>
    <m/>
    <s v="EVSL"/>
    <n v="705119"/>
    <d v="2025-03-27T00:00:00"/>
    <n v="24"/>
    <n v="360"/>
    <n v="8640"/>
    <n v="8474.4"/>
    <n v="-165.60000000000036"/>
    <s v="Nhava Sheva"/>
    <s v="PI-2025-000002"/>
    <s v="CI-2025-000002"/>
    <s v="Completed"/>
  </r>
  <r>
    <s v="Spartan Metals"/>
    <x v="0"/>
    <d v="2025-04-01T00:00:00"/>
    <s v="HMS 80:20"/>
    <x v="8"/>
    <n v="25.86"/>
    <d v="2025-05-11T00:00:00"/>
    <d v="2025-06-18T00:00:00"/>
    <s v="HLCULIV250456516"/>
    <s v="April"/>
    <s v="EXW"/>
    <s v="Lon Gateway"/>
    <n v="24"/>
    <n v="91"/>
    <n v="285.51600000000002"/>
    <n v="6852.384"/>
    <n v="7383.4437600000001"/>
    <n v="-637.27171200000009"/>
    <n v="1.2978000000000001"/>
    <d v="2025-05-06T00:00:00"/>
    <n v="48.674218373526323"/>
    <n v="2.4056012402264764"/>
    <n v="0.22055055268975679"/>
    <n v="51.300370166442555"/>
    <n v="23.183629833557404"/>
    <n v="599.52866749579448"/>
    <m/>
    <s v="EVSL"/>
    <n v="705119"/>
    <d v="2025-03-27T00:00:00"/>
    <n v="24"/>
    <n v="360"/>
    <n v="8640"/>
    <n v="9309.6"/>
    <n v="669.60000000000036"/>
    <s v="Nhava Sheva"/>
    <s v="PI-2025-000002"/>
    <s v="CI-2025-000002"/>
    <s v="Completed"/>
  </r>
  <r>
    <s v="Spartan Metals"/>
    <x v="0"/>
    <d v="2025-04-01T00:00:00"/>
    <s v="HMS 80:20"/>
    <x v="9"/>
    <n v="23.22"/>
    <d v="2025-05-11T00:00:00"/>
    <d v="2025-06-18T00:00:00"/>
    <s v="HLCULIV250456516"/>
    <s v="April"/>
    <s v="EXW"/>
    <s v="Lon Gateway"/>
    <n v="24"/>
    <n v="91"/>
    <n v="285.51600000000002"/>
    <n v="6852.384"/>
    <n v="6629.6815200000001"/>
    <n v="3144.0029760000002"/>
    <n v="1.2978000000000001"/>
    <d v="2025-05-06T00:00:00"/>
    <n v="54.169920734280218"/>
    <n v="2.4056012402264764"/>
    <n v="0.22055055268975679"/>
    <n v="56.796072527196451"/>
    <n v="17.687927472803551"/>
    <n v="410.71367591849844"/>
    <m/>
    <s v="EVSL"/>
    <n v="705119"/>
    <d v="2025-03-27T00:00:00"/>
    <n v="24"/>
    <n v="360"/>
    <n v="8640"/>
    <n v="8359.1999999999989"/>
    <n v="-280.80000000000109"/>
    <s v="Nhava Sheva"/>
    <s v="PI-2025-000002"/>
    <s v="CI-2025-000002"/>
    <s v="Completed"/>
  </r>
  <r>
    <s v="Spartan Metals"/>
    <x v="1"/>
    <d v="2025-05-01T00:00:00"/>
    <s v="HMS 80:20"/>
    <x v="10"/>
    <n v="22.38"/>
    <d v="2025-05-14T00:00:00"/>
    <d v="2025-07-07T00:00:00"/>
    <s v="BHMA94978500"/>
    <s v="May"/>
    <s v="CNF"/>
    <s v="Southampton"/>
    <n v="25"/>
    <n v="92"/>
    <n v="325"/>
    <n v="8125"/>
    <n v="7273.5"/>
    <n v="1021.8"/>
    <n v="1.3270999999999999"/>
    <d v="2025-05-09T00:00:00"/>
    <n v="0"/>
    <n v="3.1139291808873719"/>
    <n v="0.23212526501766778"/>
    <n v="3.3460544459050396"/>
    <n v="21.653945554094946"/>
    <n v="484.61530150064488"/>
    <m/>
    <s v="EVSL"/>
    <n v="705120"/>
    <d v="2025-05-01T00:00:00"/>
    <n v="25"/>
    <n v="350"/>
    <n v="8750"/>
    <n v="7833"/>
    <n v="-917"/>
    <s v="Nhava Sheva"/>
    <s v="PI03"/>
    <s v="CI-2025-000003"/>
    <s v="Completed"/>
  </r>
  <r>
    <s v="Spartan Metals"/>
    <x v="1"/>
    <d v="2025-05-01T00:00:00"/>
    <s v="HMS 80:20"/>
    <x v="11"/>
    <n v="23.26"/>
    <d v="2025-05-14T00:00:00"/>
    <d v="2025-07-07T00:00:00"/>
    <s v="BHMA94978500"/>
    <s v="May"/>
    <s v="CNF"/>
    <s v="Southampton"/>
    <n v="25"/>
    <n v="92"/>
    <n v="325"/>
    <n v="8125"/>
    <n v="7559.5000000000009"/>
    <n v="678.59999999999889"/>
    <n v="1.3270999999999999"/>
    <d v="2025-05-09T00:00:00"/>
    <n v="0"/>
    <n v="3.1139291808873719"/>
    <n v="0.23212526501766778"/>
    <n v="3.3460544459050396"/>
    <n v="21.653945554094946"/>
    <n v="503.67077358824849"/>
    <m/>
    <s v="EVSL"/>
    <n v="705120"/>
    <d v="2025-05-01T00:00:00"/>
    <n v="25"/>
    <n v="350"/>
    <n v="8750"/>
    <n v="8141.0000000000009"/>
    <n v="-608.99999999999909"/>
    <s v="Nhava Sheva"/>
    <s v="PI03"/>
    <s v="CI-2025-000003"/>
    <s v="Completed"/>
  </r>
  <r>
    <s v="Spartan Metals"/>
    <x v="1"/>
    <d v="2025-05-01T00:00:00"/>
    <s v="HMS 80:20"/>
    <x v="12"/>
    <n v="23.56"/>
    <d v="2025-05-14T00:00:00"/>
    <d v="2025-07-07T00:00:00"/>
    <s v="BHMA94978500"/>
    <s v="May"/>
    <s v="CNF"/>
    <s v="Southampton"/>
    <n v="25"/>
    <n v="92"/>
    <n v="325"/>
    <n v="8125"/>
    <n v="7657"/>
    <n v="561.6"/>
    <n v="1.3270999999999999"/>
    <d v="2025-05-09T00:00:00"/>
    <n v="0"/>
    <n v="3.1139291808873719"/>
    <n v="0.23212526501766778"/>
    <n v="3.3460544459050396"/>
    <n v="21.653945554094946"/>
    <n v="510.16695725447693"/>
    <m/>
    <s v="EVSL"/>
    <n v="705120"/>
    <d v="2025-05-01T00:00:00"/>
    <n v="25"/>
    <n v="350"/>
    <n v="8750"/>
    <n v="8246"/>
    <n v="-504"/>
    <s v="Nhava Sheva"/>
    <s v="PI03"/>
    <s v="CI-2025-000003"/>
    <s v="Completed"/>
  </r>
  <r>
    <s v="Spartan Metals"/>
    <x v="1"/>
    <d v="2025-05-01T00:00:00"/>
    <s v="HMS 80:20"/>
    <x v="13"/>
    <n v="24.14"/>
    <d v="2025-05-14T00:00:00"/>
    <d v="2025-07-07T00:00:00"/>
    <s v="BHMA94978500"/>
    <s v="May"/>
    <s v="CNF"/>
    <s v="Southampton"/>
    <n v="25"/>
    <n v="92"/>
    <n v="325"/>
    <n v="8125"/>
    <n v="7845.5"/>
    <n v="335.4"/>
    <n v="1.3270999999999999"/>
    <d v="2025-05-08T00:00:00"/>
    <n v="0"/>
    <n v="3.0281488549618318"/>
    <n v="0.23212526501766778"/>
    <n v="3.2602741199794996"/>
    <n v="21.739725880020501"/>
    <n v="524.79698274369491"/>
    <m/>
    <s v="EVSL"/>
    <n v="705120"/>
    <d v="2025-05-01T00:00:00"/>
    <n v="25"/>
    <n v="350"/>
    <n v="8750"/>
    <n v="8449"/>
    <n v="-301"/>
    <s v="Nhava Sheva"/>
    <s v="PI03"/>
    <s v="CI-2025-000003"/>
    <s v="Completed"/>
  </r>
  <r>
    <s v="Spartan Metals"/>
    <x v="1"/>
    <d v="2025-05-01T00:00:00"/>
    <s v="HMS 80:20"/>
    <x v="14"/>
    <n v="24.7"/>
    <d v="2025-05-14T00:00:00"/>
    <d v="2025-07-07T00:00:00"/>
    <s v="BHMA94978500"/>
    <s v="May"/>
    <s v="CNF"/>
    <s v="Southampton"/>
    <n v="25"/>
    <n v="92"/>
    <n v="325"/>
    <n v="8125"/>
    <n v="8027.5"/>
    <n v="117"/>
    <n v="1.3270999999999999"/>
    <d v="2025-05-09T00:00:00"/>
    <n v="0"/>
    <n v="3.1139291808873719"/>
    <n v="0.23212526501766778"/>
    <n v="3.3460544459050396"/>
    <n v="21.653945554094946"/>
    <n v="534.85245518614511"/>
    <m/>
    <s v="EVSL"/>
    <n v="705120"/>
    <d v="2025-05-01T00:00:00"/>
    <n v="25"/>
    <n v="350"/>
    <n v="8750"/>
    <n v="8645"/>
    <n v="-105"/>
    <s v="Nhava Sheva"/>
    <s v="PI03"/>
    <s v="CI-2025-000003"/>
    <s v="Completed"/>
  </r>
  <r>
    <s v="Spartan Metals"/>
    <x v="1"/>
    <d v="2025-05-01T00:00:00"/>
    <s v="HMS 80:20"/>
    <x v="15"/>
    <n v="24.92"/>
    <d v="2025-05-14T00:00:00"/>
    <d v="2025-07-07T00:00:00"/>
    <s v="BHMA94978500"/>
    <s v="May"/>
    <s v="CNF"/>
    <s v="Southampton"/>
    <n v="25"/>
    <n v="92"/>
    <n v="325"/>
    <n v="8125"/>
    <n v="8099.0000000000009"/>
    <n v="31.199999999998909"/>
    <n v="1.3270999999999999"/>
    <d v="2025-05-08T00:00:00"/>
    <n v="0"/>
    <n v="3.0281488549618318"/>
    <n v="0.23212526501766778"/>
    <n v="3.2602741199794996"/>
    <n v="21.739725880020501"/>
    <n v="541.75396893011089"/>
    <m/>
    <s v="EVSL"/>
    <n v="705120"/>
    <d v="2025-05-01T00:00:00"/>
    <n v="25"/>
    <n v="350"/>
    <n v="8750"/>
    <n v="8722"/>
    <n v="-28"/>
    <s v="Nhava Sheva"/>
    <s v="PI03"/>
    <s v="CI-2025-000003"/>
    <s v="Completed"/>
  </r>
  <r>
    <s v="Spartan Metals"/>
    <x v="1"/>
    <d v="2025-05-01T00:00:00"/>
    <s v="HMS 80:20"/>
    <x v="16"/>
    <n v="23.3"/>
    <d v="2025-05-26T00:00:00"/>
    <d v="2025-07-21T00:00:00"/>
    <s v="BHMA94978501"/>
    <s v="May"/>
    <s v="CNF"/>
    <s v="Southampton"/>
    <n v="25"/>
    <n v="92"/>
    <n v="325"/>
    <n v="8125"/>
    <n v="7572.5"/>
    <n v="663"/>
    <n v="1.3270999999999999"/>
    <d v="2025-05-09T00:00:00"/>
    <n v="0"/>
    <n v="3.1139291808873719"/>
    <n v="0.23212526501766778"/>
    <n v="3.3460544459050396"/>
    <n v="21.653945554094946"/>
    <n v="504.53693141041225"/>
    <m/>
    <s v="EVSL"/>
    <n v="705120"/>
    <d v="2025-05-01T00:00:00"/>
    <n v="25"/>
    <n v="350"/>
    <n v="8750"/>
    <n v="8155"/>
    <n v="-595"/>
    <s v="Nhava Sheva"/>
    <s v="PI03"/>
    <s v="CI-2025-000004"/>
    <s v="Completed"/>
  </r>
  <r>
    <s v="Spartan Metals"/>
    <x v="1"/>
    <d v="2025-05-01T00:00:00"/>
    <s v="HMS 80:20"/>
    <x v="17"/>
    <n v="24.46"/>
    <d v="2025-05-26T00:00:00"/>
    <d v="2025-07-21T00:00:00"/>
    <s v="BHMA94978501"/>
    <s v="May"/>
    <s v="CNF"/>
    <s v="Southampton"/>
    <n v="25"/>
    <n v="92"/>
    <n v="325"/>
    <n v="8125"/>
    <n v="7949.5"/>
    <n v="210.6"/>
    <n v="1.3270999999999999"/>
    <d v="2025-05-08T00:00:00"/>
    <n v="0"/>
    <n v="3.0281488549618318"/>
    <n v="0.23212526501766778"/>
    <n v="3.2602741199794996"/>
    <n v="21.739725880020501"/>
    <n v="531.75369502530145"/>
    <m/>
    <s v="EVSL"/>
    <n v="705120"/>
    <d v="2025-05-01T00:00:00"/>
    <n v="25"/>
    <n v="350"/>
    <n v="8750"/>
    <n v="8561"/>
    <n v="-189"/>
    <s v="Nhava Sheva"/>
    <s v="PI03"/>
    <s v="CI-2025-000004"/>
    <s v="Completed"/>
  </r>
  <r>
    <s v="Spartan Metals"/>
    <x v="1"/>
    <d v="2025-05-01T00:00:00"/>
    <s v="HMS 80:20"/>
    <x v="18"/>
    <n v="24.02"/>
    <d v="2025-05-26T00:00:00"/>
    <d v="2025-07-21T00:00:00"/>
    <s v="BHMA94978501"/>
    <s v="May"/>
    <s v="CNF"/>
    <s v="Southampton"/>
    <n v="25"/>
    <n v="92"/>
    <n v="325"/>
    <n v="8125"/>
    <n v="7806.5"/>
    <n v="382.2"/>
    <n v="1.3270999999999999"/>
    <d v="2025-05-08T00:00:00"/>
    <n v="0"/>
    <n v="3.0281488549618318"/>
    <n v="0.23212526501766778"/>
    <n v="3.2602741199794996"/>
    <n v="21.739725880020501"/>
    <n v="522.1882156380924"/>
    <m/>
    <s v="EVSL"/>
    <n v="705120"/>
    <d v="2025-05-01T00:00:00"/>
    <n v="25"/>
    <n v="350"/>
    <n v="8750"/>
    <n v="8407"/>
    <n v="-343"/>
    <s v="Nhava Sheva"/>
    <s v="PI03"/>
    <s v="CI-2025-000004"/>
    <s v="Completed"/>
  </r>
  <r>
    <s v="Spartan Metals"/>
    <x v="1"/>
    <d v="2025-05-01T00:00:00"/>
    <s v="HMS 80:20"/>
    <x v="19"/>
    <n v="22.98"/>
    <d v="2025-05-26T00:00:00"/>
    <d v="2025-07-21T00:00:00"/>
    <s v="BHMA94978501"/>
    <s v="May"/>
    <s v="CNF"/>
    <s v="Southampton"/>
    <n v="25"/>
    <n v="92"/>
    <n v="325"/>
    <n v="8125"/>
    <n v="7468.5"/>
    <n v="787.8"/>
    <n v="1.3270999999999999"/>
    <d v="2025-05-08T00:00:00"/>
    <n v="0"/>
    <n v="3.0281488549618318"/>
    <n v="0.23212526501766778"/>
    <n v="3.2602741199794996"/>
    <n v="21.739725880020501"/>
    <n v="499.57890072287114"/>
    <m/>
    <s v="EVSL"/>
    <n v="705120"/>
    <d v="2025-05-01T00:00:00"/>
    <n v="25"/>
    <n v="350"/>
    <n v="8750"/>
    <n v="8043"/>
    <n v="-707"/>
    <s v="Nhava Sheva"/>
    <s v="PI03"/>
    <s v="CI-2025-000004"/>
    <s v="Completed"/>
  </r>
  <r>
    <s v="Spartan Metals"/>
    <x v="1"/>
    <d v="2025-05-01T00:00:00"/>
    <s v="HMS 80:20"/>
    <x v="20"/>
    <n v="23.74"/>
    <d v="2025-05-31T00:00:00"/>
    <d v="2025-07-09T00:00:00"/>
    <n v="254297937"/>
    <s v="May"/>
    <s v="CNF"/>
    <s v="Lon Gateway"/>
    <n v="25"/>
    <n v="92"/>
    <n v="325"/>
    <n v="8125"/>
    <n v="7715.4999999999991"/>
    <n v="491.40000000000106"/>
    <n v="1.3270999999999999"/>
    <d v="2025-05-27T00:00:00"/>
    <n v="0"/>
    <n v="3.7612336390806971"/>
    <n v="0.22668993457059383"/>
    <n v="3.9879235736512908"/>
    <n v="21.012076426348699"/>
    <n v="498.82669436151809"/>
    <m/>
    <s v="EVSL"/>
    <n v="705120"/>
    <d v="2025-05-01T00:00:00"/>
    <n v="25"/>
    <n v="350"/>
    <n v="8750"/>
    <n v="8309"/>
    <n v="-441"/>
    <s v="Nhava Sheva"/>
    <s v="PI03"/>
    <s v="CI-2025-000005"/>
    <s v="Completed"/>
  </r>
  <r>
    <s v="Spartan Metals"/>
    <x v="1"/>
    <d v="2025-05-01T00:00:00"/>
    <s v="HMS 80:20"/>
    <x v="21"/>
    <n v="24.37"/>
    <d v="2025-05-31T00:00:00"/>
    <d v="2025-07-09T00:00:00"/>
    <n v="254297937"/>
    <s v="May"/>
    <s v="CNF"/>
    <s v="Lon Gateway"/>
    <n v="25"/>
    <n v="92"/>
    <n v="325"/>
    <n v="8125"/>
    <n v="7920.25"/>
    <n v="245.7"/>
    <n v="1.3270999999999999"/>
    <d v="2025-05-27T00:00:00"/>
    <n v="0"/>
    <n v="3.7612336390806971"/>
    <n v="0.22668993457059383"/>
    <n v="3.9879235736512908"/>
    <n v="21.012076426348699"/>
    <n v="512.06430251011784"/>
    <m/>
    <s v="EVSL"/>
    <n v="705120"/>
    <d v="2025-05-01T00:00:00"/>
    <n v="25"/>
    <n v="350"/>
    <n v="8750"/>
    <n v="8529.5"/>
    <n v="-220.5"/>
    <s v="Nhava Sheva"/>
    <s v="PI03"/>
    <s v="CI-2025-000005"/>
    <s v="Completed"/>
  </r>
  <r>
    <s v="Spartan Metals"/>
    <x v="1"/>
    <d v="2025-05-01T00:00:00"/>
    <s v="HMS 80:20"/>
    <x v="22"/>
    <n v="24.4"/>
    <d v="2025-05-31T00:00:00"/>
    <d v="2025-07-09T00:00:00"/>
    <n v="254297937"/>
    <s v="May"/>
    <s v="CNF"/>
    <s v="Lon Gateway"/>
    <n v="25"/>
    <n v="92"/>
    <n v="325"/>
    <n v="8125"/>
    <n v="7929.9999999999991"/>
    <n v="234.00000000000108"/>
    <n v="1.3270999999999999"/>
    <d v="2025-05-27T00:00:00"/>
    <n v="0"/>
    <n v="3.7612336390806971"/>
    <n v="0.22668993457059383"/>
    <n v="3.9879235736512908"/>
    <n v="21.012076426348699"/>
    <n v="512.69466480290828"/>
    <m/>
    <s v="EVSL"/>
    <n v="705120"/>
    <d v="2025-05-01T00:00:00"/>
    <n v="25"/>
    <n v="350"/>
    <n v="8750"/>
    <n v="8540"/>
    <n v="-210"/>
    <s v="Nhava Sheva"/>
    <s v="PI03"/>
    <s v="CI-2025-000005"/>
    <s v="Completed"/>
  </r>
  <r>
    <s v="Spartan Metals"/>
    <x v="1"/>
    <d v="2025-05-01T00:00:00"/>
    <s v="HMS 80:20"/>
    <x v="23"/>
    <n v="24.52"/>
    <d v="2025-05-31T00:00:00"/>
    <d v="2025-07-09T00:00:00"/>
    <n v="254297937"/>
    <s v="May"/>
    <s v="CNF"/>
    <s v="Lon Gateway"/>
    <n v="25"/>
    <n v="92"/>
    <n v="325"/>
    <n v="8125"/>
    <n v="7969"/>
    <n v="187.2"/>
    <n v="1.3270999999999999"/>
    <d v="2025-05-27T00:00:00"/>
    <n v="0"/>
    <n v="3.7612336390806971"/>
    <n v="0.22668993457059383"/>
    <n v="3.9879235736512908"/>
    <n v="21.012076426348699"/>
    <n v="515.21611397407014"/>
    <m/>
    <s v="EVSL"/>
    <n v="705120"/>
    <d v="2025-05-01T00:00:00"/>
    <n v="25"/>
    <n v="350"/>
    <n v="8750"/>
    <n v="8582"/>
    <n v="-168"/>
    <s v="Nhava Sheva"/>
    <s v="PI03"/>
    <s v="CI-2025-000005"/>
    <s v="Completed"/>
  </r>
  <r>
    <s v="Spartan Metals"/>
    <x v="1"/>
    <d v="2025-05-01T00:00:00"/>
    <s v="HMS 80:20"/>
    <x v="24"/>
    <n v="22.27"/>
    <d v="2025-05-31T00:00:00"/>
    <d v="2025-07-09T00:00:00"/>
    <n v="254297937"/>
    <s v="May"/>
    <s v="CNF"/>
    <s v="Lon Gateway"/>
    <n v="25"/>
    <n v="92"/>
    <n v="325"/>
    <n v="8125"/>
    <n v="7237.75"/>
    <n v="1064.7"/>
    <n v="1.3270999999999999"/>
    <d v="2025-05-28T00:00:00"/>
    <n v="0"/>
    <n v="8.086693995125195"/>
    <n v="0.22668993457059383"/>
    <n v="8.3133839296957888"/>
    <n v="16.68661607030424"/>
    <n v="371.61093988567541"/>
    <m/>
    <s v="EVSL"/>
    <n v="705120"/>
    <d v="2025-05-01T00:00:00"/>
    <n v="25"/>
    <n v="350"/>
    <n v="8750"/>
    <n v="7794.5"/>
    <n v="-955.5"/>
    <s v="Nhava Sheva"/>
    <s v="PI03"/>
    <s v="CI-2025-000005"/>
    <s v="Completed"/>
  </r>
  <r>
    <s v="Spartan Metals"/>
    <x v="1"/>
    <d v="2025-05-01T00:00:00"/>
    <s v="HMS 80:20"/>
    <x v="25"/>
    <n v="22.86"/>
    <d v="2025-05-31T00:00:00"/>
    <d v="2025-07-09T00:00:00"/>
    <n v="254297937"/>
    <s v="May"/>
    <s v="CNF"/>
    <s v="Lon Gateway"/>
    <n v="25"/>
    <n v="92"/>
    <n v="325"/>
    <n v="8125"/>
    <n v="7429.5"/>
    <n v="834.6"/>
    <n v="1.3270999999999999"/>
    <d v="2025-05-28T00:00:00"/>
    <n v="0"/>
    <n v="8.086693995125195"/>
    <n v="0.22668993457059383"/>
    <n v="8.3133839296957888"/>
    <n v="16.68661607030424"/>
    <n v="381.4560433671549"/>
    <m/>
    <s v="EVSL"/>
    <n v="705120"/>
    <d v="2025-05-01T00:00:00"/>
    <n v="25"/>
    <n v="350"/>
    <n v="8750"/>
    <n v="8001"/>
    <n v="-749"/>
    <s v="Nhava Sheva"/>
    <s v="PI03"/>
    <s v="CI-2025-000005"/>
    <s v="Completed"/>
  </r>
  <r>
    <s v="Spartan Metals"/>
    <x v="1"/>
    <d v="2025-05-01T00:00:00"/>
    <s v="HMS 80:20"/>
    <x v="26"/>
    <n v="26.06"/>
    <d v="2025-05-31T00:00:00"/>
    <d v="2025-07-09T00:00:00"/>
    <n v="254297937"/>
    <s v="May"/>
    <s v="CNF"/>
    <s v="Lon Gateway"/>
    <n v="25"/>
    <n v="92"/>
    <n v="325"/>
    <n v="8125"/>
    <n v="8469.5"/>
    <n v="-413.4"/>
    <n v="1.3270999999999999"/>
    <d v="2025-05-29T00:00:00"/>
    <n v="0"/>
    <n v="3.6187654933068916"/>
    <n v="0.22668993457059383"/>
    <n v="3.8454554278774853"/>
    <n v="21.154544572122518"/>
    <n v="551.2874315495128"/>
    <m/>
    <s v="EVSL"/>
    <n v="705120"/>
    <d v="2025-05-01T00:00:00"/>
    <n v="25"/>
    <n v="350"/>
    <n v="8750"/>
    <n v="9121"/>
    <n v="371"/>
    <s v="Nhava Sheva"/>
    <s v="PI03"/>
    <s v="CI-2025-000005"/>
    <s v="Completed"/>
  </r>
  <r>
    <s v="Spartan Metals"/>
    <x v="1"/>
    <d v="2025-05-01T00:00:00"/>
    <s v="HMS 80:20"/>
    <x v="27"/>
    <n v="25.66"/>
    <d v="2025-05-31T00:00:00"/>
    <d v="2025-07-09T00:00:00"/>
    <n v="254297937"/>
    <s v="May"/>
    <s v="CNF"/>
    <s v="Lon Gateway"/>
    <n v="25"/>
    <n v="92"/>
    <n v="325"/>
    <n v="8125"/>
    <n v="8339.5"/>
    <n v="-257.39999999999998"/>
    <n v="1.3270999999999999"/>
    <d v="2025-05-29T00:00:00"/>
    <n v="0"/>
    <n v="3.6187654933068916"/>
    <n v="0.22668993457059383"/>
    <n v="3.8454554278774853"/>
    <n v="21.154544572122518"/>
    <n v="542.8256137206638"/>
    <m/>
    <s v="EVSL"/>
    <n v="705120"/>
    <d v="2025-05-01T00:00:00"/>
    <n v="25"/>
    <n v="350"/>
    <n v="8750"/>
    <n v="8981"/>
    <n v="231"/>
    <s v="Nhava Sheva"/>
    <s v="PI03"/>
    <s v="CI-2025-000005"/>
    <s v="Completed"/>
  </r>
  <r>
    <s v="Spartan Metals"/>
    <x v="1"/>
    <d v="2025-05-01T00:00:00"/>
    <s v="HMS 80:20"/>
    <x v="28"/>
    <n v="23.36"/>
    <d v="2025-05-31T00:00:00"/>
    <d v="2025-07-09T00:00:00"/>
    <n v="254297937"/>
    <s v="May"/>
    <s v="CNF"/>
    <s v="Lon Gateway"/>
    <n v="25"/>
    <n v="92"/>
    <n v="325"/>
    <n v="8125"/>
    <n v="7592"/>
    <n v="639.6"/>
    <n v="1.3270999999999999"/>
    <d v="2025-05-29T00:00:00"/>
    <n v="0"/>
    <n v="3.6187654933068916"/>
    <n v="0.22668993457059383"/>
    <n v="3.8454554278774853"/>
    <n v="21.154544572122518"/>
    <n v="494.170161204782"/>
    <m/>
    <s v="EVSL"/>
    <n v="705120"/>
    <d v="2025-05-01T00:00:00"/>
    <n v="25"/>
    <n v="350"/>
    <n v="8750"/>
    <n v="8176"/>
    <n v="-574"/>
    <s v="Nhava Sheva"/>
    <s v="PI03"/>
    <s v="CI-2025-000005"/>
    <s v="Completed"/>
  </r>
  <r>
    <s v="Spartan Metals"/>
    <x v="1"/>
    <d v="2025-05-01T00:00:00"/>
    <s v="HMS 80:20"/>
    <x v="29"/>
    <n v="25.77"/>
    <d v="2025-05-31T00:00:00"/>
    <d v="2025-07-09T00:00:00"/>
    <n v="254297937"/>
    <s v="May"/>
    <s v="CNF"/>
    <s v="Lon Gateway"/>
    <n v="25"/>
    <n v="92"/>
    <n v="325"/>
    <n v="8125"/>
    <n v="8375.25"/>
    <n v="-300.3"/>
    <n v="1.3270999999999999"/>
    <d v="2025-05-29T00:00:00"/>
    <n v="0"/>
    <n v="3.6187654933068916"/>
    <n v="0.22668993457059383"/>
    <n v="3.8454554278774853"/>
    <n v="21.154544572122518"/>
    <n v="545.15261362359729"/>
    <m/>
    <s v="EVSL"/>
    <n v="705120"/>
    <d v="2025-05-01T00:00:00"/>
    <n v="25"/>
    <n v="350"/>
    <n v="8750"/>
    <n v="9019.5"/>
    <n v="269.5"/>
    <s v="Nhava Sheva"/>
    <s v="PI03"/>
    <s v="CI-2025-000005"/>
    <s v="Completed"/>
  </r>
  <r>
    <s v="Spartan Metals"/>
    <x v="2"/>
    <d v="2025-05-01T00:00:00"/>
    <s v="HMS 80:20"/>
    <x v="30"/>
    <n v="23.39"/>
    <d v="2025-06-29T00:00:00"/>
    <d v="2025-08-11T00:00:00"/>
    <s v="HLCULIV250642939"/>
    <s v="May"/>
    <s v="CNF"/>
    <s v="Lon Gateway"/>
    <n v="25"/>
    <n v="93"/>
    <n v="325"/>
    <n v="8125"/>
    <n v="7601.75"/>
    <n v="627.9"/>
    <n v="1.3270999999999999"/>
    <d v="2025-06-18T00:00:00"/>
    <n v="0"/>
    <n v="5.1085176371780516"/>
    <n v="0.11437861288450378"/>
    <n v="5.2228962500625551"/>
    <n v="19.777103749937453"/>
    <n v="462.58645671103704"/>
    <m/>
    <s v="EVSL"/>
    <n v="705120"/>
    <d v="2025-05-01T00:00:00"/>
    <n v="25"/>
    <n v="350"/>
    <n v="8750"/>
    <n v="8186.5"/>
    <n v="-563.5"/>
    <s v="Nhava Sheva"/>
    <s v="PI03"/>
    <s v="CI-2025-000006"/>
    <s v="Completed"/>
  </r>
  <r>
    <s v="Spartan Metals"/>
    <x v="2"/>
    <d v="2025-05-01T00:00:00"/>
    <s v="HMS 80:20"/>
    <x v="31"/>
    <n v="24"/>
    <d v="2025-06-29T00:00:00"/>
    <d v="2025-08-11T00:00:00"/>
    <s v="HLCULIV250642939"/>
    <s v="May"/>
    <s v="CNF"/>
    <s v="Lon Gateway"/>
    <n v="25"/>
    <n v="93"/>
    <n v="325"/>
    <n v="8125"/>
    <n v="7800"/>
    <n v="390"/>
    <n v="1.3270999999999999"/>
    <d v="2025-06-18T00:00:00"/>
    <n v="0"/>
    <n v="5.1085176371780516"/>
    <n v="0.11437861288450378"/>
    <n v="5.2228962500625551"/>
    <n v="19.777103749937453"/>
    <n v="474.65048999849887"/>
    <m/>
    <s v="EVSL"/>
    <n v="705120"/>
    <d v="2025-05-01T00:00:00"/>
    <n v="25"/>
    <n v="350"/>
    <n v="8750"/>
    <n v="8400"/>
    <n v="-350"/>
    <s v="Nhava Sheva"/>
    <s v="PI03"/>
    <s v="CI-2025-000006"/>
    <s v="Completed"/>
  </r>
  <r>
    <s v="Spartan Metals"/>
    <x v="2"/>
    <d v="2025-05-01T00:00:00"/>
    <s v="HMS 80:20"/>
    <x v="32"/>
    <n v="24.05"/>
    <d v="2025-06-29T00:00:00"/>
    <d v="2025-08-11T00:00:00"/>
    <s v="HLCULIV250642939"/>
    <s v="May"/>
    <s v="CNF"/>
    <s v="Lon Gateway"/>
    <n v="25"/>
    <n v="93"/>
    <n v="325"/>
    <n v="8125"/>
    <n v="7816.25"/>
    <n v="370.5"/>
    <n v="1.3270999999999999"/>
    <d v="2025-06-18T00:00:00"/>
    <n v="0"/>
    <n v="5.1085176371780516"/>
    <n v="0.11437861288450378"/>
    <n v="5.2228962500625551"/>
    <n v="19.777103749937453"/>
    <n v="475.63934518599575"/>
    <m/>
    <s v="EVSL"/>
    <n v="705120"/>
    <d v="2025-05-01T00:00:00"/>
    <n v="25"/>
    <n v="350"/>
    <n v="8750"/>
    <n v="8417.5"/>
    <n v="-332.5"/>
    <s v="Nhava Sheva"/>
    <s v="PI03"/>
    <s v="CI-2025-000006"/>
    <s v="Completed"/>
  </r>
  <r>
    <s v="Spartan Metals"/>
    <x v="2"/>
    <d v="2025-05-01T00:00:00"/>
    <s v="HMS 80:20"/>
    <x v="33"/>
    <n v="22.95"/>
    <d v="2025-06-29T00:00:00"/>
    <d v="2025-08-11T00:00:00"/>
    <s v="HLCULIV250642939"/>
    <s v="May"/>
    <s v="CNF"/>
    <s v="Lon Gateway"/>
    <n v="25"/>
    <n v="93"/>
    <n v="325"/>
    <n v="8125"/>
    <n v="7458.75"/>
    <n v="799.5"/>
    <n v="1.3270999999999999"/>
    <d v="2025-06-19T00:00:00"/>
    <n v="0"/>
    <n v="7.6622401847575059"/>
    <n v="0.11437861288450378"/>
    <n v="7.7766187976420094"/>
    <n v="17.223381202357984"/>
    <n v="395.27659859411574"/>
    <m/>
    <s v="EVSL"/>
    <n v="705120"/>
    <d v="2025-05-01T00:00:00"/>
    <n v="25"/>
    <n v="350"/>
    <n v="8750"/>
    <n v="8032.5"/>
    <n v="-717.5"/>
    <s v="Nhava Sheva"/>
    <s v="PI03"/>
    <s v="CI-2025-000006"/>
    <s v="Completed"/>
  </r>
  <r>
    <s v="Spartan Metals"/>
    <x v="2"/>
    <d v="2025-05-01T00:00:00"/>
    <s v="HMS 80:20"/>
    <x v="34"/>
    <n v="24.68"/>
    <d v="2025-06-29T00:00:00"/>
    <d v="2025-08-11T00:00:00"/>
    <s v="HLCULIV250642939"/>
    <s v="May"/>
    <s v="CNF"/>
    <s v="Lon Gateway"/>
    <n v="25"/>
    <n v="93"/>
    <n v="325"/>
    <n v="8125"/>
    <n v="8021"/>
    <n v="124.8"/>
    <n v="1.3270999999999999"/>
    <d v="2025-06-19T00:00:00"/>
    <n v="0"/>
    <n v="7.6622401847575059"/>
    <n v="0.11437861288450378"/>
    <n v="7.7766187976420094"/>
    <n v="17.223381202357984"/>
    <n v="425.07304807419507"/>
    <m/>
    <s v="EVSL"/>
    <n v="705120"/>
    <d v="2025-05-01T00:00:00"/>
    <n v="25"/>
    <n v="350"/>
    <n v="8750"/>
    <n v="8638"/>
    <n v="-112"/>
    <s v="Nhava Sheva"/>
    <s v="PI03"/>
    <s v="CI-2025-000006"/>
    <s v="Completed"/>
  </r>
  <r>
    <s v="Spartan Metals"/>
    <x v="2"/>
    <d v="2025-05-01T00:00:00"/>
    <s v="HMS 80:20"/>
    <x v="35"/>
    <n v="27.46"/>
    <d v="2025-06-29T00:00:00"/>
    <d v="2025-08-11T00:00:00"/>
    <s v="HLCULIV250642939"/>
    <s v="May"/>
    <s v="CNF"/>
    <s v="Lon Gateway"/>
    <n v="25"/>
    <n v="93"/>
    <n v="325"/>
    <n v="8125"/>
    <n v="8924.5"/>
    <n v="-959.4"/>
    <n v="1.3270999999999999"/>
    <d v="2025-06-20T00:00:00"/>
    <n v="0"/>
    <n v="4.6963389525157631"/>
    <n v="0.11437861288450378"/>
    <n v="4.8107175654002665"/>
    <n v="20.189282434599761"/>
    <n v="554.3976956541095"/>
    <m/>
    <s v="EVSL"/>
    <n v="705120"/>
    <d v="2025-05-01T00:00:00"/>
    <n v="25"/>
    <n v="350"/>
    <n v="8750"/>
    <n v="9611"/>
    <n v="861"/>
    <s v="Nhava Sheva"/>
    <s v="PI03"/>
    <s v="CI-2025-000006"/>
    <s v="Completed"/>
  </r>
  <r>
    <s v="Spartan Metals"/>
    <x v="2"/>
    <d v="2025-05-01T00:00:00"/>
    <s v="HMS 80:20"/>
    <x v="36"/>
    <n v="25.8"/>
    <d v="2025-06-29T00:00:00"/>
    <d v="2025-08-11T00:00:00"/>
    <s v="HLCULIV250642939"/>
    <s v="May"/>
    <s v="CNF"/>
    <s v="Lon Gateway"/>
    <n v="25"/>
    <n v="93"/>
    <n v="325"/>
    <n v="8125"/>
    <n v="8385"/>
    <n v="-312"/>
    <n v="1.3270999999999999"/>
    <d v="2025-06-20T00:00:00"/>
    <n v="0"/>
    <n v="4.6963389525157631"/>
    <n v="0.11437861288450378"/>
    <n v="4.8107175654002665"/>
    <n v="20.189282434599761"/>
    <n v="520.88348681267382"/>
    <m/>
    <s v="EVSL"/>
    <n v="705120"/>
    <d v="2025-05-01T00:00:00"/>
    <n v="25"/>
    <n v="350"/>
    <n v="8750"/>
    <n v="9030"/>
    <n v="280"/>
    <s v="Nhava Sheva"/>
    <s v="PI03"/>
    <s v="CI-2025-000006"/>
    <s v="Completed"/>
  </r>
  <r>
    <s v="Spartan Metals"/>
    <x v="2"/>
    <d v="2025-05-01T00:00:00"/>
    <s v="HMS 80:20"/>
    <x v="37"/>
    <n v="24.45"/>
    <d v="2025-06-29T00:00:00"/>
    <d v="2025-08-11T00:00:00"/>
    <s v="HLCULIV250642939"/>
    <s v="May"/>
    <s v="CNF"/>
    <s v="Lon Gateway"/>
    <n v="25"/>
    <n v="93"/>
    <n v="325"/>
    <n v="8125"/>
    <n v="7946.25"/>
    <n v="214.5"/>
    <n v="1.3270999999999999"/>
    <d v="2025-06-20T00:00:00"/>
    <n v="0"/>
    <n v="4.6963389525157631"/>
    <n v="0.11437861288450378"/>
    <n v="4.8107175654002665"/>
    <n v="20.189282434599761"/>
    <n v="493.62795552596413"/>
    <m/>
    <s v="EVSL"/>
    <n v="705120"/>
    <d v="2025-05-01T00:00:00"/>
    <n v="25"/>
    <n v="350"/>
    <n v="8750"/>
    <n v="8557.5"/>
    <n v="-192.5"/>
    <s v="Nhava Sheva"/>
    <s v="PI03"/>
    <s v="CI-2025-000006"/>
    <s v="Completed"/>
  </r>
  <r>
    <s v="Spartan Metals"/>
    <x v="2"/>
    <d v="2025-05-01T00:00:00"/>
    <s v="HMS 80:20"/>
    <x v="38"/>
    <n v="22.36"/>
    <d v="2025-06-29T00:00:00"/>
    <d v="2025-08-11T00:00:00"/>
    <s v="HLCULIV250642939"/>
    <s v="May"/>
    <s v="CNF"/>
    <s v="Lon Gateway"/>
    <n v="25"/>
    <n v="93"/>
    <n v="325"/>
    <n v="8125"/>
    <n v="7267"/>
    <n v="1029.5999999999999"/>
    <n v="1.3270999999999999"/>
    <d v="2025-06-23T00:00:00"/>
    <n v="0"/>
    <n v="5.1766312056737585"/>
    <n v="0.11437861288450378"/>
    <n v="5.2910098185582619"/>
    <n v="19.70899018144172"/>
    <n v="440.69302045703688"/>
    <m/>
    <s v="EVSL"/>
    <n v="705120"/>
    <d v="2025-05-01T00:00:00"/>
    <n v="25"/>
    <n v="350"/>
    <n v="8750"/>
    <n v="7826"/>
    <n v="-924"/>
    <s v="Nhava Sheva"/>
    <s v="PI03"/>
    <s v="CI-2025-000006"/>
    <s v="Completed"/>
  </r>
  <r>
    <s v="Spartan Metals"/>
    <x v="2"/>
    <d v="2025-05-01T00:00:00"/>
    <s v="HMS 80:20"/>
    <x v="39"/>
    <n v="23.8"/>
    <d v="2025-06-29T00:00:00"/>
    <d v="2025-08-11T00:00:00"/>
    <s v="HLCULIV250642939"/>
    <s v="May"/>
    <s v="CNF"/>
    <s v="Lon Gateway"/>
    <n v="25"/>
    <n v="93"/>
    <n v="325"/>
    <n v="8125"/>
    <n v="7735"/>
    <n v="468"/>
    <n v="1.3270999999999999"/>
    <d v="2025-06-23T00:00:00"/>
    <n v="0"/>
    <n v="5.1766312056737585"/>
    <n v="0.11437861288450378"/>
    <n v="5.2910098185582619"/>
    <n v="19.70899018144172"/>
    <n v="469.07396631831296"/>
    <m/>
    <s v="EVSL"/>
    <n v="705120"/>
    <d v="2025-05-01T00:00:00"/>
    <n v="25"/>
    <n v="350"/>
    <n v="8750"/>
    <n v="8330"/>
    <n v="-420"/>
    <s v="Nhava Sheva"/>
    <s v="PI03"/>
    <s v="CI-2025-000006"/>
    <s v="Completed"/>
  </r>
  <r>
    <s v="Spartan Metals"/>
    <x v="2"/>
    <d v="2025-05-01T00:00:00"/>
    <s v="HMS 80:20"/>
    <x v="40"/>
    <n v="24.34"/>
    <d v="2025-06-29T00:00:00"/>
    <d v="2025-08-11T00:00:00"/>
    <s v="HLCULIV250642939"/>
    <s v="May"/>
    <s v="CNF"/>
    <s v="Lon Gateway"/>
    <n v="25"/>
    <n v="93"/>
    <n v="325"/>
    <n v="8125"/>
    <n v="7910.5"/>
    <n v="257.39999999999998"/>
    <n v="1.3270999999999999"/>
    <d v="2025-06-23T00:00:00"/>
    <n v="0"/>
    <n v="5.1766312056737585"/>
    <n v="0.11437861288450378"/>
    <n v="5.2910098185582619"/>
    <n v="19.70899018144172"/>
    <n v="479.71682101629148"/>
    <m/>
    <s v="EVSL"/>
    <n v="705120"/>
    <d v="2025-05-01T00:00:00"/>
    <n v="25"/>
    <n v="350"/>
    <n v="8750"/>
    <n v="8519"/>
    <n v="-231"/>
    <s v="Nhava Sheva"/>
    <s v="PI03"/>
    <s v="CI-2025-000006"/>
    <s v="Completed"/>
  </r>
  <r>
    <s v="Spartan Metals"/>
    <x v="2"/>
    <d v="2025-05-01T00:00:00"/>
    <s v="HMS 80:20"/>
    <x v="41"/>
    <n v="24.39"/>
    <d v="2025-06-29T00:00:00"/>
    <d v="2025-08-11T00:00:00"/>
    <s v="HLCULIV250642939"/>
    <s v="May"/>
    <s v="CNF"/>
    <s v="Lon Gateway"/>
    <n v="25"/>
    <n v="93"/>
    <n v="325"/>
    <n v="8125"/>
    <n v="7926.75"/>
    <n v="237.89999999999998"/>
    <n v="1.3270999999999999"/>
    <d v="2025-06-24T00:00:00"/>
    <n v="0"/>
    <n v="5.117830598793998"/>
    <n v="0.11437861288450378"/>
    <n v="5.2322092116785015"/>
    <n v="19.76779078832152"/>
    <n v="482.13641732716189"/>
    <m/>
    <s v="EVSL"/>
    <n v="705120"/>
    <d v="2025-05-01T00:00:00"/>
    <n v="25"/>
    <n v="350"/>
    <n v="8750"/>
    <n v="8536.5"/>
    <n v="-213.5"/>
    <s v="Nhava Sheva"/>
    <s v="PI03"/>
    <s v="CI-2025-000006"/>
    <s v="Completed"/>
  </r>
  <r>
    <s v="Spartan Metals"/>
    <x v="2"/>
    <d v="2025-05-01T00:00:00"/>
    <s v="HMS 80:20"/>
    <x v="42"/>
    <n v="22.92"/>
    <d v="2025-06-29T00:00:00"/>
    <d v="2025-08-11T00:00:00"/>
    <s v="HLCULIV250642939"/>
    <s v="May"/>
    <s v="CNF"/>
    <s v="Lon Gateway"/>
    <n v="25"/>
    <n v="93"/>
    <n v="325"/>
    <n v="8125"/>
    <n v="7449.0000000000009"/>
    <n v="811.19999999999891"/>
    <n v="1.3270999999999999"/>
    <d v="2025-06-24T00:00:00"/>
    <n v="0"/>
    <n v="5.117830598793998"/>
    <n v="0.11437861288450378"/>
    <n v="5.2322092116785015"/>
    <n v="19.76779078832152"/>
    <n v="453.07776486832927"/>
    <m/>
    <s v="EVSL"/>
    <n v="705120"/>
    <d v="2025-05-01T00:00:00"/>
    <n v="25"/>
    <n v="350"/>
    <n v="8750"/>
    <n v="8022.0000000000009"/>
    <n v="-727.99999999999909"/>
    <s v="Nhava Sheva"/>
    <s v="PI03"/>
    <s v="CI-2025-000006"/>
    <s v="Completed"/>
  </r>
  <r>
    <s v="Spartan Metals"/>
    <x v="2"/>
    <d v="2025-05-01T00:00:00"/>
    <s v="HMS 80:20"/>
    <x v="43"/>
    <n v="23.3"/>
    <d v="2025-06-29T00:00:00"/>
    <d v="2025-08-11T00:00:00"/>
    <s v="HLCULIV250642939"/>
    <s v="May"/>
    <s v="CNF"/>
    <s v="Lon Gateway"/>
    <n v="25"/>
    <n v="93"/>
    <n v="325"/>
    <n v="8125"/>
    <n v="7572.5"/>
    <n v="663"/>
    <n v="1.3270999999999999"/>
    <d v="2025-06-25T00:00:00"/>
    <n v="0"/>
    <n v="3.0501671541997495"/>
    <n v="0.11437861288450378"/>
    <n v="3.1645457670842534"/>
    <n v="21.835454232915765"/>
    <n v="508.76608362693736"/>
    <m/>
    <s v="EVSL"/>
    <n v="705120"/>
    <d v="2025-05-01T00:00:00"/>
    <n v="25"/>
    <n v="350"/>
    <n v="8750"/>
    <n v="8155"/>
    <n v="-595"/>
    <s v="Nhava Sheva"/>
    <s v="PI03"/>
    <s v="CI-2025-000006"/>
    <s v="Completed"/>
  </r>
  <r>
    <s v="Spartan Metals"/>
    <x v="2"/>
    <d v="2025-05-01T00:00:00"/>
    <s v="HMS 80:20"/>
    <x v="44"/>
    <n v="24.2"/>
    <d v="2025-06-29T00:00:00"/>
    <d v="2025-08-11T00:00:00"/>
    <s v="HLCULIV250642939"/>
    <s v="May"/>
    <s v="CNF"/>
    <s v="Lon Gateway"/>
    <n v="25"/>
    <n v="93"/>
    <n v="325"/>
    <n v="8125"/>
    <n v="7865"/>
    <n v="312"/>
    <n v="1.3270999999999999"/>
    <d v="2025-06-26T00:00:00"/>
    <n v="0"/>
    <n v="15.080681818181818"/>
    <n v="0.11437861288450378"/>
    <n v="15.195060431066322"/>
    <n v="9.804939568933662"/>
    <n v="237.27953756819463"/>
    <m/>
    <s v="EVSL"/>
    <n v="705120"/>
    <d v="2025-05-01T00:00:00"/>
    <n v="25"/>
    <n v="350"/>
    <n v="8750"/>
    <n v="8470"/>
    <n v="-280"/>
    <s v="Nhava Sheva"/>
    <s v="PI03"/>
    <s v="CI-2025-000006"/>
    <s v="Completed"/>
  </r>
  <r>
    <s v="Spartan Metals"/>
    <x v="2"/>
    <d v="2025-05-01T00:00:00"/>
    <s v="HMS 80:20"/>
    <x v="45"/>
    <n v="23.94"/>
    <d v="2025-06-29T00:00:00"/>
    <d v="2025-08-11T00:00:00"/>
    <s v="HLCULIV250642939"/>
    <s v="May"/>
    <s v="CNF"/>
    <s v="Lon Gateway"/>
    <n v="25"/>
    <n v="93"/>
    <n v="325"/>
    <n v="8125"/>
    <n v="7780.5"/>
    <n v="413.4"/>
    <n v="1.3270999999999999"/>
    <d v="2025-06-25T00:00:00"/>
    <n v="0"/>
    <n v="3.0501671541997495"/>
    <n v="0.11437861288450378"/>
    <n v="3.1645457670842534"/>
    <n v="21.835454232915765"/>
    <n v="522.74077433600348"/>
    <m/>
    <s v="EVSL"/>
    <n v="705120"/>
    <d v="2025-05-01T00:00:00"/>
    <n v="25"/>
    <n v="350"/>
    <n v="8750"/>
    <n v="8379"/>
    <n v="-371"/>
    <s v="Nhava Sheva"/>
    <s v="PI03"/>
    <s v="CI-2025-000006"/>
    <s v="Completed"/>
  </r>
  <r>
    <s v="Spartan Metals"/>
    <x v="2"/>
    <d v="2025-05-01T00:00:00"/>
    <s v="HMS 80:20"/>
    <x v="46"/>
    <n v="24.45"/>
    <d v="2025-06-29T00:00:00"/>
    <d v="2025-08-11T00:00:00"/>
    <s v="HLCULIV250642939"/>
    <s v="May"/>
    <s v="CNF"/>
    <s v="Lon Gateway"/>
    <n v="25"/>
    <n v="93"/>
    <n v="325"/>
    <n v="8125"/>
    <n v="7946.25"/>
    <n v="214.5"/>
    <n v="1.3270999999999999"/>
    <d v="2025-06-25T00:00:00"/>
    <n v="0"/>
    <n v="3.0501671541997495"/>
    <n v="0.11437861288450378"/>
    <n v="3.1645457670842534"/>
    <n v="21.835454232915765"/>
    <n v="533.87685599479039"/>
    <m/>
    <s v="EVSL"/>
    <n v="705120"/>
    <d v="2025-05-01T00:00:00"/>
    <n v="25"/>
    <n v="350"/>
    <n v="8750"/>
    <n v="8557.5"/>
    <n v="-192.5"/>
    <s v="Nhava Sheva"/>
    <s v="PI03"/>
    <s v="CI-2025-000006"/>
    <s v="Completed"/>
  </r>
  <r>
    <s v="Spartan Metals"/>
    <x v="2"/>
    <d v="2025-05-01T00:00:00"/>
    <s v="HMS 80:20"/>
    <x v="47"/>
    <n v="24"/>
    <d v="2025-06-29T00:00:00"/>
    <d v="2025-08-11T00:00:00"/>
    <s v="HLCULIV250642939"/>
    <s v="May"/>
    <s v="CNF"/>
    <s v="Lon Gateway"/>
    <n v="25"/>
    <n v="93"/>
    <n v="325"/>
    <n v="8125"/>
    <n v="7800"/>
    <n v="390"/>
    <n v="1.3270999999999999"/>
    <d v="2025-06-24T00:00:00"/>
    <n v="0"/>
    <n v="5.117830598793998"/>
    <n v="0.11437861288450378"/>
    <n v="5.2322092116785015"/>
    <n v="19.76779078832152"/>
    <n v="474.42697891971648"/>
    <m/>
    <s v="EVSL"/>
    <n v="705120"/>
    <d v="2025-05-01T00:00:00"/>
    <n v="25"/>
    <n v="350"/>
    <n v="8750"/>
    <n v="8400"/>
    <n v="-350"/>
    <s v="Nhava Sheva"/>
    <s v="PI03"/>
    <s v="CI-2025-000006"/>
    <s v="Completed"/>
  </r>
  <r>
    <s v="Spartan Metals"/>
    <x v="2"/>
    <d v="2025-05-01T00:00:00"/>
    <s v="HMS 80:20"/>
    <x v="48"/>
    <n v="24.02"/>
    <d v="2025-06-29T00:00:00"/>
    <d v="2025-08-11T00:00:00"/>
    <s v="HLCULIV250642939"/>
    <s v="May"/>
    <s v="CNF"/>
    <s v="Lon Gateway"/>
    <n v="25"/>
    <n v="93"/>
    <n v="325"/>
    <n v="8125"/>
    <n v="7806.5"/>
    <n v="382.2"/>
    <n v="1.3270999999999999"/>
    <d v="2025-06-25T00:00:00"/>
    <n v="0"/>
    <n v="3.0501671541997495"/>
    <n v="0.11437861288450378"/>
    <n v="3.1645457670842534"/>
    <n v="21.835454232915765"/>
    <n v="524.4876106746367"/>
    <m/>
    <s v="EVSL"/>
    <n v="705120"/>
    <d v="2025-05-01T00:00:00"/>
    <n v="25"/>
    <n v="350"/>
    <n v="8750"/>
    <n v="8407"/>
    <n v="-343"/>
    <s v="Nhava Sheva"/>
    <s v="PI03"/>
    <s v="CI-2025-000006"/>
    <s v="Completed"/>
  </r>
  <r>
    <s v="Spartan Metals"/>
    <x v="2"/>
    <d v="2025-05-01T00:00:00"/>
    <s v="HMS 80:20"/>
    <x v="49"/>
    <n v="23.94"/>
    <d v="2025-07-12T00:00:00"/>
    <d v="2025-08-25T00:00:00"/>
    <s v="HLCULIV250702054"/>
    <s v="May"/>
    <s v="CNF"/>
    <s v="Lon Gateway"/>
    <n v="25"/>
    <n v="93"/>
    <n v="325"/>
    <n v="8125"/>
    <n v="7780.5"/>
    <n v="413.4"/>
    <n v="1.3270999999999999"/>
    <d v="2025-06-25T00:00:00"/>
    <n v="0"/>
    <n v="3.0501671541997495"/>
    <n v="0.11437861288450378"/>
    <n v="3.1645457670842534"/>
    <n v="21.835454232915765"/>
    <n v="522.74077433600348"/>
    <m/>
    <s v="EVSL"/>
    <n v="705120"/>
    <d v="2025-05-01T00:00:00"/>
    <n v="25"/>
    <n v="350"/>
    <n v="8750"/>
    <n v="8379"/>
    <n v="-371"/>
    <s v="Nhava Sheva"/>
    <s v="PI03"/>
    <s v="CI-2025-000007"/>
    <s v="Completed"/>
  </r>
  <r>
    <s v="Spartan Metals"/>
    <x v="3"/>
    <d v="2025-06-10T00:00:00"/>
    <s v="HMS 80:20"/>
    <x v="50"/>
    <n v="24.08"/>
    <d v="2025-07-19T00:00:00"/>
    <d v="2025-09-01T00:00:00"/>
    <s v="HLCULIV250713411"/>
    <s v="June"/>
    <s v="CNF"/>
    <s v="Lon Gateway"/>
    <n v="25"/>
    <n v="97"/>
    <n v="315"/>
    <n v="7875"/>
    <n v="7585.2"/>
    <n v="347.76000000000022"/>
    <n v="1.3411999999999999"/>
    <d v="2025-07-10T00:00:00"/>
    <n v="0"/>
    <n v="3.8451834862385312"/>
    <n v="0.23935606010016686"/>
    <n v="4.0845395463386982"/>
    <n v="30.915460453661296"/>
    <n v="744.44428772416393"/>
    <m/>
    <s v="EVSL"/>
    <s v="SC-2025-000003"/>
    <d v="2025-06-09T00:00:00"/>
    <n v="25"/>
    <n v="350"/>
    <n v="8750"/>
    <n v="8428"/>
    <n v="-322"/>
    <s v="Nhava Sheva"/>
    <s v="PI-2025-000004"/>
    <s v="CI-2025-000008"/>
    <s v="Completed"/>
  </r>
  <r>
    <s v="Spartan Metals"/>
    <x v="3"/>
    <d v="2025-06-10T00:00:00"/>
    <s v="HMS 80:20"/>
    <x v="51"/>
    <n v="24.56"/>
    <d v="2025-07-19T00:00:00"/>
    <d v="2025-09-01T00:00:00"/>
    <s v="HLCULIV250713411"/>
    <s v="June"/>
    <s v="CNF"/>
    <s v="Lon Gateway"/>
    <n v="25"/>
    <n v="97"/>
    <n v="315"/>
    <n v="7875"/>
    <n v="7736.4"/>
    <n v="166.32000000000042"/>
    <n v="1.3411999999999999"/>
    <d v="2025-07-10T00:00:00"/>
    <n v="0"/>
    <n v="3.8451834862385312"/>
    <n v="0.23935606010016686"/>
    <n v="4.0845395463386982"/>
    <n v="30.915460453661296"/>
    <n v="759.28370874192137"/>
    <m/>
    <s v="EVSL"/>
    <s v="SC-2025-000003"/>
    <d v="2025-06-09T00:00:00"/>
    <n v="25"/>
    <n v="350"/>
    <n v="8750"/>
    <n v="8596"/>
    <n v="-154"/>
    <s v="Nhava Sheva"/>
    <s v="PI-2025-000004"/>
    <s v="CI-2025-000008"/>
    <s v="Completed"/>
  </r>
  <r>
    <s v="Spartan Metals"/>
    <x v="3"/>
    <d v="2025-06-10T00:00:00"/>
    <s v="HMS 80:20"/>
    <x v="52"/>
    <n v="22.82"/>
    <d v="2025-07-19T00:00:00"/>
    <d v="2025-09-01T00:00:00"/>
    <s v="HLCULIV250713411"/>
    <s v="June"/>
    <s v="CNF"/>
    <s v="Lon Gateway"/>
    <n v="25"/>
    <n v="97"/>
    <n v="315"/>
    <n v="7875"/>
    <n v="7188.3"/>
    <n v="824.03999999999974"/>
    <n v="1.3411999999999999"/>
    <d v="2025-07-10T00:00:00"/>
    <n v="0"/>
    <n v="3.8451834862385312"/>
    <n v="0.23935606010016686"/>
    <n v="4.0845395463386982"/>
    <n v="30.915460453661296"/>
    <n v="705.49080755255079"/>
    <m/>
    <s v="EVSL"/>
    <s v="SC-2025-000003"/>
    <d v="2025-06-09T00:00:00"/>
    <n v="25"/>
    <n v="350"/>
    <n v="8750"/>
    <n v="7987"/>
    <n v="-763"/>
    <s v="Nhava Sheva"/>
    <s v="PI-2025-000004"/>
    <s v="CI-2025-000008"/>
    <s v="Completed"/>
  </r>
  <r>
    <s v="Spartan Metals"/>
    <x v="3"/>
    <d v="2025-06-10T00:00:00"/>
    <s v="HMS 80:20"/>
    <x v="53"/>
    <n v="24.46"/>
    <d v="2025-07-19T00:00:00"/>
    <d v="2025-09-01T00:00:00"/>
    <s v="HLCULIV250713411"/>
    <s v="June"/>
    <s v="CNF"/>
    <s v="Lon Gateway"/>
    <n v="25"/>
    <n v="97"/>
    <n v="315"/>
    <n v="7875"/>
    <n v="7704.9000000000005"/>
    <n v="204.11999999999935"/>
    <n v="1.3411999999999999"/>
    <d v="2025-07-10T00:00:00"/>
    <n v="0"/>
    <n v="3.8451834862385312"/>
    <n v="0.23935606010016686"/>
    <n v="4.0845395463386982"/>
    <n v="30.915460453661296"/>
    <n v="756.19216269655533"/>
    <m/>
    <s v="EVSL"/>
    <s v="SC-2025-000003"/>
    <d v="2025-06-09T00:00:00"/>
    <n v="25"/>
    <n v="350"/>
    <n v="8750"/>
    <n v="8561"/>
    <n v="-189"/>
    <s v="Nhava Sheva"/>
    <s v="PI-2025-000004"/>
    <s v="CI-2025-000008"/>
    <s v="Completed"/>
  </r>
  <r>
    <s v="Spartan Metals"/>
    <x v="3"/>
    <d v="2025-06-10T00:00:00"/>
    <s v="HMS 80:20"/>
    <x v="54"/>
    <n v="24.21"/>
    <d v="2025-07-19T00:00:00"/>
    <d v="2025-09-01T00:00:00"/>
    <s v="HLCULIV250713411"/>
    <s v="June"/>
    <s v="CNF"/>
    <s v="Lon Gateway"/>
    <n v="25"/>
    <n v="97"/>
    <n v="315"/>
    <n v="7875"/>
    <n v="7626.1500000000005"/>
    <n v="298.61999999999932"/>
    <n v="1.3411999999999999"/>
    <d v="2025-07-11T00:00:00"/>
    <n v="0"/>
    <n v="5.0642592338322121"/>
    <n v="0.23935606010016686"/>
    <n v="5.3036152939323786"/>
    <n v="29.696384706067647"/>
    <n v="718.94947373389778"/>
    <m/>
    <s v="EVSL"/>
    <s v="SC-2025-000003"/>
    <d v="2025-06-09T00:00:00"/>
    <n v="25"/>
    <n v="350"/>
    <n v="8750"/>
    <n v="8473.5"/>
    <n v="-276.5"/>
    <s v="Nhava Sheva"/>
    <s v="PI-2025-000004"/>
    <s v="CI-2025-000008"/>
    <s v="Completed"/>
  </r>
  <r>
    <s v="Spartan Metals"/>
    <x v="3"/>
    <d v="2025-06-10T00:00:00"/>
    <s v="HMS 80:20"/>
    <x v="55"/>
    <n v="24.22"/>
    <d v="2025-07-19T00:00:00"/>
    <d v="2025-09-01T00:00:00"/>
    <s v="HLCULIV250713411"/>
    <s v="June"/>
    <s v="CNF"/>
    <s v="Lon Gateway"/>
    <n v="25"/>
    <n v="97"/>
    <n v="315"/>
    <n v="7875"/>
    <n v="7629.2999999999993"/>
    <n v="294.84000000000088"/>
    <n v="1.3411999999999999"/>
    <d v="2025-07-11T00:00:00"/>
    <n v="0"/>
    <n v="5.0642592338322121"/>
    <n v="0.23935606010016686"/>
    <n v="5.3036152939323786"/>
    <n v="29.696384706067647"/>
    <n v="719.2464375809584"/>
    <m/>
    <s v="EVSL"/>
    <s v="SC-2025-000003"/>
    <d v="2025-06-09T00:00:00"/>
    <n v="25"/>
    <n v="350"/>
    <n v="8750"/>
    <n v="8477"/>
    <n v="-273"/>
    <s v="Nhava Sheva"/>
    <s v="PI-2025-000004"/>
    <s v="CI-2025-000008"/>
    <s v="Completed"/>
  </r>
  <r>
    <s v="Spartan Metals"/>
    <x v="3"/>
    <d v="2025-06-10T00:00:00"/>
    <s v="HMS 80:20"/>
    <x v="56"/>
    <n v="24.4"/>
    <d v="2025-07-19T00:00:00"/>
    <d v="2025-09-01T00:00:00"/>
    <s v="HLCULIV250713411"/>
    <s v="June"/>
    <s v="CNF"/>
    <s v="Lon Gateway"/>
    <n v="25"/>
    <n v="97"/>
    <n v="315"/>
    <n v="7875"/>
    <n v="7686"/>
    <n v="226.79999999999998"/>
    <n v="1.3411999999999999"/>
    <d v="2025-07-11T00:00:00"/>
    <n v="0"/>
    <n v="5.0642592338322121"/>
    <n v="0.23935606010016686"/>
    <n v="5.3036152939323786"/>
    <n v="29.696384706067647"/>
    <n v="724.59178682805054"/>
    <m/>
    <s v="EVSL"/>
    <s v="SC-2025-000003"/>
    <d v="2025-06-09T00:00:00"/>
    <n v="25"/>
    <n v="350"/>
    <n v="8750"/>
    <n v="8540"/>
    <n v="-210"/>
    <s v="Nhava Sheva"/>
    <s v="PI-2025-000004"/>
    <s v="CI-2025-000008"/>
    <s v="Completed"/>
  </r>
  <r>
    <s v="Spartan Metals"/>
    <x v="3"/>
    <d v="2025-06-10T00:00:00"/>
    <s v="HMS 80:20"/>
    <x v="57"/>
    <n v="24.78"/>
    <d v="2025-07-19T00:00:00"/>
    <d v="2025-09-01T00:00:00"/>
    <s v="HLCULIV250713411"/>
    <s v="June"/>
    <s v="CNF"/>
    <s v="Lon Gateway"/>
    <n v="25"/>
    <n v="97"/>
    <n v="315"/>
    <n v="7875"/>
    <n v="7805.7000000000007"/>
    <n v="83.15999999999913"/>
    <n v="1.3411999999999999"/>
    <d v="2025-07-15T00:00:00"/>
    <n v="0"/>
    <n v="5.2057868736767823"/>
    <n v="0.23935606010016686"/>
    <n v="5.4451429337769488"/>
    <n v="29.554857066223065"/>
    <n v="732.36935810100761"/>
    <m/>
    <s v="EVSL"/>
    <s v="SC-2025-000003"/>
    <d v="2025-06-09T00:00:00"/>
    <n v="25"/>
    <n v="350"/>
    <n v="8750"/>
    <n v="8673"/>
    <n v="-77"/>
    <s v="Nhava Sheva"/>
    <s v="PI-2025-000004"/>
    <s v="CI-2025-000008"/>
    <s v="Completed"/>
  </r>
  <r>
    <s v="Spartan Metals"/>
    <x v="3"/>
    <d v="2025-06-10T00:00:00"/>
    <s v="HMS 80:20"/>
    <x v="58"/>
    <n v="23.55"/>
    <d v="2025-07-19T00:00:00"/>
    <d v="2025-09-01T00:00:00"/>
    <s v="HLCULIV250713411"/>
    <s v="June"/>
    <s v="CNF"/>
    <s v="Lon Gateway"/>
    <n v="25"/>
    <n v="97"/>
    <n v="315"/>
    <n v="7875"/>
    <n v="7418.25"/>
    <n v="548.1"/>
    <n v="1.3411999999999999"/>
    <d v="2025-07-15T00:00:00"/>
    <n v="0"/>
    <n v="5.2057868736767823"/>
    <n v="0.23935606010016686"/>
    <n v="5.4451429337769488"/>
    <n v="29.554857066223065"/>
    <n v="696.01688390955314"/>
    <m/>
    <s v="EVSL"/>
    <s v="SC-2025-000003"/>
    <d v="2025-06-09T00:00:00"/>
    <n v="25"/>
    <n v="350"/>
    <n v="8750"/>
    <n v="8242.5"/>
    <n v="-507.5"/>
    <s v="Nhava Sheva"/>
    <s v="PI-2025-000004"/>
    <s v="CI-2025-000008"/>
    <s v="Completed"/>
  </r>
  <r>
    <s v="Spartan Metals"/>
    <x v="3"/>
    <d v="2025-06-10T00:00:00"/>
    <s v="HMS 80:20"/>
    <x v="59"/>
    <n v="22.52"/>
    <d v="2025-07-19T00:00:00"/>
    <d v="2025-09-01T00:00:00"/>
    <s v="HLCULIV250713411"/>
    <s v="June"/>
    <s v="CNF"/>
    <s v="Lon Gateway"/>
    <n v="25"/>
    <n v="97"/>
    <n v="315"/>
    <n v="7875"/>
    <n v="7093.8"/>
    <n v="937.43999999999971"/>
    <n v="1.3411999999999999"/>
    <d v="2025-07-15T00:00:00"/>
    <n v="0"/>
    <n v="5.2057868736767823"/>
    <n v="0.23935606010016686"/>
    <n v="5.4451429337769488"/>
    <n v="29.554857066223065"/>
    <n v="665.57538113134342"/>
    <m/>
    <s v="EVSL"/>
    <s v="SC-2025-000003"/>
    <d v="2025-06-09T00:00:00"/>
    <n v="25"/>
    <n v="350"/>
    <n v="8750"/>
    <n v="7882"/>
    <n v="-868"/>
    <s v="Nhava Sheva"/>
    <s v="PI-2025-000004"/>
    <s v="CI-2025-000008"/>
    <s v="Completed"/>
  </r>
  <r>
    <s v="Spartan Metals"/>
    <x v="3"/>
    <d v="2025-06-10T00:00:00"/>
    <s v="HMS 80:20"/>
    <x v="60"/>
    <n v="26.14"/>
    <d v="2025-07-21T00:00:00"/>
    <d v="2025-09-18T00:00:00"/>
    <n v="257067816"/>
    <s v="June"/>
    <s v="CNF"/>
    <s v="Lon Gateway"/>
    <n v="25"/>
    <n v="97"/>
    <n v="315"/>
    <n v="7875"/>
    <n v="8234.1"/>
    <n v="-430.92000000000041"/>
    <n v="1.3411999999999999"/>
    <d v="2025-07-18T00:00:00"/>
    <n v="0"/>
    <n v="2.9905943403875779"/>
    <n v="0.236962697297744"/>
    <n v="3.227557037685322"/>
    <n v="31.772442962314699"/>
    <n v="830.53165903490628"/>
    <m/>
    <s v="EVSL"/>
    <s v="SC-2025-000003"/>
    <d v="2025-06-09T00:00:00"/>
    <n v="25"/>
    <n v="350"/>
    <n v="8750"/>
    <n v="9149"/>
    <n v="399"/>
    <s v="Nhava Sheva"/>
    <s v="PI-2025-000004"/>
    <s v="CI-2025-000009"/>
    <s v="Completed"/>
  </r>
  <r>
    <s v="Spartan Metals"/>
    <x v="3"/>
    <d v="2025-06-10T00:00:00"/>
    <s v="HMS 80:20"/>
    <x v="61"/>
    <n v="25.21"/>
    <d v="2025-07-21T00:00:00"/>
    <d v="2025-09-18T00:00:00"/>
    <n v="257067816"/>
    <s v="June"/>
    <s v="CNF"/>
    <s v="Lon Gateway"/>
    <n v="25"/>
    <n v="97"/>
    <n v="315"/>
    <n v="7875"/>
    <n v="7941.1500000000005"/>
    <n v="-79.380000000000649"/>
    <n v="1.3411999999999999"/>
    <d v="2025-07-18T00:00:00"/>
    <n v="0"/>
    <n v="2.9905943403875779"/>
    <n v="0.236962697297744"/>
    <n v="3.227557037685322"/>
    <n v="31.772442962314699"/>
    <n v="800.98328707995358"/>
    <m/>
    <s v="EVSL"/>
    <s v="SC-2025-000003"/>
    <d v="2025-06-09T00:00:00"/>
    <n v="25"/>
    <n v="350"/>
    <n v="8750"/>
    <n v="8823.5"/>
    <n v="73.5"/>
    <s v="Nhava Sheva"/>
    <s v="PI-2025-000004"/>
    <s v="CI-2025-000009"/>
    <s v="Completed"/>
  </r>
  <r>
    <s v="Spartan Metals"/>
    <x v="3"/>
    <d v="2025-06-10T00:00:00"/>
    <s v="HMS 80:20"/>
    <x v="62"/>
    <n v="23.44"/>
    <d v="2025-07-21T00:00:00"/>
    <d v="2025-09-18T00:00:00"/>
    <n v="257067816"/>
    <s v="June"/>
    <s v="CNF"/>
    <s v="Lon Gateway"/>
    <n v="25"/>
    <n v="97"/>
    <n v="315"/>
    <n v="7875"/>
    <n v="7383.6"/>
    <n v="589.6799999999995"/>
    <n v="1.3411999999999999"/>
    <d v="2025-07-18T00:00:00"/>
    <n v="0"/>
    <n v="2.9905943403875779"/>
    <n v="0.236962697297744"/>
    <n v="3.227557037685322"/>
    <n v="31.772442962314699"/>
    <n v="744.74606303665655"/>
    <m/>
    <s v="EVSL"/>
    <s v="SC-2025-000003"/>
    <d v="2025-06-09T00:00:00"/>
    <n v="25"/>
    <n v="350"/>
    <n v="8750"/>
    <n v="8204"/>
    <n v="-546"/>
    <s v="Nhava Sheva"/>
    <s v="PI-2025-000004"/>
    <s v="CI-2025-000009"/>
    <s v="Completed"/>
  </r>
  <r>
    <s v="Spartan Metals"/>
    <x v="3"/>
    <d v="2025-06-10T00:00:00"/>
    <s v="HMS 80:20"/>
    <x v="63"/>
    <n v="24.46"/>
    <d v="2025-07-21T00:00:00"/>
    <d v="2025-09-18T00:00:00"/>
    <n v="257067816"/>
    <s v="June"/>
    <s v="CNF"/>
    <s v="Lon Gateway"/>
    <n v="25"/>
    <n v="97"/>
    <n v="315"/>
    <n v="7875"/>
    <n v="7704.9000000000005"/>
    <n v="204.11999999999935"/>
    <n v="1.3411999999999999"/>
    <d v="2025-07-18T00:00:00"/>
    <n v="0"/>
    <n v="2.9905943403875779"/>
    <n v="0.236962697297744"/>
    <n v="3.227557037685322"/>
    <n v="31.772442962314699"/>
    <n v="777.15395485821762"/>
    <m/>
    <s v="EVSL"/>
    <s v="SC-2025-000003"/>
    <d v="2025-06-09T00:00:00"/>
    <n v="25"/>
    <n v="350"/>
    <n v="8750"/>
    <n v="8561"/>
    <n v="-189"/>
    <s v="Nhava Sheva"/>
    <s v="PI-2025-000004"/>
    <s v="CI-2025-000009"/>
    <s v="Completed"/>
  </r>
  <r>
    <s v="Spartan Metals"/>
    <x v="3"/>
    <d v="2025-06-10T00:00:00"/>
    <s v="HMS 80:20"/>
    <x v="64"/>
    <n v="24.08"/>
    <d v="2025-07-21T00:00:00"/>
    <d v="2025-09-18T00:00:00"/>
    <n v="257067816"/>
    <s v="June"/>
    <s v="CNF"/>
    <s v="Lon Gateway"/>
    <n v="25"/>
    <n v="97"/>
    <n v="315"/>
    <n v="7875"/>
    <n v="7585.2"/>
    <n v="347.76000000000022"/>
    <n v="1.3411999999999999"/>
    <d v="2025-07-18T00:00:00"/>
    <n v="0"/>
    <n v="2.9905943403875779"/>
    <n v="0.236962697297744"/>
    <n v="3.227557037685322"/>
    <n v="31.772442962314699"/>
    <n v="765.0804265325379"/>
    <m/>
    <s v="EVSL"/>
    <s v="SC-2025-000003"/>
    <d v="2025-06-09T00:00:00"/>
    <n v="25"/>
    <n v="350"/>
    <n v="8750"/>
    <n v="8428"/>
    <n v="-322"/>
    <s v="Nhava Sheva"/>
    <s v="PI-2025-000004"/>
    <s v="CI-2025-000009"/>
    <s v="Completed"/>
  </r>
  <r>
    <s v="Spartan Metals"/>
    <x v="3"/>
    <d v="2025-06-10T00:00:00"/>
    <s v="HMS 80:20"/>
    <x v="65"/>
    <n v="25.24"/>
    <d v="2025-07-29T00:00:00"/>
    <d v="2025-08-25T00:00:00"/>
    <n v="256973412"/>
    <s v="June"/>
    <s v="CNF"/>
    <s v="Lon Gateway"/>
    <n v="25"/>
    <n v="97"/>
    <n v="315"/>
    <n v="7875"/>
    <n v="7950.5999999999995"/>
    <n v="-90.719999999999345"/>
    <n v="1.3411999999999999"/>
    <d v="2025-07-24T00:00:00"/>
    <n v="0"/>
    <n v="5.1577401761991331"/>
    <n v="0.236962697297744"/>
    <n v="5.3947028734968772"/>
    <n v="29.605297126503103"/>
    <n v="747.23769947293829"/>
    <m/>
    <s v="EVSL"/>
    <s v="SC-2025-000003"/>
    <d v="2025-06-09T00:00:00"/>
    <n v="25"/>
    <n v="350"/>
    <n v="8750"/>
    <n v="8834"/>
    <n v="84"/>
    <s v="Nhava Sheva"/>
    <s v="PI-2025-000004"/>
    <s v="CI-2025-000010"/>
    <s v="Completed"/>
  </r>
  <r>
    <s v="Spartan Metals"/>
    <x v="3"/>
    <d v="2025-06-10T00:00:00"/>
    <s v="HMS 80:20"/>
    <x v="66"/>
    <n v="23.55"/>
    <d v="2025-07-29T00:00:00"/>
    <d v="2025-08-25T00:00:00"/>
    <n v="256973412"/>
    <s v="June"/>
    <s v="CNF"/>
    <s v="Lon Gateway"/>
    <n v="25"/>
    <n v="97"/>
    <n v="315"/>
    <n v="7875"/>
    <n v="7418.25"/>
    <n v="548.1"/>
    <n v="1.3411999999999999"/>
    <d v="2025-07-24T00:00:00"/>
    <n v="0"/>
    <n v="5.1577401761991331"/>
    <n v="0.236962697297744"/>
    <n v="5.3947028734968772"/>
    <n v="29.605297126503103"/>
    <n v="697.20474732914806"/>
    <m/>
    <s v="EVSL"/>
    <s v="SC-2025-000003"/>
    <d v="2025-06-09T00:00:00"/>
    <n v="25"/>
    <n v="350"/>
    <n v="8750"/>
    <n v="8242.5"/>
    <n v="-507.5"/>
    <s v="Nhava Sheva"/>
    <s v="PI-2025-000004"/>
    <s v="CI-2025-000010"/>
    <s v="Completed"/>
  </r>
  <r>
    <s v="Spartan Metals"/>
    <x v="3"/>
    <d v="2025-06-10T00:00:00"/>
    <s v="HMS 80:20"/>
    <x v="67"/>
    <n v="22.72"/>
    <d v="2025-07-29T00:00:00"/>
    <d v="2025-08-25T00:00:00"/>
    <n v="256973412"/>
    <s v="June"/>
    <s v="CNF"/>
    <s v="Lon Gateway"/>
    <n v="25"/>
    <n v="97"/>
    <n v="315"/>
    <n v="7875"/>
    <n v="7156.7999999999993"/>
    <n v="861.84000000000083"/>
    <n v="1.3411999999999999"/>
    <d v="2025-07-24T00:00:00"/>
    <n v="0"/>
    <n v="5.1577401761991331"/>
    <n v="0.236962697297744"/>
    <n v="5.3947028734968772"/>
    <n v="29.605297126503103"/>
    <n v="672.63235071415045"/>
    <m/>
    <s v="EVSL"/>
    <s v="SC-2025-000003"/>
    <d v="2025-06-09T00:00:00"/>
    <n v="25"/>
    <n v="350"/>
    <n v="8750"/>
    <n v="7952"/>
    <n v="-798"/>
    <s v="Nhava Sheva"/>
    <s v="PI-2025-000004"/>
    <s v="CI-2025-000010"/>
    <s v="Completed"/>
  </r>
  <r>
    <s v="Spartan Metals"/>
    <x v="3"/>
    <d v="2025-06-10T00:00:00"/>
    <s v="HMS 80:20"/>
    <x v="68"/>
    <n v="24.07"/>
    <d v="2025-07-29T00:00:00"/>
    <d v="2025-08-25T00:00:00"/>
    <n v="256973412"/>
    <s v="June"/>
    <s v="CNF"/>
    <s v="Lon Gateway"/>
    <n v="25"/>
    <n v="97"/>
    <n v="315"/>
    <n v="7875"/>
    <n v="7582.05"/>
    <n v="351.53999999999979"/>
    <n v="1.3411999999999999"/>
    <d v="2025-07-26T00:00:00"/>
    <n v="0"/>
    <n v="15.323223930203572"/>
    <n v="0.236962697297744"/>
    <n v="15.560186627501315"/>
    <n v="19.439813372498691"/>
    <n v="467.9163078760435"/>
    <m/>
    <s v="EVSL"/>
    <s v="SC-2025-000003"/>
    <d v="2025-06-09T00:00:00"/>
    <n v="25"/>
    <n v="350"/>
    <n v="8750"/>
    <n v="8424.5"/>
    <n v="-325.5"/>
    <s v="Nhava Sheva"/>
    <s v="PI-2025-000004"/>
    <s v="CI-2025-000010"/>
    <s v="Completed"/>
  </r>
  <r>
    <s v="Spartan Metals"/>
    <x v="3"/>
    <d v="2025-06-10T00:00:00"/>
    <s v="HMS 80:20"/>
    <x v="69"/>
    <n v="23.11"/>
    <d v="2025-07-29T00:00:00"/>
    <d v="2025-08-25T00:00:00"/>
    <n v="256973412"/>
    <s v="June"/>
    <s v="CNF"/>
    <s v="Lon Gateway"/>
    <n v="25"/>
    <n v="97"/>
    <n v="315"/>
    <n v="7875"/>
    <n v="7279.65"/>
    <n v="714.42000000000041"/>
    <n v="1.3411999999999999"/>
    <d v="2025-07-27T00:00:00"/>
    <n v="0"/>
    <n v="15.959757680657724"/>
    <n v="0.236962697297744"/>
    <n v="16.196720377955469"/>
    <n v="18.803279622044556"/>
    <n v="434.54379206544968"/>
    <m/>
    <s v="EVSL"/>
    <s v="SC-2025-000003"/>
    <d v="2025-06-09T00:00:00"/>
    <n v="25"/>
    <n v="350"/>
    <n v="8750"/>
    <n v="8088.5"/>
    <n v="-661.5"/>
    <s v="Nhava Sheva"/>
    <s v="PI-2025-000004"/>
    <s v="CI-2025-000010"/>
    <s v="Completed"/>
  </r>
  <r>
    <s v="Spartan Metals"/>
    <x v="4"/>
    <d v="2025-07-11T00:00:00"/>
    <s v="HMS 80:20"/>
    <x v="70"/>
    <n v="23.69"/>
    <m/>
    <m/>
    <s v="PENDING"/>
    <s v="July"/>
    <s v="CNF"/>
    <m/>
    <n v="25"/>
    <n v="103"/>
    <n v="302"/>
    <n v="7550"/>
    <n v="7154.38"/>
    <n v="474.74399999999986"/>
    <n v="1.3451"/>
    <m/>
    <m/>
    <m/>
    <m/>
    <n v="0"/>
    <n v="33"/>
    <n v="781.7700000000001"/>
    <m/>
    <s v="EVSL"/>
    <s v="SC-2025-000005"/>
    <d v="2025-07-23T00:00:00"/>
    <n v="25"/>
    <n v="335"/>
    <n v="8375"/>
    <n v="7936.1500000000005"/>
    <n v="-438.84999999999945"/>
    <s v="Nhava Sheva"/>
    <s v="PI-2025-000006"/>
    <m/>
    <s v="Pending"/>
  </r>
  <r>
    <s v="Spartan Metals"/>
    <x v="4"/>
    <d v="2025-07-11T00:00:00"/>
    <s v="HMS 80:20"/>
    <x v="71"/>
    <n v="25.58"/>
    <m/>
    <m/>
    <s v="PENDING"/>
    <s v="July"/>
    <s v="CNF"/>
    <m/>
    <n v="25"/>
    <n v="103"/>
    <n v="302"/>
    <n v="7550"/>
    <n v="7725.16"/>
    <n v="-210.19199999999981"/>
    <n v="1.3451"/>
    <m/>
    <m/>
    <m/>
    <m/>
    <n v="0"/>
    <n v="33"/>
    <n v="844.14"/>
    <m/>
    <s v="EVSL"/>
    <s v="SC-2025-000005"/>
    <d v="2025-07-23T00:00:00"/>
    <n v="25"/>
    <n v="335"/>
    <n v="8375"/>
    <n v="8569.2999999999993"/>
    <n v="194.29999999999927"/>
    <s v="Nhava Sheva"/>
    <s v="PI-2025-000006"/>
    <m/>
    <s v="Pending"/>
  </r>
  <r>
    <s v="Spartan Metals"/>
    <x v="4"/>
    <d v="2025-07-11T00:00:00"/>
    <s v="HMS 80:20"/>
    <x v="72"/>
    <n v="26.5"/>
    <m/>
    <m/>
    <s v="PENDING"/>
    <s v="July"/>
    <s v="CNF"/>
    <m/>
    <n v="25"/>
    <n v="103"/>
    <n v="302"/>
    <n v="7550"/>
    <n v="8003"/>
    <n v="-543.6"/>
    <n v="1.3451"/>
    <m/>
    <m/>
    <m/>
    <m/>
    <n v="0"/>
    <n v="33"/>
    <n v="874.5"/>
    <m/>
    <s v="EVSL"/>
    <s v="SC-2025-000005"/>
    <d v="2025-07-23T00:00:00"/>
    <n v="25"/>
    <n v="335"/>
    <n v="8375"/>
    <n v="8877.5"/>
    <n v="502.5"/>
    <s v="Nhava Sheva"/>
    <s v="PI-2025-000006"/>
    <m/>
    <s v="Pending"/>
  </r>
  <r>
    <s v="Spartan Metals"/>
    <x v="4"/>
    <d v="2025-07-11T00:00:00"/>
    <s v="HMS 80:20"/>
    <x v="73"/>
    <n v="23.64"/>
    <m/>
    <m/>
    <s v="PENDING"/>
    <s v="July"/>
    <s v="CNF"/>
    <m/>
    <n v="25"/>
    <n v="103"/>
    <n v="302"/>
    <n v="7550"/>
    <n v="7139.28"/>
    <n v="492.86400000000026"/>
    <n v="1.3451"/>
    <m/>
    <m/>
    <m/>
    <m/>
    <n v="0"/>
    <n v="33"/>
    <n v="780.12"/>
    <m/>
    <s v="EVSL"/>
    <s v="SC-2025-000005"/>
    <d v="2025-07-23T00:00:00"/>
    <n v="25"/>
    <n v="335"/>
    <n v="8375"/>
    <n v="7919.4000000000005"/>
    <n v="-455.59999999999945"/>
    <s v="Nhava Sheva"/>
    <s v="PI-2025-000006"/>
    <m/>
    <s v="Pending"/>
  </r>
  <r>
    <s v="Spartan Metals"/>
    <x v="4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4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4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4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4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4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4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4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4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4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4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4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4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4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4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4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4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4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4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4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4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Walter Heselwood Ltd"/>
    <x v="8"/>
    <d v="2025-08-13T00:00:00"/>
    <s v="Turnnings"/>
    <x v="75"/>
    <n v="25.26"/>
    <d v="2025-08-28T00:00:00"/>
    <d v="2025-10-14T00:00:00"/>
    <s v="SCJUB0810619AA"/>
    <s v="September"/>
    <s v="CNF"/>
    <s v="Felixstove"/>
    <n v="25.26"/>
    <n v="1"/>
    <n v="226.13470000000001"/>
    <n v="5712.1625220000005"/>
    <n v="5712.1625220000005"/>
    <n v="0"/>
    <n v="1.3541000000000001"/>
    <d v="2025-08-18T00:00:00"/>
    <n v="58.618629167456568"/>
    <n v="7.2843798904538337"/>
    <n v="1.1326548513302033"/>
    <n v="67.035663909240597"/>
    <n v="6.8296360907593794"/>
    <n v="172.51660765258194"/>
    <m/>
    <s v="URJA"/>
    <s v="SC-2025-000006"/>
    <d v="2025-08-19T00:00:00"/>
    <n v="25.26"/>
    <n v="300"/>
    <n v="7578.0000000000009"/>
    <n v="7578.0000000000009"/>
    <n v="0"/>
    <s v="Nhava Sheva"/>
    <s v="PI-2025-000007"/>
    <s v="CI-2025-000011"/>
    <s v="Pending"/>
  </r>
  <r>
    <s v="Walter Heselwood Ltd"/>
    <x v="8"/>
    <d v="2025-08-13T00:00:00"/>
    <s v="Turnnings"/>
    <x v="76"/>
    <n v="25.86"/>
    <d v="2025-08-28T00:00:00"/>
    <d v="2025-10-14T00:00:00"/>
    <s v="SCJUB0810619AA"/>
    <s v="September"/>
    <s v="CNF"/>
    <s v="Felixstove"/>
    <n v="25.86"/>
    <n v="1"/>
    <n v="226.13470000000001"/>
    <n v="5847.8433420000001"/>
    <n v="5847.8433420000001"/>
    <n v="0"/>
    <n v="1.3541000000000001"/>
    <d v="2025-08-18T00:00:00"/>
    <n v="57.28126168716345"/>
    <n v="7.2843798904538337"/>
    <n v="1.1326548513302033"/>
    <n v="65.698296428947486"/>
    <n v="8.1670035710525326"/>
    <n v="211.19871234741848"/>
    <m/>
    <s v="URJA"/>
    <s v="SC-2025-000006"/>
    <d v="2025-08-19T00:00:00"/>
    <n v="25.86"/>
    <n v="300"/>
    <n v="7758"/>
    <n v="7758"/>
    <n v="0"/>
    <s v="Nhava Sheva"/>
    <s v="PI-2025-000007"/>
    <s v="CI-2025-000011"/>
    <s v="Pendi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33CDD6-9419-4B1F-AA10-E037DBD897CF}" name="PivotTable1" cacheId="5" dataPosition="0" applyNumberFormats="0" applyBorderFormats="0" applyFontFormats="0" applyPatternFormats="0" applyAlignmentFormats="0" applyWidthHeightFormats="1" dataCaption=" " updatedVersion="8" minRefreshableVersion="3" useAutoFormatting="1" itemPrintTitles="1" createdVersion="8" indent="0" outline="1" outlineData="1" multipleFieldFilters="0" chartFormat="12" rowHeaderCaption="Puchase Contract">
  <location ref="A3:G17" firstHeaderRow="1" firstDataRow="2" firstDataCol="1"/>
  <pivotFields count="41">
    <pivotField showAll="0"/>
    <pivotField axis="axisRow" showAll="0">
      <items count="10">
        <item sd="0" x="0"/>
        <item sd="0" x="1"/>
        <item sd="0" x="2"/>
        <item sd="0" x="3"/>
        <item sd="0" x="4"/>
        <item sd="0" x="7"/>
        <item sd="0" x="5"/>
        <item x="6"/>
        <item x="8"/>
        <item t="default"/>
      </items>
    </pivotField>
    <pivotField showAll="0"/>
    <pivotField showAll="0"/>
    <pivotField axis="axisRow" showAll="0">
      <items count="79">
        <item x="10"/>
        <item x="36"/>
        <item x="38"/>
        <item x="11"/>
        <item x="8"/>
        <item x="12"/>
        <item x="46"/>
        <item x="13"/>
        <item x="16"/>
        <item x="48"/>
        <item x="44"/>
        <item x="49"/>
        <item x="22"/>
        <item x="28"/>
        <item x="41"/>
        <item x="2"/>
        <item x="43"/>
        <item x="47"/>
        <item x="35"/>
        <item x="7"/>
        <item x="0"/>
        <item x="9"/>
        <item x="33"/>
        <item x="32"/>
        <item x="30"/>
        <item x="14"/>
        <item x="15"/>
        <item x="29"/>
        <item x="24"/>
        <item x="23"/>
        <item x="26"/>
        <item x="25"/>
        <item x="20"/>
        <item x="21"/>
        <item x="31"/>
        <item x="40"/>
        <item x="17"/>
        <item x="5"/>
        <item x="3"/>
        <item x="6"/>
        <item x="18"/>
        <item x="4"/>
        <item x="19"/>
        <item x="34"/>
        <item x="37"/>
        <item x="39"/>
        <item x="1"/>
        <item x="27"/>
        <item x="42"/>
        <item x="45"/>
        <item x="74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m="1" x="77"/>
        <item x="68"/>
        <item x="67"/>
        <item x="69"/>
        <item x="75"/>
        <item x="76"/>
        <item x="70"/>
        <item x="71"/>
        <item x="72"/>
        <item x="7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dataField="1" numFmtId="164" showAll="0"/>
    <pivotField showAll="0"/>
    <pivotField numFmtId="165" showAll="0"/>
    <pivotField numFmtId="165" showAll="0"/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name="Gross Margin2" dataField="1" showAll="0"/>
    <pivotField showAll="0"/>
    <pivotField showAll="0"/>
    <pivotField showAll="0"/>
    <pivotField showAll="0"/>
    <pivotField numFmtId="164" showAll="0"/>
    <pivotField numFmtId="165" showAll="0"/>
    <pivotField numFmtId="165" showAll="0"/>
    <pivotField dataField="1" numFmtId="165"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2">
    <field x="1"/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 r="1">
      <x v="50"/>
    </i>
    <i>
      <x v="8"/>
    </i>
    <i r="1">
      <x v="72"/>
    </i>
    <i r="1">
      <x v="7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 PC Qty (MT)" fld="12" baseField="0" baseItem="0" numFmtId="164"/>
    <dataField name=" Container Qty (MT)" fld="5" baseField="0" baseItem="0"/>
    <dataField name=" (Under) / Overloading" fld="39" baseField="0" baseItem="0" numFmtId="169"/>
    <dataField name=" Supplier Final Price" fld="16" baseField="0" baseItem="0" numFmtId="165"/>
    <dataField name=" Customer Final Price" fld="33" baseField="1" baseItem="1" numFmtId="165"/>
    <dataField name=" Gross Margin" fld="25" baseField="1" baseItem="1" numFmtId="165"/>
  </dataFields>
  <formats count="14">
    <format dxfId="88">
      <pivotArea dataOnly="0" labelOnly="1" outline="0" axis="axisValues" fieldPosition="0"/>
    </format>
    <format dxfId="87">
      <pivotArea dataOnly="0" labelOnly="1" outline="0" axis="axisValues" fieldPosition="0"/>
    </format>
    <format dxfId="8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8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8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83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82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81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8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79">
      <pivotArea grandRow="1" outline="0" collapsedLevelsAreSubtotals="1" fieldPosition="0"/>
    </format>
    <format dxfId="78">
      <pivotArea dataOnly="0" labelOnly="1" grandRow="1" outline="0" fieldPosition="0"/>
    </format>
    <format dxfId="77">
      <pivotArea field="1" type="button" dataOnly="0" labelOnly="1" outline="0" axis="axisRow" fieldPosition="0"/>
    </format>
    <format dxfId="76">
      <pivotArea field="1" type="button" dataOnly="0" labelOnly="1" outline="0" axis="axisRow" fieldPosition="0"/>
    </format>
    <format dxfId="75">
      <pivotArea dataOnly="0" labelOnly="1" outline="0" fieldPosition="0">
        <references count="1">
          <reference field="4294967294" count="1">
            <x v="2"/>
          </reference>
        </references>
      </pivotArea>
    </format>
  </formats>
  <chartFormats count="6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Medium15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9F7C9F-35DE-4B78-8D6A-04536891CED8}" name="PivotTable1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 rowHeaderCaption="Puchase Contract">
  <location ref="A1:C21" firstHeaderRow="0" firstDataRow="1" firstDataCol="1"/>
  <pivotFields count="41">
    <pivotField showAll="0"/>
    <pivotField axis="axisRow" showAll="0">
      <items count="10">
        <item sd="0" x="0"/>
        <item sd="0" x="1"/>
        <item sd="0" x="2"/>
        <item sd="0" x="3"/>
        <item x="4"/>
        <item x="7"/>
        <item x="5"/>
        <item x="6"/>
        <item x="8"/>
        <item t="default"/>
      </items>
    </pivotField>
    <pivotField showAll="0"/>
    <pivotField showAll="0"/>
    <pivotField axis="axisRow" showAll="0">
      <items count="79">
        <item x="10"/>
        <item x="36"/>
        <item x="38"/>
        <item x="11"/>
        <item x="8"/>
        <item x="12"/>
        <item x="46"/>
        <item x="13"/>
        <item x="16"/>
        <item x="48"/>
        <item x="44"/>
        <item x="49"/>
        <item x="22"/>
        <item x="28"/>
        <item x="41"/>
        <item x="2"/>
        <item x="43"/>
        <item x="47"/>
        <item x="35"/>
        <item x="7"/>
        <item x="0"/>
        <item x="9"/>
        <item x="33"/>
        <item x="32"/>
        <item x="30"/>
        <item x="14"/>
        <item x="15"/>
        <item x="29"/>
        <item x="24"/>
        <item x="23"/>
        <item x="26"/>
        <item x="25"/>
        <item x="20"/>
        <item x="21"/>
        <item x="31"/>
        <item x="40"/>
        <item x="17"/>
        <item x="5"/>
        <item x="3"/>
        <item x="6"/>
        <item x="18"/>
        <item x="4"/>
        <item x="19"/>
        <item x="34"/>
        <item x="37"/>
        <item x="39"/>
        <item x="1"/>
        <item x="27"/>
        <item x="42"/>
        <item x="45"/>
        <item x="74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m="1" x="77"/>
        <item x="68"/>
        <item x="67"/>
        <item x="69"/>
        <item x="75"/>
        <item x="76"/>
        <item x="70"/>
        <item x="71"/>
        <item x="72"/>
        <item x="7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numFmtId="165" showAll="0"/>
    <pivotField numFmtId="165"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name="Gross Margin2" dataField="1" showAll="0"/>
    <pivotField showAll="0"/>
    <pivotField showAll="0"/>
    <pivotField showAll="0"/>
    <pivotField showAll="0"/>
    <pivotField numFmtId="164" showAll="0"/>
    <pivotField numFmtId="165" showAll="0"/>
    <pivotField numFmtId="165" showAll="0"/>
    <pivotField numFmtId="165"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2">
    <field x="1"/>
    <field x="4"/>
  </rowFields>
  <rowItems count="20">
    <i>
      <x/>
    </i>
    <i>
      <x v="1"/>
    </i>
    <i>
      <x v="2"/>
    </i>
    <i>
      <x v="3"/>
    </i>
    <i>
      <x v="4"/>
    </i>
    <i r="1">
      <x v="50"/>
    </i>
    <i r="1">
      <x v="74"/>
    </i>
    <i r="1">
      <x v="75"/>
    </i>
    <i r="1">
      <x v="76"/>
    </i>
    <i r="1">
      <x v="77"/>
    </i>
    <i>
      <x v="5"/>
    </i>
    <i r="1">
      <x v="50"/>
    </i>
    <i>
      <x v="6"/>
    </i>
    <i r="1">
      <x v="50"/>
    </i>
    <i>
      <x v="7"/>
    </i>
    <i r="1">
      <x v="50"/>
    </i>
    <i>
      <x v="8"/>
    </i>
    <i r="1">
      <x v="72"/>
    </i>
    <i r="1">
      <x v="73"/>
    </i>
    <i t="grand">
      <x/>
    </i>
  </rowItems>
  <colFields count="1">
    <field x="-2"/>
  </colFields>
  <colItems count="2">
    <i>
      <x/>
    </i>
    <i i="1">
      <x v="1"/>
    </i>
  </colItems>
  <dataFields count="2">
    <dataField name=" Gross Margin" fld="25" baseField="1" baseItem="1" numFmtId="165"/>
    <dataField name="Sum of Container Qty" fld="5" baseField="0" baseItem="0"/>
  </dataFields>
  <formats count="16">
    <format dxfId="51">
      <pivotArea dataOnly="0" labelOnly="1" outline="0" axis="axisValues" fieldPosition="0"/>
    </format>
    <format dxfId="50">
      <pivotArea dataOnly="0" labelOnly="1" outline="0" axis="axisValues" fieldPosition="0"/>
    </format>
    <format dxfId="4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5">
      <pivotArea grandRow="1" outline="0" collapsedLevelsAreSubtotals="1" fieldPosition="0"/>
    </format>
    <format dxfId="44">
      <pivotArea dataOnly="0" labelOnly="1" grandRow="1" outline="0" fieldPosition="0"/>
    </format>
    <format dxfId="43">
      <pivotArea field="1" type="button" dataOnly="0" labelOnly="1" outline="0" axis="axisRow" fieldPosition="0"/>
    </format>
    <format dxfId="42">
      <pivotArea field="1" type="button" dataOnly="0" labelOnly="1" outline="0" axis="axisRow" fieldPosition="0"/>
    </format>
    <format dxfId="4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0">
      <pivotArea field="1" type="button" dataOnly="0" labelOnly="1" outline="0" axis="axisRow" fieldPosition="0"/>
    </format>
    <format dxfId="3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8">
      <pivotArea field="1" type="button" dataOnly="0" labelOnly="1" outline="0" axis="axisRow" fieldPosition="0"/>
    </format>
    <format dxfId="3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6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1"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13E3FF-9491-42DE-B344-B27CFCD28416}" name="CT" displayName="CT" ref="A2:AM375" totalsRowCount="1" headerRowDxfId="161">
  <autoFilter ref="A2:AM374" xr:uid="{2C13E3FF-9491-42DE-B344-B27CFCD28416}"/>
  <tableColumns count="39">
    <tableColumn id="1" xr3:uid="{F2C2BCDB-2E7B-46BD-8848-257FC0C58010}" name="Supplier" totalsRowLabel="Total" totalsRowDxfId="160"/>
    <tableColumn id="2" xr3:uid="{83362F31-EF3E-4AAE-8B11-3FBCF177992F}" name="PC#" dataDxfId="159" totalsRowDxfId="158"/>
    <tableColumn id="31" xr3:uid="{7829F6A5-6796-452A-9BD7-D12744B9AFFF}" name="PC Date" dataDxfId="157" totalsRowDxfId="156"/>
    <tableColumn id="5" xr3:uid="{5A0A1D49-0D27-4C74-9975-E0FC5A769739}" name="Commodity" dataDxfId="155" totalsRowDxfId="154"/>
    <tableColumn id="7" xr3:uid="{36259CC8-5FC9-4F31-AA72-5EE1C8AF5AF6}" name="Container Number" dataDxfId="153" totalsRowDxfId="152"/>
    <tableColumn id="8" xr3:uid="{D2693C61-121D-4F50-AB34-6CB7827FF3CB}" name="Container Qty" totalsRowFunction="sum" dataDxfId="151" totalsRowDxfId="150"/>
    <tableColumn id="17" xr3:uid="{402C0598-7DD5-4951-93F9-80925218D5F1}" name="SOB Date" dataDxfId="149" totalsRowDxfId="148"/>
    <tableColumn id="28" xr3:uid="{F9171A37-3C24-426C-8292-5DB5E155C647}" name="ETA Date" totalsRowLabel="Under/-Over loading" dataDxfId="147" totalsRowDxfId="146"/>
    <tableColumn id="29" xr3:uid="{9FC96B94-FA2F-489C-97BE-2CD4A7C4DCE8}" name="BL Number" totalsRowFunction="custom" dataDxfId="145" totalsRowDxfId="144">
      <totalsRowFormula>CT[[#Totals],[PC Qty (MT)]]-CT[[#Totals],[Container Qty]]</totalsRowFormula>
    </tableColumn>
    <tableColumn id="13" xr3:uid="{F040FFA3-393A-4B30-BA39-E77EDABD4152}" name="Shipment Period" dataDxfId="143" totalsRowDxfId="142"/>
    <tableColumn id="14" xr3:uid="{955CFFE3-7761-45D2-A6DB-E11140BF3EF9}" name="Inco term" dataDxfId="141" totalsRowDxfId="140"/>
    <tableColumn id="15" xr3:uid="{A247D1F2-AE76-466D-8861-5611C5052424}" name="POL" dataDxfId="139" totalsRowDxfId="138"/>
    <tableColumn id="6" xr3:uid="{7847100C-BE6B-49A0-9386-1ACF499F3A7F}" name="PC Qty (MT)" totalsRowFunction="sum" dataDxfId="137" totalsRowDxfId="136"/>
    <tableColumn id="30" xr3:uid="{058222D6-B506-40B6-AE69-CAA2F582C187}" name="Supplier Invoice#" dataDxfId="135" totalsRowDxfId="134"/>
    <tableColumn id="10" xr3:uid="{BEDA00A7-12C4-43D1-88A0-07137BA84587}" name="Purchase Rate/MT (USD)" totalsRowFunction="average" dataDxfId="133" totalsRowDxfId="132"/>
    <tableColumn id="22" xr3:uid="{9D4784C2-E20D-4B4C-AE82-C5D53B6CC673}" name="Supplier Prov. Price" totalsRowFunction="sum" dataDxfId="131" totalsRowDxfId="130">
      <calculatedColumnFormula>CT[[#This Row],[Purchase Rate/MT (USD)]]*CT[[#This Row],[PC Qty (MT)]]</calculatedColumnFormula>
    </tableColumn>
    <tableColumn id="21" xr3:uid="{06C05DC4-AD96-4522-82C1-EDCFAA303C04}" name="Supplier Final Price" totalsRowFunction="sum" dataDxfId="129" totalsRowDxfId="128">
      <calculatedColumnFormula>CT[[#This Row],[Purchase Rate/MT (USD)]]*CT[[#This Row],[Container Qty]]</calculatedColumnFormula>
    </tableColumn>
    <tableColumn id="23" xr3:uid="{D278483C-5010-4E5D-84F4-3CBA68EF971F}" name="Supplier Price Diff. (VAT incl.)" totalsRowFunction="sum" dataDxfId="127" totalsRowDxfId="126">
      <calculatedColumnFormula>IF(CT[[#This Row],[Supplier Final Price]]&lt;&gt;0,(CT[[#This Row],[Supplier Final Price]]-CT[[#This Row],[Supplier Prov. Price]])+20%*(CT[[#This Row],[Supplier Final Price]]-CT[[#This Row],[Supplier Prov. Price]]),"")</calculatedColumnFormula>
    </tableColumn>
    <tableColumn id="36" xr3:uid="{7CB00B54-9A70-44EB-A55D-A1F3486C810B}" name="FX Rate" dataDxfId="125" totalsRowDxfId="124"/>
    <tableColumn id="34" xr3:uid="{1CB6A8C8-43F6-4F8C-ACE4-0394B85CD159}" name="Date of Inspection" dataDxfId="123" totalsRowDxfId="122"/>
    <tableColumn id="38" xr3:uid="{91AE2ED2-B47F-4A0E-B4E9-FDD2B939062E}" name="Freight Charges" totalsRowFunction="average" dataDxfId="121" totalsRowDxfId="120"/>
    <tableColumn id="35" xr3:uid="{D6CCA4B5-8AB4-446F-9DD7-BF2DA27B477C}" name="Inspection Cost/MT" totalsRowFunction="average" dataDxfId="119" totalsRowDxfId="118"/>
    <tableColumn id="33" xr3:uid="{4CFAF9F1-BF2B-47B1-9703-0848D8B98B90}" name="DHL Charges PMT" totalsRowFunction="average" dataDxfId="117" totalsRowDxfId="116"/>
    <tableColumn id="27" xr3:uid="{A157C635-1638-415E-96E4-D87BB123FF41}" name="Cost Per MT" totalsRowFunction="average" dataDxfId="115" totalsRowDxfId="114">
      <calculatedColumnFormula>IFERROR(1250/CT[[#This Row],[Container Qty]]+50/SUM($F$3:$F$12)+600/SUM($F$3:$F$12),"")</calculatedColumnFormula>
    </tableColumn>
    <tableColumn id="12" xr3:uid="{85B93A93-7523-4858-9146-EE3AED2ABDFA}" name="Margin/MT" totalsRowFunction="average" dataDxfId="113" totalsRowDxfId="112">
      <calculatedColumnFormula>IFERROR(AF3-(O3+CT[[#This Row],[Cost Per MT]]),"")</calculatedColumnFormula>
    </tableColumn>
    <tableColumn id="9" xr3:uid="{D96A5279-F622-47A9-A739-0C7445DC416A}" name="Gross Margin" totalsRowFunction="sum" dataDxfId="111" totalsRowDxfId="110">
      <calculatedColumnFormula>IFERROR(CT[[#This Row],[Margin/MT]]*CT[[#This Row],[Container Qty]],"")</calculatedColumnFormula>
    </tableColumn>
    <tableColumn id="39" xr3:uid="{97D8F16F-AF1E-43A4-91F8-3B26C8F4B208}" name="Column6" dataDxfId="109" totalsRowDxfId="108"/>
    <tableColumn id="3" xr3:uid="{CE5667C3-6FD3-4B23-ADF2-A2B3FDFD10EF}" name="Customer" dataDxfId="107"/>
    <tableColumn id="4" xr3:uid="{56973FD7-D3C3-497C-B1A6-995797987912}" name="SC#" dataDxfId="106" totalsRowDxfId="105"/>
    <tableColumn id="37" xr3:uid="{A83F1368-99CD-4BEB-80B2-BD2EF1C8C34B}" name="SC Date" dataDxfId="104" totalsRowDxfId="103"/>
    <tableColumn id="20" xr3:uid="{4B14D381-488A-48FA-91E8-8263E0CE7EEC}" name="SC Qty (MT)" totalsRowFunction="sum" dataDxfId="102" totalsRowDxfId="101"/>
    <tableColumn id="11" xr3:uid="{752C03C5-9F27-47CF-99B4-E538CFCBB8E7}" name="Sales Rate/MT (USD)" totalsRowFunction="average" dataDxfId="100" totalsRowDxfId="99"/>
    <tableColumn id="24" xr3:uid="{67B8FF8C-62EA-4FE9-BABD-8832447A7B92}" name="Customer  Prov. Price" totalsRowFunction="sum" dataDxfId="98" totalsRowDxfId="97">
      <calculatedColumnFormula>CT[[#This Row],[Sales Rate/MT (USD)]]*CT[[#This Row],[SC Qty (MT)]]</calculatedColumnFormula>
    </tableColumn>
    <tableColumn id="25" xr3:uid="{5D9E0794-0A74-4179-B344-07148BA09762}" name="Customer Final Price" totalsRowFunction="sum" dataDxfId="96" totalsRowDxfId="95">
      <calculatedColumnFormula>IF(CT[[#This Row],[Container Qty]]&lt;&gt;0,CT[[#This Row],[Sales Rate/MT (USD)]]*CT[[#This Row],[Container Qty]],"")</calculatedColumnFormula>
    </tableColumn>
    <tableColumn id="26" xr3:uid="{7C86E6BD-229E-4691-BA2D-665CF70856BF}" name="Customer Price Difference" totalsRowFunction="sum" dataDxfId="94" totalsRowDxfId="93">
      <calculatedColumnFormula>IF(CT[[#This Row],[Customer Final Price]]&lt;&gt;"",CT[[#This Row],[Customer Final Price]]-CT[[#This Row],[Customer  Prov. Price]],"")</calculatedColumnFormula>
    </tableColumn>
    <tableColumn id="16" xr3:uid="{55725ACA-5363-449D-B3B5-AE2F51F334AD}" name="POD"/>
    <tableColumn id="18" xr3:uid="{594F1D0F-AE6F-450D-9E78-5AC411B1E5A7}" name="PI#" dataDxfId="92" totalsRowDxfId="91"/>
    <tableColumn id="19" xr3:uid="{CB759E46-909C-4870-B6BF-78918BAF7A9A}" name="CI#" dataDxfId="90"/>
    <tableColumn id="32" xr3:uid="{1DAFA084-22DF-43B8-A033-C607299233C3}" name="Status" dataDxfId="8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1E3DD8-E0E8-457E-B87E-F5D3BCE90249}" name="Table1" displayName="Table1" ref="A1:J4" totalsRowCount="1" headerRowDxfId="74" dataDxfId="73" totalsRowDxfId="72">
  <autoFilter ref="A1:J3" xr:uid="{B21E3DD8-E0E8-457E-B87E-F5D3BCE90249}"/>
  <tableColumns count="10">
    <tableColumn id="1" xr3:uid="{C0B51119-2989-4579-BC28-53BBDFD4F4F5}" name="Customer" totalsRowLabel="Total" dataDxfId="71" totalsRowDxfId="70">
      <calculatedColumnFormula>_xlfn.XLOOKUP(Table1[[#This Row],[Container Number]],CT[Container Number],CT[Customer])</calculatedColumnFormula>
    </tableColumn>
    <tableColumn id="2" xr3:uid="{FBDBBE11-C9AE-4610-95C4-A25FCD73358B}" name="Container Number" totalsRowFunction="count" dataDxfId="69" totalsRowDxfId="68"/>
    <tableColumn id="3" xr3:uid="{9D6916E7-F685-479B-9B9D-A5CE9D927B03}" name="Container Qty" totalsRowFunction="sum" dataDxfId="67" totalsRowDxfId="66">
      <calculatedColumnFormula>_xlfn.XLOOKUP(Table1[[#This Row],[Container Number]],CT[Container Number],CT[Container Qty])</calculatedColumnFormula>
    </tableColumn>
    <tableColumn id="4" xr3:uid="{2DBDF2DF-300A-4418-A527-88DB243AEC83}" name="BL Number" dataDxfId="65" totalsRowDxfId="64">
      <calculatedColumnFormula>_xlfn.XLOOKUP(Table1[[#This Row],[Container Number]],CT[Container Number],CT[BL Number])</calculatedColumnFormula>
    </tableColumn>
    <tableColumn id="10" xr3:uid="{50E26E01-7539-4A79-8337-E3053AB84CC2}" name="SOB Date" dataDxfId="63" totalsRowDxfId="62">
      <calculatedColumnFormula>_xlfn.XLOOKUP(Table1[[#This Row],[BL Number]],CT[BL Number],CT[SOB Date])</calculatedColumnFormula>
    </tableColumn>
    <tableColumn id="5" xr3:uid="{635B2701-1BD4-4AEE-8978-493B3167D166}" name="SC#" dataDxfId="61" totalsRowDxfId="60">
      <calculatedColumnFormula>_xlfn.XLOOKUP(Table1[[#This Row],[Container Number]],CT[Container Number],CT[SC'#])</calculatedColumnFormula>
    </tableColumn>
    <tableColumn id="6" xr3:uid="{FFABB692-85F9-41BA-BBE7-2829F41B3447}" name="Sales Rate/MT (USD)" dataDxfId="59" totalsRowDxfId="58">
      <calculatedColumnFormula>_xlfn.XLOOKUP(Table1[[#This Row],[Container Number]],CT[Container Number],CT[Sales Rate/MT (USD)])</calculatedColumnFormula>
    </tableColumn>
    <tableColumn id="7" xr3:uid="{8BF5FE1A-E6A5-42E4-BC5A-9773E34E0998}" name="Customer Final Price" totalsRowFunction="sum" dataDxfId="57" totalsRowDxfId="56">
      <calculatedColumnFormula>_xlfn.XLOOKUP(Table1[[#This Row],[Container Number]],CT[Container Number],CT[Customer Final Price])</calculatedColumnFormula>
    </tableColumn>
    <tableColumn id="8" xr3:uid="{302AC467-26CA-40DD-B312-F072A9919353}" name="PI#" dataDxfId="55" totalsRowDxfId="54">
      <calculatedColumnFormula>_xlfn.XLOOKUP(Table1[[#This Row],[Container Number]],CT[Container Number],CT[PI'#])</calculatedColumnFormula>
    </tableColumn>
    <tableColumn id="9" xr3:uid="{AB43CA01-FF50-47F4-A4C7-509415B52867}" name="CI#" totalsRowFunction="count" dataDxfId="53" totalsRowDxfId="52">
      <calculatedColumnFormula>_xlfn.XLOOKUP(Table1[[#This Row],[Container Number]],CT[Container Number],CT[CI'#])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3" dT="2025-05-09T07:21:38.24" personId="{8B5E629A-0381-40A9-B643-2EC0B743611A}" id="{0A69E0C8-7931-4572-95B8-61ABF7A1BDC7}">
    <text>£220 converted @1.2978 Fx rate (HMRC April avg.)</text>
  </threadedComment>
  <threadedComment ref="AK3" dT="2025-05-30T08:08:02.60" personId="{8B5E629A-0381-40A9-B643-2EC0B743611A}" id="{52E9E17B-F7BF-4806-AAAC-B97DC956BFE3}">
    <text>Actual sent at the inception: 110042025</text>
  </threadedComment>
  <threadedComment ref="F6" dT="2025-05-19T09:54:23.49" personId="{8B5E629A-0381-40A9-B643-2EC0B743611A}" id="{38A7FC30-C7DE-49AD-9F16-C277660B683D}">
    <text>Wrong weight entered on BL as 22.430MT</text>
  </threadedComment>
  <threadedComment ref="R12" dT="2025-06-23T07:58:14.90" personId="{8B5E629A-0381-40A9-B643-2EC0B743611A}" id="{A93C8F85-2800-4D8A-90CE-13A1DCA1C042}">
    <text>Container waste journey and Cancellation charges to Conquest -$2,397.30 +VAT (2,876.76)</text>
  </threadedComment>
  <threadedComment ref="O13" dT="2025-06-18T12:02:41.90" personId="{8B5E629A-0381-40A9-B643-2EC0B743611A}" id="{EF1DC3A5-04DA-4894-83DD-4CD71AB4A437}">
    <text>244.89GBP @1.3271</text>
  </threadedComment>
  <threadedComment ref="AC73" dT="2025-08-04T12:34:31.59" personId="{8B5E629A-0381-40A9-B643-2EC0B743611A}" id="{4A57615D-6FAA-43F6-94E3-4A3B72F2B468}">
    <text>SC-2025-000004 was cancelled and the supplier qty was allocated to SC-2025-000005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642CA-4C98-462D-A649-08360F3F2056}">
  <sheetPr codeName="Sheet1"/>
  <dimension ref="A1:AO391"/>
  <sheetViews>
    <sheetView tabSelected="1" zoomScale="85" zoomScaleNormal="85" workbookViewId="0">
      <pane xSplit="2" ySplit="2" topLeftCell="C64" activePane="bottomRight" state="frozen"/>
      <selection activeCell="B8" sqref="B8"/>
      <selection pane="topRight" activeCell="B8" sqref="B8"/>
      <selection pane="bottomLeft" activeCell="B8" sqref="B8"/>
      <selection pane="bottomRight" activeCell="H87" sqref="H87"/>
    </sheetView>
  </sheetViews>
  <sheetFormatPr defaultRowHeight="15" x14ac:dyDescent="0.25"/>
  <cols>
    <col min="1" max="1" width="14.28515625" bestFit="1" customWidth="1"/>
    <col min="2" max="2" width="15.140625" style="1" bestFit="1" customWidth="1"/>
    <col min="3" max="3" width="13.42578125" customWidth="1"/>
    <col min="4" max="4" width="10.85546875" style="1" customWidth="1"/>
    <col min="5" max="5" width="14.5703125" style="1" bestFit="1" customWidth="1"/>
    <col min="6" max="6" width="9.85546875" style="6" customWidth="1"/>
    <col min="7" max="8" width="13.42578125" customWidth="1"/>
    <col min="9" max="9" width="18.5703125" customWidth="1"/>
    <col min="10" max="10" width="10" customWidth="1"/>
    <col min="11" max="11" width="5.7109375" customWidth="1"/>
    <col min="12" max="12" width="12.85546875" bestFit="1" customWidth="1"/>
    <col min="13" max="13" width="10.140625" bestFit="1" customWidth="1"/>
    <col min="14" max="14" width="5.140625" customWidth="1"/>
    <col min="15" max="15" width="9.140625" style="1" bestFit="1" customWidth="1"/>
    <col min="16" max="16" width="13.28515625" bestFit="1" customWidth="1"/>
    <col min="17" max="17" width="11.5703125" bestFit="1" customWidth="1"/>
    <col min="18" max="18" width="10.5703125" bestFit="1" customWidth="1"/>
    <col min="19" max="19" width="7" bestFit="1" customWidth="1"/>
    <col min="20" max="20" width="10" bestFit="1" customWidth="1"/>
    <col min="21" max="21" width="13.140625" customWidth="1"/>
    <col min="22" max="22" width="13.42578125" style="1" customWidth="1"/>
    <col min="24" max="24" width="12.140625" bestFit="1" customWidth="1"/>
    <col min="25" max="25" width="14.5703125" bestFit="1" customWidth="1"/>
    <col min="26" max="26" width="11.7109375" bestFit="1" customWidth="1"/>
    <col min="27" max="27" width="8" hidden="1" customWidth="1"/>
    <col min="29" max="30" width="15.140625" bestFit="1" customWidth="1"/>
    <col min="31" max="31" width="14.7109375" bestFit="1" customWidth="1"/>
    <col min="32" max="32" width="15.42578125" customWidth="1"/>
    <col min="33" max="33" width="15.85546875" customWidth="1"/>
    <col min="34" max="35" width="11.5703125" bestFit="1" customWidth="1"/>
    <col min="36" max="36" width="12.28515625" bestFit="1" customWidth="1"/>
    <col min="37" max="37" width="14.28515625" bestFit="1" customWidth="1"/>
    <col min="38" max="39" width="14.5703125" bestFit="1" customWidth="1"/>
    <col min="41" max="41" width="11.140625" bestFit="1" customWidth="1"/>
    <col min="43" max="43" width="11.5703125" bestFit="1" customWidth="1"/>
  </cols>
  <sheetData>
    <row r="1" spans="1:41" s="4" customFormat="1" ht="23.45" customHeight="1" x14ac:dyDescent="0.25">
      <c r="A1" s="28" t="s">
        <v>0</v>
      </c>
      <c r="B1" s="27" t="s">
        <v>182</v>
      </c>
      <c r="C1" s="27"/>
      <c r="D1" s="27"/>
      <c r="E1" s="5"/>
      <c r="F1" s="5"/>
      <c r="G1" s="5"/>
      <c r="H1" s="5"/>
      <c r="I1" s="27"/>
      <c r="J1" s="27"/>
      <c r="K1" s="26"/>
      <c r="L1" s="27"/>
      <c r="M1" s="27"/>
      <c r="N1" s="27"/>
      <c r="P1" s="52" t="s">
        <v>151</v>
      </c>
      <c r="Q1" s="53" t="s">
        <v>152</v>
      </c>
      <c r="R1" s="54" t="s">
        <v>134</v>
      </c>
      <c r="S1" s="29"/>
      <c r="V1" s="2"/>
    </row>
    <row r="2" spans="1:41" s="2" customFormat="1" ht="50.1" customHeight="1" x14ac:dyDescent="0.25">
      <c r="A2" s="20" t="s">
        <v>1</v>
      </c>
      <c r="B2" s="20" t="s">
        <v>2</v>
      </c>
      <c r="C2" s="20" t="s">
        <v>178</v>
      </c>
      <c r="D2" s="20" t="s">
        <v>4</v>
      </c>
      <c r="E2" s="22" t="s">
        <v>53</v>
      </c>
      <c r="F2" s="22" t="s">
        <v>52</v>
      </c>
      <c r="G2" s="22" t="s">
        <v>54</v>
      </c>
      <c r="H2" s="22" t="s">
        <v>55</v>
      </c>
      <c r="I2" s="22" t="s">
        <v>37</v>
      </c>
      <c r="J2" s="22" t="s">
        <v>56</v>
      </c>
      <c r="K2" s="22" t="s">
        <v>5</v>
      </c>
      <c r="L2" s="20" t="s">
        <v>6</v>
      </c>
      <c r="M2" s="21" t="s">
        <v>57</v>
      </c>
      <c r="N2" s="21" t="s">
        <v>113</v>
      </c>
      <c r="O2" s="22" t="s">
        <v>58</v>
      </c>
      <c r="P2" s="22" t="s">
        <v>106</v>
      </c>
      <c r="Q2" s="22" t="s">
        <v>59</v>
      </c>
      <c r="R2" s="22" t="s">
        <v>111</v>
      </c>
      <c r="S2" s="22" t="s">
        <v>177</v>
      </c>
      <c r="T2" s="22" t="s">
        <v>180</v>
      </c>
      <c r="U2" s="107" t="s">
        <v>196</v>
      </c>
      <c r="V2" s="107" t="s">
        <v>190</v>
      </c>
      <c r="W2" s="107" t="s">
        <v>194</v>
      </c>
      <c r="X2" s="8" t="s">
        <v>27</v>
      </c>
      <c r="Y2" s="8" t="s">
        <v>181</v>
      </c>
      <c r="Z2" s="8" t="s">
        <v>29</v>
      </c>
      <c r="AA2" s="18" t="s">
        <v>176</v>
      </c>
      <c r="AB2" s="18" t="s">
        <v>10</v>
      </c>
      <c r="AC2" s="17" t="s">
        <v>3</v>
      </c>
      <c r="AD2" s="17" t="s">
        <v>179</v>
      </c>
      <c r="AE2" s="19" t="s">
        <v>60</v>
      </c>
      <c r="AF2" s="18" t="s">
        <v>61</v>
      </c>
      <c r="AG2" s="18" t="s">
        <v>62</v>
      </c>
      <c r="AH2" s="18" t="s">
        <v>18</v>
      </c>
      <c r="AI2" s="18" t="s">
        <v>19</v>
      </c>
      <c r="AJ2" s="17" t="s">
        <v>7</v>
      </c>
      <c r="AK2" s="17" t="s">
        <v>15</v>
      </c>
      <c r="AL2" s="17" t="s">
        <v>16</v>
      </c>
      <c r="AM2" s="17" t="s">
        <v>171</v>
      </c>
    </row>
    <row r="3" spans="1:41" x14ac:dyDescent="0.25">
      <c r="A3" t="s">
        <v>9</v>
      </c>
      <c r="B3" s="1">
        <v>705119</v>
      </c>
      <c r="C3" s="3">
        <v>45748</v>
      </c>
      <c r="D3" s="1" t="s">
        <v>67</v>
      </c>
      <c r="E3" s="1" t="s">
        <v>24</v>
      </c>
      <c r="F3" s="11">
        <v>22.56</v>
      </c>
      <c r="G3" s="3">
        <v>45781</v>
      </c>
      <c r="H3" s="3">
        <v>45819</v>
      </c>
      <c r="I3" s="57" t="s">
        <v>39</v>
      </c>
      <c r="J3" s="1" t="s">
        <v>17</v>
      </c>
      <c r="K3" s="1" t="s">
        <v>51</v>
      </c>
      <c r="L3" s="1" t="s">
        <v>23</v>
      </c>
      <c r="M3" s="14">
        <f t="shared" ref="M3:M12" si="0">240/10</f>
        <v>24</v>
      </c>
      <c r="N3" s="1">
        <v>91</v>
      </c>
      <c r="O3" s="9">
        <f>220*1.2978</f>
        <v>285.51600000000002</v>
      </c>
      <c r="P3" s="7">
        <f>CT[[#This Row],[Purchase Rate/MT (USD)]]*CT[[#This Row],[PC Qty (MT)]]</f>
        <v>6852.384</v>
      </c>
      <c r="Q3" s="7">
        <f>CT[[#This Row],[Purchase Rate/MT (USD)]]*CT[[#This Row],[Container Qty]]</f>
        <v>6441.2409600000001</v>
      </c>
      <c r="R3" s="32">
        <f>IF(CT[[#This Row],[BL Number]]&lt;&gt;0,(CT[[#This Row],[Supplier Prov. Price]]-CT[[#This Row],[Supplier Final Price]])*1.2,"")</f>
        <v>493.37164799999988</v>
      </c>
      <c r="S3" s="101">
        <v>1.2978000000000001</v>
      </c>
      <c r="T3" s="3">
        <v>45776</v>
      </c>
      <c r="U3" s="7">
        <f>1250/CT[[#This Row],[Container Qty]]+50/SUMIFS(CT[Container Qty],CT[BL Number],CT[[#This Row],[BL Number]])</f>
        <v>55.92917785222491</v>
      </c>
      <c r="V3" s="7">
        <f>(275*S3)/($F$6+$F$3)</f>
        <v>7.4601797658862878</v>
      </c>
      <c r="W3" s="24">
        <f>41.51/SUM($F$3:$F$12)*CT[[#This Row],[FX Rate]]</f>
        <v>0.22055055268975679</v>
      </c>
      <c r="X3" s="106">
        <f>IFERROR(CT[[#This Row],[Freight Charges]]+CT[[#This Row],[Inspection Cost/MT]]+CT[[#This Row],[DHL Charges PMT]],"")</f>
        <v>63.609908170800956</v>
      </c>
      <c r="Y3" s="7">
        <f>IFERROR(AF3-(O3+CT[[#This Row],[Cost Per MT]]),"")</f>
        <v>10.874091829199017</v>
      </c>
      <c r="Z3" s="7">
        <f>IFERROR(CT[[#This Row],[Margin/MT]]*CT[[#This Row],[Container Qty]],"")</f>
        <v>245.3195116667298</v>
      </c>
      <c r="AA3" s="7"/>
      <c r="AB3" t="s">
        <v>11</v>
      </c>
      <c r="AC3" s="1">
        <v>705119</v>
      </c>
      <c r="AD3" s="3">
        <v>45743</v>
      </c>
      <c r="AE3" s="14">
        <f>240/10</f>
        <v>24</v>
      </c>
      <c r="AF3" s="7">
        <v>360</v>
      </c>
      <c r="AG3" s="7">
        <f>CT[[#This Row],[Sales Rate/MT (USD)]]*CT[[#This Row],[SC Qty (MT)]]</f>
        <v>8640</v>
      </c>
      <c r="AH3" s="7">
        <f>IF(CT[[#This Row],[Container Qty]]&lt;&gt;0,CT[[#This Row],[Sales Rate/MT (USD)]]*CT[[#This Row],[Container Qty]],"")</f>
        <v>8121.5999999999995</v>
      </c>
      <c r="AI3" s="7">
        <f>IF(CT[[#This Row],[Customer Final Price]]&lt;&gt;"",CT[[#This Row],[Customer Final Price]]-CT[[#This Row],[Customer  Prov. Price]],"")</f>
        <v>-518.40000000000055</v>
      </c>
      <c r="AJ3" t="s">
        <v>8</v>
      </c>
      <c r="AK3" s="1" t="s">
        <v>68</v>
      </c>
      <c r="AL3" s="1" t="s">
        <v>30</v>
      </c>
      <c r="AM3" s="23" t="s">
        <v>133</v>
      </c>
      <c r="AO3" s="7">
        <f>CT[[#This Row],[Customer Final Price]]/CT[[#This Row],[FX Rate]]</f>
        <v>6257.975034674063</v>
      </c>
    </row>
    <row r="4" spans="1:41" x14ac:dyDescent="0.25">
      <c r="A4" t="s">
        <v>9</v>
      </c>
      <c r="B4" s="1">
        <v>705119</v>
      </c>
      <c r="C4" s="3">
        <v>45748</v>
      </c>
      <c r="D4" s="1" t="s">
        <v>67</v>
      </c>
      <c r="E4" s="1" t="s">
        <v>25</v>
      </c>
      <c r="F4" s="11">
        <v>23.56</v>
      </c>
      <c r="G4" s="3">
        <v>45781</v>
      </c>
      <c r="H4" s="3">
        <v>45819</v>
      </c>
      <c r="I4" s="57" t="s">
        <v>39</v>
      </c>
      <c r="J4" s="1" t="s">
        <v>17</v>
      </c>
      <c r="K4" s="1" t="s">
        <v>51</v>
      </c>
      <c r="L4" s="1" t="s">
        <v>23</v>
      </c>
      <c r="M4" s="14">
        <f t="shared" si="0"/>
        <v>24</v>
      </c>
      <c r="N4" s="1">
        <v>91</v>
      </c>
      <c r="O4" s="9">
        <f>220*1.2978</f>
        <v>285.51600000000002</v>
      </c>
      <c r="P4" s="7">
        <f>CT[[#This Row],[Purchase Rate/MT (USD)]]*CT[[#This Row],[PC Qty (MT)]]</f>
        <v>6852.384</v>
      </c>
      <c r="Q4" s="7">
        <f>CT[[#This Row],[Purchase Rate/MT (USD)]]*CT[[#This Row],[Container Qty]]</f>
        <v>6726.7569599999997</v>
      </c>
      <c r="R4" s="32">
        <f>IF(CT[[#This Row],[BL Number]]&lt;&gt;0,(CT[[#This Row],[Supplier Prov. Price]]-CT[[#This Row],[Supplier Final Price]])*1.2,"")</f>
        <v>150.75244800000036</v>
      </c>
      <c r="S4" s="101">
        <v>1.2978000000000001</v>
      </c>
      <c r="T4" s="3">
        <v>45775</v>
      </c>
      <c r="U4" s="7">
        <f>1250/CT[[#This Row],[Container Qty]]+50/SUMIFS(CT[Container Qty],CT[BL Number],CT[[#This Row],[BL Number]])</f>
        <v>53.577403598471101</v>
      </c>
      <c r="V4" s="7">
        <f t="shared" ref="V4:V5" si="1">(275*S4)/SUM($F$4:$F$5)</f>
        <v>7.4260299625468171</v>
      </c>
      <c r="W4" s="24">
        <f>41.51/SUM($F$3:$F$12)*CT[[#This Row],[FX Rate]]</f>
        <v>0.22055055268975679</v>
      </c>
      <c r="X4" s="106">
        <f>IFERROR(CT[[#This Row],[Freight Charges]]+CT[[#This Row],[Inspection Cost/MT]]+CT[[#This Row],[DHL Charges PMT]],"")</f>
        <v>61.223984113707672</v>
      </c>
      <c r="Y4" s="7">
        <f>IFERROR(AF4-(O4+CT[[#This Row],[Cost Per MT]]),"")</f>
        <v>13.260015886292308</v>
      </c>
      <c r="Z4" s="7">
        <f>IFERROR(CT[[#This Row],[Margin/MT]]*CT[[#This Row],[Container Qty]],"")</f>
        <v>312.40597428104678</v>
      </c>
      <c r="AA4" s="7"/>
      <c r="AB4" t="s">
        <v>11</v>
      </c>
      <c r="AC4" s="1">
        <v>705119</v>
      </c>
      <c r="AD4" s="3">
        <v>45743</v>
      </c>
      <c r="AE4" s="14">
        <f t="shared" ref="AE4:AE12" si="2">240/10</f>
        <v>24</v>
      </c>
      <c r="AF4" s="7">
        <v>360</v>
      </c>
      <c r="AG4" s="7">
        <f>CT[[#This Row],[Sales Rate/MT (USD)]]*CT[[#This Row],[SC Qty (MT)]]</f>
        <v>8640</v>
      </c>
      <c r="AH4" s="7">
        <f>IF(CT[[#This Row],[Container Qty]]&lt;&gt;0,CT[[#This Row],[Sales Rate/MT (USD)]]*CT[[#This Row],[Container Qty]],"")</f>
        <v>8481.6</v>
      </c>
      <c r="AI4" s="7">
        <f>IF(CT[[#This Row],[Customer Final Price]]&lt;&gt;"",CT[[#This Row],[Customer Final Price]]-CT[[#This Row],[Customer  Prov. Price]],"")</f>
        <v>-158.39999999999964</v>
      </c>
      <c r="AJ4" t="s">
        <v>8</v>
      </c>
      <c r="AK4" s="1" t="s">
        <v>68</v>
      </c>
      <c r="AL4" s="1" t="s">
        <v>30</v>
      </c>
      <c r="AM4" s="23" t="s">
        <v>133</v>
      </c>
      <c r="AO4" s="7">
        <f>CT[[#This Row],[Customer Final Price]]/CT[[#This Row],[FX Rate]]</f>
        <v>6535.367545076283</v>
      </c>
    </row>
    <row r="5" spans="1:41" x14ac:dyDescent="0.25">
      <c r="A5" t="s">
        <v>9</v>
      </c>
      <c r="B5" s="1">
        <v>705119</v>
      </c>
      <c r="C5" s="3">
        <v>45748</v>
      </c>
      <c r="D5" s="1" t="s">
        <v>67</v>
      </c>
      <c r="E5" s="1" t="s">
        <v>50</v>
      </c>
      <c r="F5" s="11">
        <v>24.5</v>
      </c>
      <c r="G5" s="3">
        <v>45781</v>
      </c>
      <c r="H5" s="3">
        <v>45819</v>
      </c>
      <c r="I5" s="57" t="s">
        <v>39</v>
      </c>
      <c r="J5" s="1" t="s">
        <v>17</v>
      </c>
      <c r="K5" s="1" t="s">
        <v>51</v>
      </c>
      <c r="L5" s="1" t="s">
        <v>23</v>
      </c>
      <c r="M5" s="14">
        <f t="shared" si="0"/>
        <v>24</v>
      </c>
      <c r="N5" s="1">
        <v>91</v>
      </c>
      <c r="O5" s="9">
        <f t="shared" ref="O5:O12" si="3">220*1.2978</f>
        <v>285.51600000000002</v>
      </c>
      <c r="P5" s="7">
        <f>CT[[#This Row],[Purchase Rate/MT (USD)]]*CT[[#This Row],[PC Qty (MT)]]</f>
        <v>6852.384</v>
      </c>
      <c r="Q5" s="7">
        <f>CT[[#This Row],[Purchase Rate/MT (USD)]]*CT[[#This Row],[Container Qty]]</f>
        <v>6995.1420000000007</v>
      </c>
      <c r="R5" s="32">
        <f>IF(CT[[#This Row],[BL Number]]&lt;&gt;0,(CT[[#This Row],[Supplier Prov. Price]]-CT[[#This Row],[Supplier Final Price]])*1.2,"")</f>
        <v>-171.30960000000087</v>
      </c>
      <c r="S5" s="101">
        <v>1.2978000000000001</v>
      </c>
      <c r="T5" s="3">
        <v>45775</v>
      </c>
      <c r="U5" s="7">
        <f>1250/CT[[#This Row],[Container Qty]]+50/SUMIFS(CT[Container Qty],CT[BL Number],CT[[#This Row],[BL Number]])</f>
        <v>51.541784597050501</v>
      </c>
      <c r="V5" s="7">
        <f t="shared" si="1"/>
        <v>7.4260299625468171</v>
      </c>
      <c r="W5" s="24">
        <f>41.51/SUM($F$3:$F$12)*CT[[#This Row],[FX Rate]]</f>
        <v>0.22055055268975679</v>
      </c>
      <c r="X5" s="106">
        <f>IFERROR(CT[[#This Row],[Freight Charges]]+CT[[#This Row],[Inspection Cost/MT]]+CT[[#This Row],[DHL Charges PMT]],"")</f>
        <v>59.188365112287073</v>
      </c>
      <c r="Y5" s="7">
        <f>IFERROR(AF5-(O5+CT[[#This Row],[Cost Per MT]]),"")</f>
        <v>15.295634887712936</v>
      </c>
      <c r="Z5" s="7">
        <f>IFERROR(CT[[#This Row],[Margin/MT]]*CT[[#This Row],[Container Qty]],"")</f>
        <v>374.74305474896693</v>
      </c>
      <c r="AA5" s="7"/>
      <c r="AB5" t="s">
        <v>11</v>
      </c>
      <c r="AC5" s="1">
        <v>705119</v>
      </c>
      <c r="AD5" s="3">
        <v>45743</v>
      </c>
      <c r="AE5" s="14">
        <f t="shared" si="2"/>
        <v>24</v>
      </c>
      <c r="AF5" s="7">
        <v>360</v>
      </c>
      <c r="AG5" s="7">
        <f>CT[[#This Row],[Sales Rate/MT (USD)]]*CT[[#This Row],[SC Qty (MT)]]</f>
        <v>8640</v>
      </c>
      <c r="AH5" s="7">
        <f>IF(CT[[#This Row],[Container Qty]]&lt;&gt;0,CT[[#This Row],[Sales Rate/MT (USD)]]*CT[[#This Row],[Container Qty]],"")</f>
        <v>8820</v>
      </c>
      <c r="AI5" s="7">
        <f>IF(CT[[#This Row],[Customer Final Price]]&lt;&gt;"",CT[[#This Row],[Customer Final Price]]-CT[[#This Row],[Customer  Prov. Price]],"")</f>
        <v>180</v>
      </c>
      <c r="AJ5" t="s">
        <v>8</v>
      </c>
      <c r="AK5" s="1" t="s">
        <v>68</v>
      </c>
      <c r="AL5" s="1" t="s">
        <v>30</v>
      </c>
      <c r="AM5" s="23" t="s">
        <v>133</v>
      </c>
      <c r="AO5" s="7">
        <f>CT[[#This Row],[Customer Final Price]]/CT[[#This Row],[FX Rate]]</f>
        <v>6796.1165048543689</v>
      </c>
    </row>
    <row r="6" spans="1:41" x14ac:dyDescent="0.25">
      <c r="A6" t="s">
        <v>9</v>
      </c>
      <c r="B6" s="1">
        <v>705119</v>
      </c>
      <c r="C6" s="3">
        <v>45748</v>
      </c>
      <c r="D6" s="1" t="s">
        <v>67</v>
      </c>
      <c r="E6" s="1" t="s">
        <v>26</v>
      </c>
      <c r="F6" s="11">
        <v>25.28</v>
      </c>
      <c r="G6" s="3">
        <v>45781</v>
      </c>
      <c r="H6" s="3">
        <v>45819</v>
      </c>
      <c r="I6" s="57" t="s">
        <v>39</v>
      </c>
      <c r="J6" s="1" t="s">
        <v>17</v>
      </c>
      <c r="K6" s="1" t="s">
        <v>51</v>
      </c>
      <c r="L6" s="1" t="s">
        <v>23</v>
      </c>
      <c r="M6" s="14">
        <f t="shared" si="0"/>
        <v>24</v>
      </c>
      <c r="N6" s="1">
        <v>91</v>
      </c>
      <c r="O6" s="9">
        <f t="shared" si="3"/>
        <v>285.51600000000002</v>
      </c>
      <c r="P6" s="7">
        <f>CT[[#This Row],[Purchase Rate/MT (USD)]]*CT[[#This Row],[PC Qty (MT)]]</f>
        <v>6852.384</v>
      </c>
      <c r="Q6" s="7">
        <f>CT[[#This Row],[Purchase Rate/MT (USD)]]*CT[[#This Row],[Container Qty]]</f>
        <v>7217.8444800000007</v>
      </c>
      <c r="R6" s="32">
        <f>IF(CT[[#This Row],[BL Number]]&lt;&gt;0,(CT[[#This Row],[Supplier Prov. Price]]-CT[[#This Row],[Supplier Final Price]])*1.2,"")</f>
        <v>-438.55257600000078</v>
      </c>
      <c r="S6" s="101">
        <v>1.2978000000000001</v>
      </c>
      <c r="T6" s="3">
        <v>45776</v>
      </c>
      <c r="U6" s="7">
        <f>1250/CT[[#This Row],[Container Qty]]+50/SUMIFS(CT[Container Qty],CT[BL Number],CT[[#This Row],[BL Number]])</f>
        <v>49.967578965430761</v>
      </c>
      <c r="V6" s="7">
        <f>(275*S6)/($F$6+$F$3)</f>
        <v>7.4601797658862878</v>
      </c>
      <c r="W6" s="24">
        <f>41.51/SUM($F$3:$F$12)*CT[[#This Row],[FX Rate]]</f>
        <v>0.22055055268975679</v>
      </c>
      <c r="X6" s="106">
        <f>IFERROR(CT[[#This Row],[Freight Charges]]+CT[[#This Row],[Inspection Cost/MT]]+CT[[#This Row],[DHL Charges PMT]],"")</f>
        <v>57.648309284006807</v>
      </c>
      <c r="Y6" s="7">
        <f>IFERROR(AF6-(O6+CT[[#This Row],[Cost Per MT]]),"")</f>
        <v>16.835690715993167</v>
      </c>
      <c r="Z6" s="7">
        <f>IFERROR(CT[[#This Row],[Margin/MT]]*CT[[#This Row],[Container Qty]],"")</f>
        <v>425.60626130030727</v>
      </c>
      <c r="AA6" s="7"/>
      <c r="AB6" t="s">
        <v>11</v>
      </c>
      <c r="AC6" s="1">
        <v>705119</v>
      </c>
      <c r="AD6" s="3">
        <v>45743</v>
      </c>
      <c r="AE6" s="14">
        <f t="shared" si="2"/>
        <v>24</v>
      </c>
      <c r="AF6" s="7">
        <v>360</v>
      </c>
      <c r="AG6" s="7">
        <f>CT[[#This Row],[Sales Rate/MT (USD)]]*CT[[#This Row],[SC Qty (MT)]]</f>
        <v>8640</v>
      </c>
      <c r="AH6" s="7">
        <f>IF(CT[[#This Row],[Container Qty]]&lt;&gt;0,CT[[#This Row],[Sales Rate/MT (USD)]]*CT[[#This Row],[Container Qty]],"")</f>
        <v>9100.8000000000011</v>
      </c>
      <c r="AI6" s="7">
        <f>IF(CT[[#This Row],[Customer Final Price]]&lt;&gt;"",CT[[#This Row],[Customer Final Price]]-CT[[#This Row],[Customer  Prov. Price]],"")</f>
        <v>460.80000000000109</v>
      </c>
      <c r="AJ6" t="s">
        <v>8</v>
      </c>
      <c r="AK6" s="1" t="s">
        <v>68</v>
      </c>
      <c r="AL6" s="1" t="s">
        <v>30</v>
      </c>
      <c r="AM6" s="23" t="s">
        <v>133</v>
      </c>
      <c r="AO6" s="7">
        <f>CT[[#This Row],[Customer Final Price]]/CT[[#This Row],[FX Rate]]</f>
        <v>7012.4826629681002</v>
      </c>
    </row>
    <row r="7" spans="1:41" x14ac:dyDescent="0.25">
      <c r="A7" t="s">
        <v>9</v>
      </c>
      <c r="B7" s="1">
        <v>705119</v>
      </c>
      <c r="C7" s="3">
        <v>45748</v>
      </c>
      <c r="D7" s="1" t="s">
        <v>67</v>
      </c>
      <c r="E7" s="1" t="s">
        <v>34</v>
      </c>
      <c r="F7" s="11">
        <v>26.14</v>
      </c>
      <c r="G7" s="3">
        <v>45788</v>
      </c>
      <c r="H7" s="3">
        <v>45826</v>
      </c>
      <c r="I7" s="57" t="s">
        <v>38</v>
      </c>
      <c r="J7" s="1" t="s">
        <v>17</v>
      </c>
      <c r="K7" s="1" t="s">
        <v>51</v>
      </c>
      <c r="L7" s="1" t="s">
        <v>23</v>
      </c>
      <c r="M7" s="14">
        <f t="shared" si="0"/>
        <v>24</v>
      </c>
      <c r="N7" s="1">
        <v>91</v>
      </c>
      <c r="O7" s="9">
        <f t="shared" si="3"/>
        <v>285.51600000000002</v>
      </c>
      <c r="P7" s="7">
        <f>CT[[#This Row],[Purchase Rate/MT (USD)]]*CT[[#This Row],[PC Qty (MT)]]</f>
        <v>6852.384</v>
      </c>
      <c r="Q7" s="7">
        <f>CT[[#This Row],[Purchase Rate/MT (USD)]]*CT[[#This Row],[Container Qty]]</f>
        <v>7463.3882400000002</v>
      </c>
      <c r="R7" s="32">
        <f>IF(CT[[#This Row],[BL Number]]&lt;&gt;0,(CT[[#This Row],[Supplier Prov. Price]]-CT[[#This Row],[Supplier Final Price]])*1.2,"")</f>
        <v>-733.20508800000027</v>
      </c>
      <c r="S7" s="101">
        <v>1.2978000000000001</v>
      </c>
      <c r="T7" s="3">
        <v>45783</v>
      </c>
      <c r="U7" s="7">
        <f>1250/CT[[#This Row],[Container Qty]]+50/SUMIFS(CT[Container Qty],CT[BL Number],CT[[#This Row],[BL Number]])</f>
        <v>48.156451882071835</v>
      </c>
      <c r="V7" s="7">
        <f t="shared" ref="V7:V12" si="4">(275*S7)/SUM($F$7:$F$12)</f>
        <v>2.4056012402264764</v>
      </c>
      <c r="W7" s="24">
        <f>41.51/SUM($F$3:$F$12)*CT[[#This Row],[FX Rate]]</f>
        <v>0.22055055268975679</v>
      </c>
      <c r="X7" s="106">
        <f>IFERROR(CT[[#This Row],[Freight Charges]]+CT[[#This Row],[Inspection Cost/MT]]+CT[[#This Row],[DHL Charges PMT]],"")</f>
        <v>50.782603674988067</v>
      </c>
      <c r="Y7" s="7">
        <f>IFERROR(AF7-(O7+CT[[#This Row],[Cost Per MT]]),"")</f>
        <v>23.701396325011899</v>
      </c>
      <c r="Z7" s="7">
        <f>IFERROR(CT[[#This Row],[Margin/MT]]*CT[[#This Row],[Container Qty]],"")</f>
        <v>619.55449993581101</v>
      </c>
      <c r="AA7" s="7"/>
      <c r="AB7" t="s">
        <v>11</v>
      </c>
      <c r="AC7" s="1">
        <v>705119</v>
      </c>
      <c r="AD7" s="3">
        <v>45743</v>
      </c>
      <c r="AE7" s="14">
        <f t="shared" si="2"/>
        <v>24</v>
      </c>
      <c r="AF7" s="7">
        <v>360</v>
      </c>
      <c r="AG7" s="7">
        <f>CT[[#This Row],[Sales Rate/MT (USD)]]*CT[[#This Row],[SC Qty (MT)]]</f>
        <v>8640</v>
      </c>
      <c r="AH7" s="7">
        <f>IF(CT[[#This Row],[Container Qty]]&lt;&gt;0,CT[[#This Row],[Sales Rate/MT (USD)]]*CT[[#This Row],[Container Qty]],"")</f>
        <v>9410.4</v>
      </c>
      <c r="AI7" s="7">
        <f>IF(CT[[#This Row],[Customer Final Price]]&lt;&gt;"",CT[[#This Row],[Customer Final Price]]-CT[[#This Row],[Customer  Prov. Price]],"")</f>
        <v>770.39999999999964</v>
      </c>
      <c r="AJ7" t="s">
        <v>8</v>
      </c>
      <c r="AK7" s="1" t="s">
        <v>68</v>
      </c>
      <c r="AL7" s="1" t="s">
        <v>66</v>
      </c>
      <c r="AM7" s="23" t="s">
        <v>133</v>
      </c>
      <c r="AO7" s="7">
        <f>CT[[#This Row],[Customer Final Price]]/CT[[#This Row],[FX Rate]]</f>
        <v>7251.0402219140078</v>
      </c>
    </row>
    <row r="8" spans="1:41" x14ac:dyDescent="0.25">
      <c r="A8" t="s">
        <v>9</v>
      </c>
      <c r="B8" s="1">
        <v>705119</v>
      </c>
      <c r="C8" s="3">
        <v>45748</v>
      </c>
      <c r="D8" s="1" t="s">
        <v>67</v>
      </c>
      <c r="E8" s="1" t="s">
        <v>35</v>
      </c>
      <c r="F8" s="11">
        <v>24.8</v>
      </c>
      <c r="G8" s="3">
        <v>45788</v>
      </c>
      <c r="H8" s="3">
        <v>45826</v>
      </c>
      <c r="I8" s="57" t="s">
        <v>38</v>
      </c>
      <c r="J8" s="1" t="s">
        <v>17</v>
      </c>
      <c r="K8" s="1" t="s">
        <v>51</v>
      </c>
      <c r="L8" s="1" t="s">
        <v>23</v>
      </c>
      <c r="M8" s="14">
        <f t="shared" si="0"/>
        <v>24</v>
      </c>
      <c r="N8" s="1">
        <v>91</v>
      </c>
      <c r="O8" s="9">
        <f t="shared" si="3"/>
        <v>285.51600000000002</v>
      </c>
      <c r="P8" s="7">
        <f>CT[[#This Row],[Purchase Rate/MT (USD)]]*CT[[#This Row],[PC Qty (MT)]]</f>
        <v>6852.384</v>
      </c>
      <c r="Q8" s="7">
        <f>CT[[#This Row],[Purchase Rate/MT (USD)]]*CT[[#This Row],[Container Qty]]</f>
        <v>7080.796800000001</v>
      </c>
      <c r="R8" s="32">
        <f>IF(CT[[#This Row],[BL Number]]&lt;&gt;0,(CT[[#This Row],[Supplier Prov. Price]]-CT[[#This Row],[Supplier Final Price]])*1.2,"")</f>
        <v>-274.09536000000116</v>
      </c>
      <c r="S8" s="101">
        <v>1.2978000000000001</v>
      </c>
      <c r="T8" s="3">
        <v>45783</v>
      </c>
      <c r="U8" s="7">
        <f>1250/CT[[#This Row],[Container Qty]]+50/SUMIFS(CT[Container Qty],CT[BL Number],CT[[#This Row],[BL Number]])</f>
        <v>50.74024387061985</v>
      </c>
      <c r="V8" s="7">
        <f t="shared" si="4"/>
        <v>2.4056012402264764</v>
      </c>
      <c r="W8" s="24">
        <f>41.51/SUM($F$3:$F$12)*CT[[#This Row],[FX Rate]]</f>
        <v>0.22055055268975679</v>
      </c>
      <c r="X8" s="106">
        <f>IFERROR(CT[[#This Row],[Freight Charges]]+CT[[#This Row],[Inspection Cost/MT]]+CT[[#This Row],[DHL Charges PMT]],"")</f>
        <v>53.366395663536082</v>
      </c>
      <c r="Y8" s="7">
        <f>IFERROR(AF8-(O8+CT[[#This Row],[Cost Per MT]]),"")</f>
        <v>21.117604336463899</v>
      </c>
      <c r="Z8" s="7">
        <f>IFERROR(CT[[#This Row],[Margin/MT]]*CT[[#This Row],[Container Qty]],"")</f>
        <v>523.71658754430473</v>
      </c>
      <c r="AA8" s="7"/>
      <c r="AB8" t="s">
        <v>11</v>
      </c>
      <c r="AC8" s="1">
        <v>705119</v>
      </c>
      <c r="AD8" s="3">
        <v>45743</v>
      </c>
      <c r="AE8" s="14">
        <f t="shared" si="2"/>
        <v>24</v>
      </c>
      <c r="AF8" s="7">
        <v>360</v>
      </c>
      <c r="AG8" s="7">
        <f>CT[[#This Row],[Sales Rate/MT (USD)]]*CT[[#This Row],[SC Qty (MT)]]</f>
        <v>8640</v>
      </c>
      <c r="AH8" s="7">
        <f>IF(CT[[#This Row],[Container Qty]]&lt;&gt;0,CT[[#This Row],[Sales Rate/MT (USD)]]*CT[[#This Row],[Container Qty]],"")</f>
        <v>8928</v>
      </c>
      <c r="AI8" s="7">
        <f>IF(CT[[#This Row],[Customer Final Price]]&lt;&gt;"",CT[[#This Row],[Customer Final Price]]-CT[[#This Row],[Customer  Prov. Price]],"")</f>
        <v>288</v>
      </c>
      <c r="AJ8" t="s">
        <v>8</v>
      </c>
      <c r="AK8" s="1" t="s">
        <v>68</v>
      </c>
      <c r="AL8" s="1" t="s">
        <v>66</v>
      </c>
      <c r="AM8" s="23" t="s">
        <v>133</v>
      </c>
      <c r="AO8" s="7">
        <f>CT[[#This Row],[Customer Final Price]]/CT[[#This Row],[FX Rate]]</f>
        <v>6879.3342579750342</v>
      </c>
    </row>
    <row r="9" spans="1:41" x14ac:dyDescent="0.25">
      <c r="A9" t="s">
        <v>9</v>
      </c>
      <c r="B9" s="1">
        <v>705119</v>
      </c>
      <c r="C9" s="3">
        <v>45748</v>
      </c>
      <c r="D9" s="1" t="s">
        <v>67</v>
      </c>
      <c r="E9" s="1" t="s">
        <v>36</v>
      </c>
      <c r="F9" s="11">
        <v>24.8</v>
      </c>
      <c r="G9" s="3">
        <v>45788</v>
      </c>
      <c r="H9" s="3">
        <v>45826</v>
      </c>
      <c r="I9" s="57" t="s">
        <v>38</v>
      </c>
      <c r="J9" s="1" t="s">
        <v>17</v>
      </c>
      <c r="K9" s="1" t="s">
        <v>51</v>
      </c>
      <c r="L9" s="1" t="s">
        <v>23</v>
      </c>
      <c r="M9" s="14">
        <f t="shared" si="0"/>
        <v>24</v>
      </c>
      <c r="N9" s="1">
        <v>91</v>
      </c>
      <c r="O9" s="9">
        <f t="shared" si="3"/>
        <v>285.51600000000002</v>
      </c>
      <c r="P9" s="7">
        <f>CT[[#This Row],[Purchase Rate/MT (USD)]]*CT[[#This Row],[PC Qty (MT)]]</f>
        <v>6852.384</v>
      </c>
      <c r="Q9" s="7">
        <f>CT[[#This Row],[Purchase Rate/MT (USD)]]*CT[[#This Row],[Container Qty]]</f>
        <v>7080.796800000001</v>
      </c>
      <c r="R9" s="32">
        <f>IF(CT[[#This Row],[BL Number]]&lt;&gt;0,(CT[[#This Row],[Supplier Prov. Price]]-CT[[#This Row],[Supplier Final Price]])*1.2,"")</f>
        <v>-274.09536000000116</v>
      </c>
      <c r="S9" s="101">
        <v>1.2978000000000001</v>
      </c>
      <c r="T9" s="3">
        <v>45783</v>
      </c>
      <c r="U9" s="7">
        <f>1250/CT[[#This Row],[Container Qty]]+50/SUMIFS(CT[Container Qty],CT[BL Number],CT[[#This Row],[BL Number]])</f>
        <v>50.74024387061985</v>
      </c>
      <c r="V9" s="7">
        <f t="shared" si="4"/>
        <v>2.4056012402264764</v>
      </c>
      <c r="W9" s="24">
        <f>41.51/SUM($F$3:$F$12)*CT[[#This Row],[FX Rate]]</f>
        <v>0.22055055268975679</v>
      </c>
      <c r="X9" s="106">
        <f>IFERROR(CT[[#This Row],[Freight Charges]]+CT[[#This Row],[Inspection Cost/MT]]+CT[[#This Row],[DHL Charges PMT]],"")</f>
        <v>53.366395663536082</v>
      </c>
      <c r="Y9" s="7">
        <f>IFERROR(AF9-(O9+CT[[#This Row],[Cost Per MT]]),"")</f>
        <v>21.117604336463899</v>
      </c>
      <c r="Z9" s="7">
        <f>IFERROR(CT[[#This Row],[Margin/MT]]*CT[[#This Row],[Container Qty]],"")</f>
        <v>523.71658754430473</v>
      </c>
      <c r="AA9" s="7"/>
      <c r="AB9" t="s">
        <v>11</v>
      </c>
      <c r="AC9" s="1">
        <v>705119</v>
      </c>
      <c r="AD9" s="3">
        <v>45743</v>
      </c>
      <c r="AE9" s="14">
        <f t="shared" si="2"/>
        <v>24</v>
      </c>
      <c r="AF9" s="7">
        <v>360</v>
      </c>
      <c r="AG9" s="7">
        <f>CT[[#This Row],[Sales Rate/MT (USD)]]*CT[[#This Row],[SC Qty (MT)]]</f>
        <v>8640</v>
      </c>
      <c r="AH9" s="7">
        <f>IF(CT[[#This Row],[Container Qty]]&lt;&gt;0,CT[[#This Row],[Sales Rate/MT (USD)]]*CT[[#This Row],[Container Qty]],"")</f>
        <v>8928</v>
      </c>
      <c r="AI9" s="7">
        <f>IF(CT[[#This Row],[Customer Final Price]]&lt;&gt;"",CT[[#This Row],[Customer Final Price]]-CT[[#This Row],[Customer  Prov. Price]],"")</f>
        <v>288</v>
      </c>
      <c r="AJ9" t="s">
        <v>8</v>
      </c>
      <c r="AK9" s="1" t="s">
        <v>68</v>
      </c>
      <c r="AL9" s="1" t="s">
        <v>66</v>
      </c>
      <c r="AM9" s="23" t="s">
        <v>133</v>
      </c>
      <c r="AO9" s="7">
        <f>CT[[#This Row],[Customer Final Price]]/CT[[#This Row],[FX Rate]]</f>
        <v>6879.3342579750342</v>
      </c>
    </row>
    <row r="10" spans="1:41" x14ac:dyDescent="0.25">
      <c r="A10" t="s">
        <v>9</v>
      </c>
      <c r="B10" s="1">
        <v>705119</v>
      </c>
      <c r="C10" s="3">
        <v>45748</v>
      </c>
      <c r="D10" s="1" t="s">
        <v>67</v>
      </c>
      <c r="E10" s="1" t="s">
        <v>33</v>
      </c>
      <c r="F10" s="11">
        <v>23.54</v>
      </c>
      <c r="G10" s="3">
        <v>45788</v>
      </c>
      <c r="H10" s="3">
        <v>45826</v>
      </c>
      <c r="I10" s="57" t="s">
        <v>38</v>
      </c>
      <c r="J10" s="1" t="s">
        <v>17</v>
      </c>
      <c r="K10" s="1" t="s">
        <v>51</v>
      </c>
      <c r="L10" s="1" t="s">
        <v>23</v>
      </c>
      <c r="M10" s="14">
        <f t="shared" si="0"/>
        <v>24</v>
      </c>
      <c r="N10" s="1">
        <v>91</v>
      </c>
      <c r="O10" s="9">
        <f t="shared" si="3"/>
        <v>285.51600000000002</v>
      </c>
      <c r="P10" s="7">
        <f>CT[[#This Row],[Purchase Rate/MT (USD)]]*CT[[#This Row],[PC Qty (MT)]]</f>
        <v>6852.384</v>
      </c>
      <c r="Q10" s="7">
        <f>CT[[#This Row],[Purchase Rate/MT (USD)]]*CT[[#This Row],[Container Qty]]</f>
        <v>6721.0466400000005</v>
      </c>
      <c r="R10" s="32">
        <f>IF(CT[[#This Row],[BL Number]]&lt;&gt;0,(CT[[#This Row],[Supplier Prov. Price]]-CT[[#This Row],[Supplier Final Price]])*1.2,"")</f>
        <v>157.60483199999945</v>
      </c>
      <c r="S10" s="101">
        <v>1.2978000000000001</v>
      </c>
      <c r="T10" s="3">
        <v>45783</v>
      </c>
      <c r="U10" s="7">
        <f>1250/CT[[#This Row],[Container Qty]]+50/SUMIFS(CT[Container Qty],CT[BL Number],CT[[#This Row],[BL Number]])</f>
        <v>53.438122567141903</v>
      </c>
      <c r="V10" s="7">
        <f t="shared" si="4"/>
        <v>2.4056012402264764</v>
      </c>
      <c r="W10" s="24">
        <f>41.51/SUM($F$3:$F$12)*CT[[#This Row],[FX Rate]]</f>
        <v>0.22055055268975679</v>
      </c>
      <c r="X10" s="106">
        <f>IFERROR(CT[[#This Row],[Freight Charges]]+CT[[#This Row],[Inspection Cost/MT]]+CT[[#This Row],[DHL Charges PMT]],"")</f>
        <v>56.064274360058135</v>
      </c>
      <c r="Y10" s="7">
        <f>IFERROR(AF10-(O10+CT[[#This Row],[Cost Per MT]]),"")</f>
        <v>18.419725639941817</v>
      </c>
      <c r="Z10" s="7">
        <f>IFERROR(CT[[#This Row],[Margin/MT]]*CT[[#This Row],[Container Qty]],"")</f>
        <v>433.60034156423035</v>
      </c>
      <c r="AA10" s="7"/>
      <c r="AB10" t="s">
        <v>11</v>
      </c>
      <c r="AC10" s="1">
        <v>705119</v>
      </c>
      <c r="AD10" s="3">
        <v>45743</v>
      </c>
      <c r="AE10" s="14">
        <f t="shared" si="2"/>
        <v>24</v>
      </c>
      <c r="AF10" s="7">
        <v>360</v>
      </c>
      <c r="AG10" s="7">
        <f>CT[[#This Row],[Sales Rate/MT (USD)]]*CT[[#This Row],[SC Qty (MT)]]</f>
        <v>8640</v>
      </c>
      <c r="AH10" s="7">
        <f>IF(CT[[#This Row],[Container Qty]]&lt;&gt;0,CT[[#This Row],[Sales Rate/MT (USD)]]*CT[[#This Row],[Container Qty]],"")</f>
        <v>8474.4</v>
      </c>
      <c r="AI10" s="7">
        <f>IF(CT[[#This Row],[Customer Final Price]]&lt;&gt;"",CT[[#This Row],[Customer Final Price]]-CT[[#This Row],[Customer  Prov. Price]],"")</f>
        <v>-165.60000000000036</v>
      </c>
      <c r="AJ10" t="s">
        <v>8</v>
      </c>
      <c r="AK10" s="1" t="s">
        <v>68</v>
      </c>
      <c r="AL10" s="1" t="s">
        <v>66</v>
      </c>
      <c r="AM10" s="23" t="s">
        <v>133</v>
      </c>
      <c r="AO10" s="7">
        <f>CT[[#This Row],[Customer Final Price]]/CT[[#This Row],[FX Rate]]</f>
        <v>6529.819694868238</v>
      </c>
    </row>
    <row r="11" spans="1:41" x14ac:dyDescent="0.25">
      <c r="A11" t="s">
        <v>9</v>
      </c>
      <c r="B11" s="1">
        <v>705119</v>
      </c>
      <c r="C11" s="3">
        <v>45748</v>
      </c>
      <c r="D11" s="1" t="s">
        <v>67</v>
      </c>
      <c r="E11" s="1" t="s">
        <v>31</v>
      </c>
      <c r="F11" s="11">
        <v>25.86</v>
      </c>
      <c r="G11" s="3">
        <v>45788</v>
      </c>
      <c r="H11" s="3">
        <v>45826</v>
      </c>
      <c r="I11" s="57" t="s">
        <v>38</v>
      </c>
      <c r="J11" s="1" t="s">
        <v>17</v>
      </c>
      <c r="K11" s="1" t="s">
        <v>51</v>
      </c>
      <c r="L11" s="1" t="s">
        <v>23</v>
      </c>
      <c r="M11" s="14">
        <f t="shared" si="0"/>
        <v>24</v>
      </c>
      <c r="N11" s="1">
        <v>91</v>
      </c>
      <c r="O11" s="9">
        <f t="shared" si="3"/>
        <v>285.51600000000002</v>
      </c>
      <c r="P11" s="7">
        <f>CT[[#This Row],[Purchase Rate/MT (USD)]]*CT[[#This Row],[PC Qty (MT)]]</f>
        <v>6852.384</v>
      </c>
      <c r="Q11" s="7">
        <f>CT[[#This Row],[Purchase Rate/MT (USD)]]*CT[[#This Row],[Container Qty]]</f>
        <v>7383.4437600000001</v>
      </c>
      <c r="R11" s="32">
        <f>IF(CT[[#This Row],[BL Number]]&lt;&gt;0,(CT[[#This Row],[Supplier Prov. Price]]-CT[[#This Row],[Supplier Final Price]])*1.2,"")</f>
        <v>-637.27171200000009</v>
      </c>
      <c r="S11" s="101">
        <v>1.2978000000000001</v>
      </c>
      <c r="T11" s="3">
        <v>45783</v>
      </c>
      <c r="U11" s="7">
        <f>1250/CT[[#This Row],[Container Qty]]+50/SUMIFS(CT[Container Qty],CT[BL Number],CT[[#This Row],[BL Number]])</f>
        <v>48.674218373526323</v>
      </c>
      <c r="V11" s="7">
        <f t="shared" si="4"/>
        <v>2.4056012402264764</v>
      </c>
      <c r="W11" s="24">
        <f>41.51/SUM($F$3:$F$12)*CT[[#This Row],[FX Rate]]</f>
        <v>0.22055055268975679</v>
      </c>
      <c r="X11" s="106">
        <f>IFERROR(CT[[#This Row],[Freight Charges]]+CT[[#This Row],[Inspection Cost/MT]]+CT[[#This Row],[DHL Charges PMT]],"")</f>
        <v>51.300370166442555</v>
      </c>
      <c r="Y11" s="7">
        <f>IFERROR(AF11-(O11+CT[[#This Row],[Cost Per MT]]),"")</f>
        <v>23.183629833557404</v>
      </c>
      <c r="Z11" s="7">
        <f>IFERROR(CT[[#This Row],[Margin/MT]]*CT[[#This Row],[Container Qty]],"")</f>
        <v>599.52866749579448</v>
      </c>
      <c r="AA11" s="7"/>
      <c r="AB11" t="s">
        <v>11</v>
      </c>
      <c r="AC11" s="1">
        <v>705119</v>
      </c>
      <c r="AD11" s="3">
        <v>45743</v>
      </c>
      <c r="AE11" s="14">
        <f t="shared" si="2"/>
        <v>24</v>
      </c>
      <c r="AF11" s="7">
        <v>360</v>
      </c>
      <c r="AG11" s="7">
        <f>CT[[#This Row],[Sales Rate/MT (USD)]]*CT[[#This Row],[SC Qty (MT)]]</f>
        <v>8640</v>
      </c>
      <c r="AH11" s="7">
        <f>IF(CT[[#This Row],[Container Qty]]&lt;&gt;0,CT[[#This Row],[Sales Rate/MT (USD)]]*CT[[#This Row],[Container Qty]],"")</f>
        <v>9309.6</v>
      </c>
      <c r="AI11" s="7">
        <f>IF(CT[[#This Row],[Customer Final Price]]&lt;&gt;"",CT[[#This Row],[Customer Final Price]]-CT[[#This Row],[Customer  Prov. Price]],"")</f>
        <v>669.60000000000036</v>
      </c>
      <c r="AJ11" t="s">
        <v>8</v>
      </c>
      <c r="AK11" s="1" t="s">
        <v>68</v>
      </c>
      <c r="AL11" s="1" t="s">
        <v>66</v>
      </c>
      <c r="AM11" s="23" t="s">
        <v>133</v>
      </c>
      <c r="AO11" s="7">
        <f>CT[[#This Row],[Customer Final Price]]/CT[[#This Row],[FX Rate]]</f>
        <v>7173.3703190013866</v>
      </c>
    </row>
    <row r="12" spans="1:41" x14ac:dyDescent="0.25">
      <c r="A12" t="s">
        <v>9</v>
      </c>
      <c r="B12" s="1">
        <v>705119</v>
      </c>
      <c r="C12" s="3">
        <v>45748</v>
      </c>
      <c r="D12" s="1" t="s">
        <v>67</v>
      </c>
      <c r="E12" s="1" t="s">
        <v>32</v>
      </c>
      <c r="F12" s="11">
        <v>23.22</v>
      </c>
      <c r="G12" s="3">
        <v>45788</v>
      </c>
      <c r="H12" s="3">
        <v>45826</v>
      </c>
      <c r="I12" s="57" t="s">
        <v>38</v>
      </c>
      <c r="J12" s="1" t="s">
        <v>17</v>
      </c>
      <c r="K12" s="1" t="s">
        <v>51</v>
      </c>
      <c r="L12" s="1" t="s">
        <v>23</v>
      </c>
      <c r="M12" s="14">
        <f t="shared" si="0"/>
        <v>24</v>
      </c>
      <c r="N12" s="1">
        <v>91</v>
      </c>
      <c r="O12" s="9">
        <f t="shared" si="3"/>
        <v>285.51600000000002</v>
      </c>
      <c r="P12" s="7">
        <f>CT[[#This Row],[Purchase Rate/MT (USD)]]*CT[[#This Row],[PC Qty (MT)]]</f>
        <v>6852.384</v>
      </c>
      <c r="Q12" s="7">
        <f>CT[[#This Row],[Purchase Rate/MT (USD)]]*CT[[#This Row],[Container Qty]]</f>
        <v>6629.6815200000001</v>
      </c>
      <c r="R12" s="32">
        <f>IF(CT[[#This Row],[BL Number]]&lt;&gt;0,(CT[[#This Row],[Supplier Prov. Price]]-CT[[#This Row],[Supplier Final Price]])*1.2,"")+2876.76</f>
        <v>3144.0029760000002</v>
      </c>
      <c r="S12" s="101">
        <v>1.2978000000000001</v>
      </c>
      <c r="T12" s="3">
        <v>45783</v>
      </c>
      <c r="U12" s="7">
        <f>1250/CT[[#This Row],[Container Qty]]+50/SUMIFS(CT[Container Qty],CT[BL Number],CT[[#This Row],[BL Number]])</f>
        <v>54.169920734280218</v>
      </c>
      <c r="V12" s="7">
        <f t="shared" si="4"/>
        <v>2.4056012402264764</v>
      </c>
      <c r="W12" s="24">
        <f>41.51/SUM($F$3:$F$12)*CT[[#This Row],[FX Rate]]</f>
        <v>0.22055055268975679</v>
      </c>
      <c r="X12" s="106">
        <f>IFERROR(CT[[#This Row],[Freight Charges]]+CT[[#This Row],[Inspection Cost/MT]]+CT[[#This Row],[DHL Charges PMT]],"")</f>
        <v>56.796072527196451</v>
      </c>
      <c r="Y12" s="7">
        <f>IFERROR(AF12-(O12+CT[[#This Row],[Cost Per MT]]),"")</f>
        <v>17.687927472803551</v>
      </c>
      <c r="Z12" s="7">
        <f>IFERROR(CT[[#This Row],[Margin/MT]]*CT[[#This Row],[Container Qty]],"")</f>
        <v>410.71367591849844</v>
      </c>
      <c r="AA12" s="7"/>
      <c r="AB12" t="s">
        <v>11</v>
      </c>
      <c r="AC12" s="1">
        <v>705119</v>
      </c>
      <c r="AD12" s="3">
        <v>45743</v>
      </c>
      <c r="AE12" s="14">
        <f t="shared" si="2"/>
        <v>24</v>
      </c>
      <c r="AF12" s="7">
        <v>360</v>
      </c>
      <c r="AG12" s="7">
        <f>CT[[#This Row],[Sales Rate/MT (USD)]]*CT[[#This Row],[SC Qty (MT)]]</f>
        <v>8640</v>
      </c>
      <c r="AH12" s="7">
        <f>IF(CT[[#This Row],[Container Qty]]&lt;&gt;0,CT[[#This Row],[Sales Rate/MT (USD)]]*CT[[#This Row],[Container Qty]],"")</f>
        <v>8359.1999999999989</v>
      </c>
      <c r="AI12" s="7">
        <f>IF(CT[[#This Row],[Customer Final Price]]&lt;&gt;"",CT[[#This Row],[Customer Final Price]]-CT[[#This Row],[Customer  Prov. Price]],"")</f>
        <v>-280.80000000000109</v>
      </c>
      <c r="AJ12" t="s">
        <v>8</v>
      </c>
      <c r="AK12" s="1" t="s">
        <v>68</v>
      </c>
      <c r="AL12" s="1" t="s">
        <v>66</v>
      </c>
      <c r="AM12" s="23" t="s">
        <v>133</v>
      </c>
      <c r="AO12" s="7">
        <f>CT[[#This Row],[Customer Final Price]]/CT[[#This Row],[FX Rate]]</f>
        <v>6441.0540915395277</v>
      </c>
    </row>
    <row r="13" spans="1:41" x14ac:dyDescent="0.25">
      <c r="A13" t="s">
        <v>9</v>
      </c>
      <c r="B13" s="102" t="s">
        <v>12</v>
      </c>
      <c r="C13" s="81">
        <v>45778</v>
      </c>
      <c r="D13" s="1" t="s">
        <v>67</v>
      </c>
      <c r="E13" s="1" t="s">
        <v>45</v>
      </c>
      <c r="F13" s="11">
        <v>22.38</v>
      </c>
      <c r="G13" s="3">
        <v>45791</v>
      </c>
      <c r="H13" s="3">
        <v>45845</v>
      </c>
      <c r="I13" s="57" t="s">
        <v>63</v>
      </c>
      <c r="J13" s="1" t="s">
        <v>21</v>
      </c>
      <c r="K13" s="1" t="s">
        <v>14</v>
      </c>
      <c r="L13" s="1" t="s">
        <v>64</v>
      </c>
      <c r="M13" s="14">
        <f t="shared" ref="M13:M52" si="5">500/20</f>
        <v>25</v>
      </c>
      <c r="N13" s="1">
        <v>92</v>
      </c>
      <c r="O13" s="7">
        <v>325</v>
      </c>
      <c r="P13" s="7">
        <f>CT[[#This Row],[Purchase Rate/MT (USD)]]*CT[[#This Row],[PC Qty (MT)]]</f>
        <v>8125</v>
      </c>
      <c r="Q13" s="7">
        <f>CT[[#This Row],[Purchase Rate/MT (USD)]]*CT[[#This Row],[Container Qty]]</f>
        <v>7273.5</v>
      </c>
      <c r="R13" s="32">
        <f>IF(CT[[#This Row],[BL Number]]&lt;&gt;0,(CT[[#This Row],[Supplier Prov. Price]]-CT[[#This Row],[Supplier Final Price]])*1.2,"")</f>
        <v>1021.8</v>
      </c>
      <c r="S13" s="101">
        <v>1.3270999999999999</v>
      </c>
      <c r="T13" s="3">
        <v>45786</v>
      </c>
      <c r="U13" s="7">
        <v>0</v>
      </c>
      <c r="V13" s="7">
        <f t="shared" ref="V13:V15" si="6">(275*S13)/($F$13+$F$14+$F$15+$F$17+$F$19)</f>
        <v>3.1139291808873719</v>
      </c>
      <c r="W13" s="24">
        <f t="shared" ref="W13:W22" si="7">41.58/SUM($F$13:$F$22)*S13</f>
        <v>0.23212526501766778</v>
      </c>
      <c r="X13" s="106">
        <f>IFERROR(CT[[#This Row],[Freight Charges]]+CT[[#This Row],[Inspection Cost/MT]]+CT[[#This Row],[DHL Charges PMT]],"")</f>
        <v>3.3460544459050396</v>
      </c>
      <c r="Y13" s="7">
        <f>IFERROR(AF13-(O13+CT[[#This Row],[Cost Per MT]]),"")</f>
        <v>21.653945554094946</v>
      </c>
      <c r="Z13" s="7">
        <f>IFERROR(CT[[#This Row],[Margin/MT]]*CT[[#This Row],[Container Qty]],"")</f>
        <v>484.61530150064488</v>
      </c>
      <c r="AA13" s="7"/>
      <c r="AB13" t="s">
        <v>11</v>
      </c>
      <c r="AC13" s="1">
        <v>705120</v>
      </c>
      <c r="AD13" s="3">
        <v>45778</v>
      </c>
      <c r="AE13" s="14">
        <f t="shared" ref="AE13:AE52" si="8">500/20</f>
        <v>25</v>
      </c>
      <c r="AF13" s="7">
        <v>350</v>
      </c>
      <c r="AG13" s="7">
        <f>CT[[#This Row],[Sales Rate/MT (USD)]]*CT[[#This Row],[SC Qty (MT)]]</f>
        <v>8750</v>
      </c>
      <c r="AH13" s="7">
        <f>IF(CT[[#This Row],[Container Qty]]&lt;&gt;0,CT[[#This Row],[Sales Rate/MT (USD)]]*CT[[#This Row],[Container Qty]],"")</f>
        <v>7833</v>
      </c>
      <c r="AI13" s="7">
        <f>IF(CT[[#This Row],[Customer Final Price]]&lt;&gt;"",CT[[#This Row],[Customer Final Price]]-CT[[#This Row],[Customer  Prov. Price]],"")</f>
        <v>-917</v>
      </c>
      <c r="AJ13" t="s">
        <v>8</v>
      </c>
      <c r="AK13" s="1" t="s">
        <v>28</v>
      </c>
      <c r="AL13" s="1" t="s">
        <v>69</v>
      </c>
      <c r="AM13" s="23" t="s">
        <v>133</v>
      </c>
      <c r="AO13" s="7">
        <f>CT[[#This Row],[Customer Final Price]]/CT[[#This Row],[FX Rate]]</f>
        <v>5902.3434556551883</v>
      </c>
    </row>
    <row r="14" spans="1:41" x14ac:dyDescent="0.25">
      <c r="A14" t="s">
        <v>9</v>
      </c>
      <c r="B14" s="102" t="s">
        <v>12</v>
      </c>
      <c r="C14" s="81">
        <v>45778</v>
      </c>
      <c r="D14" s="1" t="s">
        <v>67</v>
      </c>
      <c r="E14" s="1" t="s">
        <v>46</v>
      </c>
      <c r="F14" s="11">
        <v>23.26</v>
      </c>
      <c r="G14" s="3">
        <v>45791</v>
      </c>
      <c r="H14" s="3">
        <v>45845</v>
      </c>
      <c r="I14" s="57" t="s">
        <v>63</v>
      </c>
      <c r="J14" s="1" t="s">
        <v>21</v>
      </c>
      <c r="K14" s="1" t="s">
        <v>14</v>
      </c>
      <c r="L14" s="1" t="s">
        <v>64</v>
      </c>
      <c r="M14" s="14">
        <f t="shared" si="5"/>
        <v>25</v>
      </c>
      <c r="N14" s="1">
        <v>92</v>
      </c>
      <c r="O14" s="7">
        <v>325</v>
      </c>
      <c r="P14" s="7">
        <f>CT[[#This Row],[Purchase Rate/MT (USD)]]*CT[[#This Row],[PC Qty (MT)]]</f>
        <v>8125</v>
      </c>
      <c r="Q14" s="7">
        <f>CT[[#This Row],[Purchase Rate/MT (USD)]]*CT[[#This Row],[Container Qty]]</f>
        <v>7559.5000000000009</v>
      </c>
      <c r="R14" s="32">
        <f>IF(CT[[#This Row],[BL Number]]&lt;&gt;0,(CT[[#This Row],[Supplier Prov. Price]]-CT[[#This Row],[Supplier Final Price]])*1.2,"")</f>
        <v>678.59999999999889</v>
      </c>
      <c r="S14" s="101">
        <v>1.3270999999999999</v>
      </c>
      <c r="T14" s="3">
        <v>45786</v>
      </c>
      <c r="U14" s="7">
        <v>0</v>
      </c>
      <c r="V14" s="7">
        <f t="shared" si="6"/>
        <v>3.1139291808873719</v>
      </c>
      <c r="W14" s="24">
        <f t="shared" si="7"/>
        <v>0.23212526501766778</v>
      </c>
      <c r="X14" s="106">
        <f>IFERROR(CT[[#This Row],[Freight Charges]]+CT[[#This Row],[Inspection Cost/MT]]+CT[[#This Row],[DHL Charges PMT]],"")</f>
        <v>3.3460544459050396</v>
      </c>
      <c r="Y14" s="7">
        <f>IFERROR(AF14-(O14+CT[[#This Row],[Cost Per MT]]),"")</f>
        <v>21.653945554094946</v>
      </c>
      <c r="Z14" s="7">
        <f>IFERROR(CT[[#This Row],[Margin/MT]]*CT[[#This Row],[Container Qty]],"")</f>
        <v>503.67077358824849</v>
      </c>
      <c r="AA14" s="7"/>
      <c r="AB14" t="s">
        <v>11</v>
      </c>
      <c r="AC14" s="1">
        <v>705120</v>
      </c>
      <c r="AD14" s="3">
        <v>45778</v>
      </c>
      <c r="AE14" s="14">
        <f t="shared" si="8"/>
        <v>25</v>
      </c>
      <c r="AF14" s="7">
        <v>350</v>
      </c>
      <c r="AG14" s="7">
        <f>CT[[#This Row],[Sales Rate/MT (USD)]]*CT[[#This Row],[SC Qty (MT)]]</f>
        <v>8750</v>
      </c>
      <c r="AH14" s="7">
        <f>IF(CT[[#This Row],[Container Qty]]&lt;&gt;0,CT[[#This Row],[Sales Rate/MT (USD)]]*CT[[#This Row],[Container Qty]],"")</f>
        <v>8141.0000000000009</v>
      </c>
      <c r="AI14" s="7">
        <f>IF(CT[[#This Row],[Customer Final Price]]&lt;&gt;"",CT[[#This Row],[Customer Final Price]]-CT[[#This Row],[Customer  Prov. Price]],"")</f>
        <v>-608.99999999999909</v>
      </c>
      <c r="AJ14" t="s">
        <v>8</v>
      </c>
      <c r="AK14" s="1" t="s">
        <v>28</v>
      </c>
      <c r="AL14" s="1" t="s">
        <v>69</v>
      </c>
      <c r="AM14" s="23" t="s">
        <v>133</v>
      </c>
      <c r="AO14" s="7">
        <f>CT[[#This Row],[Customer Final Price]]/CT[[#This Row],[FX Rate]]</f>
        <v>6134.4284530178593</v>
      </c>
    </row>
    <row r="15" spans="1:41" x14ac:dyDescent="0.25">
      <c r="A15" t="s">
        <v>9</v>
      </c>
      <c r="B15" s="102" t="s">
        <v>12</v>
      </c>
      <c r="C15" s="81">
        <v>45778</v>
      </c>
      <c r="D15" s="1" t="s">
        <v>67</v>
      </c>
      <c r="E15" s="1" t="s">
        <v>47</v>
      </c>
      <c r="F15" s="11">
        <v>23.56</v>
      </c>
      <c r="G15" s="3">
        <v>45791</v>
      </c>
      <c r="H15" s="3">
        <v>45845</v>
      </c>
      <c r="I15" s="57" t="s">
        <v>63</v>
      </c>
      <c r="J15" s="1" t="s">
        <v>21</v>
      </c>
      <c r="K15" s="1" t="s">
        <v>14</v>
      </c>
      <c r="L15" s="1" t="s">
        <v>64</v>
      </c>
      <c r="M15" s="14">
        <f t="shared" si="5"/>
        <v>25</v>
      </c>
      <c r="N15" s="1">
        <v>92</v>
      </c>
      <c r="O15" s="7">
        <v>325</v>
      </c>
      <c r="P15" s="7">
        <f>CT[[#This Row],[Purchase Rate/MT (USD)]]*CT[[#This Row],[PC Qty (MT)]]</f>
        <v>8125</v>
      </c>
      <c r="Q15" s="7">
        <f>CT[[#This Row],[Purchase Rate/MT (USD)]]*CT[[#This Row],[Container Qty]]</f>
        <v>7657</v>
      </c>
      <c r="R15" s="32">
        <f>IF(CT[[#This Row],[BL Number]]&lt;&gt;0,(CT[[#This Row],[Supplier Prov. Price]]-CT[[#This Row],[Supplier Final Price]])*1.2,"")</f>
        <v>561.6</v>
      </c>
      <c r="S15" s="101">
        <v>1.3270999999999999</v>
      </c>
      <c r="T15" s="3">
        <v>45786</v>
      </c>
      <c r="U15" s="7">
        <v>0</v>
      </c>
      <c r="V15" s="7">
        <f t="shared" si="6"/>
        <v>3.1139291808873719</v>
      </c>
      <c r="W15" s="24">
        <f t="shared" si="7"/>
        <v>0.23212526501766778</v>
      </c>
      <c r="X15" s="106">
        <f>IFERROR(CT[[#This Row],[Freight Charges]]+CT[[#This Row],[Inspection Cost/MT]]+CT[[#This Row],[DHL Charges PMT]],"")</f>
        <v>3.3460544459050396</v>
      </c>
      <c r="Y15" s="7">
        <f>IFERROR(AF15-(O15+CT[[#This Row],[Cost Per MT]]),"")</f>
        <v>21.653945554094946</v>
      </c>
      <c r="Z15" s="7">
        <f>IFERROR(CT[[#This Row],[Margin/MT]]*CT[[#This Row],[Container Qty]],"")</f>
        <v>510.16695725447693</v>
      </c>
      <c r="AA15" s="7"/>
      <c r="AB15" t="s">
        <v>11</v>
      </c>
      <c r="AC15" s="1">
        <v>705120</v>
      </c>
      <c r="AD15" s="3">
        <v>45778</v>
      </c>
      <c r="AE15" s="14">
        <f t="shared" si="8"/>
        <v>25</v>
      </c>
      <c r="AF15" s="7">
        <v>350</v>
      </c>
      <c r="AG15" s="7">
        <f>CT[[#This Row],[Sales Rate/MT (USD)]]*CT[[#This Row],[SC Qty (MT)]]</f>
        <v>8750</v>
      </c>
      <c r="AH15" s="7">
        <f>IF(CT[[#This Row],[Container Qty]]&lt;&gt;0,CT[[#This Row],[Sales Rate/MT (USD)]]*CT[[#This Row],[Container Qty]],"")</f>
        <v>8246</v>
      </c>
      <c r="AI15" s="7">
        <f>IF(CT[[#This Row],[Customer Final Price]]&lt;&gt;"",CT[[#This Row],[Customer Final Price]]-CT[[#This Row],[Customer  Prov. Price]],"")</f>
        <v>-504</v>
      </c>
      <c r="AJ15" t="s">
        <v>8</v>
      </c>
      <c r="AK15" s="1" t="s">
        <v>28</v>
      </c>
      <c r="AL15" s="1" t="s">
        <v>69</v>
      </c>
      <c r="AM15" s="23" t="s">
        <v>133</v>
      </c>
      <c r="AO15" s="7">
        <f>CT[[#This Row],[Customer Final Price]]/CT[[#This Row],[FX Rate]]</f>
        <v>6213.5483384824056</v>
      </c>
    </row>
    <row r="16" spans="1:41" x14ac:dyDescent="0.25">
      <c r="A16" t="s">
        <v>9</v>
      </c>
      <c r="B16" s="102" t="s">
        <v>12</v>
      </c>
      <c r="C16" s="81">
        <v>45778</v>
      </c>
      <c r="D16" s="1" t="s">
        <v>67</v>
      </c>
      <c r="E16" s="1" t="s">
        <v>42</v>
      </c>
      <c r="F16" s="11">
        <v>24.14</v>
      </c>
      <c r="G16" s="3">
        <v>45791</v>
      </c>
      <c r="H16" s="3">
        <v>45845</v>
      </c>
      <c r="I16" s="57" t="s">
        <v>63</v>
      </c>
      <c r="J16" s="1" t="s">
        <v>21</v>
      </c>
      <c r="K16" s="1" t="s">
        <v>14</v>
      </c>
      <c r="L16" s="1" t="s">
        <v>64</v>
      </c>
      <c r="M16" s="14">
        <f t="shared" si="5"/>
        <v>25</v>
      </c>
      <c r="N16" s="1">
        <v>92</v>
      </c>
      <c r="O16" s="7">
        <v>325</v>
      </c>
      <c r="P16" s="7">
        <f>CT[[#This Row],[Purchase Rate/MT (USD)]]*CT[[#This Row],[PC Qty (MT)]]</f>
        <v>8125</v>
      </c>
      <c r="Q16" s="7">
        <f>CT[[#This Row],[Purchase Rate/MT (USD)]]*CT[[#This Row],[Container Qty]]</f>
        <v>7845.5</v>
      </c>
      <c r="R16" s="32">
        <f>IF(CT[[#This Row],[BL Number]]&lt;&gt;0,(CT[[#This Row],[Supplier Prov. Price]]-CT[[#This Row],[Supplier Final Price]])*1.2,"")</f>
        <v>335.4</v>
      </c>
      <c r="S16" s="101">
        <v>1.3270999999999999</v>
      </c>
      <c r="T16" s="3">
        <v>45785</v>
      </c>
      <c r="U16" s="7">
        <v>0</v>
      </c>
      <c r="V16" s="7">
        <f>(275*S16)/($F$16+$F$18+$F$20+$F$21+$F$22)</f>
        <v>3.0281488549618318</v>
      </c>
      <c r="W16" s="24">
        <f t="shared" si="7"/>
        <v>0.23212526501766778</v>
      </c>
      <c r="X16" s="106">
        <f>IFERROR(CT[[#This Row],[Freight Charges]]+CT[[#This Row],[Inspection Cost/MT]]+CT[[#This Row],[DHL Charges PMT]],"")</f>
        <v>3.2602741199794996</v>
      </c>
      <c r="Y16" s="7">
        <f>IFERROR(AF16-(O16+CT[[#This Row],[Cost Per MT]]),"")</f>
        <v>21.739725880020501</v>
      </c>
      <c r="Z16" s="7">
        <f>IFERROR(CT[[#This Row],[Margin/MT]]*CT[[#This Row],[Container Qty]],"")</f>
        <v>524.79698274369491</v>
      </c>
      <c r="AA16" s="7"/>
      <c r="AB16" t="s">
        <v>11</v>
      </c>
      <c r="AC16" s="1">
        <v>705120</v>
      </c>
      <c r="AD16" s="3">
        <v>45778</v>
      </c>
      <c r="AE16" s="14">
        <f t="shared" si="8"/>
        <v>25</v>
      </c>
      <c r="AF16" s="7">
        <v>350</v>
      </c>
      <c r="AG16" s="7">
        <f>CT[[#This Row],[Sales Rate/MT (USD)]]*CT[[#This Row],[SC Qty (MT)]]</f>
        <v>8750</v>
      </c>
      <c r="AH16" s="7">
        <f>IF(CT[[#This Row],[Container Qty]]&lt;&gt;0,CT[[#This Row],[Sales Rate/MT (USD)]]*CT[[#This Row],[Container Qty]],"")</f>
        <v>8449</v>
      </c>
      <c r="AI16" s="7">
        <f>IF(CT[[#This Row],[Customer Final Price]]&lt;&gt;"",CT[[#This Row],[Customer Final Price]]-CT[[#This Row],[Customer  Prov. Price]],"")</f>
        <v>-301</v>
      </c>
      <c r="AJ16" t="s">
        <v>8</v>
      </c>
      <c r="AK16" s="1" t="s">
        <v>28</v>
      </c>
      <c r="AL16" s="1" t="s">
        <v>69</v>
      </c>
      <c r="AM16" s="23" t="s">
        <v>133</v>
      </c>
      <c r="AO16" s="7">
        <f>CT[[#This Row],[Customer Final Price]]/CT[[#This Row],[FX Rate]]</f>
        <v>6366.5134503805293</v>
      </c>
    </row>
    <row r="17" spans="1:41" x14ac:dyDescent="0.25">
      <c r="A17" t="s">
        <v>9</v>
      </c>
      <c r="B17" s="102" t="s">
        <v>12</v>
      </c>
      <c r="C17" s="81">
        <v>45778</v>
      </c>
      <c r="D17" s="1" t="s">
        <v>67</v>
      </c>
      <c r="E17" s="1" t="s">
        <v>48</v>
      </c>
      <c r="F17" s="11">
        <v>24.7</v>
      </c>
      <c r="G17" s="3">
        <v>45791</v>
      </c>
      <c r="H17" s="3">
        <v>45845</v>
      </c>
      <c r="I17" s="57" t="s">
        <v>63</v>
      </c>
      <c r="J17" s="1" t="s">
        <v>21</v>
      </c>
      <c r="K17" s="1" t="s">
        <v>14</v>
      </c>
      <c r="L17" s="1" t="s">
        <v>64</v>
      </c>
      <c r="M17" s="14">
        <f t="shared" si="5"/>
        <v>25</v>
      </c>
      <c r="N17" s="1">
        <v>92</v>
      </c>
      <c r="O17" s="7">
        <v>325</v>
      </c>
      <c r="P17" s="7">
        <f>CT[[#This Row],[Purchase Rate/MT (USD)]]*CT[[#This Row],[PC Qty (MT)]]</f>
        <v>8125</v>
      </c>
      <c r="Q17" s="7">
        <f>CT[[#This Row],[Purchase Rate/MT (USD)]]*CT[[#This Row],[Container Qty]]</f>
        <v>8027.5</v>
      </c>
      <c r="R17" s="32">
        <f>IF(CT[[#This Row],[BL Number]]&lt;&gt;0,(CT[[#This Row],[Supplier Prov. Price]]-CT[[#This Row],[Supplier Final Price]])*1.2,"")</f>
        <v>117</v>
      </c>
      <c r="S17" s="101">
        <v>1.3270999999999999</v>
      </c>
      <c r="T17" s="3">
        <v>45786</v>
      </c>
      <c r="U17" s="7">
        <v>0</v>
      </c>
      <c r="V17" s="7">
        <f>(275*S17)/($F$13+$F$14+$F$15+$F$17+$F$19)</f>
        <v>3.1139291808873719</v>
      </c>
      <c r="W17" s="24">
        <f t="shared" si="7"/>
        <v>0.23212526501766778</v>
      </c>
      <c r="X17" s="106">
        <f>IFERROR(CT[[#This Row],[Freight Charges]]+CT[[#This Row],[Inspection Cost/MT]]+CT[[#This Row],[DHL Charges PMT]],"")</f>
        <v>3.3460544459050396</v>
      </c>
      <c r="Y17" s="7">
        <f>IFERROR(AF17-(O17+CT[[#This Row],[Cost Per MT]]),"")</f>
        <v>21.653945554094946</v>
      </c>
      <c r="Z17" s="7">
        <f>IFERROR(CT[[#This Row],[Margin/MT]]*CT[[#This Row],[Container Qty]],"")</f>
        <v>534.85245518614511</v>
      </c>
      <c r="AA17" s="7"/>
      <c r="AB17" t="s">
        <v>11</v>
      </c>
      <c r="AC17" s="1">
        <v>705120</v>
      </c>
      <c r="AD17" s="3">
        <v>45778</v>
      </c>
      <c r="AE17" s="14">
        <f t="shared" si="8"/>
        <v>25</v>
      </c>
      <c r="AF17" s="7">
        <v>350</v>
      </c>
      <c r="AG17" s="7">
        <f>CT[[#This Row],[Sales Rate/MT (USD)]]*CT[[#This Row],[SC Qty (MT)]]</f>
        <v>8750</v>
      </c>
      <c r="AH17" s="7">
        <f>IF(CT[[#This Row],[Container Qty]]&lt;&gt;0,CT[[#This Row],[Sales Rate/MT (USD)]]*CT[[#This Row],[Container Qty]],"")</f>
        <v>8645</v>
      </c>
      <c r="AI17" s="7">
        <f>IF(CT[[#This Row],[Customer Final Price]]&lt;&gt;"",CT[[#This Row],[Customer Final Price]]-CT[[#This Row],[Customer  Prov. Price]],"")</f>
        <v>-105</v>
      </c>
      <c r="AJ17" t="s">
        <v>8</v>
      </c>
      <c r="AK17" s="1" t="s">
        <v>28</v>
      </c>
      <c r="AL17" s="1" t="s">
        <v>69</v>
      </c>
      <c r="AM17" s="23" t="s">
        <v>133</v>
      </c>
      <c r="AO17" s="7">
        <f>CT[[#This Row],[Customer Final Price]]/CT[[#This Row],[FX Rate]]</f>
        <v>6514.2039032476832</v>
      </c>
    </row>
    <row r="18" spans="1:41" x14ac:dyDescent="0.25">
      <c r="A18" t="s">
        <v>9</v>
      </c>
      <c r="B18" s="102" t="s">
        <v>12</v>
      </c>
      <c r="C18" s="81">
        <v>45778</v>
      </c>
      <c r="D18" s="1" t="s">
        <v>67</v>
      </c>
      <c r="E18" s="1" t="s">
        <v>40</v>
      </c>
      <c r="F18" s="11">
        <v>24.92</v>
      </c>
      <c r="G18" s="3">
        <v>45791</v>
      </c>
      <c r="H18" s="3">
        <v>45845</v>
      </c>
      <c r="I18" s="57" t="s">
        <v>63</v>
      </c>
      <c r="J18" s="1" t="s">
        <v>21</v>
      </c>
      <c r="K18" s="1" t="s">
        <v>14</v>
      </c>
      <c r="L18" s="1" t="s">
        <v>64</v>
      </c>
      <c r="M18" s="14">
        <f t="shared" si="5"/>
        <v>25</v>
      </c>
      <c r="N18" s="1">
        <v>92</v>
      </c>
      <c r="O18" s="7">
        <v>325</v>
      </c>
      <c r="P18" s="7">
        <f>CT[[#This Row],[Purchase Rate/MT (USD)]]*CT[[#This Row],[PC Qty (MT)]]</f>
        <v>8125</v>
      </c>
      <c r="Q18" s="7">
        <f>CT[[#This Row],[Purchase Rate/MT (USD)]]*CT[[#This Row],[Container Qty]]</f>
        <v>8099.0000000000009</v>
      </c>
      <c r="R18" s="32">
        <f>IF(CT[[#This Row],[BL Number]]&lt;&gt;0,(CT[[#This Row],[Supplier Prov. Price]]-CT[[#This Row],[Supplier Final Price]])*1.2,"")</f>
        <v>31.199999999998909</v>
      </c>
      <c r="S18" s="101">
        <v>1.3270999999999999</v>
      </c>
      <c r="T18" s="3">
        <v>45785</v>
      </c>
      <c r="U18" s="7">
        <v>0</v>
      </c>
      <c r="V18" s="7">
        <f>(275*S18)/($F$16+$F$18+$F$20+$F$21+$F$22)</f>
        <v>3.0281488549618318</v>
      </c>
      <c r="W18" s="24">
        <f t="shared" si="7"/>
        <v>0.23212526501766778</v>
      </c>
      <c r="X18" s="106">
        <f>IFERROR(CT[[#This Row],[Freight Charges]]+CT[[#This Row],[Inspection Cost/MT]]+CT[[#This Row],[DHL Charges PMT]],"")</f>
        <v>3.2602741199794996</v>
      </c>
      <c r="Y18" s="7">
        <f>IFERROR(AF18-(O18+CT[[#This Row],[Cost Per MT]]),"")</f>
        <v>21.739725880020501</v>
      </c>
      <c r="Z18" s="7">
        <f>IFERROR(CT[[#This Row],[Margin/MT]]*CT[[#This Row],[Container Qty]],"")</f>
        <v>541.75396893011089</v>
      </c>
      <c r="AA18" s="7"/>
      <c r="AB18" t="s">
        <v>11</v>
      </c>
      <c r="AC18" s="1">
        <v>705120</v>
      </c>
      <c r="AD18" s="3">
        <v>45778</v>
      </c>
      <c r="AE18" s="14">
        <f>500/20</f>
        <v>25</v>
      </c>
      <c r="AF18" s="7">
        <v>350</v>
      </c>
      <c r="AG18" s="7">
        <f>CT[[#This Row],[Sales Rate/MT (USD)]]*CT[[#This Row],[SC Qty (MT)]]</f>
        <v>8750</v>
      </c>
      <c r="AH18" s="7">
        <f>IF(CT[[#This Row],[Container Qty]]&lt;&gt;0,CT[[#This Row],[Sales Rate/MT (USD)]]*CT[[#This Row],[Container Qty]],"")</f>
        <v>8722</v>
      </c>
      <c r="AI18" s="7">
        <f>IF(CT[[#This Row],[Customer Final Price]]&lt;&gt;"",CT[[#This Row],[Customer Final Price]]-CT[[#This Row],[Customer  Prov. Price]],"")</f>
        <v>-28</v>
      </c>
      <c r="AJ18" t="s">
        <v>8</v>
      </c>
      <c r="AK18" s="1" t="s">
        <v>28</v>
      </c>
      <c r="AL18" s="1" t="s">
        <v>69</v>
      </c>
      <c r="AM18" s="23" t="s">
        <v>133</v>
      </c>
      <c r="AO18" s="7">
        <f>CT[[#This Row],[Customer Final Price]]/CT[[#This Row],[FX Rate]]</f>
        <v>6572.2251525883512</v>
      </c>
    </row>
    <row r="19" spans="1:41" x14ac:dyDescent="0.25">
      <c r="A19" t="s">
        <v>9</v>
      </c>
      <c r="B19" s="102" t="s">
        <v>12</v>
      </c>
      <c r="C19" s="81">
        <v>45778</v>
      </c>
      <c r="D19" s="1" t="s">
        <v>67</v>
      </c>
      <c r="E19" s="1" t="s">
        <v>49</v>
      </c>
      <c r="F19" s="11">
        <v>23.3</v>
      </c>
      <c r="G19" s="3">
        <v>45803</v>
      </c>
      <c r="H19" s="3">
        <v>45859</v>
      </c>
      <c r="I19" s="57" t="s">
        <v>65</v>
      </c>
      <c r="J19" s="1" t="s">
        <v>21</v>
      </c>
      <c r="K19" s="1" t="s">
        <v>14</v>
      </c>
      <c r="L19" s="1" t="s">
        <v>64</v>
      </c>
      <c r="M19" s="14">
        <f t="shared" si="5"/>
        <v>25</v>
      </c>
      <c r="N19" s="1">
        <v>92</v>
      </c>
      <c r="O19" s="7">
        <v>325</v>
      </c>
      <c r="P19" s="7">
        <f>CT[[#This Row],[Purchase Rate/MT (USD)]]*CT[[#This Row],[PC Qty (MT)]]</f>
        <v>8125</v>
      </c>
      <c r="Q19" s="7">
        <f>CT[[#This Row],[Purchase Rate/MT (USD)]]*CT[[#This Row],[Container Qty]]</f>
        <v>7572.5</v>
      </c>
      <c r="R19" s="32">
        <f>IF(CT[[#This Row],[BL Number]]&lt;&gt;0,(CT[[#This Row],[Supplier Prov. Price]]-CT[[#This Row],[Supplier Final Price]])*1.2,"")</f>
        <v>663</v>
      </c>
      <c r="S19" s="101">
        <v>1.3270999999999999</v>
      </c>
      <c r="T19" s="3">
        <v>45786</v>
      </c>
      <c r="U19" s="7">
        <v>0</v>
      </c>
      <c r="V19" s="7">
        <f>(275*S19)/($F$13+$F$14+$F$15+$F$17+$F$19)</f>
        <v>3.1139291808873719</v>
      </c>
      <c r="W19" s="24">
        <f t="shared" si="7"/>
        <v>0.23212526501766778</v>
      </c>
      <c r="X19" s="106">
        <f>IFERROR(CT[[#This Row],[Freight Charges]]+CT[[#This Row],[Inspection Cost/MT]]+CT[[#This Row],[DHL Charges PMT]],"")</f>
        <v>3.3460544459050396</v>
      </c>
      <c r="Y19" s="7">
        <f>IFERROR(AF19-(O19+CT[[#This Row],[Cost Per MT]]),"")</f>
        <v>21.653945554094946</v>
      </c>
      <c r="Z19" s="7">
        <f>IFERROR(CT[[#This Row],[Margin/MT]]*CT[[#This Row],[Container Qty]],"")</f>
        <v>504.53693141041225</v>
      </c>
      <c r="AA19" s="7"/>
      <c r="AB19" t="s">
        <v>11</v>
      </c>
      <c r="AC19" s="1">
        <v>705120</v>
      </c>
      <c r="AD19" s="3">
        <v>45778</v>
      </c>
      <c r="AE19" s="14">
        <f t="shared" si="8"/>
        <v>25</v>
      </c>
      <c r="AF19" s="7">
        <v>350</v>
      </c>
      <c r="AG19" s="7">
        <f>CT[[#This Row],[Sales Rate/MT (USD)]]*CT[[#This Row],[SC Qty (MT)]]</f>
        <v>8750</v>
      </c>
      <c r="AH19" s="7">
        <f>IF(CT[[#This Row],[Container Qty]]&lt;&gt;0,CT[[#This Row],[Sales Rate/MT (USD)]]*CT[[#This Row],[Container Qty]],"")</f>
        <v>8155</v>
      </c>
      <c r="AI19" s="7">
        <f>IF(CT[[#This Row],[Customer Final Price]]&lt;&gt;"",CT[[#This Row],[Customer Final Price]]-CT[[#This Row],[Customer  Prov. Price]],"")</f>
        <v>-595</v>
      </c>
      <c r="AJ19" t="s">
        <v>8</v>
      </c>
      <c r="AK19" s="1" t="s">
        <v>28</v>
      </c>
      <c r="AL19" s="1" t="s">
        <v>80</v>
      </c>
      <c r="AM19" s="23" t="s">
        <v>133</v>
      </c>
      <c r="AO19" s="7">
        <f>CT[[#This Row],[Customer Final Price]]/CT[[#This Row],[FX Rate]]</f>
        <v>6144.977771079798</v>
      </c>
    </row>
    <row r="20" spans="1:41" x14ac:dyDescent="0.25">
      <c r="A20" t="s">
        <v>9</v>
      </c>
      <c r="B20" s="102" t="s">
        <v>12</v>
      </c>
      <c r="C20" s="81">
        <v>45778</v>
      </c>
      <c r="D20" s="1" t="s">
        <v>67</v>
      </c>
      <c r="E20" s="1" t="s">
        <v>41</v>
      </c>
      <c r="F20" s="11">
        <v>24.46</v>
      </c>
      <c r="G20" s="3">
        <v>45803</v>
      </c>
      <c r="H20" s="3">
        <v>45859</v>
      </c>
      <c r="I20" s="57" t="s">
        <v>65</v>
      </c>
      <c r="J20" s="1" t="s">
        <v>21</v>
      </c>
      <c r="K20" s="1" t="s">
        <v>14</v>
      </c>
      <c r="L20" s="1" t="s">
        <v>64</v>
      </c>
      <c r="M20" s="14">
        <f t="shared" si="5"/>
        <v>25</v>
      </c>
      <c r="N20" s="1">
        <v>92</v>
      </c>
      <c r="O20" s="7">
        <v>325</v>
      </c>
      <c r="P20" s="7">
        <f>CT[[#This Row],[Purchase Rate/MT (USD)]]*CT[[#This Row],[PC Qty (MT)]]</f>
        <v>8125</v>
      </c>
      <c r="Q20" s="7">
        <f>CT[[#This Row],[Purchase Rate/MT (USD)]]*CT[[#This Row],[Container Qty]]</f>
        <v>7949.5</v>
      </c>
      <c r="R20" s="32">
        <f>IF(CT[[#This Row],[BL Number]]&lt;&gt;0,(CT[[#This Row],[Supplier Prov. Price]]-CT[[#This Row],[Supplier Final Price]])*1.2,"")</f>
        <v>210.6</v>
      </c>
      <c r="S20" s="101">
        <v>1.3270999999999999</v>
      </c>
      <c r="T20" s="3">
        <v>45785</v>
      </c>
      <c r="U20" s="7">
        <v>0</v>
      </c>
      <c r="V20" s="7">
        <f t="shared" ref="V20:V22" si="9">(275*S20)/($F$16+$F$18+$F$20+$F$21+$F$22)</f>
        <v>3.0281488549618318</v>
      </c>
      <c r="W20" s="24">
        <f t="shared" si="7"/>
        <v>0.23212526501766778</v>
      </c>
      <c r="X20" s="106">
        <f>IFERROR(CT[[#This Row],[Freight Charges]]+CT[[#This Row],[Inspection Cost/MT]]+CT[[#This Row],[DHL Charges PMT]],"")</f>
        <v>3.2602741199794996</v>
      </c>
      <c r="Y20" s="7">
        <f>IFERROR(AF20-(O20+CT[[#This Row],[Cost Per MT]]),"")</f>
        <v>21.739725880020501</v>
      </c>
      <c r="Z20" s="7">
        <f>IFERROR(CT[[#This Row],[Margin/MT]]*CT[[#This Row],[Container Qty]],"")</f>
        <v>531.75369502530145</v>
      </c>
      <c r="AA20" s="7"/>
      <c r="AB20" t="s">
        <v>11</v>
      </c>
      <c r="AC20" s="1">
        <v>705120</v>
      </c>
      <c r="AD20" s="3">
        <v>45778</v>
      </c>
      <c r="AE20" s="14">
        <f t="shared" si="8"/>
        <v>25</v>
      </c>
      <c r="AF20" s="7">
        <v>350</v>
      </c>
      <c r="AG20" s="7">
        <f>CT[[#This Row],[Sales Rate/MT (USD)]]*CT[[#This Row],[SC Qty (MT)]]</f>
        <v>8750</v>
      </c>
      <c r="AH20" s="7">
        <f>IF(CT[[#This Row],[Container Qty]]&lt;&gt;0,CT[[#This Row],[Sales Rate/MT (USD)]]*CT[[#This Row],[Container Qty]],"")</f>
        <v>8561</v>
      </c>
      <c r="AI20" s="7">
        <f>IF(CT[[#This Row],[Customer Final Price]]&lt;&gt;"",CT[[#This Row],[Customer Final Price]]-CT[[#This Row],[Customer  Prov. Price]],"")</f>
        <v>-189</v>
      </c>
      <c r="AJ20" t="s">
        <v>8</v>
      </c>
      <c r="AK20" s="1" t="s">
        <v>28</v>
      </c>
      <c r="AL20" s="1" t="s">
        <v>80</v>
      </c>
      <c r="AM20" s="23" t="s">
        <v>133</v>
      </c>
      <c r="AO20" s="7">
        <f>CT[[#This Row],[Customer Final Price]]/CT[[#This Row],[FX Rate]]</f>
        <v>6450.9079948760454</v>
      </c>
    </row>
    <row r="21" spans="1:41" x14ac:dyDescent="0.25">
      <c r="A21" t="s">
        <v>9</v>
      </c>
      <c r="B21" s="102" t="s">
        <v>12</v>
      </c>
      <c r="C21" s="81">
        <v>45778</v>
      </c>
      <c r="D21" s="1" t="s">
        <v>67</v>
      </c>
      <c r="E21" s="1" t="s">
        <v>44</v>
      </c>
      <c r="F21" s="11">
        <v>24.02</v>
      </c>
      <c r="G21" s="3">
        <v>45803</v>
      </c>
      <c r="H21" s="3">
        <v>45859</v>
      </c>
      <c r="I21" s="57" t="s">
        <v>65</v>
      </c>
      <c r="J21" s="1" t="s">
        <v>21</v>
      </c>
      <c r="K21" s="1" t="s">
        <v>14</v>
      </c>
      <c r="L21" s="1" t="s">
        <v>64</v>
      </c>
      <c r="M21" s="14">
        <f t="shared" si="5"/>
        <v>25</v>
      </c>
      <c r="N21" s="1">
        <v>92</v>
      </c>
      <c r="O21" s="7">
        <v>325</v>
      </c>
      <c r="P21" s="7">
        <f>CT[[#This Row],[Purchase Rate/MT (USD)]]*CT[[#This Row],[PC Qty (MT)]]</f>
        <v>8125</v>
      </c>
      <c r="Q21" s="7">
        <f>CT[[#This Row],[Purchase Rate/MT (USD)]]*CT[[#This Row],[Container Qty]]</f>
        <v>7806.5</v>
      </c>
      <c r="R21" s="32">
        <f>IF(CT[[#This Row],[BL Number]]&lt;&gt;0,(CT[[#This Row],[Supplier Prov. Price]]-CT[[#This Row],[Supplier Final Price]])*1.2,"")</f>
        <v>382.2</v>
      </c>
      <c r="S21" s="101">
        <v>1.3270999999999999</v>
      </c>
      <c r="T21" s="3">
        <v>45785</v>
      </c>
      <c r="U21" s="7">
        <v>0</v>
      </c>
      <c r="V21" s="7">
        <f t="shared" si="9"/>
        <v>3.0281488549618318</v>
      </c>
      <c r="W21" s="24">
        <f t="shared" si="7"/>
        <v>0.23212526501766778</v>
      </c>
      <c r="X21" s="106">
        <f>IFERROR(CT[[#This Row],[Freight Charges]]+CT[[#This Row],[Inspection Cost/MT]]+CT[[#This Row],[DHL Charges PMT]],"")</f>
        <v>3.2602741199794996</v>
      </c>
      <c r="Y21" s="7">
        <f>IFERROR(AF21-(O21+CT[[#This Row],[Cost Per MT]]),"")</f>
        <v>21.739725880020501</v>
      </c>
      <c r="Z21" s="7">
        <f>IFERROR(CT[[#This Row],[Margin/MT]]*CT[[#This Row],[Container Qty]],"")</f>
        <v>522.1882156380924</v>
      </c>
      <c r="AA21" s="7"/>
      <c r="AB21" t="s">
        <v>11</v>
      </c>
      <c r="AC21" s="1">
        <v>705120</v>
      </c>
      <c r="AD21" s="3">
        <v>45778</v>
      </c>
      <c r="AE21" s="14">
        <f t="shared" si="8"/>
        <v>25</v>
      </c>
      <c r="AF21" s="7">
        <v>350</v>
      </c>
      <c r="AG21" s="7">
        <f>CT[[#This Row],[Sales Rate/MT (USD)]]*CT[[#This Row],[SC Qty (MT)]]</f>
        <v>8750</v>
      </c>
      <c r="AH21" s="7">
        <f>IF(CT[[#This Row],[Container Qty]]&lt;&gt;0,CT[[#This Row],[Sales Rate/MT (USD)]]*CT[[#This Row],[Container Qty]],"")</f>
        <v>8407</v>
      </c>
      <c r="AI21" s="7">
        <f>IF(CT[[#This Row],[Customer Final Price]]&lt;&gt;"",CT[[#This Row],[Customer Final Price]]-CT[[#This Row],[Customer  Prov. Price]],"")</f>
        <v>-343</v>
      </c>
      <c r="AJ21" t="s">
        <v>8</v>
      </c>
      <c r="AK21" s="1" t="s">
        <v>28</v>
      </c>
      <c r="AL21" s="1" t="s">
        <v>80</v>
      </c>
      <c r="AM21" s="23" t="s">
        <v>133</v>
      </c>
      <c r="AO21" s="7">
        <f>CT[[#This Row],[Customer Final Price]]/CT[[#This Row],[FX Rate]]</f>
        <v>6334.8654961947104</v>
      </c>
    </row>
    <row r="22" spans="1:41" x14ac:dyDescent="0.25">
      <c r="A22" t="s">
        <v>9</v>
      </c>
      <c r="B22" s="102" t="s">
        <v>12</v>
      </c>
      <c r="C22" s="81">
        <v>45778</v>
      </c>
      <c r="D22" s="1" t="s">
        <v>67</v>
      </c>
      <c r="E22" s="1" t="s">
        <v>43</v>
      </c>
      <c r="F22" s="11">
        <v>22.98</v>
      </c>
      <c r="G22" s="3">
        <v>45803</v>
      </c>
      <c r="H22" s="3">
        <v>45859</v>
      </c>
      <c r="I22" s="57" t="s">
        <v>65</v>
      </c>
      <c r="J22" s="1" t="s">
        <v>21</v>
      </c>
      <c r="K22" s="1" t="s">
        <v>14</v>
      </c>
      <c r="L22" s="1" t="s">
        <v>64</v>
      </c>
      <c r="M22" s="14">
        <f t="shared" si="5"/>
        <v>25</v>
      </c>
      <c r="N22" s="1">
        <v>92</v>
      </c>
      <c r="O22" s="7">
        <v>325</v>
      </c>
      <c r="P22" s="7">
        <f>CT[[#This Row],[Purchase Rate/MT (USD)]]*CT[[#This Row],[PC Qty (MT)]]</f>
        <v>8125</v>
      </c>
      <c r="Q22" s="7">
        <f>CT[[#This Row],[Purchase Rate/MT (USD)]]*CT[[#This Row],[Container Qty]]</f>
        <v>7468.5</v>
      </c>
      <c r="R22" s="32">
        <f>IF(CT[[#This Row],[BL Number]]&lt;&gt;0,(CT[[#This Row],[Supplier Prov. Price]]-CT[[#This Row],[Supplier Final Price]])*1.2,"")</f>
        <v>787.8</v>
      </c>
      <c r="S22" s="101">
        <v>1.3270999999999999</v>
      </c>
      <c r="T22" s="3">
        <v>45785</v>
      </c>
      <c r="U22" s="7">
        <v>0</v>
      </c>
      <c r="V22" s="7">
        <f t="shared" si="9"/>
        <v>3.0281488549618318</v>
      </c>
      <c r="W22" s="24">
        <f t="shared" si="7"/>
        <v>0.23212526501766778</v>
      </c>
      <c r="X22" s="106">
        <f>IFERROR(CT[[#This Row],[Freight Charges]]+CT[[#This Row],[Inspection Cost/MT]]+CT[[#This Row],[DHL Charges PMT]],"")</f>
        <v>3.2602741199794996</v>
      </c>
      <c r="Y22" s="7">
        <f>IFERROR(AF22-(O22+CT[[#This Row],[Cost Per MT]]),"")</f>
        <v>21.739725880020501</v>
      </c>
      <c r="Z22" s="7">
        <f>IFERROR(CT[[#This Row],[Margin/MT]]*CT[[#This Row],[Container Qty]],"")</f>
        <v>499.57890072287114</v>
      </c>
      <c r="AA22" s="7"/>
      <c r="AB22" t="s">
        <v>11</v>
      </c>
      <c r="AC22" s="1">
        <v>705120</v>
      </c>
      <c r="AD22" s="3">
        <v>45778</v>
      </c>
      <c r="AE22" s="14">
        <f t="shared" si="8"/>
        <v>25</v>
      </c>
      <c r="AF22" s="7">
        <v>350</v>
      </c>
      <c r="AG22" s="7">
        <f>CT[[#This Row],[Sales Rate/MT (USD)]]*CT[[#This Row],[SC Qty (MT)]]</f>
        <v>8750</v>
      </c>
      <c r="AH22" s="7">
        <f>IF(CT[[#This Row],[Container Qty]]&lt;&gt;0,CT[[#This Row],[Sales Rate/MT (USD)]]*CT[[#This Row],[Container Qty]],"")</f>
        <v>8043</v>
      </c>
      <c r="AI22" s="7">
        <f>IF(CT[[#This Row],[Customer Final Price]]&lt;&gt;"",CT[[#This Row],[Customer Final Price]]-CT[[#This Row],[Customer  Prov. Price]],"")</f>
        <v>-707</v>
      </c>
      <c r="AJ22" t="s">
        <v>8</v>
      </c>
      <c r="AK22" s="1" t="s">
        <v>28</v>
      </c>
      <c r="AL22" s="1" t="s">
        <v>80</v>
      </c>
      <c r="AM22" s="23" t="s">
        <v>133</v>
      </c>
      <c r="AO22" s="7">
        <f>CT[[#This Row],[Customer Final Price]]/CT[[#This Row],[FX Rate]]</f>
        <v>6060.5832265842819</v>
      </c>
    </row>
    <row r="23" spans="1:41" x14ac:dyDescent="0.25">
      <c r="A23" t="s">
        <v>9</v>
      </c>
      <c r="B23" s="102" t="s">
        <v>12</v>
      </c>
      <c r="C23" s="81">
        <v>45778</v>
      </c>
      <c r="D23" s="1" t="s">
        <v>67</v>
      </c>
      <c r="E23" s="1" t="s">
        <v>70</v>
      </c>
      <c r="F23" s="11">
        <v>23.74</v>
      </c>
      <c r="G23" s="3">
        <v>45808</v>
      </c>
      <c r="H23" s="3">
        <v>45847</v>
      </c>
      <c r="I23" s="58">
        <v>254297937</v>
      </c>
      <c r="J23" s="1" t="s">
        <v>21</v>
      </c>
      <c r="K23" s="1" t="s">
        <v>14</v>
      </c>
      <c r="L23" s="1" t="s">
        <v>23</v>
      </c>
      <c r="M23" s="14">
        <f t="shared" si="5"/>
        <v>25</v>
      </c>
      <c r="N23" s="1">
        <v>92</v>
      </c>
      <c r="O23" s="7">
        <v>325</v>
      </c>
      <c r="P23" s="7">
        <f>CT[[#This Row],[Purchase Rate/MT (USD)]]*CT[[#This Row],[PC Qty (MT)]]</f>
        <v>8125</v>
      </c>
      <c r="Q23" s="7">
        <f>CT[[#This Row],[Purchase Rate/MT (USD)]]*CT[[#This Row],[Container Qty]]</f>
        <v>7715.4999999999991</v>
      </c>
      <c r="R23" s="32">
        <f>IF(CT[[#This Row],[BL Number]]&lt;&gt;0,(CT[[#This Row],[Supplier Prov. Price]]-CT[[#This Row],[Supplier Final Price]])*1.2,"")</f>
        <v>491.40000000000106</v>
      </c>
      <c r="S23" s="101">
        <v>1.3270999999999999</v>
      </c>
      <c r="T23" s="3">
        <v>45804</v>
      </c>
      <c r="U23" s="7">
        <v>0</v>
      </c>
      <c r="V23" s="7">
        <f t="shared" ref="V23:V26" si="10">(275*S23)/SUM($F$23:$F$26)</f>
        <v>3.7612336390806971</v>
      </c>
      <c r="W23" s="24">
        <f t="shared" ref="W23:W32" si="11">41.51/SUM($F$23:$F$32)*S23</f>
        <v>0.22668993457059383</v>
      </c>
      <c r="X23" s="106">
        <f>IFERROR(CT[[#This Row],[Freight Charges]]+CT[[#This Row],[Inspection Cost/MT]]+CT[[#This Row],[DHL Charges PMT]],"")</f>
        <v>3.9879235736512908</v>
      </c>
      <c r="Y23" s="7">
        <f>IFERROR(AF23-(O23+CT[[#This Row],[Cost Per MT]]),"")</f>
        <v>21.012076426348699</v>
      </c>
      <c r="Z23" s="7">
        <f>IFERROR(CT[[#This Row],[Margin/MT]]*CT[[#This Row],[Container Qty]],"")</f>
        <v>498.82669436151809</v>
      </c>
      <c r="AA23" s="7"/>
      <c r="AB23" t="s">
        <v>11</v>
      </c>
      <c r="AC23" s="1">
        <v>705120</v>
      </c>
      <c r="AD23" s="3">
        <v>45778</v>
      </c>
      <c r="AE23" s="14">
        <f t="shared" si="8"/>
        <v>25</v>
      </c>
      <c r="AF23" s="7">
        <v>350</v>
      </c>
      <c r="AG23" s="7">
        <f>CT[[#This Row],[Sales Rate/MT (USD)]]*CT[[#This Row],[SC Qty (MT)]]</f>
        <v>8750</v>
      </c>
      <c r="AH23" s="7">
        <f>IF(CT[[#This Row],[Container Qty]]&lt;&gt;0,CT[[#This Row],[Sales Rate/MT (USD)]]*CT[[#This Row],[Container Qty]],"")</f>
        <v>8309</v>
      </c>
      <c r="AI23" s="7">
        <f>IF(CT[[#This Row],[Customer Final Price]]&lt;&gt;"",CT[[#This Row],[Customer Final Price]]-CT[[#This Row],[Customer  Prov. Price]],"")</f>
        <v>-441</v>
      </c>
      <c r="AJ23" t="s">
        <v>8</v>
      </c>
      <c r="AK23" s="1" t="s">
        <v>28</v>
      </c>
      <c r="AL23" s="1" t="s">
        <v>115</v>
      </c>
      <c r="AM23" s="23" t="s">
        <v>133</v>
      </c>
      <c r="AO23" s="7">
        <f>CT[[#This Row],[Customer Final Price]]/CT[[#This Row],[FX Rate]]</f>
        <v>6261.0202697611339</v>
      </c>
    </row>
    <row r="24" spans="1:41" x14ac:dyDescent="0.25">
      <c r="A24" t="s">
        <v>9</v>
      </c>
      <c r="B24" s="102" t="s">
        <v>12</v>
      </c>
      <c r="C24" s="81">
        <v>45778</v>
      </c>
      <c r="D24" s="1" t="s">
        <v>67</v>
      </c>
      <c r="E24" s="1" t="s">
        <v>71</v>
      </c>
      <c r="F24" s="11">
        <v>24.37</v>
      </c>
      <c r="G24" s="3">
        <v>45808</v>
      </c>
      <c r="H24" s="3">
        <v>45847</v>
      </c>
      <c r="I24" s="58">
        <v>254297937</v>
      </c>
      <c r="J24" s="1" t="s">
        <v>21</v>
      </c>
      <c r="K24" s="1" t="s">
        <v>14</v>
      </c>
      <c r="L24" s="1" t="s">
        <v>23</v>
      </c>
      <c r="M24" s="14">
        <f t="shared" si="5"/>
        <v>25</v>
      </c>
      <c r="N24" s="1">
        <v>92</v>
      </c>
      <c r="O24" s="7">
        <v>325</v>
      </c>
      <c r="P24" s="7">
        <f>CT[[#This Row],[Purchase Rate/MT (USD)]]*CT[[#This Row],[PC Qty (MT)]]</f>
        <v>8125</v>
      </c>
      <c r="Q24" s="7">
        <f>CT[[#This Row],[Purchase Rate/MT (USD)]]*CT[[#This Row],[Container Qty]]</f>
        <v>7920.25</v>
      </c>
      <c r="R24" s="32">
        <f>IF(CT[[#This Row],[BL Number]]&lt;&gt;0,(CT[[#This Row],[Supplier Prov. Price]]-CT[[#This Row],[Supplier Final Price]])*1.2,"")</f>
        <v>245.7</v>
      </c>
      <c r="S24" s="101">
        <v>1.3270999999999999</v>
      </c>
      <c r="T24" s="3">
        <v>45804</v>
      </c>
      <c r="U24" s="7">
        <v>0</v>
      </c>
      <c r="V24" s="7">
        <f t="shared" si="10"/>
        <v>3.7612336390806971</v>
      </c>
      <c r="W24" s="24">
        <f t="shared" si="11"/>
        <v>0.22668993457059383</v>
      </c>
      <c r="X24" s="106">
        <f>IFERROR(CT[[#This Row],[Freight Charges]]+CT[[#This Row],[Inspection Cost/MT]]+CT[[#This Row],[DHL Charges PMT]],"")</f>
        <v>3.9879235736512908</v>
      </c>
      <c r="Y24" s="7">
        <f>IFERROR(AF24-(O24+CT[[#This Row],[Cost Per MT]]),"")</f>
        <v>21.012076426348699</v>
      </c>
      <c r="Z24" s="7">
        <f>IFERROR(CT[[#This Row],[Margin/MT]]*CT[[#This Row],[Container Qty]],"")</f>
        <v>512.06430251011784</v>
      </c>
      <c r="AA24" s="7"/>
      <c r="AB24" t="s">
        <v>11</v>
      </c>
      <c r="AC24" s="1">
        <v>705120</v>
      </c>
      <c r="AD24" s="3">
        <v>45778</v>
      </c>
      <c r="AE24" s="14">
        <f t="shared" si="8"/>
        <v>25</v>
      </c>
      <c r="AF24" s="7">
        <v>350</v>
      </c>
      <c r="AG24" s="7">
        <f>CT[[#This Row],[Sales Rate/MT (USD)]]*CT[[#This Row],[SC Qty (MT)]]</f>
        <v>8750</v>
      </c>
      <c r="AH24" s="7">
        <f>IF(CT[[#This Row],[Container Qty]]&lt;&gt;0,CT[[#This Row],[Sales Rate/MT (USD)]]*CT[[#This Row],[Container Qty]],"")</f>
        <v>8529.5</v>
      </c>
      <c r="AI24" s="7">
        <f>IF(CT[[#This Row],[Customer Final Price]]&lt;&gt;"",CT[[#This Row],[Customer Final Price]]-CT[[#This Row],[Customer  Prov. Price]],"")</f>
        <v>-220.5</v>
      </c>
      <c r="AJ24" t="s">
        <v>8</v>
      </c>
      <c r="AK24" s="1" t="s">
        <v>28</v>
      </c>
      <c r="AL24" s="1" t="s">
        <v>115</v>
      </c>
      <c r="AM24" s="23" t="s">
        <v>133</v>
      </c>
      <c r="AO24" s="7">
        <f>CT[[#This Row],[Customer Final Price]]/CT[[#This Row],[FX Rate]]</f>
        <v>6427.1720292366817</v>
      </c>
    </row>
    <row r="25" spans="1:41" x14ac:dyDescent="0.25">
      <c r="A25" t="s">
        <v>9</v>
      </c>
      <c r="B25" s="102" t="s">
        <v>12</v>
      </c>
      <c r="C25" s="81">
        <v>45778</v>
      </c>
      <c r="D25" s="1" t="s">
        <v>67</v>
      </c>
      <c r="E25" s="1" t="s">
        <v>72</v>
      </c>
      <c r="F25" s="11">
        <v>24.4</v>
      </c>
      <c r="G25" s="3">
        <v>45808</v>
      </c>
      <c r="H25" s="3">
        <v>45847</v>
      </c>
      <c r="I25" s="58">
        <v>254297937</v>
      </c>
      <c r="J25" s="1" t="s">
        <v>21</v>
      </c>
      <c r="K25" s="1" t="s">
        <v>14</v>
      </c>
      <c r="L25" s="1" t="s">
        <v>23</v>
      </c>
      <c r="M25" s="14">
        <f t="shared" si="5"/>
        <v>25</v>
      </c>
      <c r="N25" s="1">
        <v>92</v>
      </c>
      <c r="O25" s="7">
        <v>325</v>
      </c>
      <c r="P25" s="7">
        <f>CT[[#This Row],[Purchase Rate/MT (USD)]]*CT[[#This Row],[PC Qty (MT)]]</f>
        <v>8125</v>
      </c>
      <c r="Q25" s="7">
        <f>CT[[#This Row],[Purchase Rate/MT (USD)]]*CT[[#This Row],[Container Qty]]</f>
        <v>7929.9999999999991</v>
      </c>
      <c r="R25" s="32">
        <f>IF(CT[[#This Row],[BL Number]]&lt;&gt;0,(CT[[#This Row],[Supplier Prov. Price]]-CT[[#This Row],[Supplier Final Price]])*1.2,"")</f>
        <v>234.00000000000108</v>
      </c>
      <c r="S25" s="101">
        <v>1.3270999999999999</v>
      </c>
      <c r="T25" s="3">
        <v>45804</v>
      </c>
      <c r="U25" s="7">
        <v>0</v>
      </c>
      <c r="V25" s="7">
        <f t="shared" si="10"/>
        <v>3.7612336390806971</v>
      </c>
      <c r="W25" s="24">
        <f t="shared" si="11"/>
        <v>0.22668993457059383</v>
      </c>
      <c r="X25" s="106">
        <f>IFERROR(CT[[#This Row],[Freight Charges]]+CT[[#This Row],[Inspection Cost/MT]]+CT[[#This Row],[DHL Charges PMT]],"")</f>
        <v>3.9879235736512908</v>
      </c>
      <c r="Y25" s="7">
        <f>IFERROR(AF25-(O25+CT[[#This Row],[Cost Per MT]]),"")</f>
        <v>21.012076426348699</v>
      </c>
      <c r="Z25" s="7">
        <f>IFERROR(CT[[#This Row],[Margin/MT]]*CT[[#This Row],[Container Qty]],"")</f>
        <v>512.69466480290828</v>
      </c>
      <c r="AA25" s="7"/>
      <c r="AB25" t="s">
        <v>11</v>
      </c>
      <c r="AC25" s="1">
        <v>705120</v>
      </c>
      <c r="AD25" s="3">
        <v>45778</v>
      </c>
      <c r="AE25" s="14">
        <f t="shared" si="8"/>
        <v>25</v>
      </c>
      <c r="AF25" s="7">
        <v>350</v>
      </c>
      <c r="AG25" s="7">
        <f>CT[[#This Row],[Sales Rate/MT (USD)]]*CT[[#This Row],[SC Qty (MT)]]</f>
        <v>8750</v>
      </c>
      <c r="AH25" s="7">
        <f>IF(CT[[#This Row],[Container Qty]]&lt;&gt;0,CT[[#This Row],[Sales Rate/MT (USD)]]*CT[[#This Row],[Container Qty]],"")</f>
        <v>8540</v>
      </c>
      <c r="AI25" s="7">
        <f>IF(CT[[#This Row],[Customer Final Price]]&lt;&gt;"",CT[[#This Row],[Customer Final Price]]-CT[[#This Row],[Customer  Prov. Price]],"")</f>
        <v>-210</v>
      </c>
      <c r="AJ25" t="s">
        <v>8</v>
      </c>
      <c r="AK25" s="1" t="s">
        <v>28</v>
      </c>
      <c r="AL25" s="1" t="s">
        <v>115</v>
      </c>
      <c r="AM25" s="23" t="s">
        <v>133</v>
      </c>
      <c r="AO25" s="7">
        <f>CT[[#This Row],[Customer Final Price]]/CT[[#This Row],[FX Rate]]</f>
        <v>6435.084017783136</v>
      </c>
    </row>
    <row r="26" spans="1:41" x14ac:dyDescent="0.25">
      <c r="A26" t="s">
        <v>9</v>
      </c>
      <c r="B26" s="102" t="s">
        <v>12</v>
      </c>
      <c r="C26" s="81">
        <v>45778</v>
      </c>
      <c r="D26" s="1" t="s">
        <v>67</v>
      </c>
      <c r="E26" s="1" t="s">
        <v>73</v>
      </c>
      <c r="F26" s="11">
        <v>24.52</v>
      </c>
      <c r="G26" s="3">
        <v>45808</v>
      </c>
      <c r="H26" s="3">
        <v>45847</v>
      </c>
      <c r="I26" s="58">
        <v>254297937</v>
      </c>
      <c r="J26" s="1" t="s">
        <v>21</v>
      </c>
      <c r="K26" s="1" t="s">
        <v>14</v>
      </c>
      <c r="L26" s="1" t="s">
        <v>23</v>
      </c>
      <c r="M26" s="14">
        <f t="shared" si="5"/>
        <v>25</v>
      </c>
      <c r="N26" s="1">
        <v>92</v>
      </c>
      <c r="O26" s="7">
        <v>325</v>
      </c>
      <c r="P26" s="7">
        <f>CT[[#This Row],[Purchase Rate/MT (USD)]]*CT[[#This Row],[PC Qty (MT)]]</f>
        <v>8125</v>
      </c>
      <c r="Q26" s="7">
        <f>CT[[#This Row],[Purchase Rate/MT (USD)]]*CT[[#This Row],[Container Qty]]</f>
        <v>7969</v>
      </c>
      <c r="R26" s="32">
        <f>IF(CT[[#This Row],[BL Number]]&lt;&gt;0,(CT[[#This Row],[Supplier Prov. Price]]-CT[[#This Row],[Supplier Final Price]])*1.2,"")</f>
        <v>187.2</v>
      </c>
      <c r="S26" s="101">
        <v>1.3270999999999999</v>
      </c>
      <c r="T26" s="3">
        <v>45804</v>
      </c>
      <c r="U26" s="7">
        <v>0</v>
      </c>
      <c r="V26" s="7">
        <f t="shared" si="10"/>
        <v>3.7612336390806971</v>
      </c>
      <c r="W26" s="24">
        <f t="shared" si="11"/>
        <v>0.22668993457059383</v>
      </c>
      <c r="X26" s="106">
        <f>IFERROR(CT[[#This Row],[Freight Charges]]+CT[[#This Row],[Inspection Cost/MT]]+CT[[#This Row],[DHL Charges PMT]],"")</f>
        <v>3.9879235736512908</v>
      </c>
      <c r="Y26" s="7">
        <f>IFERROR(AF26-(O26+CT[[#This Row],[Cost Per MT]]),"")</f>
        <v>21.012076426348699</v>
      </c>
      <c r="Z26" s="7">
        <f>IFERROR(CT[[#This Row],[Margin/MT]]*CT[[#This Row],[Container Qty]],"")</f>
        <v>515.21611397407014</v>
      </c>
      <c r="AA26" s="7"/>
      <c r="AB26" t="s">
        <v>11</v>
      </c>
      <c r="AC26" s="1">
        <v>705120</v>
      </c>
      <c r="AD26" s="3">
        <v>45778</v>
      </c>
      <c r="AE26" s="14">
        <f t="shared" si="8"/>
        <v>25</v>
      </c>
      <c r="AF26" s="7">
        <v>350</v>
      </c>
      <c r="AG26" s="7">
        <f>CT[[#This Row],[Sales Rate/MT (USD)]]*CT[[#This Row],[SC Qty (MT)]]</f>
        <v>8750</v>
      </c>
      <c r="AH26" s="7">
        <f>IF(CT[[#This Row],[Container Qty]]&lt;&gt;0,CT[[#This Row],[Sales Rate/MT (USD)]]*CT[[#This Row],[Container Qty]],"")</f>
        <v>8582</v>
      </c>
      <c r="AI26" s="7">
        <f>IF(CT[[#This Row],[Customer Final Price]]&lt;&gt;"",CT[[#This Row],[Customer Final Price]]-CT[[#This Row],[Customer  Prov. Price]],"")</f>
        <v>-168</v>
      </c>
      <c r="AJ26" t="s">
        <v>8</v>
      </c>
      <c r="AK26" s="1" t="s">
        <v>28</v>
      </c>
      <c r="AL26" s="1" t="s">
        <v>115</v>
      </c>
      <c r="AM26" s="23" t="s">
        <v>133</v>
      </c>
      <c r="AO26" s="7">
        <f>CT[[#This Row],[Customer Final Price]]/CT[[#This Row],[FX Rate]]</f>
        <v>6466.7319719689549</v>
      </c>
    </row>
    <row r="27" spans="1:41" x14ac:dyDescent="0.25">
      <c r="A27" t="s">
        <v>9</v>
      </c>
      <c r="B27" s="102" t="s">
        <v>12</v>
      </c>
      <c r="C27" s="81">
        <v>45778</v>
      </c>
      <c r="D27" s="1" t="s">
        <v>67</v>
      </c>
      <c r="E27" s="1" t="s">
        <v>74</v>
      </c>
      <c r="F27" s="11">
        <v>22.27</v>
      </c>
      <c r="G27" s="3">
        <v>45808</v>
      </c>
      <c r="H27" s="3">
        <v>45847</v>
      </c>
      <c r="I27" s="58">
        <v>254297937</v>
      </c>
      <c r="J27" s="1" t="s">
        <v>21</v>
      </c>
      <c r="K27" s="1" t="s">
        <v>14</v>
      </c>
      <c r="L27" s="1" t="s">
        <v>23</v>
      </c>
      <c r="M27" s="14">
        <f t="shared" si="5"/>
        <v>25</v>
      </c>
      <c r="N27" s="1">
        <v>92</v>
      </c>
      <c r="O27" s="7">
        <v>325</v>
      </c>
      <c r="P27" s="7">
        <f>CT[[#This Row],[Purchase Rate/MT (USD)]]*CT[[#This Row],[PC Qty (MT)]]</f>
        <v>8125</v>
      </c>
      <c r="Q27" s="7">
        <f>CT[[#This Row],[Purchase Rate/MT (USD)]]*CT[[#This Row],[Container Qty]]</f>
        <v>7237.75</v>
      </c>
      <c r="R27" s="32">
        <f>IF(CT[[#This Row],[BL Number]]&lt;&gt;0,(CT[[#This Row],[Supplier Prov. Price]]-CT[[#This Row],[Supplier Final Price]])*1.2,"")</f>
        <v>1064.7</v>
      </c>
      <c r="S27" s="101">
        <v>1.3270999999999999</v>
      </c>
      <c r="T27" s="3">
        <v>45805</v>
      </c>
      <c r="U27" s="7">
        <v>0</v>
      </c>
      <c r="V27" s="7">
        <f t="shared" ref="V27:V28" si="12">(275*S27)/SUM($F$27:$F$28)</f>
        <v>8.086693995125195</v>
      </c>
      <c r="W27" s="24">
        <f t="shared" si="11"/>
        <v>0.22668993457059383</v>
      </c>
      <c r="X27" s="106">
        <f>IFERROR(CT[[#This Row],[Freight Charges]]+CT[[#This Row],[Inspection Cost/MT]]+CT[[#This Row],[DHL Charges PMT]],"")</f>
        <v>8.3133839296957888</v>
      </c>
      <c r="Y27" s="7">
        <f>IFERROR(AF27-(O27+CT[[#This Row],[Cost Per MT]]),"")</f>
        <v>16.68661607030424</v>
      </c>
      <c r="Z27" s="7">
        <f>IFERROR(CT[[#This Row],[Margin/MT]]*CT[[#This Row],[Container Qty]],"")</f>
        <v>371.61093988567541</v>
      </c>
      <c r="AA27" s="7"/>
      <c r="AB27" t="s">
        <v>11</v>
      </c>
      <c r="AC27" s="1">
        <v>705120</v>
      </c>
      <c r="AD27" s="3">
        <v>45778</v>
      </c>
      <c r="AE27" s="14">
        <f t="shared" si="8"/>
        <v>25</v>
      </c>
      <c r="AF27" s="7">
        <v>350</v>
      </c>
      <c r="AG27" s="7">
        <f>CT[[#This Row],[Sales Rate/MT (USD)]]*CT[[#This Row],[SC Qty (MT)]]</f>
        <v>8750</v>
      </c>
      <c r="AH27" s="7">
        <f>IF(CT[[#This Row],[Container Qty]]&lt;&gt;0,CT[[#This Row],[Sales Rate/MT (USD)]]*CT[[#This Row],[Container Qty]],"")</f>
        <v>7794.5</v>
      </c>
      <c r="AI27" s="7">
        <f>IF(CT[[#This Row],[Customer Final Price]]&lt;&gt;"",CT[[#This Row],[Customer Final Price]]-CT[[#This Row],[Customer  Prov. Price]],"")</f>
        <v>-955.5</v>
      </c>
      <c r="AJ27" t="s">
        <v>8</v>
      </c>
      <c r="AK27" s="1" t="s">
        <v>28</v>
      </c>
      <c r="AL27" s="1" t="s">
        <v>115</v>
      </c>
      <c r="AM27" s="23" t="s">
        <v>133</v>
      </c>
      <c r="AO27" s="7">
        <f>CT[[#This Row],[Customer Final Price]]/CT[[#This Row],[FX Rate]]</f>
        <v>5873.3328309848548</v>
      </c>
    </row>
    <row r="28" spans="1:41" x14ac:dyDescent="0.25">
      <c r="A28" t="s">
        <v>9</v>
      </c>
      <c r="B28" s="102" t="s">
        <v>12</v>
      </c>
      <c r="C28" s="81">
        <v>45778</v>
      </c>
      <c r="D28" s="1" t="s">
        <v>67</v>
      </c>
      <c r="E28" s="1" t="s">
        <v>79</v>
      </c>
      <c r="F28" s="11">
        <v>22.86</v>
      </c>
      <c r="G28" s="3">
        <v>45808</v>
      </c>
      <c r="H28" s="3">
        <v>45847</v>
      </c>
      <c r="I28" s="58">
        <v>254297937</v>
      </c>
      <c r="J28" s="1" t="s">
        <v>21</v>
      </c>
      <c r="K28" s="1" t="s">
        <v>14</v>
      </c>
      <c r="L28" s="1" t="s">
        <v>23</v>
      </c>
      <c r="M28" s="14">
        <f t="shared" si="5"/>
        <v>25</v>
      </c>
      <c r="N28" s="1">
        <v>92</v>
      </c>
      <c r="O28" s="7">
        <v>325</v>
      </c>
      <c r="P28" s="7">
        <f>CT[[#This Row],[Purchase Rate/MT (USD)]]*CT[[#This Row],[PC Qty (MT)]]</f>
        <v>8125</v>
      </c>
      <c r="Q28" s="7">
        <f>CT[[#This Row],[Purchase Rate/MT (USD)]]*CT[[#This Row],[Container Qty]]</f>
        <v>7429.5</v>
      </c>
      <c r="R28" s="32">
        <f>IF(CT[[#This Row],[BL Number]]&lt;&gt;0,(CT[[#This Row],[Supplier Prov. Price]]-CT[[#This Row],[Supplier Final Price]])*1.2,"")</f>
        <v>834.6</v>
      </c>
      <c r="S28" s="101">
        <v>1.3270999999999999</v>
      </c>
      <c r="T28" s="3">
        <v>45805</v>
      </c>
      <c r="U28" s="7">
        <v>0</v>
      </c>
      <c r="V28" s="7">
        <f t="shared" si="12"/>
        <v>8.086693995125195</v>
      </c>
      <c r="W28" s="24">
        <f t="shared" si="11"/>
        <v>0.22668993457059383</v>
      </c>
      <c r="X28" s="106">
        <f>IFERROR(CT[[#This Row],[Freight Charges]]+CT[[#This Row],[Inspection Cost/MT]]+CT[[#This Row],[DHL Charges PMT]],"")</f>
        <v>8.3133839296957888</v>
      </c>
      <c r="Y28" s="7">
        <f>IFERROR(AF28-(O28+CT[[#This Row],[Cost Per MT]]),"")</f>
        <v>16.68661607030424</v>
      </c>
      <c r="Z28" s="7">
        <f>IFERROR(CT[[#This Row],[Margin/MT]]*CT[[#This Row],[Container Qty]],"")</f>
        <v>381.4560433671549</v>
      </c>
      <c r="AA28" s="7"/>
      <c r="AB28" t="s">
        <v>11</v>
      </c>
      <c r="AC28" s="1">
        <v>705120</v>
      </c>
      <c r="AD28" s="3">
        <v>45778</v>
      </c>
      <c r="AE28" s="14">
        <f t="shared" si="8"/>
        <v>25</v>
      </c>
      <c r="AF28" s="7">
        <v>350</v>
      </c>
      <c r="AG28" s="7">
        <f>CT[[#This Row],[Sales Rate/MT (USD)]]*CT[[#This Row],[SC Qty (MT)]]</f>
        <v>8750</v>
      </c>
      <c r="AH28" s="7">
        <f>IF(CT[[#This Row],[Container Qty]]&lt;&gt;0,CT[[#This Row],[Sales Rate/MT (USD)]]*CT[[#This Row],[Container Qty]],"")</f>
        <v>8001</v>
      </c>
      <c r="AI28" s="7">
        <f>IF(CT[[#This Row],[Customer Final Price]]&lt;&gt;"",CT[[#This Row],[Customer Final Price]]-CT[[#This Row],[Customer  Prov. Price]],"")</f>
        <v>-749</v>
      </c>
      <c r="AJ28" t="s">
        <v>8</v>
      </c>
      <c r="AK28" s="1" t="s">
        <v>28</v>
      </c>
      <c r="AL28" s="1" t="s">
        <v>115</v>
      </c>
      <c r="AM28" s="23" t="s">
        <v>133</v>
      </c>
      <c r="AO28" s="7">
        <f>CT[[#This Row],[Customer Final Price]]/CT[[#This Row],[FX Rate]]</f>
        <v>6028.935272398463</v>
      </c>
    </row>
    <row r="29" spans="1:41" x14ac:dyDescent="0.25">
      <c r="A29" t="s">
        <v>9</v>
      </c>
      <c r="B29" s="102" t="s">
        <v>12</v>
      </c>
      <c r="C29" s="81">
        <v>45778</v>
      </c>
      <c r="D29" s="1" t="s">
        <v>67</v>
      </c>
      <c r="E29" s="1" t="s">
        <v>75</v>
      </c>
      <c r="F29" s="11">
        <v>26.06</v>
      </c>
      <c r="G29" s="3">
        <v>45808</v>
      </c>
      <c r="H29" s="3">
        <v>45847</v>
      </c>
      <c r="I29" s="58">
        <v>254297937</v>
      </c>
      <c r="J29" s="1" t="s">
        <v>21</v>
      </c>
      <c r="K29" s="1" t="s">
        <v>14</v>
      </c>
      <c r="L29" s="1" t="s">
        <v>23</v>
      </c>
      <c r="M29" s="14">
        <f t="shared" si="5"/>
        <v>25</v>
      </c>
      <c r="N29" s="1">
        <v>92</v>
      </c>
      <c r="O29" s="7">
        <v>325</v>
      </c>
      <c r="P29" s="7">
        <f>CT[[#This Row],[Purchase Rate/MT (USD)]]*CT[[#This Row],[PC Qty (MT)]]</f>
        <v>8125</v>
      </c>
      <c r="Q29" s="7">
        <f>CT[[#This Row],[Purchase Rate/MT (USD)]]*CT[[#This Row],[Container Qty]]</f>
        <v>8469.5</v>
      </c>
      <c r="R29" s="32">
        <f>IF(CT[[#This Row],[BL Number]]&lt;&gt;0,(CT[[#This Row],[Supplier Prov. Price]]-CT[[#This Row],[Supplier Final Price]])*1.2,"")</f>
        <v>-413.4</v>
      </c>
      <c r="S29" s="101">
        <v>1.3270999999999999</v>
      </c>
      <c r="T29" s="3">
        <v>45806</v>
      </c>
      <c r="U29" s="7">
        <v>0</v>
      </c>
      <c r="V29" s="7">
        <f t="shared" ref="V29:V32" si="13">(275*S29)/SUM($F$29:$F$32)</f>
        <v>3.6187654933068916</v>
      </c>
      <c r="W29" s="24">
        <f t="shared" si="11"/>
        <v>0.22668993457059383</v>
      </c>
      <c r="X29" s="106">
        <f>IFERROR(CT[[#This Row],[Freight Charges]]+CT[[#This Row],[Inspection Cost/MT]]+CT[[#This Row],[DHL Charges PMT]],"")</f>
        <v>3.8454554278774853</v>
      </c>
      <c r="Y29" s="7">
        <f>IFERROR(AF29-(O29+CT[[#This Row],[Cost Per MT]]),"")</f>
        <v>21.154544572122518</v>
      </c>
      <c r="Z29" s="7">
        <f>IFERROR(CT[[#This Row],[Margin/MT]]*CT[[#This Row],[Container Qty]],"")</f>
        <v>551.2874315495128</v>
      </c>
      <c r="AA29" s="7"/>
      <c r="AB29" t="s">
        <v>11</v>
      </c>
      <c r="AC29" s="1">
        <v>705120</v>
      </c>
      <c r="AD29" s="3">
        <v>45778</v>
      </c>
      <c r="AE29" s="14">
        <f t="shared" si="8"/>
        <v>25</v>
      </c>
      <c r="AF29" s="7">
        <v>350</v>
      </c>
      <c r="AG29" s="7">
        <f>CT[[#This Row],[Sales Rate/MT (USD)]]*CT[[#This Row],[SC Qty (MT)]]</f>
        <v>8750</v>
      </c>
      <c r="AH29" s="7">
        <f>IF(CT[[#This Row],[Container Qty]]&lt;&gt;0,CT[[#This Row],[Sales Rate/MT (USD)]]*CT[[#This Row],[Container Qty]],"")</f>
        <v>9121</v>
      </c>
      <c r="AI29" s="7">
        <f>IF(CT[[#This Row],[Customer Final Price]]&lt;&gt;"",CT[[#This Row],[Customer Final Price]]-CT[[#This Row],[Customer  Prov. Price]],"")</f>
        <v>371</v>
      </c>
      <c r="AJ29" t="s">
        <v>8</v>
      </c>
      <c r="AK29" s="1" t="s">
        <v>28</v>
      </c>
      <c r="AL29" s="1" t="s">
        <v>115</v>
      </c>
      <c r="AM29" s="23" t="s">
        <v>133</v>
      </c>
      <c r="AO29" s="7">
        <f>CT[[#This Row],[Customer Final Price]]/CT[[#This Row],[FX Rate]]</f>
        <v>6872.8807173536288</v>
      </c>
    </row>
    <row r="30" spans="1:41" x14ac:dyDescent="0.25">
      <c r="A30" t="s">
        <v>9</v>
      </c>
      <c r="B30" s="102" t="s">
        <v>12</v>
      </c>
      <c r="C30" s="81">
        <v>45778</v>
      </c>
      <c r="D30" s="1" t="s">
        <v>67</v>
      </c>
      <c r="E30" s="1" t="s">
        <v>76</v>
      </c>
      <c r="F30" s="11">
        <v>25.66</v>
      </c>
      <c r="G30" s="3">
        <v>45808</v>
      </c>
      <c r="H30" s="3">
        <v>45847</v>
      </c>
      <c r="I30" s="58">
        <v>254297937</v>
      </c>
      <c r="J30" s="1" t="s">
        <v>21</v>
      </c>
      <c r="K30" s="1" t="s">
        <v>14</v>
      </c>
      <c r="L30" s="1" t="s">
        <v>23</v>
      </c>
      <c r="M30" s="14">
        <f t="shared" si="5"/>
        <v>25</v>
      </c>
      <c r="N30" s="1">
        <v>92</v>
      </c>
      <c r="O30" s="7">
        <v>325</v>
      </c>
      <c r="P30" s="7">
        <f>CT[[#This Row],[Purchase Rate/MT (USD)]]*CT[[#This Row],[PC Qty (MT)]]</f>
        <v>8125</v>
      </c>
      <c r="Q30" s="7">
        <f>CT[[#This Row],[Purchase Rate/MT (USD)]]*CT[[#This Row],[Container Qty]]</f>
        <v>8339.5</v>
      </c>
      <c r="R30" s="32">
        <f>IF(CT[[#This Row],[BL Number]]&lt;&gt;0,(CT[[#This Row],[Supplier Prov. Price]]-CT[[#This Row],[Supplier Final Price]])*1.2,"")</f>
        <v>-257.39999999999998</v>
      </c>
      <c r="S30" s="101">
        <v>1.3270999999999999</v>
      </c>
      <c r="T30" s="3">
        <v>45806</v>
      </c>
      <c r="U30" s="7">
        <v>0</v>
      </c>
      <c r="V30" s="7">
        <f t="shared" si="13"/>
        <v>3.6187654933068916</v>
      </c>
      <c r="W30" s="24">
        <f t="shared" si="11"/>
        <v>0.22668993457059383</v>
      </c>
      <c r="X30" s="106">
        <f>IFERROR(CT[[#This Row],[Freight Charges]]+CT[[#This Row],[Inspection Cost/MT]]+CT[[#This Row],[DHL Charges PMT]],"")</f>
        <v>3.8454554278774853</v>
      </c>
      <c r="Y30" s="7">
        <f>IFERROR(AF30-(O30+CT[[#This Row],[Cost Per MT]]),"")</f>
        <v>21.154544572122518</v>
      </c>
      <c r="Z30" s="7">
        <f>IFERROR(CT[[#This Row],[Margin/MT]]*CT[[#This Row],[Container Qty]],"")</f>
        <v>542.8256137206638</v>
      </c>
      <c r="AA30" s="7"/>
      <c r="AB30" t="s">
        <v>11</v>
      </c>
      <c r="AC30" s="1">
        <v>705120</v>
      </c>
      <c r="AD30" s="3">
        <v>45778</v>
      </c>
      <c r="AE30" s="14">
        <f t="shared" si="8"/>
        <v>25</v>
      </c>
      <c r="AF30" s="7">
        <v>350</v>
      </c>
      <c r="AG30" s="7">
        <f>CT[[#This Row],[Sales Rate/MT (USD)]]*CT[[#This Row],[SC Qty (MT)]]</f>
        <v>8750</v>
      </c>
      <c r="AH30" s="7">
        <f>IF(CT[[#This Row],[Container Qty]]&lt;&gt;0,CT[[#This Row],[Sales Rate/MT (USD)]]*CT[[#This Row],[Container Qty]],"")</f>
        <v>8981</v>
      </c>
      <c r="AI30" s="7">
        <f>IF(CT[[#This Row],[Customer Final Price]]&lt;&gt;"",CT[[#This Row],[Customer Final Price]]-CT[[#This Row],[Customer  Prov. Price]],"")</f>
        <v>231</v>
      </c>
      <c r="AJ30" t="s">
        <v>8</v>
      </c>
      <c r="AK30" s="1" t="s">
        <v>28</v>
      </c>
      <c r="AL30" s="1" t="s">
        <v>115</v>
      </c>
      <c r="AM30" s="23" t="s">
        <v>133</v>
      </c>
      <c r="AO30" s="7">
        <f>CT[[#This Row],[Customer Final Price]]/CT[[#This Row],[FX Rate]]</f>
        <v>6767.3875367342325</v>
      </c>
    </row>
    <row r="31" spans="1:41" x14ac:dyDescent="0.25">
      <c r="A31" t="s">
        <v>9</v>
      </c>
      <c r="B31" s="102" t="s">
        <v>12</v>
      </c>
      <c r="C31" s="81">
        <v>45778</v>
      </c>
      <c r="D31" s="1" t="s">
        <v>67</v>
      </c>
      <c r="E31" s="1" t="s">
        <v>77</v>
      </c>
      <c r="F31" s="11">
        <v>23.36</v>
      </c>
      <c r="G31" s="3">
        <v>45808</v>
      </c>
      <c r="H31" s="3">
        <v>45847</v>
      </c>
      <c r="I31" s="58">
        <v>254297937</v>
      </c>
      <c r="J31" s="1" t="s">
        <v>21</v>
      </c>
      <c r="K31" s="1" t="s">
        <v>14</v>
      </c>
      <c r="L31" s="1" t="s">
        <v>23</v>
      </c>
      <c r="M31" s="14">
        <f t="shared" si="5"/>
        <v>25</v>
      </c>
      <c r="N31" s="1">
        <v>92</v>
      </c>
      <c r="O31" s="7">
        <v>325</v>
      </c>
      <c r="P31" s="7">
        <f>CT[[#This Row],[Purchase Rate/MT (USD)]]*CT[[#This Row],[PC Qty (MT)]]</f>
        <v>8125</v>
      </c>
      <c r="Q31" s="7">
        <f>CT[[#This Row],[Purchase Rate/MT (USD)]]*CT[[#This Row],[Container Qty]]</f>
        <v>7592</v>
      </c>
      <c r="R31" s="32">
        <f>IF(CT[[#This Row],[BL Number]]&lt;&gt;0,(CT[[#This Row],[Supplier Prov. Price]]-CT[[#This Row],[Supplier Final Price]])*1.2,"")</f>
        <v>639.6</v>
      </c>
      <c r="S31" s="101">
        <v>1.3270999999999999</v>
      </c>
      <c r="T31" s="3">
        <v>45806</v>
      </c>
      <c r="U31" s="7">
        <v>0</v>
      </c>
      <c r="V31" s="7">
        <f t="shared" si="13"/>
        <v>3.6187654933068916</v>
      </c>
      <c r="W31" s="24">
        <f t="shared" si="11"/>
        <v>0.22668993457059383</v>
      </c>
      <c r="X31" s="106">
        <f>IFERROR(CT[[#This Row],[Freight Charges]]+CT[[#This Row],[Inspection Cost/MT]]+CT[[#This Row],[DHL Charges PMT]],"")</f>
        <v>3.8454554278774853</v>
      </c>
      <c r="Y31" s="7">
        <f>IFERROR(AF31-(O31+CT[[#This Row],[Cost Per MT]]),"")</f>
        <v>21.154544572122518</v>
      </c>
      <c r="Z31" s="7">
        <f>IFERROR(CT[[#This Row],[Margin/MT]]*CT[[#This Row],[Container Qty]],"")</f>
        <v>494.170161204782</v>
      </c>
      <c r="AA31" s="7"/>
      <c r="AB31" t="s">
        <v>11</v>
      </c>
      <c r="AC31" s="1">
        <v>705120</v>
      </c>
      <c r="AD31" s="3">
        <v>45778</v>
      </c>
      <c r="AE31" s="14">
        <f t="shared" si="8"/>
        <v>25</v>
      </c>
      <c r="AF31" s="7">
        <v>350</v>
      </c>
      <c r="AG31" s="7">
        <f>CT[[#This Row],[Sales Rate/MT (USD)]]*CT[[#This Row],[SC Qty (MT)]]</f>
        <v>8750</v>
      </c>
      <c r="AH31" s="7">
        <f>IF(CT[[#This Row],[Container Qty]]&lt;&gt;0,CT[[#This Row],[Sales Rate/MT (USD)]]*CT[[#This Row],[Container Qty]],"")</f>
        <v>8176</v>
      </c>
      <c r="AI31" s="7">
        <f>IF(CT[[#This Row],[Customer Final Price]]&lt;&gt;"",CT[[#This Row],[Customer Final Price]]-CT[[#This Row],[Customer  Prov. Price]],"")</f>
        <v>-574</v>
      </c>
      <c r="AJ31" t="s">
        <v>8</v>
      </c>
      <c r="AK31" s="1" t="s">
        <v>28</v>
      </c>
      <c r="AL31" s="1" t="s">
        <v>115</v>
      </c>
      <c r="AM31" s="23" t="s">
        <v>133</v>
      </c>
      <c r="AO31" s="7">
        <f>CT[[#This Row],[Customer Final Price]]/CT[[#This Row],[FX Rate]]</f>
        <v>6160.8017481727074</v>
      </c>
    </row>
    <row r="32" spans="1:41" x14ac:dyDescent="0.25">
      <c r="A32" t="s">
        <v>9</v>
      </c>
      <c r="B32" s="102" t="s">
        <v>12</v>
      </c>
      <c r="C32" s="81">
        <v>45778</v>
      </c>
      <c r="D32" s="1" t="s">
        <v>67</v>
      </c>
      <c r="E32" s="1" t="s">
        <v>78</v>
      </c>
      <c r="F32" s="11">
        <v>25.77</v>
      </c>
      <c r="G32" s="3">
        <v>45808</v>
      </c>
      <c r="H32" s="3">
        <v>45847</v>
      </c>
      <c r="I32" s="58">
        <v>254297937</v>
      </c>
      <c r="J32" s="1" t="s">
        <v>21</v>
      </c>
      <c r="K32" s="1" t="s">
        <v>14</v>
      </c>
      <c r="L32" s="1" t="s">
        <v>23</v>
      </c>
      <c r="M32" s="14">
        <f t="shared" si="5"/>
        <v>25</v>
      </c>
      <c r="N32" s="1">
        <v>92</v>
      </c>
      <c r="O32" s="7">
        <v>325</v>
      </c>
      <c r="P32" s="7">
        <f>CT[[#This Row],[Purchase Rate/MT (USD)]]*CT[[#This Row],[PC Qty (MT)]]</f>
        <v>8125</v>
      </c>
      <c r="Q32" s="7">
        <f>CT[[#This Row],[Purchase Rate/MT (USD)]]*CT[[#This Row],[Container Qty]]</f>
        <v>8375.25</v>
      </c>
      <c r="R32" s="32">
        <f>IF(CT[[#This Row],[BL Number]]&lt;&gt;0,(CT[[#This Row],[Supplier Prov. Price]]-CT[[#This Row],[Supplier Final Price]])*1.2,"")</f>
        <v>-300.3</v>
      </c>
      <c r="S32" s="101">
        <v>1.3270999999999999</v>
      </c>
      <c r="T32" s="3">
        <v>45806</v>
      </c>
      <c r="U32" s="7">
        <v>0</v>
      </c>
      <c r="V32" s="7">
        <f t="shared" si="13"/>
        <v>3.6187654933068916</v>
      </c>
      <c r="W32" s="24">
        <f t="shared" si="11"/>
        <v>0.22668993457059383</v>
      </c>
      <c r="X32" s="106">
        <f>IFERROR(CT[[#This Row],[Freight Charges]]+CT[[#This Row],[Inspection Cost/MT]]+CT[[#This Row],[DHL Charges PMT]],"")</f>
        <v>3.8454554278774853</v>
      </c>
      <c r="Y32" s="7">
        <f>IFERROR(AF32-(O32+CT[[#This Row],[Cost Per MT]]),"")</f>
        <v>21.154544572122518</v>
      </c>
      <c r="Z32" s="7">
        <f>IFERROR(CT[[#This Row],[Margin/MT]]*CT[[#This Row],[Container Qty]],"")</f>
        <v>545.15261362359729</v>
      </c>
      <c r="AA32" s="7"/>
      <c r="AB32" t="s">
        <v>11</v>
      </c>
      <c r="AC32" s="1">
        <v>705120</v>
      </c>
      <c r="AD32" s="3">
        <v>45778</v>
      </c>
      <c r="AE32" s="14">
        <f t="shared" si="8"/>
        <v>25</v>
      </c>
      <c r="AF32" s="7">
        <v>350</v>
      </c>
      <c r="AG32" s="7">
        <f>CT[[#This Row],[Sales Rate/MT (USD)]]*CT[[#This Row],[SC Qty (MT)]]</f>
        <v>8750</v>
      </c>
      <c r="AH32" s="7">
        <f>IF(CT[[#This Row],[Container Qty]]&lt;&gt;0,CT[[#This Row],[Sales Rate/MT (USD)]]*CT[[#This Row],[Container Qty]],"")</f>
        <v>9019.5</v>
      </c>
      <c r="AI32" s="7">
        <f>IF(CT[[#This Row],[Customer Final Price]]&lt;&gt;"",CT[[#This Row],[Customer Final Price]]-CT[[#This Row],[Customer  Prov. Price]],"")</f>
        <v>269.5</v>
      </c>
      <c r="AJ32" t="s">
        <v>8</v>
      </c>
      <c r="AK32" s="1" t="s">
        <v>28</v>
      </c>
      <c r="AL32" s="1" t="s">
        <v>115</v>
      </c>
      <c r="AM32" s="23" t="s">
        <v>133</v>
      </c>
      <c r="AO32" s="7">
        <f>CT[[#This Row],[Customer Final Price]]/CT[[#This Row],[FX Rate]]</f>
        <v>6796.398161404567</v>
      </c>
    </row>
    <row r="33" spans="1:41" x14ac:dyDescent="0.25">
      <c r="A33" t="s">
        <v>9</v>
      </c>
      <c r="B33" s="102" t="s">
        <v>13</v>
      </c>
      <c r="C33" s="81">
        <v>45778</v>
      </c>
      <c r="D33" s="1" t="s">
        <v>67</v>
      </c>
      <c r="E33" s="1" t="s">
        <v>85</v>
      </c>
      <c r="F33" s="11">
        <v>23.39</v>
      </c>
      <c r="G33" s="3">
        <v>45837</v>
      </c>
      <c r="H33" s="3">
        <v>45880</v>
      </c>
      <c r="I33" s="57" t="s">
        <v>110</v>
      </c>
      <c r="J33" s="1" t="s">
        <v>21</v>
      </c>
      <c r="K33" s="1" t="s">
        <v>14</v>
      </c>
      <c r="L33" s="1" t="s">
        <v>23</v>
      </c>
      <c r="M33" s="14">
        <f t="shared" si="5"/>
        <v>25</v>
      </c>
      <c r="N33" s="1">
        <v>93</v>
      </c>
      <c r="O33" s="7">
        <v>325</v>
      </c>
      <c r="P33" s="7">
        <f>CT[[#This Row],[Purchase Rate/MT (USD)]]*CT[[#This Row],[PC Qty (MT)]]</f>
        <v>8125</v>
      </c>
      <c r="Q33" s="7">
        <f>CT[[#This Row],[Purchase Rate/MT (USD)]]*CT[[#This Row],[Container Qty]]</f>
        <v>7601.75</v>
      </c>
      <c r="R33" s="32">
        <f>IF(CT[[#This Row],[BL Number]]&lt;&gt;0,(CT[[#This Row],[Supplier Prov. Price]]-CT[[#This Row],[Supplier Final Price]])*1.2,"")</f>
        <v>627.9</v>
      </c>
      <c r="S33" s="101">
        <v>1.3270999999999999</v>
      </c>
      <c r="T33" s="3">
        <v>45826</v>
      </c>
      <c r="U33" s="7">
        <v>0</v>
      </c>
      <c r="V33" s="7">
        <f t="shared" ref="V33:V35" si="14">(275*S33)/SUM($F$33:$F$35)</f>
        <v>5.1085176371780516</v>
      </c>
      <c r="W33" s="24">
        <f t="shared" ref="W33:W52" si="15">41.58/SUM($F$33:$F$52)*S33</f>
        <v>0.11437861288450378</v>
      </c>
      <c r="X33" s="106">
        <f>IFERROR(CT[[#This Row],[Freight Charges]]+CT[[#This Row],[Inspection Cost/MT]]+CT[[#This Row],[DHL Charges PMT]],"")</f>
        <v>5.2228962500625551</v>
      </c>
      <c r="Y33" s="7">
        <f>IFERROR(AF33-(O33+CT[[#This Row],[Cost Per MT]]),"")</f>
        <v>19.777103749937453</v>
      </c>
      <c r="Z33" s="7">
        <f>IFERROR(CT[[#This Row],[Margin/MT]]*CT[[#This Row],[Container Qty]],"")</f>
        <v>462.58645671103704</v>
      </c>
      <c r="AA33" s="7"/>
      <c r="AB33" t="s">
        <v>11</v>
      </c>
      <c r="AC33" s="1">
        <v>705120</v>
      </c>
      <c r="AD33" s="3">
        <v>45778</v>
      </c>
      <c r="AE33" s="14">
        <f t="shared" si="8"/>
        <v>25</v>
      </c>
      <c r="AF33" s="7">
        <v>350</v>
      </c>
      <c r="AG33" s="7">
        <f>CT[[#This Row],[Sales Rate/MT (USD)]]*CT[[#This Row],[SC Qty (MT)]]</f>
        <v>8750</v>
      </c>
      <c r="AH33" s="7">
        <f>IF(CT[[#This Row],[Container Qty]]&lt;&gt;0,CT[[#This Row],[Sales Rate/MT (USD)]]*CT[[#This Row],[Container Qty]],"")</f>
        <v>8186.5</v>
      </c>
      <c r="AI33" s="7">
        <f>IF(CT[[#This Row],[Customer Final Price]]&lt;&gt;"",CT[[#This Row],[Customer Final Price]]-CT[[#This Row],[Customer  Prov. Price]],"")</f>
        <v>-563.5</v>
      </c>
      <c r="AJ33" t="s">
        <v>8</v>
      </c>
      <c r="AK33" s="1" t="s">
        <v>28</v>
      </c>
      <c r="AL33" s="1" t="s">
        <v>114</v>
      </c>
      <c r="AM33" s="23" t="s">
        <v>133</v>
      </c>
      <c r="AO33" s="7">
        <f>CT[[#This Row],[Customer Final Price]]/CT[[#This Row],[FX Rate]]</f>
        <v>6168.7137367191626</v>
      </c>
    </row>
    <row r="34" spans="1:41" x14ac:dyDescent="0.25">
      <c r="A34" t="s">
        <v>9</v>
      </c>
      <c r="B34" s="102" t="s">
        <v>13</v>
      </c>
      <c r="C34" s="81">
        <v>45778</v>
      </c>
      <c r="D34" s="1" t="s">
        <v>67</v>
      </c>
      <c r="E34" s="1" t="s">
        <v>86</v>
      </c>
      <c r="F34" s="11">
        <v>24</v>
      </c>
      <c r="G34" s="3">
        <v>45837</v>
      </c>
      <c r="H34" s="3">
        <v>45880</v>
      </c>
      <c r="I34" s="57" t="s">
        <v>110</v>
      </c>
      <c r="J34" s="1" t="s">
        <v>21</v>
      </c>
      <c r="K34" s="1" t="s">
        <v>14</v>
      </c>
      <c r="L34" s="1" t="s">
        <v>23</v>
      </c>
      <c r="M34" s="14">
        <f t="shared" si="5"/>
        <v>25</v>
      </c>
      <c r="N34" s="1">
        <v>93</v>
      </c>
      <c r="O34" s="7">
        <v>325</v>
      </c>
      <c r="P34" s="7">
        <f>CT[[#This Row],[Purchase Rate/MT (USD)]]*CT[[#This Row],[PC Qty (MT)]]</f>
        <v>8125</v>
      </c>
      <c r="Q34" s="7">
        <f>CT[[#This Row],[Purchase Rate/MT (USD)]]*CT[[#This Row],[Container Qty]]</f>
        <v>7800</v>
      </c>
      <c r="R34" s="32">
        <f>IF(CT[[#This Row],[BL Number]]&lt;&gt;0,(CT[[#This Row],[Supplier Prov. Price]]-CT[[#This Row],[Supplier Final Price]])*1.2,"")</f>
        <v>390</v>
      </c>
      <c r="S34" s="101">
        <v>1.3270999999999999</v>
      </c>
      <c r="T34" s="3">
        <v>45826</v>
      </c>
      <c r="U34" s="7">
        <v>0</v>
      </c>
      <c r="V34" s="7">
        <f t="shared" si="14"/>
        <v>5.1085176371780516</v>
      </c>
      <c r="W34" s="24">
        <f t="shared" si="15"/>
        <v>0.11437861288450378</v>
      </c>
      <c r="X34" s="106">
        <f>IFERROR(CT[[#This Row],[Freight Charges]]+CT[[#This Row],[Inspection Cost/MT]]+CT[[#This Row],[DHL Charges PMT]],"")</f>
        <v>5.2228962500625551</v>
      </c>
      <c r="Y34" s="7">
        <f>IFERROR(AF34-(O34+CT[[#This Row],[Cost Per MT]]),"")</f>
        <v>19.777103749937453</v>
      </c>
      <c r="Z34" s="7">
        <f>IFERROR(CT[[#This Row],[Margin/MT]]*CT[[#This Row],[Container Qty]],"")</f>
        <v>474.65048999849887</v>
      </c>
      <c r="AA34" s="7"/>
      <c r="AB34" t="s">
        <v>11</v>
      </c>
      <c r="AC34" s="1">
        <v>705120</v>
      </c>
      <c r="AD34" s="3">
        <v>45778</v>
      </c>
      <c r="AE34" s="14">
        <f t="shared" si="8"/>
        <v>25</v>
      </c>
      <c r="AF34" s="7">
        <v>350</v>
      </c>
      <c r="AG34" s="7">
        <f>CT[[#This Row],[Sales Rate/MT (USD)]]*CT[[#This Row],[SC Qty (MT)]]</f>
        <v>8750</v>
      </c>
      <c r="AH34" s="7">
        <f>IF(CT[[#This Row],[Container Qty]]&lt;&gt;0,CT[[#This Row],[Sales Rate/MT (USD)]]*CT[[#This Row],[Container Qty]],"")</f>
        <v>8400</v>
      </c>
      <c r="AI34" s="7">
        <f>IF(CT[[#This Row],[Customer Final Price]]&lt;&gt;"",CT[[#This Row],[Customer Final Price]]-CT[[#This Row],[Customer  Prov. Price]],"")</f>
        <v>-350</v>
      </c>
      <c r="AJ34" t="s">
        <v>8</v>
      </c>
      <c r="AK34" s="1" t="s">
        <v>28</v>
      </c>
      <c r="AL34" s="1" t="s">
        <v>114</v>
      </c>
      <c r="AM34" s="23" t="s">
        <v>133</v>
      </c>
      <c r="AO34" s="7">
        <f>CT[[#This Row],[Customer Final Price]]/CT[[#This Row],[FX Rate]]</f>
        <v>6329.5908371637406</v>
      </c>
    </row>
    <row r="35" spans="1:41" x14ac:dyDescent="0.25">
      <c r="A35" t="s">
        <v>9</v>
      </c>
      <c r="B35" s="102" t="s">
        <v>13</v>
      </c>
      <c r="C35" s="81">
        <v>45778</v>
      </c>
      <c r="D35" s="1" t="s">
        <v>67</v>
      </c>
      <c r="E35" s="1" t="s">
        <v>99</v>
      </c>
      <c r="F35" s="11">
        <v>24.05</v>
      </c>
      <c r="G35" s="3">
        <v>45837</v>
      </c>
      <c r="H35" s="3">
        <v>45880</v>
      </c>
      <c r="I35" s="57" t="s">
        <v>110</v>
      </c>
      <c r="J35" s="1" t="s">
        <v>21</v>
      </c>
      <c r="K35" s="1" t="s">
        <v>14</v>
      </c>
      <c r="L35" s="1" t="s">
        <v>23</v>
      </c>
      <c r="M35" s="14">
        <f t="shared" si="5"/>
        <v>25</v>
      </c>
      <c r="N35" s="1">
        <v>93</v>
      </c>
      <c r="O35" s="7">
        <v>325</v>
      </c>
      <c r="P35" s="7">
        <f>CT[[#This Row],[Purchase Rate/MT (USD)]]*CT[[#This Row],[PC Qty (MT)]]</f>
        <v>8125</v>
      </c>
      <c r="Q35" s="7">
        <f>CT[[#This Row],[Purchase Rate/MT (USD)]]*CT[[#This Row],[Container Qty]]</f>
        <v>7816.25</v>
      </c>
      <c r="R35" s="32">
        <f>IF(CT[[#This Row],[BL Number]]&lt;&gt;0,(CT[[#This Row],[Supplier Prov. Price]]-CT[[#This Row],[Supplier Final Price]])*1.2,"")</f>
        <v>370.5</v>
      </c>
      <c r="S35" s="101">
        <v>1.3270999999999999</v>
      </c>
      <c r="T35" s="3">
        <v>45826</v>
      </c>
      <c r="U35" s="7">
        <v>0</v>
      </c>
      <c r="V35" s="7">
        <f t="shared" si="14"/>
        <v>5.1085176371780516</v>
      </c>
      <c r="W35" s="24">
        <f t="shared" si="15"/>
        <v>0.11437861288450378</v>
      </c>
      <c r="X35" s="106">
        <f>IFERROR(CT[[#This Row],[Freight Charges]]+CT[[#This Row],[Inspection Cost/MT]]+CT[[#This Row],[DHL Charges PMT]],"")</f>
        <v>5.2228962500625551</v>
      </c>
      <c r="Y35" s="7">
        <f>IFERROR(AF35-(O35+CT[[#This Row],[Cost Per MT]]),"")</f>
        <v>19.777103749937453</v>
      </c>
      <c r="Z35" s="7">
        <f>IFERROR(CT[[#This Row],[Margin/MT]]*CT[[#This Row],[Container Qty]],"")</f>
        <v>475.63934518599575</v>
      </c>
      <c r="AA35" s="7"/>
      <c r="AB35" t="s">
        <v>11</v>
      </c>
      <c r="AC35" s="1">
        <v>705120</v>
      </c>
      <c r="AD35" s="3">
        <v>45778</v>
      </c>
      <c r="AE35" s="14">
        <f t="shared" si="8"/>
        <v>25</v>
      </c>
      <c r="AF35" s="7">
        <v>350</v>
      </c>
      <c r="AG35" s="7">
        <f>CT[[#This Row],[Sales Rate/MT (USD)]]*CT[[#This Row],[SC Qty (MT)]]</f>
        <v>8750</v>
      </c>
      <c r="AH35" s="7">
        <f>IF(CT[[#This Row],[Container Qty]]&lt;&gt;0,CT[[#This Row],[Sales Rate/MT (USD)]]*CT[[#This Row],[Container Qty]],"")</f>
        <v>8417.5</v>
      </c>
      <c r="AI35" s="7">
        <f>IF(CT[[#This Row],[Customer Final Price]]&lt;&gt;"",CT[[#This Row],[Customer Final Price]]-CT[[#This Row],[Customer  Prov. Price]],"")</f>
        <v>-332.5</v>
      </c>
      <c r="AJ35" t="s">
        <v>8</v>
      </c>
      <c r="AK35" s="1" t="s">
        <v>28</v>
      </c>
      <c r="AL35" s="1" t="s">
        <v>114</v>
      </c>
      <c r="AM35" s="23" t="s">
        <v>133</v>
      </c>
      <c r="AO35" s="7">
        <f>CT[[#This Row],[Customer Final Price]]/CT[[#This Row],[FX Rate]]</f>
        <v>6342.7774847411656</v>
      </c>
    </row>
    <row r="36" spans="1:41" x14ac:dyDescent="0.25">
      <c r="A36" t="s">
        <v>9</v>
      </c>
      <c r="B36" s="102" t="s">
        <v>13</v>
      </c>
      <c r="C36" s="81">
        <v>45778</v>
      </c>
      <c r="D36" s="1" t="s">
        <v>67</v>
      </c>
      <c r="E36" s="1" t="s">
        <v>87</v>
      </c>
      <c r="F36" s="11">
        <v>22.95</v>
      </c>
      <c r="G36" s="3">
        <v>45837</v>
      </c>
      <c r="H36" s="3">
        <v>45880</v>
      </c>
      <c r="I36" s="57" t="s">
        <v>110</v>
      </c>
      <c r="J36" s="1" t="s">
        <v>21</v>
      </c>
      <c r="K36" s="1" t="s">
        <v>14</v>
      </c>
      <c r="L36" s="1" t="s">
        <v>23</v>
      </c>
      <c r="M36" s="14">
        <f t="shared" si="5"/>
        <v>25</v>
      </c>
      <c r="N36" s="1">
        <v>93</v>
      </c>
      <c r="O36" s="7">
        <v>325</v>
      </c>
      <c r="P36" s="7">
        <f>CT[[#This Row],[Purchase Rate/MT (USD)]]*CT[[#This Row],[PC Qty (MT)]]</f>
        <v>8125</v>
      </c>
      <c r="Q36" s="7">
        <f>CT[[#This Row],[Purchase Rate/MT (USD)]]*CT[[#This Row],[Container Qty]]</f>
        <v>7458.75</v>
      </c>
      <c r="R36" s="32">
        <f>IF(CT[[#This Row],[BL Number]]&lt;&gt;0,(CT[[#This Row],[Supplier Prov. Price]]-CT[[#This Row],[Supplier Final Price]])*1.2,"")</f>
        <v>799.5</v>
      </c>
      <c r="S36" s="101">
        <v>1.3270999999999999</v>
      </c>
      <c r="T36" s="3">
        <v>45827</v>
      </c>
      <c r="U36" s="7">
        <v>0</v>
      </c>
      <c r="V36" s="7">
        <f t="shared" ref="V36:V37" si="16">(275*S36)/SUM($F$36:$F$37)</f>
        <v>7.6622401847575059</v>
      </c>
      <c r="W36" s="24">
        <f t="shared" si="15"/>
        <v>0.11437861288450378</v>
      </c>
      <c r="X36" s="106">
        <f>IFERROR(CT[[#This Row],[Freight Charges]]+CT[[#This Row],[Inspection Cost/MT]]+CT[[#This Row],[DHL Charges PMT]],"")</f>
        <v>7.7766187976420094</v>
      </c>
      <c r="Y36" s="7">
        <f>IFERROR(AF36-(O36+CT[[#This Row],[Cost Per MT]]),"")</f>
        <v>17.223381202357984</v>
      </c>
      <c r="Z36" s="7">
        <f>IFERROR(CT[[#This Row],[Margin/MT]]*CT[[#This Row],[Container Qty]],"")</f>
        <v>395.27659859411574</v>
      </c>
      <c r="AA36" s="7"/>
      <c r="AB36" t="s">
        <v>11</v>
      </c>
      <c r="AC36" s="1">
        <v>705120</v>
      </c>
      <c r="AD36" s="3">
        <v>45778</v>
      </c>
      <c r="AE36" s="14">
        <f t="shared" si="8"/>
        <v>25</v>
      </c>
      <c r="AF36" s="7">
        <v>350</v>
      </c>
      <c r="AG36" s="7">
        <f>CT[[#This Row],[Sales Rate/MT (USD)]]*CT[[#This Row],[SC Qty (MT)]]</f>
        <v>8750</v>
      </c>
      <c r="AH36" s="7">
        <f>IF(CT[[#This Row],[Container Qty]]&lt;&gt;0,CT[[#This Row],[Sales Rate/MT (USD)]]*CT[[#This Row],[Container Qty]],"")</f>
        <v>8032.5</v>
      </c>
      <c r="AI36" s="7">
        <f>IF(CT[[#This Row],[Customer Final Price]]&lt;&gt;"",CT[[#This Row],[Customer Final Price]]-CT[[#This Row],[Customer  Prov. Price]],"")</f>
        <v>-717.5</v>
      </c>
      <c r="AJ36" t="s">
        <v>8</v>
      </c>
      <c r="AK36" s="1" t="s">
        <v>28</v>
      </c>
      <c r="AL36" s="1" t="s">
        <v>114</v>
      </c>
      <c r="AM36" s="23" t="s">
        <v>133</v>
      </c>
      <c r="AO36" s="7">
        <f>CT[[#This Row],[Customer Final Price]]/CT[[#This Row],[FX Rate]]</f>
        <v>6052.6712380378267</v>
      </c>
    </row>
    <row r="37" spans="1:41" x14ac:dyDescent="0.25">
      <c r="A37" t="s">
        <v>9</v>
      </c>
      <c r="B37" s="102" t="s">
        <v>13</v>
      </c>
      <c r="C37" s="81">
        <v>45778</v>
      </c>
      <c r="D37" s="1" t="s">
        <v>67</v>
      </c>
      <c r="E37" s="1" t="s">
        <v>88</v>
      </c>
      <c r="F37" s="11">
        <v>24.68</v>
      </c>
      <c r="G37" s="3">
        <v>45837</v>
      </c>
      <c r="H37" s="3">
        <v>45880</v>
      </c>
      <c r="I37" s="57" t="s">
        <v>110</v>
      </c>
      <c r="J37" s="1" t="s">
        <v>21</v>
      </c>
      <c r="K37" s="1" t="s">
        <v>14</v>
      </c>
      <c r="L37" s="1" t="s">
        <v>23</v>
      </c>
      <c r="M37" s="14">
        <f t="shared" si="5"/>
        <v>25</v>
      </c>
      <c r="N37" s="1">
        <v>93</v>
      </c>
      <c r="O37" s="7">
        <v>325</v>
      </c>
      <c r="P37" s="7">
        <f>CT[[#This Row],[Purchase Rate/MT (USD)]]*CT[[#This Row],[PC Qty (MT)]]</f>
        <v>8125</v>
      </c>
      <c r="Q37" s="7">
        <f>CT[[#This Row],[Purchase Rate/MT (USD)]]*CT[[#This Row],[Container Qty]]</f>
        <v>8021</v>
      </c>
      <c r="R37" s="32">
        <f>IF(CT[[#This Row],[BL Number]]&lt;&gt;0,(CT[[#This Row],[Supplier Prov. Price]]-CT[[#This Row],[Supplier Final Price]])*1.2,"")</f>
        <v>124.8</v>
      </c>
      <c r="S37" s="101">
        <v>1.3270999999999999</v>
      </c>
      <c r="T37" s="3">
        <v>45827</v>
      </c>
      <c r="U37" s="7">
        <v>0</v>
      </c>
      <c r="V37" s="7">
        <f t="shared" si="16"/>
        <v>7.6622401847575059</v>
      </c>
      <c r="W37" s="24">
        <f t="shared" si="15"/>
        <v>0.11437861288450378</v>
      </c>
      <c r="X37" s="106">
        <f>IFERROR(CT[[#This Row],[Freight Charges]]+CT[[#This Row],[Inspection Cost/MT]]+CT[[#This Row],[DHL Charges PMT]],"")</f>
        <v>7.7766187976420094</v>
      </c>
      <c r="Y37" s="7">
        <f>IFERROR(AF37-(O37+CT[[#This Row],[Cost Per MT]]),"")</f>
        <v>17.223381202357984</v>
      </c>
      <c r="Z37" s="7">
        <f>IFERROR(CT[[#This Row],[Margin/MT]]*CT[[#This Row],[Container Qty]],"")</f>
        <v>425.07304807419507</v>
      </c>
      <c r="AA37" s="7"/>
      <c r="AB37" t="s">
        <v>11</v>
      </c>
      <c r="AC37" s="1">
        <v>705120</v>
      </c>
      <c r="AD37" s="3">
        <v>45778</v>
      </c>
      <c r="AE37" s="14">
        <f t="shared" si="8"/>
        <v>25</v>
      </c>
      <c r="AF37" s="7">
        <v>350</v>
      </c>
      <c r="AG37" s="7">
        <f>CT[[#This Row],[Sales Rate/MT (USD)]]*CT[[#This Row],[SC Qty (MT)]]</f>
        <v>8750</v>
      </c>
      <c r="AH37" s="7">
        <f>IF(CT[[#This Row],[Container Qty]]&lt;&gt;0,CT[[#This Row],[Sales Rate/MT (USD)]]*CT[[#This Row],[Container Qty]],"")</f>
        <v>8638</v>
      </c>
      <c r="AI37" s="7">
        <f>IF(CT[[#This Row],[Customer Final Price]]&lt;&gt;"",CT[[#This Row],[Customer Final Price]]-CT[[#This Row],[Customer  Prov. Price]],"")</f>
        <v>-112</v>
      </c>
      <c r="AJ37" t="s">
        <v>8</v>
      </c>
      <c r="AK37" s="1" t="s">
        <v>28</v>
      </c>
      <c r="AL37" s="1" t="s">
        <v>114</v>
      </c>
      <c r="AM37" s="23" t="s">
        <v>133</v>
      </c>
      <c r="AO37" s="7">
        <f>CT[[#This Row],[Customer Final Price]]/CT[[#This Row],[FX Rate]]</f>
        <v>6508.9292442167134</v>
      </c>
    </row>
    <row r="38" spans="1:41" x14ac:dyDescent="0.25">
      <c r="A38" t="s">
        <v>9</v>
      </c>
      <c r="B38" s="102" t="s">
        <v>13</v>
      </c>
      <c r="C38" s="81">
        <v>45778</v>
      </c>
      <c r="D38" s="1" t="s">
        <v>67</v>
      </c>
      <c r="E38" s="1" t="s">
        <v>89</v>
      </c>
      <c r="F38" s="11">
        <v>27.46</v>
      </c>
      <c r="G38" s="3">
        <v>45837</v>
      </c>
      <c r="H38" s="3">
        <v>45880</v>
      </c>
      <c r="I38" s="57" t="s">
        <v>110</v>
      </c>
      <c r="J38" s="1" t="s">
        <v>21</v>
      </c>
      <c r="K38" s="1" t="s">
        <v>14</v>
      </c>
      <c r="L38" s="1" t="s">
        <v>23</v>
      </c>
      <c r="M38" s="14">
        <f t="shared" si="5"/>
        <v>25</v>
      </c>
      <c r="N38" s="1">
        <v>93</v>
      </c>
      <c r="O38" s="7">
        <v>325</v>
      </c>
      <c r="P38" s="7">
        <f>CT[[#This Row],[Purchase Rate/MT (USD)]]*CT[[#This Row],[PC Qty (MT)]]</f>
        <v>8125</v>
      </c>
      <c r="Q38" s="7">
        <f>CT[[#This Row],[Purchase Rate/MT (USD)]]*CT[[#This Row],[Container Qty]]</f>
        <v>8924.5</v>
      </c>
      <c r="R38" s="32">
        <f>IF(CT[[#This Row],[BL Number]]&lt;&gt;0,(CT[[#This Row],[Supplier Prov. Price]]-CT[[#This Row],[Supplier Final Price]])*1.2,"")</f>
        <v>-959.4</v>
      </c>
      <c r="S38" s="101">
        <v>1.3270999999999999</v>
      </c>
      <c r="T38" s="3">
        <v>45828</v>
      </c>
      <c r="U38" s="7">
        <v>0</v>
      </c>
      <c r="V38" s="7">
        <f t="shared" ref="V38:V40" si="17">(275*S38)/SUM($F$38:$F$40)</f>
        <v>4.6963389525157631</v>
      </c>
      <c r="W38" s="24">
        <f t="shared" si="15"/>
        <v>0.11437861288450378</v>
      </c>
      <c r="X38" s="106">
        <f>IFERROR(CT[[#This Row],[Freight Charges]]+CT[[#This Row],[Inspection Cost/MT]]+CT[[#This Row],[DHL Charges PMT]],"")</f>
        <v>4.8107175654002665</v>
      </c>
      <c r="Y38" s="7">
        <f>IFERROR(AF38-(O38+CT[[#This Row],[Cost Per MT]]),"")</f>
        <v>20.189282434599761</v>
      </c>
      <c r="Z38" s="7">
        <f>IFERROR(CT[[#This Row],[Margin/MT]]*CT[[#This Row],[Container Qty]],"")</f>
        <v>554.3976956541095</v>
      </c>
      <c r="AA38" s="7"/>
      <c r="AB38" t="s">
        <v>11</v>
      </c>
      <c r="AC38" s="1">
        <v>705120</v>
      </c>
      <c r="AD38" s="3">
        <v>45778</v>
      </c>
      <c r="AE38" s="14">
        <f t="shared" si="8"/>
        <v>25</v>
      </c>
      <c r="AF38" s="7">
        <v>350</v>
      </c>
      <c r="AG38" s="7">
        <f>CT[[#This Row],[Sales Rate/MT (USD)]]*CT[[#This Row],[SC Qty (MT)]]</f>
        <v>8750</v>
      </c>
      <c r="AH38" s="7">
        <f>IF(CT[[#This Row],[Container Qty]]&lt;&gt;0,CT[[#This Row],[Sales Rate/MT (USD)]]*CT[[#This Row],[Container Qty]],"")</f>
        <v>9611</v>
      </c>
      <c r="AI38" s="7">
        <f>IF(CT[[#This Row],[Customer Final Price]]&lt;&gt;"",CT[[#This Row],[Customer Final Price]]-CT[[#This Row],[Customer  Prov. Price]],"")</f>
        <v>861</v>
      </c>
      <c r="AJ38" t="s">
        <v>8</v>
      </c>
      <c r="AK38" s="1" t="s">
        <v>28</v>
      </c>
      <c r="AL38" s="1" t="s">
        <v>114</v>
      </c>
      <c r="AM38" s="23" t="s">
        <v>133</v>
      </c>
      <c r="AO38" s="7">
        <f>CT[[#This Row],[Customer Final Price]]/CT[[#This Row],[FX Rate]]</f>
        <v>7242.1068495215131</v>
      </c>
    </row>
    <row r="39" spans="1:41" x14ac:dyDescent="0.25">
      <c r="A39" t="s">
        <v>9</v>
      </c>
      <c r="B39" s="102" t="s">
        <v>13</v>
      </c>
      <c r="C39" s="81">
        <v>45778</v>
      </c>
      <c r="D39" s="1" t="s">
        <v>67</v>
      </c>
      <c r="E39" s="1" t="s">
        <v>90</v>
      </c>
      <c r="F39" s="11">
        <v>25.8</v>
      </c>
      <c r="G39" s="3">
        <v>45837</v>
      </c>
      <c r="H39" s="3">
        <v>45880</v>
      </c>
      <c r="I39" s="57" t="s">
        <v>110</v>
      </c>
      <c r="J39" s="1" t="s">
        <v>21</v>
      </c>
      <c r="K39" s="1" t="s">
        <v>14</v>
      </c>
      <c r="L39" s="1" t="s">
        <v>23</v>
      </c>
      <c r="M39" s="14">
        <f t="shared" si="5"/>
        <v>25</v>
      </c>
      <c r="N39" s="1">
        <v>93</v>
      </c>
      <c r="O39" s="7">
        <v>325</v>
      </c>
      <c r="P39" s="7">
        <f>CT[[#This Row],[Purchase Rate/MT (USD)]]*CT[[#This Row],[PC Qty (MT)]]</f>
        <v>8125</v>
      </c>
      <c r="Q39" s="7">
        <f>CT[[#This Row],[Purchase Rate/MT (USD)]]*CT[[#This Row],[Container Qty]]</f>
        <v>8385</v>
      </c>
      <c r="R39" s="32">
        <f>IF(CT[[#This Row],[BL Number]]&lt;&gt;0,(CT[[#This Row],[Supplier Prov. Price]]-CT[[#This Row],[Supplier Final Price]])*1.2,"")</f>
        <v>-312</v>
      </c>
      <c r="S39" s="101">
        <v>1.3270999999999999</v>
      </c>
      <c r="T39" s="3">
        <v>45828</v>
      </c>
      <c r="U39" s="7">
        <v>0</v>
      </c>
      <c r="V39" s="7">
        <f t="shared" si="17"/>
        <v>4.6963389525157631</v>
      </c>
      <c r="W39" s="24">
        <f t="shared" si="15"/>
        <v>0.11437861288450378</v>
      </c>
      <c r="X39" s="106">
        <f>IFERROR(CT[[#This Row],[Freight Charges]]+CT[[#This Row],[Inspection Cost/MT]]+CT[[#This Row],[DHL Charges PMT]],"")</f>
        <v>4.8107175654002665</v>
      </c>
      <c r="Y39" s="7">
        <f>IFERROR(AF39-(O39+CT[[#This Row],[Cost Per MT]]),"")</f>
        <v>20.189282434599761</v>
      </c>
      <c r="Z39" s="7">
        <f>IFERROR(CT[[#This Row],[Margin/MT]]*CT[[#This Row],[Container Qty]],"")</f>
        <v>520.88348681267382</v>
      </c>
      <c r="AA39" s="7"/>
      <c r="AB39" t="s">
        <v>11</v>
      </c>
      <c r="AC39" s="1">
        <v>705120</v>
      </c>
      <c r="AD39" s="3">
        <v>45778</v>
      </c>
      <c r="AE39" s="14">
        <f t="shared" si="8"/>
        <v>25</v>
      </c>
      <c r="AF39" s="7">
        <v>350</v>
      </c>
      <c r="AG39" s="7">
        <f>CT[[#This Row],[Sales Rate/MT (USD)]]*CT[[#This Row],[SC Qty (MT)]]</f>
        <v>8750</v>
      </c>
      <c r="AH39" s="7">
        <f>IF(CT[[#This Row],[Container Qty]]&lt;&gt;0,CT[[#This Row],[Sales Rate/MT (USD)]]*CT[[#This Row],[Container Qty]],"")</f>
        <v>9030</v>
      </c>
      <c r="AI39" s="7">
        <f>IF(CT[[#This Row],[Customer Final Price]]&lt;&gt;"",CT[[#This Row],[Customer Final Price]]-CT[[#This Row],[Customer  Prov. Price]],"")</f>
        <v>280</v>
      </c>
      <c r="AJ39" t="s">
        <v>8</v>
      </c>
      <c r="AK39" s="1" t="s">
        <v>28</v>
      </c>
      <c r="AL39" s="1" t="s">
        <v>114</v>
      </c>
      <c r="AM39" s="23" t="s">
        <v>133</v>
      </c>
      <c r="AO39" s="7">
        <f>CT[[#This Row],[Customer Final Price]]/CT[[#This Row],[FX Rate]]</f>
        <v>6804.3101499510212</v>
      </c>
    </row>
    <row r="40" spans="1:41" x14ac:dyDescent="0.25">
      <c r="A40" t="s">
        <v>9</v>
      </c>
      <c r="B40" s="102" t="s">
        <v>13</v>
      </c>
      <c r="C40" s="81">
        <v>45778</v>
      </c>
      <c r="D40" s="1" t="s">
        <v>67</v>
      </c>
      <c r="E40" s="1" t="s">
        <v>91</v>
      </c>
      <c r="F40" s="11">
        <v>24.45</v>
      </c>
      <c r="G40" s="3">
        <v>45837</v>
      </c>
      <c r="H40" s="3">
        <v>45880</v>
      </c>
      <c r="I40" s="57" t="s">
        <v>110</v>
      </c>
      <c r="J40" s="1" t="s">
        <v>21</v>
      </c>
      <c r="K40" s="1" t="s">
        <v>14</v>
      </c>
      <c r="L40" s="1" t="s">
        <v>23</v>
      </c>
      <c r="M40" s="14">
        <f t="shared" si="5"/>
        <v>25</v>
      </c>
      <c r="N40" s="1">
        <v>93</v>
      </c>
      <c r="O40" s="7">
        <v>325</v>
      </c>
      <c r="P40" s="7">
        <f>CT[[#This Row],[Purchase Rate/MT (USD)]]*CT[[#This Row],[PC Qty (MT)]]</f>
        <v>8125</v>
      </c>
      <c r="Q40" s="7">
        <f>CT[[#This Row],[Purchase Rate/MT (USD)]]*CT[[#This Row],[Container Qty]]</f>
        <v>7946.25</v>
      </c>
      <c r="R40" s="32">
        <f>IF(CT[[#This Row],[BL Number]]&lt;&gt;0,(CT[[#This Row],[Supplier Prov. Price]]-CT[[#This Row],[Supplier Final Price]])*1.2,"")</f>
        <v>214.5</v>
      </c>
      <c r="S40" s="101">
        <v>1.3270999999999999</v>
      </c>
      <c r="T40" s="3">
        <v>45828</v>
      </c>
      <c r="U40" s="7">
        <v>0</v>
      </c>
      <c r="V40" s="7">
        <f t="shared" si="17"/>
        <v>4.6963389525157631</v>
      </c>
      <c r="W40" s="24">
        <f t="shared" si="15"/>
        <v>0.11437861288450378</v>
      </c>
      <c r="X40" s="106">
        <f>IFERROR(CT[[#This Row],[Freight Charges]]+CT[[#This Row],[Inspection Cost/MT]]+CT[[#This Row],[DHL Charges PMT]],"")</f>
        <v>4.8107175654002665</v>
      </c>
      <c r="Y40" s="7">
        <f>IFERROR(AF40-(O40+CT[[#This Row],[Cost Per MT]]),"")</f>
        <v>20.189282434599761</v>
      </c>
      <c r="Z40" s="7">
        <f>IFERROR(CT[[#This Row],[Margin/MT]]*CT[[#This Row],[Container Qty]],"")</f>
        <v>493.62795552596413</v>
      </c>
      <c r="AA40" s="7"/>
      <c r="AB40" t="s">
        <v>11</v>
      </c>
      <c r="AC40" s="1">
        <v>705120</v>
      </c>
      <c r="AD40" s="3">
        <v>45778</v>
      </c>
      <c r="AE40" s="14">
        <f t="shared" si="8"/>
        <v>25</v>
      </c>
      <c r="AF40" s="7">
        <v>350</v>
      </c>
      <c r="AG40" s="7">
        <f>CT[[#This Row],[Sales Rate/MT (USD)]]*CT[[#This Row],[SC Qty (MT)]]</f>
        <v>8750</v>
      </c>
      <c r="AH40" s="7">
        <f>IF(CT[[#This Row],[Container Qty]]&lt;&gt;0,CT[[#This Row],[Sales Rate/MT (USD)]]*CT[[#This Row],[Container Qty]],"")</f>
        <v>8557.5</v>
      </c>
      <c r="AI40" s="7">
        <f>IF(CT[[#This Row],[Customer Final Price]]&lt;&gt;"",CT[[#This Row],[Customer Final Price]]-CT[[#This Row],[Customer  Prov. Price]],"")</f>
        <v>-192.5</v>
      </c>
      <c r="AJ40" t="s">
        <v>8</v>
      </c>
      <c r="AK40" s="1" t="s">
        <v>28</v>
      </c>
      <c r="AL40" s="1" t="s">
        <v>114</v>
      </c>
      <c r="AM40" s="23" t="s">
        <v>133</v>
      </c>
      <c r="AO40" s="7">
        <f>CT[[#This Row],[Customer Final Price]]/CT[[#This Row],[FX Rate]]</f>
        <v>6448.270665360561</v>
      </c>
    </row>
    <row r="41" spans="1:41" x14ac:dyDescent="0.25">
      <c r="A41" t="s">
        <v>9</v>
      </c>
      <c r="B41" s="102" t="s">
        <v>13</v>
      </c>
      <c r="C41" s="81">
        <v>45778</v>
      </c>
      <c r="D41" s="1" t="s">
        <v>67</v>
      </c>
      <c r="E41" s="1" t="s">
        <v>92</v>
      </c>
      <c r="F41" s="11">
        <v>22.36</v>
      </c>
      <c r="G41" s="3">
        <v>45837</v>
      </c>
      <c r="H41" s="3">
        <v>45880</v>
      </c>
      <c r="I41" s="57" t="s">
        <v>110</v>
      </c>
      <c r="J41" s="1" t="s">
        <v>21</v>
      </c>
      <c r="K41" s="1" t="s">
        <v>14</v>
      </c>
      <c r="L41" s="1" t="s">
        <v>23</v>
      </c>
      <c r="M41" s="14">
        <f t="shared" si="5"/>
        <v>25</v>
      </c>
      <c r="N41" s="1">
        <v>93</v>
      </c>
      <c r="O41" s="7">
        <v>325</v>
      </c>
      <c r="P41" s="7">
        <f>CT[[#This Row],[Purchase Rate/MT (USD)]]*CT[[#This Row],[PC Qty (MT)]]</f>
        <v>8125</v>
      </c>
      <c r="Q41" s="7">
        <f>CT[[#This Row],[Purchase Rate/MT (USD)]]*CT[[#This Row],[Container Qty]]</f>
        <v>7267</v>
      </c>
      <c r="R41" s="32">
        <f>IF(CT[[#This Row],[BL Number]]&lt;&gt;0,(CT[[#This Row],[Supplier Prov. Price]]-CT[[#This Row],[Supplier Final Price]])*1.2,"")</f>
        <v>1029.5999999999999</v>
      </c>
      <c r="S41" s="101">
        <v>1.3270999999999999</v>
      </c>
      <c r="T41" s="3">
        <v>45831</v>
      </c>
      <c r="U41" s="7">
        <v>0</v>
      </c>
      <c r="V41" s="7">
        <f>(275*S41)/SUM($F$41:$F$43)</f>
        <v>5.1766312056737585</v>
      </c>
      <c r="W41" s="24">
        <f t="shared" si="15"/>
        <v>0.11437861288450378</v>
      </c>
      <c r="X41" s="106">
        <f>IFERROR(CT[[#This Row],[Freight Charges]]+CT[[#This Row],[Inspection Cost/MT]]+CT[[#This Row],[DHL Charges PMT]],"")</f>
        <v>5.2910098185582619</v>
      </c>
      <c r="Y41" s="7">
        <f>IFERROR(AF41-(O41+CT[[#This Row],[Cost Per MT]]),"")</f>
        <v>19.70899018144172</v>
      </c>
      <c r="Z41" s="7">
        <f>IFERROR(CT[[#This Row],[Margin/MT]]*CT[[#This Row],[Container Qty]],"")</f>
        <v>440.69302045703688</v>
      </c>
      <c r="AA41" s="7"/>
      <c r="AB41" t="s">
        <v>11</v>
      </c>
      <c r="AC41" s="1">
        <v>705120</v>
      </c>
      <c r="AD41" s="3">
        <v>45778</v>
      </c>
      <c r="AE41" s="14">
        <f t="shared" si="8"/>
        <v>25</v>
      </c>
      <c r="AF41" s="7">
        <v>350</v>
      </c>
      <c r="AG41" s="7">
        <f>CT[[#This Row],[Sales Rate/MT (USD)]]*CT[[#This Row],[SC Qty (MT)]]</f>
        <v>8750</v>
      </c>
      <c r="AH41" s="7">
        <f>IF(CT[[#This Row],[Container Qty]]&lt;&gt;0,CT[[#This Row],[Sales Rate/MT (USD)]]*CT[[#This Row],[Container Qty]],"")</f>
        <v>7826</v>
      </c>
      <c r="AI41" s="7">
        <f>IF(CT[[#This Row],[Customer Final Price]]&lt;&gt;"",CT[[#This Row],[Customer Final Price]]-CT[[#This Row],[Customer  Prov. Price]],"")</f>
        <v>-924</v>
      </c>
      <c r="AJ41" t="s">
        <v>8</v>
      </c>
      <c r="AK41" s="1" t="s">
        <v>28</v>
      </c>
      <c r="AL41" s="1" t="s">
        <v>114</v>
      </c>
      <c r="AM41" s="23" t="s">
        <v>133</v>
      </c>
      <c r="AO41" s="7">
        <f>CT[[#This Row],[Customer Final Price]]/CT[[#This Row],[FX Rate]]</f>
        <v>5897.0687966242185</v>
      </c>
    </row>
    <row r="42" spans="1:41" x14ac:dyDescent="0.25">
      <c r="A42" t="s">
        <v>9</v>
      </c>
      <c r="B42" s="102" t="s">
        <v>13</v>
      </c>
      <c r="C42" s="81">
        <v>45778</v>
      </c>
      <c r="D42" s="1" t="s">
        <v>67</v>
      </c>
      <c r="E42" s="1" t="s">
        <v>93</v>
      </c>
      <c r="F42" s="11">
        <v>23.8</v>
      </c>
      <c r="G42" s="3">
        <v>45837</v>
      </c>
      <c r="H42" s="3">
        <v>45880</v>
      </c>
      <c r="I42" s="57" t="s">
        <v>110</v>
      </c>
      <c r="J42" s="1" t="s">
        <v>21</v>
      </c>
      <c r="K42" s="1" t="s">
        <v>14</v>
      </c>
      <c r="L42" s="1" t="s">
        <v>23</v>
      </c>
      <c r="M42" s="14">
        <f t="shared" si="5"/>
        <v>25</v>
      </c>
      <c r="N42" s="1">
        <v>93</v>
      </c>
      <c r="O42" s="7">
        <v>325</v>
      </c>
      <c r="P42" s="7">
        <f>CT[[#This Row],[Purchase Rate/MT (USD)]]*CT[[#This Row],[PC Qty (MT)]]</f>
        <v>8125</v>
      </c>
      <c r="Q42" s="7">
        <f>CT[[#This Row],[Purchase Rate/MT (USD)]]*CT[[#This Row],[Container Qty]]</f>
        <v>7735</v>
      </c>
      <c r="R42" s="32">
        <f>IF(CT[[#This Row],[BL Number]]&lt;&gt;0,(CT[[#This Row],[Supplier Prov. Price]]-CT[[#This Row],[Supplier Final Price]])*1.2,"")</f>
        <v>468</v>
      </c>
      <c r="S42" s="101">
        <v>1.3270999999999999</v>
      </c>
      <c r="T42" s="3">
        <v>45831</v>
      </c>
      <c r="U42" s="7">
        <v>0</v>
      </c>
      <c r="V42" s="7">
        <f t="shared" ref="V42:V43" si="18">(275*S42)/SUM($F$41:$F$43)</f>
        <v>5.1766312056737585</v>
      </c>
      <c r="W42" s="24">
        <f t="shared" si="15"/>
        <v>0.11437861288450378</v>
      </c>
      <c r="X42" s="106">
        <f>IFERROR(CT[[#This Row],[Freight Charges]]+CT[[#This Row],[Inspection Cost/MT]]+CT[[#This Row],[DHL Charges PMT]],"")</f>
        <v>5.2910098185582619</v>
      </c>
      <c r="Y42" s="7">
        <f>IFERROR(AF42-(O42+CT[[#This Row],[Cost Per MT]]),"")</f>
        <v>19.70899018144172</v>
      </c>
      <c r="Z42" s="7">
        <f>IFERROR(CT[[#This Row],[Margin/MT]]*CT[[#This Row],[Container Qty]],"")</f>
        <v>469.07396631831296</v>
      </c>
      <c r="AA42" s="7"/>
      <c r="AB42" t="s">
        <v>11</v>
      </c>
      <c r="AC42" s="1">
        <v>705120</v>
      </c>
      <c r="AD42" s="3">
        <v>45778</v>
      </c>
      <c r="AE42" s="14">
        <f t="shared" si="8"/>
        <v>25</v>
      </c>
      <c r="AF42" s="7">
        <v>350</v>
      </c>
      <c r="AG42" s="7">
        <f>CT[[#This Row],[Sales Rate/MT (USD)]]*CT[[#This Row],[SC Qty (MT)]]</f>
        <v>8750</v>
      </c>
      <c r="AH42" s="7">
        <f>IF(CT[[#This Row],[Container Qty]]&lt;&gt;0,CT[[#This Row],[Sales Rate/MT (USD)]]*CT[[#This Row],[Container Qty]],"")</f>
        <v>8330</v>
      </c>
      <c r="AI42" s="7">
        <f>IF(CT[[#This Row],[Customer Final Price]]&lt;&gt;"",CT[[#This Row],[Customer Final Price]]-CT[[#This Row],[Customer  Prov. Price]],"")</f>
        <v>-420</v>
      </c>
      <c r="AJ42" t="s">
        <v>8</v>
      </c>
      <c r="AK42" s="1" t="s">
        <v>28</v>
      </c>
      <c r="AL42" s="1" t="s">
        <v>114</v>
      </c>
      <c r="AM42" s="23" t="s">
        <v>133</v>
      </c>
      <c r="AO42" s="7">
        <f>CT[[#This Row],[Customer Final Price]]/CT[[#This Row],[FX Rate]]</f>
        <v>6276.8442468540425</v>
      </c>
    </row>
    <row r="43" spans="1:41" x14ac:dyDescent="0.25">
      <c r="A43" t="s">
        <v>9</v>
      </c>
      <c r="B43" s="102" t="s">
        <v>13</v>
      </c>
      <c r="C43" s="81">
        <v>45778</v>
      </c>
      <c r="D43" s="1" t="s">
        <v>67</v>
      </c>
      <c r="E43" s="1" t="s">
        <v>94</v>
      </c>
      <c r="F43" s="11">
        <v>24.34</v>
      </c>
      <c r="G43" s="3">
        <v>45837</v>
      </c>
      <c r="H43" s="3">
        <v>45880</v>
      </c>
      <c r="I43" s="57" t="s">
        <v>110</v>
      </c>
      <c r="J43" s="1" t="s">
        <v>21</v>
      </c>
      <c r="K43" s="1" t="s">
        <v>14</v>
      </c>
      <c r="L43" s="1" t="s">
        <v>23</v>
      </c>
      <c r="M43" s="14">
        <f t="shared" si="5"/>
        <v>25</v>
      </c>
      <c r="N43" s="1">
        <v>93</v>
      </c>
      <c r="O43" s="7">
        <v>325</v>
      </c>
      <c r="P43" s="7">
        <f>CT[[#This Row],[Purchase Rate/MT (USD)]]*CT[[#This Row],[PC Qty (MT)]]</f>
        <v>8125</v>
      </c>
      <c r="Q43" s="7">
        <f>CT[[#This Row],[Purchase Rate/MT (USD)]]*CT[[#This Row],[Container Qty]]</f>
        <v>7910.5</v>
      </c>
      <c r="R43" s="32">
        <f>IF(CT[[#This Row],[BL Number]]&lt;&gt;0,(CT[[#This Row],[Supplier Prov. Price]]-CT[[#This Row],[Supplier Final Price]])*1.2,"")</f>
        <v>257.39999999999998</v>
      </c>
      <c r="S43" s="101">
        <v>1.3270999999999999</v>
      </c>
      <c r="T43" s="3">
        <v>45831</v>
      </c>
      <c r="U43" s="7">
        <v>0</v>
      </c>
      <c r="V43" s="7">
        <f t="shared" si="18"/>
        <v>5.1766312056737585</v>
      </c>
      <c r="W43" s="24">
        <f t="shared" si="15"/>
        <v>0.11437861288450378</v>
      </c>
      <c r="X43" s="106">
        <f>IFERROR(CT[[#This Row],[Freight Charges]]+CT[[#This Row],[Inspection Cost/MT]]+CT[[#This Row],[DHL Charges PMT]],"")</f>
        <v>5.2910098185582619</v>
      </c>
      <c r="Y43" s="7">
        <f>IFERROR(AF43-(O43+CT[[#This Row],[Cost Per MT]]),"")</f>
        <v>19.70899018144172</v>
      </c>
      <c r="Z43" s="7">
        <f>IFERROR(CT[[#This Row],[Margin/MT]]*CT[[#This Row],[Container Qty]],"")</f>
        <v>479.71682101629148</v>
      </c>
      <c r="AA43" s="7"/>
      <c r="AB43" t="s">
        <v>11</v>
      </c>
      <c r="AC43" s="1">
        <v>705120</v>
      </c>
      <c r="AD43" s="3">
        <v>45778</v>
      </c>
      <c r="AE43" s="14">
        <f t="shared" si="8"/>
        <v>25</v>
      </c>
      <c r="AF43" s="7">
        <v>350</v>
      </c>
      <c r="AG43" s="7">
        <f>CT[[#This Row],[Sales Rate/MT (USD)]]*CT[[#This Row],[SC Qty (MT)]]</f>
        <v>8750</v>
      </c>
      <c r="AH43" s="7">
        <f>IF(CT[[#This Row],[Container Qty]]&lt;&gt;0,CT[[#This Row],[Sales Rate/MT (USD)]]*CT[[#This Row],[Container Qty]],"")</f>
        <v>8519</v>
      </c>
      <c r="AI43" s="7">
        <f>IF(CT[[#This Row],[Customer Final Price]]&lt;&gt;"",CT[[#This Row],[Customer Final Price]]-CT[[#This Row],[Customer  Prov. Price]],"")</f>
        <v>-231</v>
      </c>
      <c r="AJ43" t="s">
        <v>8</v>
      </c>
      <c r="AK43" s="1" t="s">
        <v>28</v>
      </c>
      <c r="AL43" s="1" t="s">
        <v>114</v>
      </c>
      <c r="AM43" s="23" t="s">
        <v>133</v>
      </c>
      <c r="AO43" s="7">
        <f>CT[[#This Row],[Customer Final Price]]/CT[[#This Row],[FX Rate]]</f>
        <v>6419.2600406902275</v>
      </c>
    </row>
    <row r="44" spans="1:41" x14ac:dyDescent="0.25">
      <c r="A44" t="s">
        <v>9</v>
      </c>
      <c r="B44" s="102" t="s">
        <v>13</v>
      </c>
      <c r="C44" s="81">
        <v>45778</v>
      </c>
      <c r="D44" s="1" t="s">
        <v>67</v>
      </c>
      <c r="E44" s="1" t="s">
        <v>95</v>
      </c>
      <c r="F44" s="11">
        <v>24.39</v>
      </c>
      <c r="G44" s="3">
        <v>45837</v>
      </c>
      <c r="H44" s="3">
        <v>45880</v>
      </c>
      <c r="I44" s="57" t="s">
        <v>110</v>
      </c>
      <c r="J44" s="1" t="s">
        <v>21</v>
      </c>
      <c r="K44" s="1" t="s">
        <v>14</v>
      </c>
      <c r="L44" s="1" t="s">
        <v>23</v>
      </c>
      <c r="M44" s="14">
        <f t="shared" si="5"/>
        <v>25</v>
      </c>
      <c r="N44" s="1">
        <v>93</v>
      </c>
      <c r="O44" s="7">
        <v>325</v>
      </c>
      <c r="P44" s="7">
        <f>CT[[#This Row],[Purchase Rate/MT (USD)]]*CT[[#This Row],[PC Qty (MT)]]</f>
        <v>8125</v>
      </c>
      <c r="Q44" s="7">
        <f>CT[[#This Row],[Purchase Rate/MT (USD)]]*CT[[#This Row],[Container Qty]]</f>
        <v>7926.75</v>
      </c>
      <c r="R44" s="32">
        <f>IF(CT[[#This Row],[BL Number]]&lt;&gt;0,(CT[[#This Row],[Supplier Prov. Price]]-CT[[#This Row],[Supplier Final Price]])*1.2,"")</f>
        <v>237.89999999999998</v>
      </c>
      <c r="S44" s="101">
        <v>1.3270999999999999</v>
      </c>
      <c r="T44" s="3">
        <v>45832</v>
      </c>
      <c r="U44" s="7">
        <v>0</v>
      </c>
      <c r="V44" s="7">
        <f t="shared" ref="V44:V45" si="19">(275*S44)/($F$44+$F$45+$F$50)</f>
        <v>5.117830598793998</v>
      </c>
      <c r="W44" s="24">
        <f t="shared" si="15"/>
        <v>0.11437861288450378</v>
      </c>
      <c r="X44" s="106">
        <f>IFERROR(CT[[#This Row],[Freight Charges]]+CT[[#This Row],[Inspection Cost/MT]]+CT[[#This Row],[DHL Charges PMT]],"")</f>
        <v>5.2322092116785015</v>
      </c>
      <c r="Y44" s="7">
        <f>IFERROR(AF44-(O44+CT[[#This Row],[Cost Per MT]]),"")</f>
        <v>19.76779078832152</v>
      </c>
      <c r="Z44" s="7">
        <f>IFERROR(CT[[#This Row],[Margin/MT]]*CT[[#This Row],[Container Qty]],"")</f>
        <v>482.13641732716189</v>
      </c>
      <c r="AA44" s="7"/>
      <c r="AB44" t="s">
        <v>11</v>
      </c>
      <c r="AC44" s="1">
        <v>705120</v>
      </c>
      <c r="AD44" s="3">
        <v>45778</v>
      </c>
      <c r="AE44" s="14">
        <f t="shared" si="8"/>
        <v>25</v>
      </c>
      <c r="AF44" s="7">
        <v>350</v>
      </c>
      <c r="AG44" s="7">
        <f>CT[[#This Row],[Sales Rate/MT (USD)]]*CT[[#This Row],[SC Qty (MT)]]</f>
        <v>8750</v>
      </c>
      <c r="AH44" s="7">
        <f>IF(CT[[#This Row],[Container Qty]]&lt;&gt;0,CT[[#This Row],[Sales Rate/MT (USD)]]*CT[[#This Row],[Container Qty]],"")</f>
        <v>8536.5</v>
      </c>
      <c r="AI44" s="7">
        <f>IF(CT[[#This Row],[Customer Final Price]]&lt;&gt;"",CT[[#This Row],[Customer Final Price]]-CT[[#This Row],[Customer  Prov. Price]],"")</f>
        <v>-213.5</v>
      </c>
      <c r="AJ44" t="s">
        <v>8</v>
      </c>
      <c r="AK44" s="1" t="s">
        <v>28</v>
      </c>
      <c r="AL44" s="1" t="s">
        <v>114</v>
      </c>
      <c r="AM44" s="23" t="s">
        <v>133</v>
      </c>
      <c r="AO44" s="7">
        <f>CT[[#This Row],[Customer Final Price]]/CT[[#This Row],[FX Rate]]</f>
        <v>6432.4466882676516</v>
      </c>
    </row>
    <row r="45" spans="1:41" x14ac:dyDescent="0.25">
      <c r="A45" t="s">
        <v>9</v>
      </c>
      <c r="B45" s="102" t="s">
        <v>13</v>
      </c>
      <c r="C45" s="81">
        <v>45778</v>
      </c>
      <c r="D45" s="1" t="s">
        <v>67</v>
      </c>
      <c r="E45" s="1" t="s">
        <v>96</v>
      </c>
      <c r="F45" s="11">
        <v>22.92</v>
      </c>
      <c r="G45" s="3">
        <v>45837</v>
      </c>
      <c r="H45" s="3">
        <v>45880</v>
      </c>
      <c r="I45" s="57" t="s">
        <v>110</v>
      </c>
      <c r="J45" s="1" t="s">
        <v>21</v>
      </c>
      <c r="K45" s="1" t="s">
        <v>14</v>
      </c>
      <c r="L45" s="1" t="s">
        <v>23</v>
      </c>
      <c r="M45" s="14">
        <f t="shared" si="5"/>
        <v>25</v>
      </c>
      <c r="N45" s="1">
        <v>93</v>
      </c>
      <c r="O45" s="7">
        <v>325</v>
      </c>
      <c r="P45" s="7">
        <f>CT[[#This Row],[Purchase Rate/MT (USD)]]*CT[[#This Row],[PC Qty (MT)]]</f>
        <v>8125</v>
      </c>
      <c r="Q45" s="7">
        <f>CT[[#This Row],[Purchase Rate/MT (USD)]]*CT[[#This Row],[Container Qty]]</f>
        <v>7449.0000000000009</v>
      </c>
      <c r="R45" s="32">
        <f>IF(CT[[#This Row],[BL Number]]&lt;&gt;0,(CT[[#This Row],[Supplier Prov. Price]]-CT[[#This Row],[Supplier Final Price]])*1.2,"")</f>
        <v>811.19999999999891</v>
      </c>
      <c r="S45" s="101">
        <v>1.3270999999999999</v>
      </c>
      <c r="T45" s="3">
        <v>45832</v>
      </c>
      <c r="U45" s="7">
        <v>0</v>
      </c>
      <c r="V45" s="7">
        <f t="shared" si="19"/>
        <v>5.117830598793998</v>
      </c>
      <c r="W45" s="24">
        <f t="shared" si="15"/>
        <v>0.11437861288450378</v>
      </c>
      <c r="X45" s="106">
        <f>IFERROR(CT[[#This Row],[Freight Charges]]+CT[[#This Row],[Inspection Cost/MT]]+CT[[#This Row],[DHL Charges PMT]],"")</f>
        <v>5.2322092116785015</v>
      </c>
      <c r="Y45" s="7">
        <f>IFERROR(AF45-(O45+CT[[#This Row],[Cost Per MT]]),"")</f>
        <v>19.76779078832152</v>
      </c>
      <c r="Z45" s="7">
        <f>IFERROR(CT[[#This Row],[Margin/MT]]*CT[[#This Row],[Container Qty]],"")</f>
        <v>453.07776486832927</v>
      </c>
      <c r="AA45" s="7"/>
      <c r="AB45" t="s">
        <v>11</v>
      </c>
      <c r="AC45" s="1">
        <v>705120</v>
      </c>
      <c r="AD45" s="3">
        <v>45778</v>
      </c>
      <c r="AE45" s="14">
        <f t="shared" si="8"/>
        <v>25</v>
      </c>
      <c r="AF45" s="7">
        <v>350</v>
      </c>
      <c r="AG45" s="7">
        <f>CT[[#This Row],[Sales Rate/MT (USD)]]*CT[[#This Row],[SC Qty (MT)]]</f>
        <v>8750</v>
      </c>
      <c r="AH45" s="7">
        <f>IF(CT[[#This Row],[Container Qty]]&lt;&gt;0,CT[[#This Row],[Sales Rate/MT (USD)]]*CT[[#This Row],[Container Qty]],"")</f>
        <v>8022.0000000000009</v>
      </c>
      <c r="AI45" s="7">
        <f>IF(CT[[#This Row],[Customer Final Price]]&lt;&gt;"",CT[[#This Row],[Customer Final Price]]-CT[[#This Row],[Customer  Prov. Price]],"")</f>
        <v>-727.99999999999909</v>
      </c>
      <c r="AJ45" t="s">
        <v>8</v>
      </c>
      <c r="AK45" s="1" t="s">
        <v>28</v>
      </c>
      <c r="AL45" s="1" t="s">
        <v>114</v>
      </c>
      <c r="AM45" s="23" t="s">
        <v>133</v>
      </c>
      <c r="AO45" s="7">
        <f>CT[[#This Row],[Customer Final Price]]/CT[[#This Row],[FX Rate]]</f>
        <v>6044.7592494913733</v>
      </c>
    </row>
    <row r="46" spans="1:41" x14ac:dyDescent="0.25">
      <c r="A46" t="s">
        <v>9</v>
      </c>
      <c r="B46" s="102" t="s">
        <v>13</v>
      </c>
      <c r="C46" s="81">
        <v>45778</v>
      </c>
      <c r="D46" s="1" t="s">
        <v>67</v>
      </c>
      <c r="E46" s="1" t="s">
        <v>100</v>
      </c>
      <c r="F46" s="11">
        <v>23.3</v>
      </c>
      <c r="G46" s="3">
        <v>45837</v>
      </c>
      <c r="H46" s="3">
        <v>45880</v>
      </c>
      <c r="I46" s="57" t="s">
        <v>110</v>
      </c>
      <c r="J46" s="1" t="s">
        <v>21</v>
      </c>
      <c r="K46" s="1" t="s">
        <v>14</v>
      </c>
      <c r="L46" s="1" t="s">
        <v>23</v>
      </c>
      <c r="M46" s="14">
        <f t="shared" si="5"/>
        <v>25</v>
      </c>
      <c r="N46" s="1">
        <v>93</v>
      </c>
      <c r="O46" s="7">
        <v>325</v>
      </c>
      <c r="P46" s="7">
        <f>CT[[#This Row],[Purchase Rate/MT (USD)]]*CT[[#This Row],[PC Qty (MT)]]</f>
        <v>8125</v>
      </c>
      <c r="Q46" s="7">
        <f>CT[[#This Row],[Purchase Rate/MT (USD)]]*CT[[#This Row],[Container Qty]]</f>
        <v>7572.5</v>
      </c>
      <c r="R46" s="32">
        <f>IF(CT[[#This Row],[BL Number]]&lt;&gt;0,(CT[[#This Row],[Supplier Prov. Price]]-CT[[#This Row],[Supplier Final Price]])*1.2,"")</f>
        <v>663</v>
      </c>
      <c r="S46" s="101">
        <v>1.3270999999999999</v>
      </c>
      <c r="T46" s="3">
        <v>45833</v>
      </c>
      <c r="U46" s="7">
        <v>0</v>
      </c>
      <c r="V46" s="7">
        <f>(275*S46)/($F$46+$F$48+$F$49+$F$51+$F$52)</f>
        <v>3.0501671541997495</v>
      </c>
      <c r="W46" s="24">
        <f t="shared" si="15"/>
        <v>0.11437861288450378</v>
      </c>
      <c r="X46" s="106">
        <f>IFERROR(CT[[#This Row],[Freight Charges]]+CT[[#This Row],[Inspection Cost/MT]]+CT[[#This Row],[DHL Charges PMT]],"")</f>
        <v>3.1645457670842534</v>
      </c>
      <c r="Y46" s="7">
        <f>IFERROR(AF46-(O46+CT[[#This Row],[Cost Per MT]]),"")</f>
        <v>21.835454232915765</v>
      </c>
      <c r="Z46" s="7">
        <f>IFERROR(CT[[#This Row],[Margin/MT]]*CT[[#This Row],[Container Qty]],"")</f>
        <v>508.76608362693736</v>
      </c>
      <c r="AA46" s="7"/>
      <c r="AB46" t="s">
        <v>11</v>
      </c>
      <c r="AC46" s="1">
        <v>705120</v>
      </c>
      <c r="AD46" s="3">
        <v>45778</v>
      </c>
      <c r="AE46" s="14">
        <f t="shared" si="8"/>
        <v>25</v>
      </c>
      <c r="AF46" s="7">
        <v>350</v>
      </c>
      <c r="AG46" s="7">
        <f>CT[[#This Row],[Sales Rate/MT (USD)]]*CT[[#This Row],[SC Qty (MT)]]</f>
        <v>8750</v>
      </c>
      <c r="AH46" s="7">
        <f>IF(CT[[#This Row],[Container Qty]]&lt;&gt;0,CT[[#This Row],[Sales Rate/MT (USD)]]*CT[[#This Row],[Container Qty]],"")</f>
        <v>8155</v>
      </c>
      <c r="AI46" s="7">
        <f>IF(CT[[#This Row],[Customer Final Price]]&lt;&gt;"",CT[[#This Row],[Customer Final Price]]-CT[[#This Row],[Customer  Prov. Price]],"")</f>
        <v>-595</v>
      </c>
      <c r="AJ46" t="s">
        <v>8</v>
      </c>
      <c r="AK46" s="1" t="s">
        <v>28</v>
      </c>
      <c r="AL46" s="1" t="s">
        <v>114</v>
      </c>
      <c r="AM46" s="23" t="s">
        <v>133</v>
      </c>
      <c r="AO46" s="7">
        <f>CT[[#This Row],[Customer Final Price]]/CT[[#This Row],[FX Rate]]</f>
        <v>6144.977771079798</v>
      </c>
    </row>
    <row r="47" spans="1:41" x14ac:dyDescent="0.25">
      <c r="A47" t="s">
        <v>9</v>
      </c>
      <c r="B47" s="102" t="s">
        <v>13</v>
      </c>
      <c r="C47" s="81">
        <v>45778</v>
      </c>
      <c r="D47" s="1" t="s">
        <v>67</v>
      </c>
      <c r="E47" s="1" t="s">
        <v>102</v>
      </c>
      <c r="F47" s="11">
        <v>24.2</v>
      </c>
      <c r="G47" s="3">
        <v>45837</v>
      </c>
      <c r="H47" s="3">
        <v>45880</v>
      </c>
      <c r="I47" s="57" t="s">
        <v>110</v>
      </c>
      <c r="J47" s="1" t="s">
        <v>21</v>
      </c>
      <c r="K47" s="1" t="s">
        <v>14</v>
      </c>
      <c r="L47" s="1" t="s">
        <v>23</v>
      </c>
      <c r="M47" s="14">
        <f t="shared" si="5"/>
        <v>25</v>
      </c>
      <c r="N47" s="1">
        <v>93</v>
      </c>
      <c r="O47" s="7">
        <v>325</v>
      </c>
      <c r="P47" s="7">
        <f>CT[[#This Row],[Purchase Rate/MT (USD)]]*CT[[#This Row],[PC Qty (MT)]]</f>
        <v>8125</v>
      </c>
      <c r="Q47" s="7">
        <f>CT[[#This Row],[Purchase Rate/MT (USD)]]*CT[[#This Row],[Container Qty]]</f>
        <v>7865</v>
      </c>
      <c r="R47" s="32">
        <f>IF(CT[[#This Row],[BL Number]]&lt;&gt;0,(CT[[#This Row],[Supplier Prov. Price]]-CT[[#This Row],[Supplier Final Price]])*1.2,"")</f>
        <v>312</v>
      </c>
      <c r="S47" s="101">
        <v>1.3270999999999999</v>
      </c>
      <c r="T47" s="3">
        <v>45834</v>
      </c>
      <c r="U47" s="7">
        <v>0</v>
      </c>
      <c r="V47" s="7">
        <f>(275*CT[[#This Row],[FX Rate]])/CT[[#This Row],[Container Qty]]</f>
        <v>15.080681818181818</v>
      </c>
      <c r="W47" s="24">
        <f t="shared" si="15"/>
        <v>0.11437861288450378</v>
      </c>
      <c r="X47" s="106">
        <f>IFERROR(CT[[#This Row],[Freight Charges]]+CT[[#This Row],[Inspection Cost/MT]]+CT[[#This Row],[DHL Charges PMT]],"")</f>
        <v>15.195060431066322</v>
      </c>
      <c r="Y47" s="7">
        <f>IFERROR(AF47-(O47+CT[[#This Row],[Cost Per MT]]),"")</f>
        <v>9.804939568933662</v>
      </c>
      <c r="Z47" s="7">
        <f>IFERROR(CT[[#This Row],[Margin/MT]]*CT[[#This Row],[Container Qty]],"")</f>
        <v>237.27953756819463</v>
      </c>
      <c r="AA47" s="7"/>
      <c r="AB47" t="s">
        <v>11</v>
      </c>
      <c r="AC47" s="1">
        <v>705120</v>
      </c>
      <c r="AD47" s="3">
        <v>45778</v>
      </c>
      <c r="AE47" s="14">
        <f t="shared" si="8"/>
        <v>25</v>
      </c>
      <c r="AF47" s="7">
        <v>350</v>
      </c>
      <c r="AG47" s="7">
        <f>CT[[#This Row],[Sales Rate/MT (USD)]]*CT[[#This Row],[SC Qty (MT)]]</f>
        <v>8750</v>
      </c>
      <c r="AH47" s="7">
        <f>IF(CT[[#This Row],[Container Qty]]&lt;&gt;0,CT[[#This Row],[Sales Rate/MT (USD)]]*CT[[#This Row],[Container Qty]],"")</f>
        <v>8470</v>
      </c>
      <c r="AI47" s="7">
        <f>IF(CT[[#This Row],[Customer Final Price]]&lt;&gt;"",CT[[#This Row],[Customer Final Price]]-CT[[#This Row],[Customer  Prov. Price]],"")</f>
        <v>-280</v>
      </c>
      <c r="AJ47" t="s">
        <v>8</v>
      </c>
      <c r="AK47" s="1" t="s">
        <v>28</v>
      </c>
      <c r="AL47" s="1" t="s">
        <v>114</v>
      </c>
      <c r="AM47" s="23" t="s">
        <v>133</v>
      </c>
      <c r="AO47" s="7">
        <f>CT[[#This Row],[Customer Final Price]]/CT[[#This Row],[FX Rate]]</f>
        <v>6382.3374274734388</v>
      </c>
    </row>
    <row r="48" spans="1:41" x14ac:dyDescent="0.25">
      <c r="A48" t="s">
        <v>9</v>
      </c>
      <c r="B48" s="102" t="s">
        <v>13</v>
      </c>
      <c r="C48" s="81">
        <v>45778</v>
      </c>
      <c r="D48" s="1" t="s">
        <v>67</v>
      </c>
      <c r="E48" s="1" t="s">
        <v>103</v>
      </c>
      <c r="F48" s="11">
        <v>23.94</v>
      </c>
      <c r="G48" s="3">
        <v>45837</v>
      </c>
      <c r="H48" s="3">
        <v>45880</v>
      </c>
      <c r="I48" s="57" t="s">
        <v>110</v>
      </c>
      <c r="J48" s="1" t="s">
        <v>21</v>
      </c>
      <c r="K48" s="1" t="s">
        <v>14</v>
      </c>
      <c r="L48" s="1" t="s">
        <v>23</v>
      </c>
      <c r="M48" s="14">
        <f t="shared" si="5"/>
        <v>25</v>
      </c>
      <c r="N48" s="1">
        <v>93</v>
      </c>
      <c r="O48" s="7">
        <v>325</v>
      </c>
      <c r="P48" s="7">
        <f>CT[[#This Row],[Purchase Rate/MT (USD)]]*CT[[#This Row],[PC Qty (MT)]]</f>
        <v>8125</v>
      </c>
      <c r="Q48" s="7">
        <f>CT[[#This Row],[Purchase Rate/MT (USD)]]*CT[[#This Row],[Container Qty]]</f>
        <v>7780.5</v>
      </c>
      <c r="R48" s="32">
        <f>IF(CT[[#This Row],[BL Number]]&lt;&gt;0,(CT[[#This Row],[Supplier Prov. Price]]-CT[[#This Row],[Supplier Final Price]])*1.2,"")</f>
        <v>413.4</v>
      </c>
      <c r="S48" s="101">
        <v>1.3270999999999999</v>
      </c>
      <c r="T48" s="3">
        <v>45833</v>
      </c>
      <c r="U48" s="7">
        <v>0</v>
      </c>
      <c r="V48" s="7">
        <f t="shared" ref="V48:V49" si="20">(275*S48)/($F$46+$F$48+$F$49+$F$51+$F$52)</f>
        <v>3.0501671541997495</v>
      </c>
      <c r="W48" s="24">
        <f t="shared" si="15"/>
        <v>0.11437861288450378</v>
      </c>
      <c r="X48" s="106">
        <f>IFERROR(CT[[#This Row],[Freight Charges]]+CT[[#This Row],[Inspection Cost/MT]]+CT[[#This Row],[DHL Charges PMT]],"")</f>
        <v>3.1645457670842534</v>
      </c>
      <c r="Y48" s="7">
        <f>IFERROR(AF48-(O48+CT[[#This Row],[Cost Per MT]]),"")</f>
        <v>21.835454232915765</v>
      </c>
      <c r="Z48" s="7">
        <f>IFERROR(CT[[#This Row],[Margin/MT]]*CT[[#This Row],[Container Qty]],"")</f>
        <v>522.74077433600348</v>
      </c>
      <c r="AA48" s="7"/>
      <c r="AB48" t="s">
        <v>11</v>
      </c>
      <c r="AC48" s="1">
        <v>705120</v>
      </c>
      <c r="AD48" s="3">
        <v>45778</v>
      </c>
      <c r="AE48" s="14">
        <f t="shared" si="8"/>
        <v>25</v>
      </c>
      <c r="AF48" s="7">
        <v>350</v>
      </c>
      <c r="AG48" s="7">
        <f>CT[[#This Row],[Sales Rate/MT (USD)]]*CT[[#This Row],[SC Qty (MT)]]</f>
        <v>8750</v>
      </c>
      <c r="AH48" s="7">
        <f>IF(CT[[#This Row],[Container Qty]]&lt;&gt;0,CT[[#This Row],[Sales Rate/MT (USD)]]*CT[[#This Row],[Container Qty]],"")</f>
        <v>8379</v>
      </c>
      <c r="AI48" s="7">
        <f>IF(CT[[#This Row],[Customer Final Price]]&lt;&gt;"",CT[[#This Row],[Customer Final Price]]-CT[[#This Row],[Customer  Prov. Price]],"")</f>
        <v>-371</v>
      </c>
      <c r="AJ48" t="s">
        <v>8</v>
      </c>
      <c r="AK48" s="1" t="s">
        <v>28</v>
      </c>
      <c r="AL48" s="1" t="s">
        <v>114</v>
      </c>
      <c r="AM48" s="23" t="s">
        <v>133</v>
      </c>
      <c r="AO48" s="7">
        <f>CT[[#This Row],[Customer Final Price]]/CT[[#This Row],[FX Rate]]</f>
        <v>6313.7668600708312</v>
      </c>
    </row>
    <row r="49" spans="1:41" x14ac:dyDescent="0.25">
      <c r="A49" t="s">
        <v>9</v>
      </c>
      <c r="B49" s="102" t="s">
        <v>13</v>
      </c>
      <c r="C49" s="81">
        <v>45778</v>
      </c>
      <c r="D49" s="1" t="s">
        <v>67</v>
      </c>
      <c r="E49" s="1" t="s">
        <v>104</v>
      </c>
      <c r="F49" s="11">
        <v>24.45</v>
      </c>
      <c r="G49" s="3">
        <v>45837</v>
      </c>
      <c r="H49" s="3">
        <v>45880</v>
      </c>
      <c r="I49" s="57" t="s">
        <v>110</v>
      </c>
      <c r="J49" s="1" t="s">
        <v>21</v>
      </c>
      <c r="K49" s="1" t="s">
        <v>14</v>
      </c>
      <c r="L49" s="1" t="s">
        <v>23</v>
      </c>
      <c r="M49" s="14">
        <f t="shared" si="5"/>
        <v>25</v>
      </c>
      <c r="N49" s="1">
        <v>93</v>
      </c>
      <c r="O49" s="7">
        <v>325</v>
      </c>
      <c r="P49" s="7">
        <f>CT[[#This Row],[Purchase Rate/MT (USD)]]*CT[[#This Row],[PC Qty (MT)]]</f>
        <v>8125</v>
      </c>
      <c r="Q49" s="7">
        <f>CT[[#This Row],[Purchase Rate/MT (USD)]]*CT[[#This Row],[Container Qty]]</f>
        <v>7946.25</v>
      </c>
      <c r="R49" s="32">
        <f>IF(CT[[#This Row],[BL Number]]&lt;&gt;0,(CT[[#This Row],[Supplier Prov. Price]]-CT[[#This Row],[Supplier Final Price]])*1.2,"")</f>
        <v>214.5</v>
      </c>
      <c r="S49" s="101">
        <v>1.3270999999999999</v>
      </c>
      <c r="T49" s="3">
        <v>45833</v>
      </c>
      <c r="U49" s="7">
        <v>0</v>
      </c>
      <c r="V49" s="7">
        <f t="shared" si="20"/>
        <v>3.0501671541997495</v>
      </c>
      <c r="W49" s="24">
        <f t="shared" si="15"/>
        <v>0.11437861288450378</v>
      </c>
      <c r="X49" s="106">
        <f>IFERROR(CT[[#This Row],[Freight Charges]]+CT[[#This Row],[Inspection Cost/MT]]+CT[[#This Row],[DHL Charges PMT]],"")</f>
        <v>3.1645457670842534</v>
      </c>
      <c r="Y49" s="7">
        <f>IFERROR(AF49-(O49+CT[[#This Row],[Cost Per MT]]),"")</f>
        <v>21.835454232915765</v>
      </c>
      <c r="Z49" s="7">
        <f>IFERROR(CT[[#This Row],[Margin/MT]]*CT[[#This Row],[Container Qty]],"")</f>
        <v>533.87685599479039</v>
      </c>
      <c r="AA49" s="7"/>
      <c r="AB49" t="s">
        <v>11</v>
      </c>
      <c r="AC49" s="1">
        <v>705120</v>
      </c>
      <c r="AD49" s="3">
        <v>45778</v>
      </c>
      <c r="AE49" s="14">
        <f t="shared" si="8"/>
        <v>25</v>
      </c>
      <c r="AF49" s="7">
        <v>350</v>
      </c>
      <c r="AG49" s="7">
        <f>CT[[#This Row],[Sales Rate/MT (USD)]]*CT[[#This Row],[SC Qty (MT)]]</f>
        <v>8750</v>
      </c>
      <c r="AH49" s="7">
        <f>IF(CT[[#This Row],[Container Qty]]&lt;&gt;0,CT[[#This Row],[Sales Rate/MT (USD)]]*CT[[#This Row],[Container Qty]],"")</f>
        <v>8557.5</v>
      </c>
      <c r="AI49" s="7">
        <f>IF(CT[[#This Row],[Customer Final Price]]&lt;&gt;"",CT[[#This Row],[Customer Final Price]]-CT[[#This Row],[Customer  Prov. Price]],"")</f>
        <v>-192.5</v>
      </c>
      <c r="AJ49" t="s">
        <v>8</v>
      </c>
      <c r="AK49" s="1" t="s">
        <v>28</v>
      </c>
      <c r="AL49" s="1" t="s">
        <v>114</v>
      </c>
      <c r="AM49" s="23" t="s">
        <v>133</v>
      </c>
      <c r="AO49" s="7">
        <f>CT[[#This Row],[Customer Final Price]]/CT[[#This Row],[FX Rate]]</f>
        <v>6448.270665360561</v>
      </c>
    </row>
    <row r="50" spans="1:41" x14ac:dyDescent="0.25">
      <c r="A50" t="s">
        <v>9</v>
      </c>
      <c r="B50" s="102" t="s">
        <v>13</v>
      </c>
      <c r="C50" s="81">
        <v>45778</v>
      </c>
      <c r="D50" s="1" t="s">
        <v>67</v>
      </c>
      <c r="E50" s="1" t="s">
        <v>97</v>
      </c>
      <c r="F50" s="11">
        <v>24</v>
      </c>
      <c r="G50" s="3">
        <v>45837</v>
      </c>
      <c r="H50" s="3">
        <v>45880</v>
      </c>
      <c r="I50" s="57" t="s">
        <v>110</v>
      </c>
      <c r="J50" s="1" t="s">
        <v>21</v>
      </c>
      <c r="K50" s="1" t="s">
        <v>14</v>
      </c>
      <c r="L50" s="1" t="s">
        <v>23</v>
      </c>
      <c r="M50" s="14">
        <f t="shared" si="5"/>
        <v>25</v>
      </c>
      <c r="N50" s="1">
        <v>93</v>
      </c>
      <c r="O50" s="7">
        <v>325</v>
      </c>
      <c r="P50" s="7">
        <f>CT[[#This Row],[Purchase Rate/MT (USD)]]*CT[[#This Row],[PC Qty (MT)]]</f>
        <v>8125</v>
      </c>
      <c r="Q50" s="7">
        <f>CT[[#This Row],[Purchase Rate/MT (USD)]]*CT[[#This Row],[Container Qty]]</f>
        <v>7800</v>
      </c>
      <c r="R50" s="32">
        <f>IF(CT[[#This Row],[BL Number]]&lt;&gt;0,(CT[[#This Row],[Supplier Prov. Price]]-CT[[#This Row],[Supplier Final Price]])*1.2,"")</f>
        <v>390</v>
      </c>
      <c r="S50" s="101">
        <v>1.3270999999999999</v>
      </c>
      <c r="T50" s="3">
        <v>45832</v>
      </c>
      <c r="U50" s="7">
        <v>0</v>
      </c>
      <c r="V50" s="7">
        <f>(275*S50)/($F$44+$F$45+$F$50)</f>
        <v>5.117830598793998</v>
      </c>
      <c r="W50" s="24">
        <f t="shared" si="15"/>
        <v>0.11437861288450378</v>
      </c>
      <c r="X50" s="106">
        <f>IFERROR(CT[[#This Row],[Freight Charges]]+CT[[#This Row],[Inspection Cost/MT]]+CT[[#This Row],[DHL Charges PMT]],"")</f>
        <v>5.2322092116785015</v>
      </c>
      <c r="Y50" s="7">
        <f>IFERROR(AF50-(O50+CT[[#This Row],[Cost Per MT]]),"")</f>
        <v>19.76779078832152</v>
      </c>
      <c r="Z50" s="7">
        <f>IFERROR(CT[[#This Row],[Margin/MT]]*CT[[#This Row],[Container Qty]],"")</f>
        <v>474.42697891971648</v>
      </c>
      <c r="AA50" s="7"/>
      <c r="AB50" t="s">
        <v>11</v>
      </c>
      <c r="AC50" s="1">
        <v>705120</v>
      </c>
      <c r="AD50" s="3">
        <v>45778</v>
      </c>
      <c r="AE50" s="14">
        <f t="shared" si="8"/>
        <v>25</v>
      </c>
      <c r="AF50" s="7">
        <v>350</v>
      </c>
      <c r="AG50" s="7">
        <f>CT[[#This Row],[Sales Rate/MT (USD)]]*CT[[#This Row],[SC Qty (MT)]]</f>
        <v>8750</v>
      </c>
      <c r="AH50" s="7">
        <f>IF(CT[[#This Row],[Container Qty]]&lt;&gt;0,CT[[#This Row],[Sales Rate/MT (USD)]]*CT[[#This Row],[Container Qty]],"")</f>
        <v>8400</v>
      </c>
      <c r="AI50" s="7">
        <f>IF(CT[[#This Row],[Customer Final Price]]&lt;&gt;"",CT[[#This Row],[Customer Final Price]]-CT[[#This Row],[Customer  Prov. Price]],"")</f>
        <v>-350</v>
      </c>
      <c r="AJ50" t="s">
        <v>8</v>
      </c>
      <c r="AK50" s="1" t="s">
        <v>28</v>
      </c>
      <c r="AL50" s="1" t="s">
        <v>114</v>
      </c>
      <c r="AM50" s="23" t="s">
        <v>133</v>
      </c>
      <c r="AO50" s="7">
        <f>CT[[#This Row],[Customer Final Price]]/CT[[#This Row],[FX Rate]]</f>
        <v>6329.5908371637406</v>
      </c>
    </row>
    <row r="51" spans="1:41" x14ac:dyDescent="0.25">
      <c r="A51" t="s">
        <v>9</v>
      </c>
      <c r="B51" s="102" t="s">
        <v>13</v>
      </c>
      <c r="C51" s="81">
        <v>45778</v>
      </c>
      <c r="D51" s="1" t="s">
        <v>67</v>
      </c>
      <c r="E51" s="1" t="s">
        <v>98</v>
      </c>
      <c r="F51" s="11">
        <v>24.02</v>
      </c>
      <c r="G51" s="3">
        <v>45837</v>
      </c>
      <c r="H51" s="3">
        <v>45880</v>
      </c>
      <c r="I51" s="57" t="s">
        <v>110</v>
      </c>
      <c r="J51" s="1" t="s">
        <v>21</v>
      </c>
      <c r="K51" s="1" t="s">
        <v>14</v>
      </c>
      <c r="L51" s="1" t="s">
        <v>23</v>
      </c>
      <c r="M51" s="14">
        <f t="shared" si="5"/>
        <v>25</v>
      </c>
      <c r="N51" s="1">
        <v>93</v>
      </c>
      <c r="O51" s="7">
        <v>325</v>
      </c>
      <c r="P51" s="7">
        <f>CT[[#This Row],[Purchase Rate/MT (USD)]]*CT[[#This Row],[PC Qty (MT)]]</f>
        <v>8125</v>
      </c>
      <c r="Q51" s="7">
        <f>CT[[#This Row],[Purchase Rate/MT (USD)]]*CT[[#This Row],[Container Qty]]</f>
        <v>7806.5</v>
      </c>
      <c r="R51" s="32">
        <f>IF(CT[[#This Row],[BL Number]]&lt;&gt;0,(CT[[#This Row],[Supplier Prov. Price]]-CT[[#This Row],[Supplier Final Price]])*1.2,"")</f>
        <v>382.2</v>
      </c>
      <c r="S51" s="101">
        <v>1.3270999999999999</v>
      </c>
      <c r="T51" s="3">
        <v>45833</v>
      </c>
      <c r="U51" s="7">
        <v>0</v>
      </c>
      <c r="V51" s="7">
        <f t="shared" ref="V51:V52" si="21">(275*S51)/($F$46+$F$48+$F$49+$F$51+$F$52)</f>
        <v>3.0501671541997495</v>
      </c>
      <c r="W51" s="24">
        <f t="shared" si="15"/>
        <v>0.11437861288450378</v>
      </c>
      <c r="X51" s="106">
        <f>IFERROR(CT[[#This Row],[Freight Charges]]+CT[[#This Row],[Inspection Cost/MT]]+CT[[#This Row],[DHL Charges PMT]],"")</f>
        <v>3.1645457670842534</v>
      </c>
      <c r="Y51" s="7">
        <f>IFERROR(AF51-(O51+CT[[#This Row],[Cost Per MT]]),"")</f>
        <v>21.835454232915765</v>
      </c>
      <c r="Z51" s="7">
        <f>IFERROR(CT[[#This Row],[Margin/MT]]*CT[[#This Row],[Container Qty]],"")</f>
        <v>524.4876106746367</v>
      </c>
      <c r="AA51" s="7"/>
      <c r="AB51" t="s">
        <v>11</v>
      </c>
      <c r="AC51" s="1">
        <v>705120</v>
      </c>
      <c r="AD51" s="3">
        <v>45778</v>
      </c>
      <c r="AE51" s="14">
        <f t="shared" si="8"/>
        <v>25</v>
      </c>
      <c r="AF51" s="7">
        <v>350</v>
      </c>
      <c r="AG51" s="7">
        <f>CT[[#This Row],[Sales Rate/MT (USD)]]*CT[[#This Row],[SC Qty (MT)]]</f>
        <v>8750</v>
      </c>
      <c r="AH51" s="7">
        <f>IF(CT[[#This Row],[Container Qty]]&lt;&gt;0,CT[[#This Row],[Sales Rate/MT (USD)]]*CT[[#This Row],[Container Qty]],"")</f>
        <v>8407</v>
      </c>
      <c r="AI51" s="7">
        <f>IF(CT[[#This Row],[Customer Final Price]]&lt;&gt;"",CT[[#This Row],[Customer Final Price]]-CT[[#This Row],[Customer  Prov. Price]],"")</f>
        <v>-343</v>
      </c>
      <c r="AJ51" t="s">
        <v>8</v>
      </c>
      <c r="AK51" s="1" t="s">
        <v>28</v>
      </c>
      <c r="AL51" s="1" t="s">
        <v>114</v>
      </c>
      <c r="AM51" s="23" t="s">
        <v>133</v>
      </c>
      <c r="AO51" s="7">
        <f>CT[[#This Row],[Customer Final Price]]/CT[[#This Row],[FX Rate]]</f>
        <v>6334.8654961947104</v>
      </c>
    </row>
    <row r="52" spans="1:41" x14ac:dyDescent="0.25">
      <c r="A52" t="s">
        <v>9</v>
      </c>
      <c r="B52" s="102" t="s">
        <v>13</v>
      </c>
      <c r="C52" s="81">
        <v>45778</v>
      </c>
      <c r="D52" s="1" t="s">
        <v>67</v>
      </c>
      <c r="E52" s="1" t="s">
        <v>101</v>
      </c>
      <c r="F52" s="11">
        <v>23.94</v>
      </c>
      <c r="G52" s="3">
        <v>45850</v>
      </c>
      <c r="H52" s="3">
        <v>45894</v>
      </c>
      <c r="I52" s="57" t="s">
        <v>109</v>
      </c>
      <c r="J52" s="1" t="s">
        <v>21</v>
      </c>
      <c r="K52" s="1" t="s">
        <v>14</v>
      </c>
      <c r="L52" s="1" t="s">
        <v>23</v>
      </c>
      <c r="M52" s="14">
        <f t="shared" si="5"/>
        <v>25</v>
      </c>
      <c r="N52" s="1">
        <v>93</v>
      </c>
      <c r="O52" s="7">
        <v>325</v>
      </c>
      <c r="P52" s="7">
        <f>CT[[#This Row],[Purchase Rate/MT (USD)]]*CT[[#This Row],[PC Qty (MT)]]</f>
        <v>8125</v>
      </c>
      <c r="Q52" s="7">
        <f>CT[[#This Row],[Purchase Rate/MT (USD)]]*CT[[#This Row],[Container Qty]]</f>
        <v>7780.5</v>
      </c>
      <c r="R52" s="32">
        <f>IF(CT[[#This Row],[BL Number]]&lt;&gt;0,(CT[[#This Row],[Supplier Prov. Price]]-CT[[#This Row],[Supplier Final Price]])*1.2,"")</f>
        <v>413.4</v>
      </c>
      <c r="S52" s="101">
        <v>1.3270999999999999</v>
      </c>
      <c r="T52" s="3">
        <v>45833</v>
      </c>
      <c r="U52" s="7">
        <v>0</v>
      </c>
      <c r="V52" s="7">
        <f t="shared" si="21"/>
        <v>3.0501671541997495</v>
      </c>
      <c r="W52" s="24">
        <f t="shared" si="15"/>
        <v>0.11437861288450378</v>
      </c>
      <c r="X52" s="106">
        <f>IFERROR(CT[[#This Row],[Freight Charges]]+CT[[#This Row],[Inspection Cost/MT]]+CT[[#This Row],[DHL Charges PMT]],"")</f>
        <v>3.1645457670842534</v>
      </c>
      <c r="Y52" s="7">
        <f>IFERROR(AF52-(O52+CT[[#This Row],[Cost Per MT]]),"")</f>
        <v>21.835454232915765</v>
      </c>
      <c r="Z52" s="7">
        <f>IFERROR(CT[[#This Row],[Margin/MT]]*CT[[#This Row],[Container Qty]],"")</f>
        <v>522.74077433600348</v>
      </c>
      <c r="AA52" s="7"/>
      <c r="AB52" t="s">
        <v>11</v>
      </c>
      <c r="AC52" s="1">
        <v>705120</v>
      </c>
      <c r="AD52" s="3">
        <v>45778</v>
      </c>
      <c r="AE52" s="14">
        <f t="shared" si="8"/>
        <v>25</v>
      </c>
      <c r="AF52" s="7">
        <v>350</v>
      </c>
      <c r="AG52" s="7">
        <f>CT[[#This Row],[Sales Rate/MT (USD)]]*CT[[#This Row],[SC Qty (MT)]]</f>
        <v>8750</v>
      </c>
      <c r="AH52" s="7">
        <f>IF(CT[[#This Row],[Container Qty]]&lt;&gt;0,CT[[#This Row],[Sales Rate/MT (USD)]]*CT[[#This Row],[Container Qty]],"")</f>
        <v>8379</v>
      </c>
      <c r="AI52" s="7">
        <f>IF(CT[[#This Row],[Customer Final Price]]&lt;&gt;"",CT[[#This Row],[Customer Final Price]]-CT[[#This Row],[Customer  Prov. Price]],"")</f>
        <v>-371</v>
      </c>
      <c r="AJ52" t="s">
        <v>8</v>
      </c>
      <c r="AK52" s="1" t="s">
        <v>28</v>
      </c>
      <c r="AL52" s="1" t="s">
        <v>150</v>
      </c>
      <c r="AM52" s="23" t="s">
        <v>133</v>
      </c>
      <c r="AO52" s="7">
        <f>CT[[#This Row],[Customer Final Price]]/CT[[#This Row],[FX Rate]]</f>
        <v>6313.7668600708312</v>
      </c>
    </row>
    <row r="53" spans="1:41" x14ac:dyDescent="0.25">
      <c r="A53" t="s">
        <v>9</v>
      </c>
      <c r="B53" s="102" t="s">
        <v>82</v>
      </c>
      <c r="C53" s="81">
        <v>45818</v>
      </c>
      <c r="D53" s="1" t="s">
        <v>67</v>
      </c>
      <c r="E53" s="1" t="s">
        <v>135</v>
      </c>
      <c r="F53" s="11">
        <v>24.08</v>
      </c>
      <c r="G53" s="3">
        <v>45857</v>
      </c>
      <c r="H53" s="3">
        <v>45901</v>
      </c>
      <c r="I53" s="58" t="s">
        <v>145</v>
      </c>
      <c r="J53" s="1" t="s">
        <v>83</v>
      </c>
      <c r="K53" s="1" t="s">
        <v>14</v>
      </c>
      <c r="L53" s="1" t="s">
        <v>23</v>
      </c>
      <c r="M53" s="14">
        <f t="shared" ref="M53:M112" si="22">500/20</f>
        <v>25</v>
      </c>
      <c r="N53" s="1">
        <v>97</v>
      </c>
      <c r="O53" s="7">
        <v>315</v>
      </c>
      <c r="P53" s="7">
        <f>CT[[#This Row],[Purchase Rate/MT (USD)]]*CT[[#This Row],[PC Qty (MT)]]</f>
        <v>7875</v>
      </c>
      <c r="Q53" s="7">
        <f>CT[[#This Row],[Purchase Rate/MT (USD)]]*CT[[#This Row],[Container Qty]]</f>
        <v>7585.2</v>
      </c>
      <c r="R53" s="7">
        <f>IF(CT[[#This Row],[BL Number]]&lt;&gt;0,(CT[[#This Row],[Supplier Prov. Price]]-CT[[#This Row],[Supplier Final Price]])*1.2,"")</f>
        <v>347.76000000000022</v>
      </c>
      <c r="S53" s="101">
        <v>1.3411999999999999</v>
      </c>
      <c r="T53" s="3">
        <v>45848</v>
      </c>
      <c r="U53" s="7">
        <v>0</v>
      </c>
      <c r="V53" s="7">
        <f t="shared" ref="V53:V56" si="23">(275*S53)/SUM($F$53:$F$56)</f>
        <v>3.8451834862385312</v>
      </c>
      <c r="W53" s="24">
        <f t="shared" ref="W53:W62" si="24">42.76/SUM($F$53:$F$62)*S53</f>
        <v>0.23935606010016686</v>
      </c>
      <c r="X53" s="106">
        <f>IFERROR(CT[[#This Row],[Freight Charges]]+CT[[#This Row],[Inspection Cost/MT]]+CT[[#This Row],[DHL Charges PMT]],"")</f>
        <v>4.0845395463386982</v>
      </c>
      <c r="Y53" s="7">
        <f>IFERROR(AF53-(O53+CT[[#This Row],[Cost Per MT]]),"")</f>
        <v>30.915460453661296</v>
      </c>
      <c r="Z53" s="7">
        <f>IFERROR(CT[[#This Row],[Margin/MT]]*CT[[#This Row],[Container Qty]],"")</f>
        <v>744.44428772416393</v>
      </c>
      <c r="AA53" s="7"/>
      <c r="AB53" t="s">
        <v>11</v>
      </c>
      <c r="AC53" s="1" t="s">
        <v>81</v>
      </c>
      <c r="AD53" s="3">
        <v>45817</v>
      </c>
      <c r="AE53" s="14">
        <f t="shared" ref="AE53:AE72" si="25">500/20</f>
        <v>25</v>
      </c>
      <c r="AF53" s="7">
        <v>350</v>
      </c>
      <c r="AG53" s="7">
        <f>CT[[#This Row],[Sales Rate/MT (USD)]]*CT[[#This Row],[SC Qty (MT)]]</f>
        <v>8750</v>
      </c>
      <c r="AH53" s="7">
        <f>IF(CT[[#This Row],[Container Qty]]&lt;&gt;0,CT[[#This Row],[Sales Rate/MT (USD)]]*CT[[#This Row],[Container Qty]],"")</f>
        <v>8428</v>
      </c>
      <c r="AI53" s="7">
        <f>IF(CT[[#This Row],[Customer Final Price]]&lt;&gt;"",CT[[#This Row],[Customer Final Price]]-CT[[#This Row],[Customer  Prov. Price]],"")</f>
        <v>-322</v>
      </c>
      <c r="AJ53" t="s">
        <v>8</v>
      </c>
      <c r="AK53" s="1" t="s">
        <v>84</v>
      </c>
      <c r="AL53" s="1" t="s">
        <v>163</v>
      </c>
      <c r="AM53" s="23" t="s">
        <v>133</v>
      </c>
      <c r="AO53" s="7">
        <f>CT[[#This Row],[Customer Final Price]]/CT[[#This Row],[FX Rate]]</f>
        <v>6283.9248434237998</v>
      </c>
    </row>
    <row r="54" spans="1:41" s="1" customFormat="1" x14ac:dyDescent="0.25">
      <c r="A54" t="s">
        <v>9</v>
      </c>
      <c r="B54" s="102" t="s">
        <v>82</v>
      </c>
      <c r="C54" s="81">
        <v>45818</v>
      </c>
      <c r="D54" s="1" t="s">
        <v>67</v>
      </c>
      <c r="E54" s="1" t="s">
        <v>136</v>
      </c>
      <c r="F54" s="11">
        <v>24.56</v>
      </c>
      <c r="G54" s="3">
        <v>45857</v>
      </c>
      <c r="H54" s="3">
        <v>45901</v>
      </c>
      <c r="I54" s="58" t="s">
        <v>145</v>
      </c>
      <c r="J54" s="1" t="s">
        <v>83</v>
      </c>
      <c r="K54" s="1" t="s">
        <v>14</v>
      </c>
      <c r="L54" s="1" t="s">
        <v>23</v>
      </c>
      <c r="M54" s="14">
        <f t="shared" si="22"/>
        <v>25</v>
      </c>
      <c r="N54" s="1">
        <v>97</v>
      </c>
      <c r="O54" s="7">
        <v>315</v>
      </c>
      <c r="P54" s="7">
        <f>CT[[#This Row],[Purchase Rate/MT (USD)]]*CT[[#This Row],[PC Qty (MT)]]</f>
        <v>7875</v>
      </c>
      <c r="Q54" s="7">
        <f>CT[[#This Row],[Purchase Rate/MT (USD)]]*CT[[#This Row],[Container Qty]]</f>
        <v>7736.4</v>
      </c>
      <c r="R54" s="7">
        <f>IF(CT[[#This Row],[BL Number]]&lt;&gt;0,(CT[[#This Row],[Supplier Prov. Price]]-CT[[#This Row],[Supplier Final Price]])*1.2,"")</f>
        <v>166.32000000000042</v>
      </c>
      <c r="S54" s="101">
        <v>1.3411999999999999</v>
      </c>
      <c r="T54" s="3">
        <v>45848</v>
      </c>
      <c r="U54" s="7">
        <v>0</v>
      </c>
      <c r="V54" s="7">
        <f t="shared" si="23"/>
        <v>3.8451834862385312</v>
      </c>
      <c r="W54" s="24">
        <f t="shared" si="24"/>
        <v>0.23935606010016686</v>
      </c>
      <c r="X54" s="106">
        <f>IFERROR(CT[[#This Row],[Freight Charges]]+CT[[#This Row],[Inspection Cost/MT]]+CT[[#This Row],[DHL Charges PMT]],"")</f>
        <v>4.0845395463386982</v>
      </c>
      <c r="Y54" s="7">
        <f>IFERROR(AF54-(O54+CT[[#This Row],[Cost Per MT]]),"")</f>
        <v>30.915460453661296</v>
      </c>
      <c r="Z54" s="7">
        <f>IFERROR(CT[[#This Row],[Margin/MT]]*CT[[#This Row],[Container Qty]],"")</f>
        <v>759.28370874192137</v>
      </c>
      <c r="AA54" s="7"/>
      <c r="AB54" t="s">
        <v>11</v>
      </c>
      <c r="AC54" s="1" t="s">
        <v>81</v>
      </c>
      <c r="AD54" s="3">
        <v>45817</v>
      </c>
      <c r="AE54" s="14">
        <f t="shared" si="25"/>
        <v>25</v>
      </c>
      <c r="AF54" s="7">
        <v>350</v>
      </c>
      <c r="AG54" s="7">
        <f>CT[[#This Row],[Sales Rate/MT (USD)]]*CT[[#This Row],[SC Qty (MT)]]</f>
        <v>8750</v>
      </c>
      <c r="AH54" s="7">
        <f>IF(CT[[#This Row],[Container Qty]]&lt;&gt;0,CT[[#This Row],[Sales Rate/MT (USD)]]*CT[[#This Row],[Container Qty]],"")</f>
        <v>8596</v>
      </c>
      <c r="AI54" s="7">
        <f>IF(CT[[#This Row],[Customer Final Price]]&lt;&gt;"",CT[[#This Row],[Customer Final Price]]-CT[[#This Row],[Customer  Prov. Price]],"")</f>
        <v>-154</v>
      </c>
      <c r="AJ54" t="s">
        <v>8</v>
      </c>
      <c r="AK54" s="1" t="s">
        <v>84</v>
      </c>
      <c r="AL54" s="1" t="s">
        <v>163</v>
      </c>
      <c r="AM54" s="23" t="s">
        <v>133</v>
      </c>
      <c r="AO54" s="7">
        <f>CT[[#This Row],[Customer Final Price]]/CT[[#This Row],[FX Rate]]</f>
        <v>6409.1858037578295</v>
      </c>
    </row>
    <row r="55" spans="1:41" x14ac:dyDescent="0.25">
      <c r="A55" t="s">
        <v>9</v>
      </c>
      <c r="B55" s="102" t="s">
        <v>82</v>
      </c>
      <c r="C55" s="81">
        <v>45818</v>
      </c>
      <c r="D55" s="1" t="s">
        <v>67</v>
      </c>
      <c r="E55" s="1" t="s">
        <v>137</v>
      </c>
      <c r="F55" s="11">
        <v>22.82</v>
      </c>
      <c r="G55" s="3">
        <v>45857</v>
      </c>
      <c r="H55" s="3">
        <v>45901</v>
      </c>
      <c r="I55" s="58" t="s">
        <v>145</v>
      </c>
      <c r="J55" s="1" t="s">
        <v>83</v>
      </c>
      <c r="K55" s="1" t="s">
        <v>14</v>
      </c>
      <c r="L55" s="1" t="s">
        <v>23</v>
      </c>
      <c r="M55" s="14">
        <f t="shared" si="22"/>
        <v>25</v>
      </c>
      <c r="N55" s="1">
        <v>97</v>
      </c>
      <c r="O55" s="7">
        <v>315</v>
      </c>
      <c r="P55" s="7">
        <f>CT[[#This Row],[Purchase Rate/MT (USD)]]*CT[[#This Row],[PC Qty (MT)]]</f>
        <v>7875</v>
      </c>
      <c r="Q55" s="7">
        <f>CT[[#This Row],[Purchase Rate/MT (USD)]]*CT[[#This Row],[Container Qty]]</f>
        <v>7188.3</v>
      </c>
      <c r="R55" s="7">
        <f>IF(CT[[#This Row],[BL Number]]&lt;&gt;0,(CT[[#This Row],[Supplier Prov. Price]]-CT[[#This Row],[Supplier Final Price]])*1.2,"")</f>
        <v>824.03999999999974</v>
      </c>
      <c r="S55" s="101">
        <v>1.3411999999999999</v>
      </c>
      <c r="T55" s="3">
        <v>45848</v>
      </c>
      <c r="U55" s="7">
        <v>0</v>
      </c>
      <c r="V55" s="7">
        <f t="shared" si="23"/>
        <v>3.8451834862385312</v>
      </c>
      <c r="W55" s="24">
        <f t="shared" si="24"/>
        <v>0.23935606010016686</v>
      </c>
      <c r="X55" s="106">
        <f>IFERROR(CT[[#This Row],[Freight Charges]]+CT[[#This Row],[Inspection Cost/MT]]+CT[[#This Row],[DHL Charges PMT]],"")</f>
        <v>4.0845395463386982</v>
      </c>
      <c r="Y55" s="7">
        <f>IFERROR(AF55-(O55+CT[[#This Row],[Cost Per MT]]),"")</f>
        <v>30.915460453661296</v>
      </c>
      <c r="Z55" s="7">
        <f>IFERROR(CT[[#This Row],[Margin/MT]]*CT[[#This Row],[Container Qty]],"")</f>
        <v>705.49080755255079</v>
      </c>
      <c r="AA55" s="7"/>
      <c r="AB55" t="s">
        <v>11</v>
      </c>
      <c r="AC55" s="1" t="s">
        <v>81</v>
      </c>
      <c r="AD55" s="3">
        <v>45817</v>
      </c>
      <c r="AE55" s="14">
        <f t="shared" si="25"/>
        <v>25</v>
      </c>
      <c r="AF55" s="7">
        <v>350</v>
      </c>
      <c r="AG55" s="7">
        <f>CT[[#This Row],[Sales Rate/MT (USD)]]*CT[[#This Row],[SC Qty (MT)]]</f>
        <v>8750</v>
      </c>
      <c r="AH55" s="7">
        <f>IF(CT[[#This Row],[Container Qty]]&lt;&gt;0,CT[[#This Row],[Sales Rate/MT (USD)]]*CT[[#This Row],[Container Qty]],"")</f>
        <v>7987</v>
      </c>
      <c r="AI55" s="7">
        <f>IF(CT[[#This Row],[Customer Final Price]]&lt;&gt;"",CT[[#This Row],[Customer Final Price]]-CT[[#This Row],[Customer  Prov. Price]],"")</f>
        <v>-763</v>
      </c>
      <c r="AJ55" t="s">
        <v>8</v>
      </c>
      <c r="AK55" s="1" t="s">
        <v>84</v>
      </c>
      <c r="AL55" s="1" t="s">
        <v>163</v>
      </c>
      <c r="AM55" s="23" t="s">
        <v>133</v>
      </c>
      <c r="AO55" s="7">
        <f>CT[[#This Row],[Customer Final Price]]/CT[[#This Row],[FX Rate]]</f>
        <v>5955.1148225469733</v>
      </c>
    </row>
    <row r="56" spans="1:41" x14ac:dyDescent="0.25">
      <c r="A56" t="s">
        <v>9</v>
      </c>
      <c r="B56" s="102" t="s">
        <v>82</v>
      </c>
      <c r="C56" s="81">
        <v>45818</v>
      </c>
      <c r="D56" s="1" t="s">
        <v>67</v>
      </c>
      <c r="E56" s="1" t="s">
        <v>138</v>
      </c>
      <c r="F56" s="11">
        <v>24.46</v>
      </c>
      <c r="G56" s="3">
        <v>45857</v>
      </c>
      <c r="H56" s="3">
        <v>45901</v>
      </c>
      <c r="I56" s="58" t="s">
        <v>145</v>
      </c>
      <c r="J56" s="1" t="s">
        <v>83</v>
      </c>
      <c r="K56" s="1" t="s">
        <v>14</v>
      </c>
      <c r="L56" s="1" t="s">
        <v>23</v>
      </c>
      <c r="M56" s="14">
        <f t="shared" si="22"/>
        <v>25</v>
      </c>
      <c r="N56" s="1">
        <v>97</v>
      </c>
      <c r="O56" s="7">
        <v>315</v>
      </c>
      <c r="P56" s="7">
        <f>CT[[#This Row],[Purchase Rate/MT (USD)]]*CT[[#This Row],[PC Qty (MT)]]</f>
        <v>7875</v>
      </c>
      <c r="Q56" s="7">
        <f>CT[[#This Row],[Purchase Rate/MT (USD)]]*CT[[#This Row],[Container Qty]]</f>
        <v>7704.9000000000005</v>
      </c>
      <c r="R56" s="7">
        <f>IF(CT[[#This Row],[BL Number]]&lt;&gt;0,(CT[[#This Row],[Supplier Prov. Price]]-CT[[#This Row],[Supplier Final Price]])*1.2,"")</f>
        <v>204.11999999999935</v>
      </c>
      <c r="S56" s="101">
        <v>1.3411999999999999</v>
      </c>
      <c r="T56" s="3">
        <v>45848</v>
      </c>
      <c r="U56" s="7">
        <v>0</v>
      </c>
      <c r="V56" s="7">
        <f t="shared" si="23"/>
        <v>3.8451834862385312</v>
      </c>
      <c r="W56" s="24">
        <f t="shared" si="24"/>
        <v>0.23935606010016686</v>
      </c>
      <c r="X56" s="106">
        <f>IFERROR(CT[[#This Row],[Freight Charges]]+CT[[#This Row],[Inspection Cost/MT]]+CT[[#This Row],[DHL Charges PMT]],"")</f>
        <v>4.0845395463386982</v>
      </c>
      <c r="Y56" s="7">
        <f>IFERROR(AF56-(O56+CT[[#This Row],[Cost Per MT]]),"")</f>
        <v>30.915460453661296</v>
      </c>
      <c r="Z56" s="7">
        <f>IFERROR(CT[[#This Row],[Margin/MT]]*CT[[#This Row],[Container Qty]],"")</f>
        <v>756.19216269655533</v>
      </c>
      <c r="AA56" s="7"/>
      <c r="AB56" t="s">
        <v>11</v>
      </c>
      <c r="AC56" s="1" t="s">
        <v>81</v>
      </c>
      <c r="AD56" s="3">
        <v>45817</v>
      </c>
      <c r="AE56" s="14">
        <f t="shared" si="25"/>
        <v>25</v>
      </c>
      <c r="AF56" s="7">
        <v>350</v>
      </c>
      <c r="AG56" s="7">
        <f>CT[[#This Row],[Sales Rate/MT (USD)]]*CT[[#This Row],[SC Qty (MT)]]</f>
        <v>8750</v>
      </c>
      <c r="AH56" s="7">
        <f>IF(CT[[#This Row],[Container Qty]]&lt;&gt;0,CT[[#This Row],[Sales Rate/MT (USD)]]*CT[[#This Row],[Container Qty]],"")</f>
        <v>8561</v>
      </c>
      <c r="AI56" s="7">
        <f>IF(CT[[#This Row],[Customer Final Price]]&lt;&gt;"",CT[[#This Row],[Customer Final Price]]-CT[[#This Row],[Customer  Prov. Price]],"")</f>
        <v>-189</v>
      </c>
      <c r="AJ56" t="s">
        <v>8</v>
      </c>
      <c r="AK56" s="1" t="s">
        <v>84</v>
      </c>
      <c r="AL56" s="1" t="s">
        <v>163</v>
      </c>
      <c r="AM56" s="23" t="s">
        <v>133</v>
      </c>
      <c r="AO56" s="7">
        <f>CT[[#This Row],[Customer Final Price]]/CT[[#This Row],[FX Rate]]</f>
        <v>6383.0897703549062</v>
      </c>
    </row>
    <row r="57" spans="1:41" x14ac:dyDescent="0.25">
      <c r="A57" t="s">
        <v>9</v>
      </c>
      <c r="B57" s="102" t="s">
        <v>82</v>
      </c>
      <c r="C57" s="81">
        <v>45818</v>
      </c>
      <c r="D57" s="1" t="s">
        <v>67</v>
      </c>
      <c r="E57" s="1" t="s">
        <v>139</v>
      </c>
      <c r="F57" s="11">
        <v>24.21</v>
      </c>
      <c r="G57" s="3">
        <v>45857</v>
      </c>
      <c r="H57" s="3">
        <v>45901</v>
      </c>
      <c r="I57" s="58" t="s">
        <v>145</v>
      </c>
      <c r="J57" s="1" t="s">
        <v>83</v>
      </c>
      <c r="K57" s="1" t="s">
        <v>14</v>
      </c>
      <c r="L57" s="1" t="s">
        <v>23</v>
      </c>
      <c r="M57" s="14">
        <f t="shared" si="22"/>
        <v>25</v>
      </c>
      <c r="N57" s="1">
        <v>97</v>
      </c>
      <c r="O57" s="7">
        <v>315</v>
      </c>
      <c r="P57" s="7">
        <f>CT[[#This Row],[Purchase Rate/MT (USD)]]*CT[[#This Row],[PC Qty (MT)]]</f>
        <v>7875</v>
      </c>
      <c r="Q57" s="7">
        <f>CT[[#This Row],[Purchase Rate/MT (USD)]]*CT[[#This Row],[Container Qty]]</f>
        <v>7626.1500000000005</v>
      </c>
      <c r="R57" s="7">
        <f>IF(CT[[#This Row],[BL Number]]&lt;&gt;0,(CT[[#This Row],[Supplier Prov. Price]]-CT[[#This Row],[Supplier Final Price]])*1.2,"")</f>
        <v>298.61999999999932</v>
      </c>
      <c r="S57" s="101">
        <v>1.3411999999999999</v>
      </c>
      <c r="T57" s="3">
        <v>45849</v>
      </c>
      <c r="U57" s="7">
        <v>0</v>
      </c>
      <c r="V57" s="7">
        <f t="shared" ref="V57:V59" si="26">(275*S57)/SUM($F$57:$F$59)</f>
        <v>5.0642592338322121</v>
      </c>
      <c r="W57" s="24">
        <f t="shared" si="24"/>
        <v>0.23935606010016686</v>
      </c>
      <c r="X57" s="106">
        <f>IFERROR(CT[[#This Row],[Freight Charges]]+CT[[#This Row],[Inspection Cost/MT]]+CT[[#This Row],[DHL Charges PMT]],"")</f>
        <v>5.3036152939323786</v>
      </c>
      <c r="Y57" s="7">
        <f>IFERROR(AF57-(O57+CT[[#This Row],[Cost Per MT]]),"")</f>
        <v>29.696384706067647</v>
      </c>
      <c r="Z57" s="7">
        <f>IFERROR(CT[[#This Row],[Margin/MT]]*CT[[#This Row],[Container Qty]],"")</f>
        <v>718.94947373389778</v>
      </c>
      <c r="AA57" s="7"/>
      <c r="AB57" t="s">
        <v>11</v>
      </c>
      <c r="AC57" s="1" t="s">
        <v>81</v>
      </c>
      <c r="AD57" s="3">
        <v>45817</v>
      </c>
      <c r="AE57" s="14">
        <f t="shared" si="25"/>
        <v>25</v>
      </c>
      <c r="AF57" s="7">
        <v>350</v>
      </c>
      <c r="AG57" s="7">
        <f>CT[[#This Row],[Sales Rate/MT (USD)]]*CT[[#This Row],[SC Qty (MT)]]</f>
        <v>8750</v>
      </c>
      <c r="AH57" s="7">
        <f>IF(CT[[#This Row],[Container Qty]]&lt;&gt;0,CT[[#This Row],[Sales Rate/MT (USD)]]*CT[[#This Row],[Container Qty]],"")</f>
        <v>8473.5</v>
      </c>
      <c r="AI57" s="7">
        <f>IF(CT[[#This Row],[Customer Final Price]]&lt;&gt;"",CT[[#This Row],[Customer Final Price]]-CT[[#This Row],[Customer  Prov. Price]],"")</f>
        <v>-276.5</v>
      </c>
      <c r="AJ57" t="s">
        <v>8</v>
      </c>
      <c r="AK57" s="1" t="s">
        <v>84</v>
      </c>
      <c r="AL57" s="1" t="s">
        <v>163</v>
      </c>
      <c r="AM57" s="23" t="s">
        <v>133</v>
      </c>
      <c r="AO57" s="7">
        <f>CT[[#This Row],[Customer Final Price]]/CT[[#This Row],[FX Rate]]</f>
        <v>6317.8496868475995</v>
      </c>
    </row>
    <row r="58" spans="1:41" x14ac:dyDescent="0.25">
      <c r="A58" t="s">
        <v>9</v>
      </c>
      <c r="B58" s="102" t="s">
        <v>82</v>
      </c>
      <c r="C58" s="81">
        <v>45818</v>
      </c>
      <c r="D58" s="1" t="s">
        <v>67</v>
      </c>
      <c r="E58" s="1" t="s">
        <v>140</v>
      </c>
      <c r="F58" s="11">
        <v>24.22</v>
      </c>
      <c r="G58" s="3">
        <v>45857</v>
      </c>
      <c r="H58" s="3">
        <v>45901</v>
      </c>
      <c r="I58" s="58" t="s">
        <v>145</v>
      </c>
      <c r="J58" s="1" t="s">
        <v>83</v>
      </c>
      <c r="K58" s="1" t="s">
        <v>14</v>
      </c>
      <c r="L58" s="1" t="s">
        <v>23</v>
      </c>
      <c r="M58" s="14">
        <f t="shared" si="22"/>
        <v>25</v>
      </c>
      <c r="N58" s="1">
        <v>97</v>
      </c>
      <c r="O58" s="7">
        <v>315</v>
      </c>
      <c r="P58" s="7">
        <f>CT[[#This Row],[Purchase Rate/MT (USD)]]*CT[[#This Row],[PC Qty (MT)]]</f>
        <v>7875</v>
      </c>
      <c r="Q58" s="7">
        <f>CT[[#This Row],[Purchase Rate/MT (USD)]]*CT[[#This Row],[Container Qty]]</f>
        <v>7629.2999999999993</v>
      </c>
      <c r="R58" s="7">
        <f>IF(CT[[#This Row],[BL Number]]&lt;&gt;0,(CT[[#This Row],[Supplier Prov. Price]]-CT[[#This Row],[Supplier Final Price]])*1.2,"")</f>
        <v>294.84000000000088</v>
      </c>
      <c r="S58" s="101">
        <v>1.3411999999999999</v>
      </c>
      <c r="T58" s="3">
        <v>45849</v>
      </c>
      <c r="U58" s="7">
        <v>0</v>
      </c>
      <c r="V58" s="7">
        <f t="shared" si="26"/>
        <v>5.0642592338322121</v>
      </c>
      <c r="W58" s="24">
        <f t="shared" si="24"/>
        <v>0.23935606010016686</v>
      </c>
      <c r="X58" s="106">
        <f>IFERROR(CT[[#This Row],[Freight Charges]]+CT[[#This Row],[Inspection Cost/MT]]+CT[[#This Row],[DHL Charges PMT]],"")</f>
        <v>5.3036152939323786</v>
      </c>
      <c r="Y58" s="7">
        <f>IFERROR(AF58-(O58+CT[[#This Row],[Cost Per MT]]),"")</f>
        <v>29.696384706067647</v>
      </c>
      <c r="Z58" s="7">
        <f>IFERROR(CT[[#This Row],[Margin/MT]]*CT[[#This Row],[Container Qty]],"")</f>
        <v>719.2464375809584</v>
      </c>
      <c r="AA58" s="7"/>
      <c r="AB58" t="s">
        <v>11</v>
      </c>
      <c r="AC58" s="1" t="s">
        <v>81</v>
      </c>
      <c r="AD58" s="3">
        <v>45817</v>
      </c>
      <c r="AE58" s="14">
        <f t="shared" si="25"/>
        <v>25</v>
      </c>
      <c r="AF58" s="7">
        <v>350</v>
      </c>
      <c r="AG58" s="7">
        <f>CT[[#This Row],[Sales Rate/MT (USD)]]*CT[[#This Row],[SC Qty (MT)]]</f>
        <v>8750</v>
      </c>
      <c r="AH58" s="7">
        <f>IF(CT[[#This Row],[Container Qty]]&lt;&gt;0,CT[[#This Row],[Sales Rate/MT (USD)]]*CT[[#This Row],[Container Qty]],"")</f>
        <v>8477</v>
      </c>
      <c r="AI58" s="7">
        <f>IF(CT[[#This Row],[Customer Final Price]]&lt;&gt;"",CT[[#This Row],[Customer Final Price]]-CT[[#This Row],[Customer  Prov. Price]],"")</f>
        <v>-273</v>
      </c>
      <c r="AJ58" t="s">
        <v>8</v>
      </c>
      <c r="AK58" s="1" t="s">
        <v>84</v>
      </c>
      <c r="AL58" s="1" t="s">
        <v>163</v>
      </c>
      <c r="AM58" s="23" t="s">
        <v>133</v>
      </c>
      <c r="AO58" s="7">
        <f>CT[[#This Row],[Customer Final Price]]/CT[[#This Row],[FX Rate]]</f>
        <v>6320.4592901878914</v>
      </c>
    </row>
    <row r="59" spans="1:41" x14ac:dyDescent="0.25">
      <c r="A59" t="s">
        <v>9</v>
      </c>
      <c r="B59" s="102" t="s">
        <v>82</v>
      </c>
      <c r="C59" s="81">
        <v>45818</v>
      </c>
      <c r="D59" s="1" t="s">
        <v>67</v>
      </c>
      <c r="E59" s="1" t="s">
        <v>141</v>
      </c>
      <c r="F59" s="11">
        <v>24.4</v>
      </c>
      <c r="G59" s="3">
        <v>45857</v>
      </c>
      <c r="H59" s="3">
        <v>45901</v>
      </c>
      <c r="I59" s="58" t="s">
        <v>145</v>
      </c>
      <c r="J59" s="1" t="s">
        <v>83</v>
      </c>
      <c r="K59" s="1" t="s">
        <v>14</v>
      </c>
      <c r="L59" s="1" t="s">
        <v>23</v>
      </c>
      <c r="M59" s="14">
        <f t="shared" si="22"/>
        <v>25</v>
      </c>
      <c r="N59" s="1">
        <v>97</v>
      </c>
      <c r="O59" s="7">
        <v>315</v>
      </c>
      <c r="P59" s="7">
        <f>CT[[#This Row],[Purchase Rate/MT (USD)]]*CT[[#This Row],[PC Qty (MT)]]</f>
        <v>7875</v>
      </c>
      <c r="Q59" s="7">
        <f>CT[[#This Row],[Purchase Rate/MT (USD)]]*CT[[#This Row],[Container Qty]]</f>
        <v>7686</v>
      </c>
      <c r="R59" s="7">
        <f>IF(CT[[#This Row],[BL Number]]&lt;&gt;0,(CT[[#This Row],[Supplier Prov. Price]]-CT[[#This Row],[Supplier Final Price]])*1.2,"")</f>
        <v>226.79999999999998</v>
      </c>
      <c r="S59" s="101">
        <v>1.3411999999999999</v>
      </c>
      <c r="T59" s="3">
        <v>45849</v>
      </c>
      <c r="U59" s="7">
        <v>0</v>
      </c>
      <c r="V59" s="7">
        <f t="shared" si="26"/>
        <v>5.0642592338322121</v>
      </c>
      <c r="W59" s="24">
        <f t="shared" si="24"/>
        <v>0.23935606010016686</v>
      </c>
      <c r="X59" s="106">
        <f>IFERROR(CT[[#This Row],[Freight Charges]]+CT[[#This Row],[Inspection Cost/MT]]+CT[[#This Row],[DHL Charges PMT]],"")</f>
        <v>5.3036152939323786</v>
      </c>
      <c r="Y59" s="7">
        <f>IFERROR(AF59-(O59+CT[[#This Row],[Cost Per MT]]),"")</f>
        <v>29.696384706067647</v>
      </c>
      <c r="Z59" s="7">
        <f>IFERROR(CT[[#This Row],[Margin/MT]]*CT[[#This Row],[Container Qty]],"")</f>
        <v>724.59178682805054</v>
      </c>
      <c r="AA59" s="7"/>
      <c r="AB59" t="s">
        <v>11</v>
      </c>
      <c r="AC59" s="1" t="s">
        <v>81</v>
      </c>
      <c r="AD59" s="3">
        <v>45817</v>
      </c>
      <c r="AE59" s="14">
        <f t="shared" si="25"/>
        <v>25</v>
      </c>
      <c r="AF59" s="7">
        <v>350</v>
      </c>
      <c r="AG59" s="7">
        <f>CT[[#This Row],[Sales Rate/MT (USD)]]*CT[[#This Row],[SC Qty (MT)]]</f>
        <v>8750</v>
      </c>
      <c r="AH59" s="7">
        <f>IF(CT[[#This Row],[Container Qty]]&lt;&gt;0,CT[[#This Row],[Sales Rate/MT (USD)]]*CT[[#This Row],[Container Qty]],"")</f>
        <v>8540</v>
      </c>
      <c r="AI59" s="7">
        <f>IF(CT[[#This Row],[Customer Final Price]]&lt;&gt;"",CT[[#This Row],[Customer Final Price]]-CT[[#This Row],[Customer  Prov. Price]],"")</f>
        <v>-210</v>
      </c>
      <c r="AJ59" t="s">
        <v>8</v>
      </c>
      <c r="AK59" s="1" t="s">
        <v>84</v>
      </c>
      <c r="AL59" s="1" t="s">
        <v>163</v>
      </c>
      <c r="AM59" s="23" t="s">
        <v>133</v>
      </c>
      <c r="AO59" s="7">
        <f>CT[[#This Row],[Customer Final Price]]/CT[[#This Row],[FX Rate]]</f>
        <v>6367.4321503131523</v>
      </c>
    </row>
    <row r="60" spans="1:41" x14ac:dyDescent="0.25">
      <c r="A60" t="s">
        <v>9</v>
      </c>
      <c r="B60" s="102" t="s">
        <v>82</v>
      </c>
      <c r="C60" s="81">
        <v>45818</v>
      </c>
      <c r="D60" s="1" t="s">
        <v>67</v>
      </c>
      <c r="E60" s="1" t="s">
        <v>142</v>
      </c>
      <c r="F60" s="11">
        <v>24.78</v>
      </c>
      <c r="G60" s="3">
        <v>45857</v>
      </c>
      <c r="H60" s="3">
        <v>45901</v>
      </c>
      <c r="I60" s="58" t="s">
        <v>145</v>
      </c>
      <c r="J60" s="1" t="s">
        <v>83</v>
      </c>
      <c r="K60" s="1" t="s">
        <v>14</v>
      </c>
      <c r="L60" s="1" t="s">
        <v>23</v>
      </c>
      <c r="M60" s="14">
        <f t="shared" si="22"/>
        <v>25</v>
      </c>
      <c r="N60" s="1">
        <v>97</v>
      </c>
      <c r="O60" s="7">
        <v>315</v>
      </c>
      <c r="P60" s="7">
        <f>CT[[#This Row],[Purchase Rate/MT (USD)]]*CT[[#This Row],[PC Qty (MT)]]</f>
        <v>7875</v>
      </c>
      <c r="Q60" s="7">
        <f>CT[[#This Row],[Purchase Rate/MT (USD)]]*CT[[#This Row],[Container Qty]]</f>
        <v>7805.7000000000007</v>
      </c>
      <c r="R60" s="7">
        <f>IF(CT[[#This Row],[BL Number]]&lt;&gt;0,(CT[[#This Row],[Supplier Prov. Price]]-CT[[#This Row],[Supplier Final Price]])*1.2,"")</f>
        <v>83.15999999999913</v>
      </c>
      <c r="S60" s="101">
        <v>1.3411999999999999</v>
      </c>
      <c r="T60" s="3">
        <v>45853</v>
      </c>
      <c r="U60" s="7">
        <v>0</v>
      </c>
      <c r="V60" s="7">
        <f t="shared" ref="V60:V62" si="27">(275*S60)/SUM($F$60:$F$62)</f>
        <v>5.2057868736767823</v>
      </c>
      <c r="W60" s="24">
        <f t="shared" si="24"/>
        <v>0.23935606010016686</v>
      </c>
      <c r="X60" s="106">
        <f>IFERROR(CT[[#This Row],[Freight Charges]]+CT[[#This Row],[Inspection Cost/MT]]+CT[[#This Row],[DHL Charges PMT]],"")</f>
        <v>5.4451429337769488</v>
      </c>
      <c r="Y60" s="7">
        <f>IFERROR(AF60-(O60+CT[[#This Row],[Cost Per MT]]),"")</f>
        <v>29.554857066223065</v>
      </c>
      <c r="Z60" s="7">
        <f>IFERROR(CT[[#This Row],[Margin/MT]]*CT[[#This Row],[Container Qty]],"")</f>
        <v>732.36935810100761</v>
      </c>
      <c r="AA60" s="7"/>
      <c r="AB60" t="s">
        <v>11</v>
      </c>
      <c r="AC60" s="1" t="s">
        <v>81</v>
      </c>
      <c r="AD60" s="3">
        <v>45817</v>
      </c>
      <c r="AE60" s="14">
        <f t="shared" si="25"/>
        <v>25</v>
      </c>
      <c r="AF60" s="7">
        <v>350</v>
      </c>
      <c r="AG60" s="7">
        <f>CT[[#This Row],[Sales Rate/MT (USD)]]*CT[[#This Row],[SC Qty (MT)]]</f>
        <v>8750</v>
      </c>
      <c r="AH60" s="7">
        <f>IF(CT[[#This Row],[Container Qty]]&lt;&gt;0,CT[[#This Row],[Sales Rate/MT (USD)]]*CT[[#This Row],[Container Qty]],"")</f>
        <v>8673</v>
      </c>
      <c r="AI60" s="7">
        <f>IF(CT[[#This Row],[Customer Final Price]]&lt;&gt;"",CT[[#This Row],[Customer Final Price]]-CT[[#This Row],[Customer  Prov. Price]],"")</f>
        <v>-77</v>
      </c>
      <c r="AJ60" t="s">
        <v>8</v>
      </c>
      <c r="AK60" s="1" t="s">
        <v>84</v>
      </c>
      <c r="AL60" s="1" t="s">
        <v>163</v>
      </c>
      <c r="AM60" s="23" t="s">
        <v>133</v>
      </c>
      <c r="AO60" s="7">
        <f>CT[[#This Row],[Customer Final Price]]/CT[[#This Row],[FX Rate]]</f>
        <v>6466.5970772442588</v>
      </c>
    </row>
    <row r="61" spans="1:41" x14ac:dyDescent="0.25">
      <c r="A61" t="s">
        <v>9</v>
      </c>
      <c r="B61" s="102" t="s">
        <v>82</v>
      </c>
      <c r="C61" s="81">
        <v>45818</v>
      </c>
      <c r="D61" s="1" t="s">
        <v>67</v>
      </c>
      <c r="E61" s="1" t="s">
        <v>143</v>
      </c>
      <c r="F61" s="11">
        <v>23.55</v>
      </c>
      <c r="G61" s="3">
        <v>45857</v>
      </c>
      <c r="H61" s="3">
        <v>45901</v>
      </c>
      <c r="I61" s="58" t="s">
        <v>145</v>
      </c>
      <c r="J61" s="1" t="s">
        <v>83</v>
      </c>
      <c r="K61" s="1" t="s">
        <v>14</v>
      </c>
      <c r="L61" s="1" t="s">
        <v>23</v>
      </c>
      <c r="M61" s="14">
        <f t="shared" si="22"/>
        <v>25</v>
      </c>
      <c r="N61" s="1">
        <v>97</v>
      </c>
      <c r="O61" s="7">
        <v>315</v>
      </c>
      <c r="P61" s="7">
        <f>CT[[#This Row],[Purchase Rate/MT (USD)]]*CT[[#This Row],[PC Qty (MT)]]</f>
        <v>7875</v>
      </c>
      <c r="Q61" s="7">
        <f>CT[[#This Row],[Purchase Rate/MT (USD)]]*CT[[#This Row],[Container Qty]]</f>
        <v>7418.25</v>
      </c>
      <c r="R61" s="7">
        <f>IF(CT[[#This Row],[BL Number]]&lt;&gt;0,(CT[[#This Row],[Supplier Prov. Price]]-CT[[#This Row],[Supplier Final Price]])*1.2,"")</f>
        <v>548.1</v>
      </c>
      <c r="S61" s="101">
        <v>1.3411999999999999</v>
      </c>
      <c r="T61" s="3">
        <v>45853</v>
      </c>
      <c r="U61" s="7">
        <v>0</v>
      </c>
      <c r="V61" s="7">
        <f t="shared" si="27"/>
        <v>5.2057868736767823</v>
      </c>
      <c r="W61" s="24">
        <f t="shared" si="24"/>
        <v>0.23935606010016686</v>
      </c>
      <c r="X61" s="106">
        <f>IFERROR(CT[[#This Row],[Freight Charges]]+CT[[#This Row],[Inspection Cost/MT]]+CT[[#This Row],[DHL Charges PMT]],"")</f>
        <v>5.4451429337769488</v>
      </c>
      <c r="Y61" s="7">
        <f>IFERROR(AF61-(O61+CT[[#This Row],[Cost Per MT]]),"")</f>
        <v>29.554857066223065</v>
      </c>
      <c r="Z61" s="7">
        <f>IFERROR(CT[[#This Row],[Margin/MT]]*CT[[#This Row],[Container Qty]],"")</f>
        <v>696.01688390955314</v>
      </c>
      <c r="AA61" s="7"/>
      <c r="AB61" t="s">
        <v>11</v>
      </c>
      <c r="AC61" s="1" t="s">
        <v>81</v>
      </c>
      <c r="AD61" s="3">
        <v>45817</v>
      </c>
      <c r="AE61" s="14">
        <f t="shared" si="25"/>
        <v>25</v>
      </c>
      <c r="AF61" s="7">
        <v>350</v>
      </c>
      <c r="AG61" s="7">
        <f>CT[[#This Row],[Sales Rate/MT (USD)]]*CT[[#This Row],[SC Qty (MT)]]</f>
        <v>8750</v>
      </c>
      <c r="AH61" s="7">
        <f>IF(CT[[#This Row],[Container Qty]]&lt;&gt;0,CT[[#This Row],[Sales Rate/MT (USD)]]*CT[[#This Row],[Container Qty]],"")</f>
        <v>8242.5</v>
      </c>
      <c r="AI61" s="7">
        <f>IF(CT[[#This Row],[Customer Final Price]]&lt;&gt;"",CT[[#This Row],[Customer Final Price]]-CT[[#This Row],[Customer  Prov. Price]],"")</f>
        <v>-507.5</v>
      </c>
      <c r="AJ61" t="s">
        <v>8</v>
      </c>
      <c r="AK61" s="1" t="s">
        <v>84</v>
      </c>
      <c r="AL61" s="1" t="s">
        <v>163</v>
      </c>
      <c r="AM61" s="23" t="s">
        <v>133</v>
      </c>
      <c r="AO61" s="7">
        <f>CT[[#This Row],[Customer Final Price]]/CT[[#This Row],[FX Rate]]</f>
        <v>6145.6158663883089</v>
      </c>
    </row>
    <row r="62" spans="1:41" x14ac:dyDescent="0.25">
      <c r="A62" t="s">
        <v>9</v>
      </c>
      <c r="B62" s="102" t="s">
        <v>82</v>
      </c>
      <c r="C62" s="81">
        <v>45818</v>
      </c>
      <c r="D62" s="1" t="s">
        <v>67</v>
      </c>
      <c r="E62" s="1" t="s">
        <v>144</v>
      </c>
      <c r="F62" s="11">
        <v>22.52</v>
      </c>
      <c r="G62" s="3">
        <v>45857</v>
      </c>
      <c r="H62" s="3">
        <v>45901</v>
      </c>
      <c r="I62" s="58" t="s">
        <v>145</v>
      </c>
      <c r="J62" s="1" t="s">
        <v>83</v>
      </c>
      <c r="K62" s="1" t="s">
        <v>14</v>
      </c>
      <c r="L62" s="1" t="s">
        <v>23</v>
      </c>
      <c r="M62" s="14">
        <f t="shared" si="22"/>
        <v>25</v>
      </c>
      <c r="N62" s="1">
        <v>97</v>
      </c>
      <c r="O62" s="7">
        <v>315</v>
      </c>
      <c r="P62" s="7">
        <f>CT[[#This Row],[Purchase Rate/MT (USD)]]*CT[[#This Row],[PC Qty (MT)]]</f>
        <v>7875</v>
      </c>
      <c r="Q62" s="7">
        <f>CT[[#This Row],[Purchase Rate/MT (USD)]]*CT[[#This Row],[Container Qty]]</f>
        <v>7093.8</v>
      </c>
      <c r="R62" s="7">
        <f>IF(CT[[#This Row],[BL Number]]&lt;&gt;0,(CT[[#This Row],[Supplier Prov. Price]]-CT[[#This Row],[Supplier Final Price]])*1.2,"")</f>
        <v>937.43999999999971</v>
      </c>
      <c r="S62" s="101">
        <v>1.3411999999999999</v>
      </c>
      <c r="T62" s="3">
        <v>45853</v>
      </c>
      <c r="U62" s="7">
        <v>0</v>
      </c>
      <c r="V62" s="7">
        <f t="shared" si="27"/>
        <v>5.2057868736767823</v>
      </c>
      <c r="W62" s="24">
        <f t="shared" si="24"/>
        <v>0.23935606010016686</v>
      </c>
      <c r="X62" s="106">
        <f>IFERROR(CT[[#This Row],[Freight Charges]]+CT[[#This Row],[Inspection Cost/MT]]+CT[[#This Row],[DHL Charges PMT]],"")</f>
        <v>5.4451429337769488</v>
      </c>
      <c r="Y62" s="7">
        <f>IFERROR(AF62-(O62+CT[[#This Row],[Cost Per MT]]),"")</f>
        <v>29.554857066223065</v>
      </c>
      <c r="Z62" s="7">
        <f>IFERROR(CT[[#This Row],[Margin/MT]]*CT[[#This Row],[Container Qty]],"")</f>
        <v>665.57538113134342</v>
      </c>
      <c r="AA62" s="7"/>
      <c r="AB62" t="s">
        <v>11</v>
      </c>
      <c r="AC62" s="1" t="s">
        <v>81</v>
      </c>
      <c r="AD62" s="3">
        <v>45817</v>
      </c>
      <c r="AE62" s="14">
        <f t="shared" si="25"/>
        <v>25</v>
      </c>
      <c r="AF62" s="7">
        <v>350</v>
      </c>
      <c r="AG62" s="7">
        <f>CT[[#This Row],[Sales Rate/MT (USD)]]*CT[[#This Row],[SC Qty (MT)]]</f>
        <v>8750</v>
      </c>
      <c r="AH62" s="7">
        <f>IF(CT[[#This Row],[Container Qty]]&lt;&gt;0,CT[[#This Row],[Sales Rate/MT (USD)]]*CT[[#This Row],[Container Qty]],"")</f>
        <v>7882</v>
      </c>
      <c r="AI62" s="7">
        <f>IF(CT[[#This Row],[Customer Final Price]]&lt;&gt;"",CT[[#This Row],[Customer Final Price]]-CT[[#This Row],[Customer  Prov. Price]],"")</f>
        <v>-868</v>
      </c>
      <c r="AJ62" t="s">
        <v>8</v>
      </c>
      <c r="AK62" s="1" t="s">
        <v>84</v>
      </c>
      <c r="AL62" s="1" t="s">
        <v>163</v>
      </c>
      <c r="AM62" s="23" t="s">
        <v>133</v>
      </c>
      <c r="AO62" s="7">
        <f>CT[[#This Row],[Customer Final Price]]/CT[[#This Row],[FX Rate]]</f>
        <v>5876.8267223382045</v>
      </c>
    </row>
    <row r="63" spans="1:41" x14ac:dyDescent="0.25">
      <c r="A63" t="s">
        <v>9</v>
      </c>
      <c r="B63" s="102" t="s">
        <v>82</v>
      </c>
      <c r="C63" s="81">
        <v>45818</v>
      </c>
      <c r="D63" s="1" t="s">
        <v>67</v>
      </c>
      <c r="E63" s="1" t="s">
        <v>153</v>
      </c>
      <c r="F63" s="11">
        <v>26.14</v>
      </c>
      <c r="G63" s="3">
        <v>45859</v>
      </c>
      <c r="H63" s="3">
        <v>45918</v>
      </c>
      <c r="I63" s="58">
        <v>257067816</v>
      </c>
      <c r="J63" s="1" t="s">
        <v>83</v>
      </c>
      <c r="K63" s="1" t="s">
        <v>14</v>
      </c>
      <c r="L63" s="1" t="s">
        <v>23</v>
      </c>
      <c r="M63" s="14">
        <f t="shared" si="22"/>
        <v>25</v>
      </c>
      <c r="N63" s="1">
        <v>97</v>
      </c>
      <c r="O63" s="7">
        <v>315</v>
      </c>
      <c r="P63" s="7">
        <f>CT[[#This Row],[Purchase Rate/MT (USD)]]*CT[[#This Row],[PC Qty (MT)]]</f>
        <v>7875</v>
      </c>
      <c r="Q63" s="7">
        <f>CT[[#This Row],[Purchase Rate/MT (USD)]]*CT[[#This Row],[Container Qty]]</f>
        <v>8234.1</v>
      </c>
      <c r="R63" s="7">
        <f>IF(CT[[#This Row],[BL Number]]&lt;&gt;0,(CT[[#This Row],[Supplier Prov. Price]]-CT[[#This Row],[Supplier Final Price]])*1.2,"")</f>
        <v>-430.92000000000041</v>
      </c>
      <c r="S63" s="101">
        <v>1.3411999999999999</v>
      </c>
      <c r="T63" s="3">
        <v>45856</v>
      </c>
      <c r="U63" s="7">
        <v>0</v>
      </c>
      <c r="V63" s="7">
        <f t="shared" ref="V63:V67" si="28">(275*S63)/SUM($F$63:$F$67)</f>
        <v>2.9905943403875779</v>
      </c>
      <c r="W63" s="24">
        <f t="shared" ref="W63:W72" si="29">42.76/SUM($F$63:$F$72)*S63</f>
        <v>0.236962697297744</v>
      </c>
      <c r="X63" s="106">
        <f>IFERROR(CT[[#This Row],[Freight Charges]]+CT[[#This Row],[Inspection Cost/MT]]+CT[[#This Row],[DHL Charges PMT]],"")</f>
        <v>3.227557037685322</v>
      </c>
      <c r="Y63" s="7">
        <f>IFERROR(AF63-(O63+CT[[#This Row],[Cost Per MT]]),"")</f>
        <v>31.772442962314699</v>
      </c>
      <c r="Z63" s="7">
        <f>IFERROR(CT[[#This Row],[Margin/MT]]*CT[[#This Row],[Container Qty]],"")</f>
        <v>830.53165903490628</v>
      </c>
      <c r="AA63" s="7"/>
      <c r="AB63" t="s">
        <v>11</v>
      </c>
      <c r="AC63" s="1" t="s">
        <v>81</v>
      </c>
      <c r="AD63" s="3">
        <v>45817</v>
      </c>
      <c r="AE63" s="14">
        <f t="shared" si="25"/>
        <v>25</v>
      </c>
      <c r="AF63" s="7">
        <v>350</v>
      </c>
      <c r="AG63" s="7">
        <f>CT[[#This Row],[Sales Rate/MT (USD)]]*CT[[#This Row],[SC Qty (MT)]]</f>
        <v>8750</v>
      </c>
      <c r="AH63" s="7">
        <f>IF(CT[[#This Row],[Container Qty]]&lt;&gt;0,CT[[#This Row],[Sales Rate/MT (USD)]]*CT[[#This Row],[Container Qty]],"")</f>
        <v>9149</v>
      </c>
      <c r="AI63" s="7">
        <f>IF(CT[[#This Row],[Customer Final Price]]&lt;&gt;"",CT[[#This Row],[Customer Final Price]]-CT[[#This Row],[Customer  Prov. Price]],"")</f>
        <v>399</v>
      </c>
      <c r="AJ63" t="s">
        <v>8</v>
      </c>
      <c r="AK63" s="1" t="s">
        <v>84</v>
      </c>
      <c r="AL63" s="3" t="s">
        <v>164</v>
      </c>
      <c r="AM63" s="99" t="s">
        <v>133</v>
      </c>
      <c r="AO63" s="7">
        <f>CT[[#This Row],[Customer Final Price]]/CT[[#This Row],[FX Rate]]</f>
        <v>6821.5031315240085</v>
      </c>
    </row>
    <row r="64" spans="1:41" x14ac:dyDescent="0.25">
      <c r="A64" t="s">
        <v>9</v>
      </c>
      <c r="B64" s="102" t="s">
        <v>82</v>
      </c>
      <c r="C64" s="81">
        <v>45818</v>
      </c>
      <c r="D64" s="1" t="s">
        <v>67</v>
      </c>
      <c r="E64" s="1" t="s">
        <v>154</v>
      </c>
      <c r="F64" s="11">
        <v>25.21</v>
      </c>
      <c r="G64" s="3">
        <v>45859</v>
      </c>
      <c r="H64" s="3">
        <v>45918</v>
      </c>
      <c r="I64" s="58">
        <v>257067816</v>
      </c>
      <c r="J64" s="1" t="s">
        <v>83</v>
      </c>
      <c r="K64" s="1" t="s">
        <v>14</v>
      </c>
      <c r="L64" s="1" t="s">
        <v>23</v>
      </c>
      <c r="M64" s="14">
        <f t="shared" si="22"/>
        <v>25</v>
      </c>
      <c r="N64" s="1">
        <v>97</v>
      </c>
      <c r="O64" s="7">
        <v>315</v>
      </c>
      <c r="P64" s="7">
        <f>CT[[#This Row],[Purchase Rate/MT (USD)]]*CT[[#This Row],[PC Qty (MT)]]</f>
        <v>7875</v>
      </c>
      <c r="Q64" s="7">
        <f>CT[[#This Row],[Purchase Rate/MT (USD)]]*CT[[#This Row],[Container Qty]]</f>
        <v>7941.1500000000005</v>
      </c>
      <c r="R64" s="7">
        <f>IF(CT[[#This Row],[BL Number]]&lt;&gt;0,(CT[[#This Row],[Supplier Prov. Price]]-CT[[#This Row],[Supplier Final Price]])*1.2,"")</f>
        <v>-79.380000000000649</v>
      </c>
      <c r="S64" s="101">
        <v>1.3411999999999999</v>
      </c>
      <c r="T64" s="3">
        <v>45856</v>
      </c>
      <c r="U64" s="7">
        <v>0</v>
      </c>
      <c r="V64" s="7">
        <f t="shared" si="28"/>
        <v>2.9905943403875779</v>
      </c>
      <c r="W64" s="24">
        <f t="shared" si="29"/>
        <v>0.236962697297744</v>
      </c>
      <c r="X64" s="106">
        <f>IFERROR(CT[[#This Row],[Freight Charges]]+CT[[#This Row],[Inspection Cost/MT]]+CT[[#This Row],[DHL Charges PMT]],"")</f>
        <v>3.227557037685322</v>
      </c>
      <c r="Y64" s="7">
        <f>IFERROR(AF64-(O64+CT[[#This Row],[Cost Per MT]]),"")</f>
        <v>31.772442962314699</v>
      </c>
      <c r="Z64" s="7">
        <f>IFERROR(CT[[#This Row],[Margin/MT]]*CT[[#This Row],[Container Qty]],"")</f>
        <v>800.98328707995358</v>
      </c>
      <c r="AA64" s="7"/>
      <c r="AB64" t="s">
        <v>11</v>
      </c>
      <c r="AC64" s="1" t="s">
        <v>81</v>
      </c>
      <c r="AD64" s="3">
        <v>45817</v>
      </c>
      <c r="AE64" s="14">
        <f t="shared" si="25"/>
        <v>25</v>
      </c>
      <c r="AF64" s="7">
        <v>350</v>
      </c>
      <c r="AG64" s="7">
        <f>CT[[#This Row],[Sales Rate/MT (USD)]]*CT[[#This Row],[SC Qty (MT)]]</f>
        <v>8750</v>
      </c>
      <c r="AH64" s="7">
        <f>IF(CT[[#This Row],[Container Qty]]&lt;&gt;0,CT[[#This Row],[Sales Rate/MT (USD)]]*CT[[#This Row],[Container Qty]],"")</f>
        <v>8823.5</v>
      </c>
      <c r="AI64" s="7">
        <f>IF(CT[[#This Row],[Customer Final Price]]&lt;&gt;"",CT[[#This Row],[Customer Final Price]]-CT[[#This Row],[Customer  Prov. Price]],"")</f>
        <v>73.5</v>
      </c>
      <c r="AJ64" t="s">
        <v>8</v>
      </c>
      <c r="AK64" s="1" t="s">
        <v>84</v>
      </c>
      <c r="AL64" s="3" t="s">
        <v>164</v>
      </c>
      <c r="AM64" s="99" t="s">
        <v>133</v>
      </c>
      <c r="AO64" s="7">
        <f>CT[[#This Row],[Customer Final Price]]/CT[[#This Row],[FX Rate]]</f>
        <v>6578.8100208768274</v>
      </c>
    </row>
    <row r="65" spans="1:41" x14ac:dyDescent="0.25">
      <c r="A65" t="s">
        <v>9</v>
      </c>
      <c r="B65" s="102" t="s">
        <v>82</v>
      </c>
      <c r="C65" s="81">
        <v>45818</v>
      </c>
      <c r="D65" s="1" t="s">
        <v>67</v>
      </c>
      <c r="E65" s="1" t="s">
        <v>155</v>
      </c>
      <c r="F65" s="11">
        <v>23.44</v>
      </c>
      <c r="G65" s="3">
        <v>45859</v>
      </c>
      <c r="H65" s="3">
        <v>45918</v>
      </c>
      <c r="I65" s="58">
        <v>257067816</v>
      </c>
      <c r="J65" s="1" t="s">
        <v>83</v>
      </c>
      <c r="K65" s="1" t="s">
        <v>14</v>
      </c>
      <c r="L65" s="1" t="s">
        <v>23</v>
      </c>
      <c r="M65" s="14">
        <f t="shared" si="22"/>
        <v>25</v>
      </c>
      <c r="N65" s="1">
        <v>97</v>
      </c>
      <c r="O65" s="7">
        <v>315</v>
      </c>
      <c r="P65" s="7">
        <f>CT[[#This Row],[Purchase Rate/MT (USD)]]*CT[[#This Row],[PC Qty (MT)]]</f>
        <v>7875</v>
      </c>
      <c r="Q65" s="7">
        <f>CT[[#This Row],[Purchase Rate/MT (USD)]]*CT[[#This Row],[Container Qty]]</f>
        <v>7383.6</v>
      </c>
      <c r="R65" s="7">
        <f>IF(CT[[#This Row],[BL Number]]&lt;&gt;0,(CT[[#This Row],[Supplier Prov. Price]]-CT[[#This Row],[Supplier Final Price]])*1.2,"")</f>
        <v>589.6799999999995</v>
      </c>
      <c r="S65" s="101">
        <v>1.3411999999999999</v>
      </c>
      <c r="T65" s="3">
        <v>45856</v>
      </c>
      <c r="U65" s="7">
        <v>0</v>
      </c>
      <c r="V65" s="7">
        <f t="shared" si="28"/>
        <v>2.9905943403875779</v>
      </c>
      <c r="W65" s="24">
        <f t="shared" si="29"/>
        <v>0.236962697297744</v>
      </c>
      <c r="X65" s="106">
        <f>IFERROR(CT[[#This Row],[Freight Charges]]+CT[[#This Row],[Inspection Cost/MT]]+CT[[#This Row],[DHL Charges PMT]],"")</f>
        <v>3.227557037685322</v>
      </c>
      <c r="Y65" s="7">
        <f>IFERROR(AF65-(O65+CT[[#This Row],[Cost Per MT]]),"")</f>
        <v>31.772442962314699</v>
      </c>
      <c r="Z65" s="7">
        <f>IFERROR(CT[[#This Row],[Margin/MT]]*CT[[#This Row],[Container Qty]],"")</f>
        <v>744.74606303665655</v>
      </c>
      <c r="AA65" s="7"/>
      <c r="AB65" t="s">
        <v>11</v>
      </c>
      <c r="AC65" s="1" t="s">
        <v>81</v>
      </c>
      <c r="AD65" s="3">
        <v>45817</v>
      </c>
      <c r="AE65" s="14">
        <f t="shared" si="25"/>
        <v>25</v>
      </c>
      <c r="AF65" s="7">
        <v>350</v>
      </c>
      <c r="AG65" s="7">
        <f>CT[[#This Row],[Sales Rate/MT (USD)]]*CT[[#This Row],[SC Qty (MT)]]</f>
        <v>8750</v>
      </c>
      <c r="AH65" s="7">
        <f>IF(CT[[#This Row],[Container Qty]]&lt;&gt;0,CT[[#This Row],[Sales Rate/MT (USD)]]*CT[[#This Row],[Container Qty]],"")</f>
        <v>8204</v>
      </c>
      <c r="AI65" s="7">
        <f>IF(CT[[#This Row],[Customer Final Price]]&lt;&gt;"",CT[[#This Row],[Customer Final Price]]-CT[[#This Row],[Customer  Prov. Price]],"")</f>
        <v>-546</v>
      </c>
      <c r="AJ65" t="s">
        <v>8</v>
      </c>
      <c r="AK65" s="1" t="s">
        <v>84</v>
      </c>
      <c r="AL65" s="3" t="s">
        <v>164</v>
      </c>
      <c r="AM65" s="99" t="s">
        <v>133</v>
      </c>
      <c r="AO65" s="7">
        <f>CT[[#This Row],[Customer Final Price]]/CT[[#This Row],[FX Rate]]</f>
        <v>6116.9102296450938</v>
      </c>
    </row>
    <row r="66" spans="1:41" x14ac:dyDescent="0.25">
      <c r="A66" t="s">
        <v>9</v>
      </c>
      <c r="B66" s="102" t="s">
        <v>82</v>
      </c>
      <c r="C66" s="81">
        <v>45818</v>
      </c>
      <c r="D66" s="1" t="s">
        <v>67</v>
      </c>
      <c r="E66" s="1" t="s">
        <v>156</v>
      </c>
      <c r="F66" s="11">
        <v>24.46</v>
      </c>
      <c r="G66" s="3">
        <v>45859</v>
      </c>
      <c r="H66" s="3">
        <v>45918</v>
      </c>
      <c r="I66" s="58">
        <v>257067816</v>
      </c>
      <c r="J66" s="1" t="s">
        <v>83</v>
      </c>
      <c r="K66" s="1" t="s">
        <v>14</v>
      </c>
      <c r="L66" s="1" t="s">
        <v>23</v>
      </c>
      <c r="M66" s="14">
        <f t="shared" si="22"/>
        <v>25</v>
      </c>
      <c r="N66" s="1">
        <v>97</v>
      </c>
      <c r="O66" s="7">
        <v>315</v>
      </c>
      <c r="P66" s="7">
        <f>CT[[#This Row],[Purchase Rate/MT (USD)]]*CT[[#This Row],[PC Qty (MT)]]</f>
        <v>7875</v>
      </c>
      <c r="Q66" s="7">
        <f>CT[[#This Row],[Purchase Rate/MT (USD)]]*CT[[#This Row],[Container Qty]]</f>
        <v>7704.9000000000005</v>
      </c>
      <c r="R66" s="7">
        <f>IF(CT[[#This Row],[BL Number]]&lt;&gt;0,(CT[[#This Row],[Supplier Prov. Price]]-CT[[#This Row],[Supplier Final Price]])*1.2,"")</f>
        <v>204.11999999999935</v>
      </c>
      <c r="S66" s="101">
        <v>1.3411999999999999</v>
      </c>
      <c r="T66" s="3">
        <v>45856</v>
      </c>
      <c r="U66" s="7">
        <v>0</v>
      </c>
      <c r="V66" s="7">
        <f t="shared" si="28"/>
        <v>2.9905943403875779</v>
      </c>
      <c r="W66" s="24">
        <f t="shared" si="29"/>
        <v>0.236962697297744</v>
      </c>
      <c r="X66" s="106">
        <f>IFERROR(CT[[#This Row],[Freight Charges]]+CT[[#This Row],[Inspection Cost/MT]]+CT[[#This Row],[DHL Charges PMT]],"")</f>
        <v>3.227557037685322</v>
      </c>
      <c r="Y66" s="7">
        <f>IFERROR(AF66-(O66+CT[[#This Row],[Cost Per MT]]),"")</f>
        <v>31.772442962314699</v>
      </c>
      <c r="Z66" s="7">
        <f>IFERROR(CT[[#This Row],[Margin/MT]]*CT[[#This Row],[Container Qty]],"")</f>
        <v>777.15395485821762</v>
      </c>
      <c r="AA66" s="7"/>
      <c r="AB66" t="s">
        <v>11</v>
      </c>
      <c r="AC66" s="1" t="s">
        <v>81</v>
      </c>
      <c r="AD66" s="3">
        <v>45817</v>
      </c>
      <c r="AE66" s="14">
        <f t="shared" si="25"/>
        <v>25</v>
      </c>
      <c r="AF66" s="7">
        <v>350</v>
      </c>
      <c r="AG66" s="7">
        <f>CT[[#This Row],[Sales Rate/MT (USD)]]*CT[[#This Row],[SC Qty (MT)]]</f>
        <v>8750</v>
      </c>
      <c r="AH66" s="7">
        <f>IF(CT[[#This Row],[Container Qty]]&lt;&gt;0,CT[[#This Row],[Sales Rate/MT (USD)]]*CT[[#This Row],[Container Qty]],"")</f>
        <v>8561</v>
      </c>
      <c r="AI66" s="7">
        <f>IF(CT[[#This Row],[Customer Final Price]]&lt;&gt;"",CT[[#This Row],[Customer Final Price]]-CT[[#This Row],[Customer  Prov. Price]],"")</f>
        <v>-189</v>
      </c>
      <c r="AJ66" t="s">
        <v>8</v>
      </c>
      <c r="AK66" s="1" t="s">
        <v>84</v>
      </c>
      <c r="AL66" s="3" t="s">
        <v>164</v>
      </c>
      <c r="AM66" s="99" t="s">
        <v>133</v>
      </c>
      <c r="AO66" s="7">
        <f>CT[[#This Row],[Customer Final Price]]/CT[[#This Row],[FX Rate]]</f>
        <v>6383.0897703549062</v>
      </c>
    </row>
    <row r="67" spans="1:41" x14ac:dyDescent="0.25">
      <c r="A67" t="s">
        <v>9</v>
      </c>
      <c r="B67" s="102" t="s">
        <v>82</v>
      </c>
      <c r="C67" s="81">
        <v>45818</v>
      </c>
      <c r="D67" s="1" t="s">
        <v>67</v>
      </c>
      <c r="E67" s="1" t="s">
        <v>157</v>
      </c>
      <c r="F67" s="11">
        <v>24.08</v>
      </c>
      <c r="G67" s="3">
        <v>45859</v>
      </c>
      <c r="H67" s="3">
        <v>45918</v>
      </c>
      <c r="I67" s="58">
        <v>257067816</v>
      </c>
      <c r="J67" s="1" t="s">
        <v>83</v>
      </c>
      <c r="K67" s="1" t="s">
        <v>14</v>
      </c>
      <c r="L67" s="1" t="s">
        <v>23</v>
      </c>
      <c r="M67" s="14">
        <f t="shared" si="22"/>
        <v>25</v>
      </c>
      <c r="N67" s="1">
        <v>97</v>
      </c>
      <c r="O67" s="7">
        <v>315</v>
      </c>
      <c r="P67" s="7">
        <f>CT[[#This Row],[Purchase Rate/MT (USD)]]*CT[[#This Row],[PC Qty (MT)]]</f>
        <v>7875</v>
      </c>
      <c r="Q67" s="7">
        <f>CT[[#This Row],[Purchase Rate/MT (USD)]]*CT[[#This Row],[Container Qty]]</f>
        <v>7585.2</v>
      </c>
      <c r="R67" s="7">
        <f>IF(CT[[#This Row],[BL Number]]&lt;&gt;0,(CT[[#This Row],[Supplier Prov. Price]]-CT[[#This Row],[Supplier Final Price]])*1.2,"")</f>
        <v>347.76000000000022</v>
      </c>
      <c r="S67" s="101">
        <v>1.3411999999999999</v>
      </c>
      <c r="T67" s="3">
        <v>45856</v>
      </c>
      <c r="U67" s="7">
        <v>0</v>
      </c>
      <c r="V67" s="7">
        <f t="shared" si="28"/>
        <v>2.9905943403875779</v>
      </c>
      <c r="W67" s="24">
        <f t="shared" si="29"/>
        <v>0.236962697297744</v>
      </c>
      <c r="X67" s="106">
        <f>IFERROR(CT[[#This Row],[Freight Charges]]+CT[[#This Row],[Inspection Cost/MT]]+CT[[#This Row],[DHL Charges PMT]],"")</f>
        <v>3.227557037685322</v>
      </c>
      <c r="Y67" s="7">
        <f>IFERROR(AF67-(O67+CT[[#This Row],[Cost Per MT]]),"")</f>
        <v>31.772442962314699</v>
      </c>
      <c r="Z67" s="7">
        <f>IFERROR(CT[[#This Row],[Margin/MT]]*CT[[#This Row],[Container Qty]],"")</f>
        <v>765.0804265325379</v>
      </c>
      <c r="AA67" s="7"/>
      <c r="AB67" t="s">
        <v>11</v>
      </c>
      <c r="AC67" s="1" t="s">
        <v>81</v>
      </c>
      <c r="AD67" s="3">
        <v>45817</v>
      </c>
      <c r="AE67" s="14">
        <f t="shared" si="25"/>
        <v>25</v>
      </c>
      <c r="AF67" s="7">
        <v>350</v>
      </c>
      <c r="AG67" s="7">
        <f>CT[[#This Row],[Sales Rate/MT (USD)]]*CT[[#This Row],[SC Qty (MT)]]</f>
        <v>8750</v>
      </c>
      <c r="AH67" s="7">
        <f>IF(CT[[#This Row],[Container Qty]]&lt;&gt;0,CT[[#This Row],[Sales Rate/MT (USD)]]*CT[[#This Row],[Container Qty]],"")</f>
        <v>8428</v>
      </c>
      <c r="AI67" s="7">
        <f>IF(CT[[#This Row],[Customer Final Price]]&lt;&gt;"",CT[[#This Row],[Customer Final Price]]-CT[[#This Row],[Customer  Prov. Price]],"")</f>
        <v>-322</v>
      </c>
      <c r="AJ67" t="s">
        <v>8</v>
      </c>
      <c r="AK67" s="1" t="s">
        <v>84</v>
      </c>
      <c r="AL67" s="3" t="s">
        <v>164</v>
      </c>
      <c r="AM67" s="99" t="s">
        <v>133</v>
      </c>
      <c r="AO67" s="7">
        <f>CT[[#This Row],[Customer Final Price]]/CT[[#This Row],[FX Rate]]</f>
        <v>6283.9248434237998</v>
      </c>
    </row>
    <row r="68" spans="1:41" x14ac:dyDescent="0.25">
      <c r="A68" t="s">
        <v>9</v>
      </c>
      <c r="B68" s="102" t="s">
        <v>82</v>
      </c>
      <c r="C68" s="81">
        <v>45818</v>
      </c>
      <c r="D68" s="1" t="s">
        <v>67</v>
      </c>
      <c r="E68" s="1" t="s">
        <v>160</v>
      </c>
      <c r="F68" s="11">
        <v>25.24</v>
      </c>
      <c r="G68" s="3">
        <v>45867</v>
      </c>
      <c r="H68" s="3">
        <v>45894</v>
      </c>
      <c r="I68" s="58">
        <v>256973412</v>
      </c>
      <c r="J68" s="1" t="s">
        <v>83</v>
      </c>
      <c r="K68" s="1" t="s">
        <v>14</v>
      </c>
      <c r="L68" s="1" t="s">
        <v>23</v>
      </c>
      <c r="M68" s="14">
        <f t="shared" si="22"/>
        <v>25</v>
      </c>
      <c r="N68" s="1">
        <v>97</v>
      </c>
      <c r="O68" s="7">
        <v>315</v>
      </c>
      <c r="P68" s="7">
        <f>CT[[#This Row],[Purchase Rate/MT (USD)]]*CT[[#This Row],[PC Qty (MT)]]</f>
        <v>7875</v>
      </c>
      <c r="Q68" s="7">
        <f>CT[[#This Row],[Purchase Rate/MT (USD)]]*CT[[#This Row],[Container Qty]]</f>
        <v>7950.5999999999995</v>
      </c>
      <c r="R68" s="7">
        <f>IF(CT[[#This Row],[BL Number]]&lt;&gt;0,(CT[[#This Row],[Supplier Prov. Price]]-CT[[#This Row],[Supplier Final Price]])*1.2,"")</f>
        <v>-90.719999999999345</v>
      </c>
      <c r="S68" s="101">
        <v>1.3411999999999999</v>
      </c>
      <c r="T68" s="3">
        <v>45862</v>
      </c>
      <c r="U68" s="7">
        <v>0</v>
      </c>
      <c r="V68" s="7">
        <f t="shared" ref="V68:V70" si="30">(275*S68)/SUM($F$68:$F$70)</f>
        <v>5.1577401761991331</v>
      </c>
      <c r="W68" s="24">
        <f t="shared" si="29"/>
        <v>0.236962697297744</v>
      </c>
      <c r="X68" s="106">
        <f>IFERROR(CT[[#This Row],[Freight Charges]]+CT[[#This Row],[Inspection Cost/MT]]+CT[[#This Row],[DHL Charges PMT]],"")</f>
        <v>5.3947028734968772</v>
      </c>
      <c r="Y68" s="7">
        <f>IFERROR(AF68-(O68+CT[[#This Row],[Cost Per MT]]),"")</f>
        <v>29.605297126503103</v>
      </c>
      <c r="Z68" s="7">
        <f>IFERROR(CT[[#This Row],[Margin/MT]]*CT[[#This Row],[Container Qty]],"")</f>
        <v>747.23769947293829</v>
      </c>
      <c r="AA68" s="7"/>
      <c r="AB68" t="s">
        <v>11</v>
      </c>
      <c r="AC68" s="1" t="s">
        <v>81</v>
      </c>
      <c r="AD68" s="3">
        <v>45817</v>
      </c>
      <c r="AE68" s="14">
        <f t="shared" si="25"/>
        <v>25</v>
      </c>
      <c r="AF68" s="7">
        <v>350</v>
      </c>
      <c r="AG68" s="7">
        <f>CT[[#This Row],[Sales Rate/MT (USD)]]*CT[[#This Row],[SC Qty (MT)]]</f>
        <v>8750</v>
      </c>
      <c r="AH68" s="7">
        <f>IF(CT[[#This Row],[Container Qty]]&lt;&gt;0,CT[[#This Row],[Sales Rate/MT (USD)]]*CT[[#This Row],[Container Qty]],"")</f>
        <v>8834</v>
      </c>
      <c r="AI68" s="7">
        <f>IF(CT[[#This Row],[Customer Final Price]]&lt;&gt;"",CT[[#This Row],[Customer Final Price]]-CT[[#This Row],[Customer  Prov. Price]],"")</f>
        <v>84</v>
      </c>
      <c r="AJ68" t="s">
        <v>8</v>
      </c>
      <c r="AK68" s="1" t="s">
        <v>84</v>
      </c>
      <c r="AL68" s="3" t="s">
        <v>167</v>
      </c>
      <c r="AM68" s="99" t="s">
        <v>133</v>
      </c>
      <c r="AO68" s="7">
        <f>CT[[#This Row],[Customer Final Price]]/CT[[#This Row],[FX Rate]]</f>
        <v>6586.6388308977039</v>
      </c>
    </row>
    <row r="69" spans="1:41" x14ac:dyDescent="0.25">
      <c r="A69" t="s">
        <v>9</v>
      </c>
      <c r="B69" s="102" t="s">
        <v>82</v>
      </c>
      <c r="C69" s="81">
        <v>45818</v>
      </c>
      <c r="D69" s="1" t="s">
        <v>67</v>
      </c>
      <c r="E69" s="1" t="s">
        <v>161</v>
      </c>
      <c r="F69" s="11">
        <v>23.55</v>
      </c>
      <c r="G69" s="3">
        <v>45867</v>
      </c>
      <c r="H69" s="3">
        <v>45894</v>
      </c>
      <c r="I69" s="58">
        <v>256973412</v>
      </c>
      <c r="J69" s="1" t="s">
        <v>83</v>
      </c>
      <c r="K69" s="1" t="s">
        <v>14</v>
      </c>
      <c r="L69" s="1" t="s">
        <v>23</v>
      </c>
      <c r="M69" s="14">
        <f t="shared" si="22"/>
        <v>25</v>
      </c>
      <c r="N69" s="1">
        <v>97</v>
      </c>
      <c r="O69" s="7">
        <v>315</v>
      </c>
      <c r="P69" s="7">
        <f>CT[[#This Row],[Purchase Rate/MT (USD)]]*CT[[#This Row],[PC Qty (MT)]]</f>
        <v>7875</v>
      </c>
      <c r="Q69" s="7">
        <f>CT[[#This Row],[Purchase Rate/MT (USD)]]*CT[[#This Row],[Container Qty]]</f>
        <v>7418.25</v>
      </c>
      <c r="R69" s="7">
        <f>IF(CT[[#This Row],[BL Number]]&lt;&gt;0,(CT[[#This Row],[Supplier Prov. Price]]-CT[[#This Row],[Supplier Final Price]])*1.2,"")</f>
        <v>548.1</v>
      </c>
      <c r="S69" s="101">
        <v>1.3411999999999999</v>
      </c>
      <c r="T69" s="3">
        <v>45862</v>
      </c>
      <c r="U69" s="7">
        <v>0</v>
      </c>
      <c r="V69" s="7">
        <f t="shared" si="30"/>
        <v>5.1577401761991331</v>
      </c>
      <c r="W69" s="24">
        <f t="shared" si="29"/>
        <v>0.236962697297744</v>
      </c>
      <c r="X69" s="106">
        <f>IFERROR(CT[[#This Row],[Freight Charges]]+CT[[#This Row],[Inspection Cost/MT]]+CT[[#This Row],[DHL Charges PMT]],"")</f>
        <v>5.3947028734968772</v>
      </c>
      <c r="Y69" s="7">
        <f>IFERROR(AF69-(O69+CT[[#This Row],[Cost Per MT]]),"")</f>
        <v>29.605297126503103</v>
      </c>
      <c r="Z69" s="7">
        <f>IFERROR(CT[[#This Row],[Margin/MT]]*CT[[#This Row],[Container Qty]],"")</f>
        <v>697.20474732914806</v>
      </c>
      <c r="AA69" s="7"/>
      <c r="AB69" t="s">
        <v>11</v>
      </c>
      <c r="AC69" s="1" t="s">
        <v>81</v>
      </c>
      <c r="AD69" s="3">
        <v>45817</v>
      </c>
      <c r="AE69" s="14">
        <f t="shared" si="25"/>
        <v>25</v>
      </c>
      <c r="AF69" s="7">
        <v>350</v>
      </c>
      <c r="AG69" s="7">
        <f>CT[[#This Row],[Sales Rate/MT (USD)]]*CT[[#This Row],[SC Qty (MT)]]</f>
        <v>8750</v>
      </c>
      <c r="AH69" s="7">
        <f>IF(CT[[#This Row],[Container Qty]]&lt;&gt;0,CT[[#This Row],[Sales Rate/MT (USD)]]*CT[[#This Row],[Container Qty]],"")</f>
        <v>8242.5</v>
      </c>
      <c r="AI69" s="7">
        <f>IF(CT[[#This Row],[Customer Final Price]]&lt;&gt;"",CT[[#This Row],[Customer Final Price]]-CT[[#This Row],[Customer  Prov. Price]],"")</f>
        <v>-507.5</v>
      </c>
      <c r="AJ69" t="s">
        <v>8</v>
      </c>
      <c r="AK69" s="1" t="s">
        <v>84</v>
      </c>
      <c r="AL69" s="3" t="s">
        <v>167</v>
      </c>
      <c r="AM69" s="99" t="s">
        <v>133</v>
      </c>
      <c r="AO69" s="7">
        <f>CT[[#This Row],[Customer Final Price]]/CT[[#This Row],[FX Rate]]</f>
        <v>6145.6158663883089</v>
      </c>
    </row>
    <row r="70" spans="1:41" x14ac:dyDescent="0.25">
      <c r="A70" t="s">
        <v>9</v>
      </c>
      <c r="B70" s="102" t="s">
        <v>82</v>
      </c>
      <c r="C70" s="81">
        <v>45818</v>
      </c>
      <c r="D70" s="1" t="s">
        <v>67</v>
      </c>
      <c r="E70" s="1" t="s">
        <v>166</v>
      </c>
      <c r="F70" s="11">
        <v>22.72</v>
      </c>
      <c r="G70" s="3">
        <v>45867</v>
      </c>
      <c r="H70" s="3">
        <v>45894</v>
      </c>
      <c r="I70" s="58">
        <v>256973412</v>
      </c>
      <c r="J70" s="1" t="s">
        <v>83</v>
      </c>
      <c r="K70" s="1" t="s">
        <v>14</v>
      </c>
      <c r="L70" s="1" t="s">
        <v>23</v>
      </c>
      <c r="M70" s="14">
        <f t="shared" si="22"/>
        <v>25</v>
      </c>
      <c r="N70" s="1">
        <v>97</v>
      </c>
      <c r="O70" s="7">
        <v>315</v>
      </c>
      <c r="P70" s="7">
        <f>CT[[#This Row],[Purchase Rate/MT (USD)]]*CT[[#This Row],[PC Qty (MT)]]</f>
        <v>7875</v>
      </c>
      <c r="Q70" s="7">
        <f>CT[[#This Row],[Purchase Rate/MT (USD)]]*CT[[#This Row],[Container Qty]]</f>
        <v>7156.7999999999993</v>
      </c>
      <c r="R70" s="7">
        <f>IF(CT[[#This Row],[BL Number]]&lt;&gt;0,(CT[[#This Row],[Supplier Prov. Price]]-CT[[#This Row],[Supplier Final Price]])*1.2,"")</f>
        <v>861.84000000000083</v>
      </c>
      <c r="S70" s="101">
        <v>1.3411999999999999</v>
      </c>
      <c r="T70" s="3">
        <v>45862</v>
      </c>
      <c r="U70" s="7">
        <v>0</v>
      </c>
      <c r="V70" s="7">
        <f t="shared" si="30"/>
        <v>5.1577401761991331</v>
      </c>
      <c r="W70" s="24">
        <f t="shared" si="29"/>
        <v>0.236962697297744</v>
      </c>
      <c r="X70" s="106">
        <f>IFERROR(CT[[#This Row],[Freight Charges]]+CT[[#This Row],[Inspection Cost/MT]]+CT[[#This Row],[DHL Charges PMT]],"")</f>
        <v>5.3947028734968772</v>
      </c>
      <c r="Y70" s="7">
        <f>IFERROR(AF70-(O70+CT[[#This Row],[Cost Per MT]]),"")</f>
        <v>29.605297126503103</v>
      </c>
      <c r="Z70" s="7">
        <f>IFERROR(CT[[#This Row],[Margin/MT]]*CT[[#This Row],[Container Qty]],"")</f>
        <v>672.63235071415045</v>
      </c>
      <c r="AA70" s="7"/>
      <c r="AB70" t="s">
        <v>11</v>
      </c>
      <c r="AC70" s="1" t="s">
        <v>81</v>
      </c>
      <c r="AD70" s="3">
        <v>45817</v>
      </c>
      <c r="AE70" s="14">
        <f t="shared" si="25"/>
        <v>25</v>
      </c>
      <c r="AF70" s="7">
        <v>350</v>
      </c>
      <c r="AG70" s="7">
        <f>CT[[#This Row],[Sales Rate/MT (USD)]]*CT[[#This Row],[SC Qty (MT)]]</f>
        <v>8750</v>
      </c>
      <c r="AH70" s="7">
        <f>IF(CT[[#This Row],[Container Qty]]&lt;&gt;0,CT[[#This Row],[Sales Rate/MT (USD)]]*CT[[#This Row],[Container Qty]],"")</f>
        <v>7952</v>
      </c>
      <c r="AI70" s="7">
        <f>IF(CT[[#This Row],[Customer Final Price]]&lt;&gt;"",CT[[#This Row],[Customer Final Price]]-CT[[#This Row],[Customer  Prov. Price]],"")</f>
        <v>-798</v>
      </c>
      <c r="AJ70" t="s">
        <v>8</v>
      </c>
      <c r="AK70" s="1" t="s">
        <v>84</v>
      </c>
      <c r="AL70" s="3" t="s">
        <v>167</v>
      </c>
      <c r="AM70" s="99" t="s">
        <v>133</v>
      </c>
      <c r="AO70" s="7">
        <f>CT[[#This Row],[Customer Final Price]]/CT[[#This Row],[FX Rate]]</f>
        <v>5929.0187891440501</v>
      </c>
    </row>
    <row r="71" spans="1:41" x14ac:dyDescent="0.25">
      <c r="A71" t="s">
        <v>9</v>
      </c>
      <c r="B71" s="102" t="s">
        <v>82</v>
      </c>
      <c r="C71" s="81">
        <v>45818</v>
      </c>
      <c r="D71" s="1" t="s">
        <v>67</v>
      </c>
      <c r="E71" s="1" t="s">
        <v>162</v>
      </c>
      <c r="F71" s="11">
        <v>24.07</v>
      </c>
      <c r="G71" s="3">
        <v>45867</v>
      </c>
      <c r="H71" s="3">
        <v>45894</v>
      </c>
      <c r="I71" s="58">
        <v>256973412</v>
      </c>
      <c r="J71" s="1" t="s">
        <v>83</v>
      </c>
      <c r="K71" s="1" t="s">
        <v>14</v>
      </c>
      <c r="L71" s="1" t="s">
        <v>23</v>
      </c>
      <c r="M71" s="14">
        <f t="shared" si="22"/>
        <v>25</v>
      </c>
      <c r="N71" s="1">
        <v>97</v>
      </c>
      <c r="O71" s="7">
        <v>315</v>
      </c>
      <c r="P71" s="7">
        <f>CT[[#This Row],[Purchase Rate/MT (USD)]]*CT[[#This Row],[PC Qty (MT)]]</f>
        <v>7875</v>
      </c>
      <c r="Q71" s="7">
        <f>CT[[#This Row],[Purchase Rate/MT (USD)]]*CT[[#This Row],[Container Qty]]</f>
        <v>7582.05</v>
      </c>
      <c r="R71" s="7">
        <f>IF(CT[[#This Row],[BL Number]]&lt;&gt;0,(CT[[#This Row],[Supplier Prov. Price]]-CT[[#This Row],[Supplier Final Price]])*1.2,"")</f>
        <v>351.53999999999979</v>
      </c>
      <c r="S71" s="101">
        <v>1.3411999999999999</v>
      </c>
      <c r="T71" s="3">
        <v>45864</v>
      </c>
      <c r="U71" s="7">
        <v>0</v>
      </c>
      <c r="V71" s="7">
        <f>(275*CT[[#This Row],[FX Rate]])/CT[[#This Row],[Container Qty]]</f>
        <v>15.323223930203572</v>
      </c>
      <c r="W71" s="24">
        <f t="shared" si="29"/>
        <v>0.236962697297744</v>
      </c>
      <c r="X71" s="106">
        <f>IFERROR(CT[[#This Row],[Freight Charges]]+CT[[#This Row],[Inspection Cost/MT]]+CT[[#This Row],[DHL Charges PMT]],"")</f>
        <v>15.560186627501315</v>
      </c>
      <c r="Y71" s="7">
        <f>IFERROR(AF71-(O71+CT[[#This Row],[Cost Per MT]]),"")</f>
        <v>19.439813372498691</v>
      </c>
      <c r="Z71" s="7">
        <f>IFERROR(CT[[#This Row],[Margin/MT]]*CT[[#This Row],[Container Qty]],"")</f>
        <v>467.9163078760435</v>
      </c>
      <c r="AA71" s="7"/>
      <c r="AB71" t="s">
        <v>11</v>
      </c>
      <c r="AC71" s="1" t="s">
        <v>81</v>
      </c>
      <c r="AD71" s="3">
        <v>45817</v>
      </c>
      <c r="AE71" s="14">
        <f t="shared" si="25"/>
        <v>25</v>
      </c>
      <c r="AF71" s="7">
        <v>350</v>
      </c>
      <c r="AG71" s="7">
        <f>CT[[#This Row],[Sales Rate/MT (USD)]]*CT[[#This Row],[SC Qty (MT)]]</f>
        <v>8750</v>
      </c>
      <c r="AH71" s="7">
        <f>IF(CT[[#This Row],[Container Qty]]&lt;&gt;0,CT[[#This Row],[Sales Rate/MT (USD)]]*CT[[#This Row],[Container Qty]],"")</f>
        <v>8424.5</v>
      </c>
      <c r="AI71" s="7">
        <f>IF(CT[[#This Row],[Customer Final Price]]&lt;&gt;"",CT[[#This Row],[Customer Final Price]]-CT[[#This Row],[Customer  Prov. Price]],"")</f>
        <v>-325.5</v>
      </c>
      <c r="AJ71" t="s">
        <v>8</v>
      </c>
      <c r="AK71" s="1" t="s">
        <v>84</v>
      </c>
      <c r="AL71" s="3" t="s">
        <v>167</v>
      </c>
      <c r="AM71" s="99" t="s">
        <v>133</v>
      </c>
      <c r="AO71" s="7">
        <f>CT[[#This Row],[Customer Final Price]]/CT[[#This Row],[FX Rate]]</f>
        <v>6281.3152400835079</v>
      </c>
    </row>
    <row r="72" spans="1:41" x14ac:dyDescent="0.25">
      <c r="A72" t="s">
        <v>9</v>
      </c>
      <c r="B72" s="102" t="s">
        <v>82</v>
      </c>
      <c r="C72" s="81">
        <v>45818</v>
      </c>
      <c r="D72" s="1" t="s">
        <v>67</v>
      </c>
      <c r="E72" s="1" t="s">
        <v>165</v>
      </c>
      <c r="F72" s="90">
        <v>23.11</v>
      </c>
      <c r="G72" s="3">
        <v>45867</v>
      </c>
      <c r="H72" s="3">
        <v>45894</v>
      </c>
      <c r="I72" s="58">
        <v>256973412</v>
      </c>
      <c r="J72" s="1" t="s">
        <v>83</v>
      </c>
      <c r="K72" s="1" t="s">
        <v>14</v>
      </c>
      <c r="L72" s="1" t="s">
        <v>23</v>
      </c>
      <c r="M72" s="14">
        <f t="shared" si="22"/>
        <v>25</v>
      </c>
      <c r="N72" s="1">
        <v>97</v>
      </c>
      <c r="O72" s="7">
        <v>315</v>
      </c>
      <c r="P72" s="7">
        <f>CT[[#This Row],[Purchase Rate/MT (USD)]]*CT[[#This Row],[PC Qty (MT)]]</f>
        <v>7875</v>
      </c>
      <c r="Q72" s="7">
        <f>CT[[#This Row],[Purchase Rate/MT (USD)]]*CT[[#This Row],[Container Qty]]</f>
        <v>7279.65</v>
      </c>
      <c r="R72" s="7">
        <f>IF(CT[[#This Row],[BL Number]]&lt;&gt;0,(CT[[#This Row],[Supplier Prov. Price]]-CT[[#This Row],[Supplier Final Price]])*1.2,"")</f>
        <v>714.42000000000041</v>
      </c>
      <c r="S72" s="101">
        <v>1.3411999999999999</v>
      </c>
      <c r="T72" s="3">
        <v>45865</v>
      </c>
      <c r="U72" s="7">
        <v>0</v>
      </c>
      <c r="V72" s="7">
        <f>(275*CT[[#This Row],[FX Rate]])/CT[[#This Row],[Container Qty]]</f>
        <v>15.959757680657724</v>
      </c>
      <c r="W72" s="24">
        <f t="shared" si="29"/>
        <v>0.236962697297744</v>
      </c>
      <c r="X72" s="106">
        <f>IFERROR(CT[[#This Row],[Freight Charges]]+CT[[#This Row],[Inspection Cost/MT]]+CT[[#This Row],[DHL Charges PMT]],"")</f>
        <v>16.196720377955469</v>
      </c>
      <c r="Y72" s="7">
        <f>IFERROR(AF72-(O72+CT[[#This Row],[Cost Per MT]]),"")</f>
        <v>18.803279622044556</v>
      </c>
      <c r="Z72" s="7">
        <f>IFERROR(CT[[#This Row],[Margin/MT]]*CT[[#This Row],[Container Qty]],"")</f>
        <v>434.54379206544968</v>
      </c>
      <c r="AA72" s="7"/>
      <c r="AB72" t="s">
        <v>11</v>
      </c>
      <c r="AC72" s="1" t="s">
        <v>81</v>
      </c>
      <c r="AD72" s="3">
        <v>45817</v>
      </c>
      <c r="AE72" s="14">
        <f t="shared" si="25"/>
        <v>25</v>
      </c>
      <c r="AF72" s="7">
        <v>350</v>
      </c>
      <c r="AG72" s="7">
        <f>CT[[#This Row],[Sales Rate/MT (USD)]]*CT[[#This Row],[SC Qty (MT)]]</f>
        <v>8750</v>
      </c>
      <c r="AH72" s="7">
        <f>IF(CT[[#This Row],[Container Qty]]&lt;&gt;0,CT[[#This Row],[Sales Rate/MT (USD)]]*CT[[#This Row],[Container Qty]],"")</f>
        <v>8088.5</v>
      </c>
      <c r="AI72" s="7">
        <f>IF(CT[[#This Row],[Customer Final Price]]&lt;&gt;"",CT[[#This Row],[Customer Final Price]]-CT[[#This Row],[Customer  Prov. Price]],"")</f>
        <v>-661.5</v>
      </c>
      <c r="AJ72" t="s">
        <v>8</v>
      </c>
      <c r="AK72" s="1" t="s">
        <v>84</v>
      </c>
      <c r="AL72" s="3" t="s">
        <v>167</v>
      </c>
      <c r="AM72" s="99" t="s">
        <v>133</v>
      </c>
      <c r="AO72" s="7">
        <f>CT[[#This Row],[Customer Final Price]]/CT[[#This Row],[FX Rate]]</f>
        <v>6030.7933194154493</v>
      </c>
    </row>
    <row r="73" spans="1:41" x14ac:dyDescent="0.25">
      <c r="A73" t="s">
        <v>9</v>
      </c>
      <c r="B73" s="102" t="s">
        <v>124</v>
      </c>
      <c r="C73" s="81">
        <v>45849</v>
      </c>
      <c r="D73" s="1" t="s">
        <v>67</v>
      </c>
      <c r="E73" s="1" t="s">
        <v>202</v>
      </c>
      <c r="F73" s="11">
        <v>23.69</v>
      </c>
      <c r="G73" s="3"/>
      <c r="H73" s="3"/>
      <c r="I73" s="1" t="s">
        <v>203</v>
      </c>
      <c r="J73" s="1" t="s">
        <v>126</v>
      </c>
      <c r="K73" s="1" t="s">
        <v>14</v>
      </c>
      <c r="L73" s="25"/>
      <c r="M73" s="14">
        <f t="shared" si="22"/>
        <v>25</v>
      </c>
      <c r="N73" s="1">
        <v>103</v>
      </c>
      <c r="O73" s="7">
        <v>302</v>
      </c>
      <c r="P73" s="7">
        <f>CT[[#This Row],[Purchase Rate/MT (USD)]]*CT[[#This Row],[PC Qty (MT)]]</f>
        <v>7550</v>
      </c>
      <c r="Q73" s="7">
        <f>CT[[#This Row],[Purchase Rate/MT (USD)]]*CT[[#This Row],[Container Qty]]</f>
        <v>7154.38</v>
      </c>
      <c r="R73" s="7">
        <f>IF(CT[[#This Row],[BL Number]]&lt;&gt;0,(CT[[#This Row],[Supplier Prov. Price]]-CT[[#This Row],[Supplier Final Price]])*1.2,"")</f>
        <v>474.74399999999986</v>
      </c>
      <c r="S73" s="101">
        <v>1.3451</v>
      </c>
      <c r="T73" s="3"/>
      <c r="U73" s="7"/>
      <c r="V73" s="7"/>
      <c r="W73" s="24"/>
      <c r="X73" s="7">
        <f>IFERROR(CT[[#This Row],[Freight Charges]]+CT[[#This Row],[Inspection Cost/MT]]+CT[[#This Row],[DHL Charges PMT]],"")</f>
        <v>0</v>
      </c>
      <c r="Y73" s="7">
        <f>IFERROR(AF73-(O73+CT[[#This Row],[Cost Per MT]]),"")</f>
        <v>33</v>
      </c>
      <c r="Z73" s="7">
        <f>IFERROR(CT[[#This Row],[Margin/MT]]*CT[[#This Row],[Container Qty]],"")</f>
        <v>781.7700000000001</v>
      </c>
      <c r="AA73" s="7"/>
      <c r="AB73" t="s">
        <v>11</v>
      </c>
      <c r="AC73" s="1" t="s">
        <v>158</v>
      </c>
      <c r="AD73" s="3">
        <v>45861</v>
      </c>
      <c r="AE73" s="14">
        <f t="shared" ref="AE73:AE136" si="31">7500/300</f>
        <v>25</v>
      </c>
      <c r="AF73" s="7">
        <v>335</v>
      </c>
      <c r="AG73" s="7">
        <f>CT[[#This Row],[Sales Rate/MT (USD)]]*CT[[#This Row],[SC Qty (MT)]]</f>
        <v>8375</v>
      </c>
      <c r="AH73" s="7">
        <f>IF(CT[[#This Row],[Container Qty]]&lt;&gt;0,CT[[#This Row],[Sales Rate/MT (USD)]]*CT[[#This Row],[Container Qty]],"")</f>
        <v>7936.1500000000005</v>
      </c>
      <c r="AI73" s="7">
        <f>IF(CT[[#This Row],[Customer Final Price]]&lt;&gt;"",CT[[#This Row],[Customer Final Price]]-CT[[#This Row],[Customer  Prov. Price]],"")</f>
        <v>-438.84999999999945</v>
      </c>
      <c r="AJ73" t="s">
        <v>8</v>
      </c>
      <c r="AK73" s="1" t="s">
        <v>159</v>
      </c>
      <c r="AL73" s="1"/>
      <c r="AM73" s="100" t="s">
        <v>134</v>
      </c>
    </row>
    <row r="74" spans="1:41" x14ac:dyDescent="0.25">
      <c r="A74" t="s">
        <v>9</v>
      </c>
      <c r="B74" s="102" t="s">
        <v>124</v>
      </c>
      <c r="C74" s="81">
        <v>45849</v>
      </c>
      <c r="D74" s="1" t="s">
        <v>67</v>
      </c>
      <c r="E74" s="1" t="s">
        <v>204</v>
      </c>
      <c r="F74" s="11">
        <v>25.58</v>
      </c>
      <c r="G74" s="3"/>
      <c r="H74" s="3"/>
      <c r="I74" s="1" t="s">
        <v>203</v>
      </c>
      <c r="J74" s="1" t="s">
        <v>126</v>
      </c>
      <c r="K74" s="1" t="s">
        <v>14</v>
      </c>
      <c r="L74" s="1"/>
      <c r="M74" s="14">
        <f t="shared" si="22"/>
        <v>25</v>
      </c>
      <c r="N74" s="1">
        <v>103</v>
      </c>
      <c r="O74" s="7">
        <v>302</v>
      </c>
      <c r="P74" s="7">
        <f>CT[[#This Row],[Purchase Rate/MT (USD)]]*CT[[#This Row],[PC Qty (MT)]]</f>
        <v>7550</v>
      </c>
      <c r="Q74" s="7">
        <f>CT[[#This Row],[Purchase Rate/MT (USD)]]*CT[[#This Row],[Container Qty]]</f>
        <v>7725.16</v>
      </c>
      <c r="R74" s="7">
        <f>IF(CT[[#This Row],[BL Number]]&lt;&gt;0,(CT[[#This Row],[Supplier Prov. Price]]-CT[[#This Row],[Supplier Final Price]])*1.2,"")</f>
        <v>-210.19199999999981</v>
      </c>
      <c r="S74" s="101">
        <v>1.3451</v>
      </c>
      <c r="T74" s="3"/>
      <c r="U74" s="7"/>
      <c r="V74" s="7"/>
      <c r="W74" s="24"/>
      <c r="X74" s="7">
        <f>IFERROR(CT[[#This Row],[Freight Charges]]+CT[[#This Row],[Inspection Cost/MT]]+CT[[#This Row],[DHL Charges PMT]],"")</f>
        <v>0</v>
      </c>
      <c r="Y74" s="7">
        <f>IFERROR(AF74-(O74+CT[[#This Row],[Cost Per MT]]),"")</f>
        <v>33</v>
      </c>
      <c r="Z74" s="7">
        <f>IFERROR(CT[[#This Row],[Margin/MT]]*CT[[#This Row],[Container Qty]],"")</f>
        <v>844.14</v>
      </c>
      <c r="AA74" s="7"/>
      <c r="AB74" t="s">
        <v>11</v>
      </c>
      <c r="AC74" s="1" t="s">
        <v>158</v>
      </c>
      <c r="AD74" s="3">
        <v>45861</v>
      </c>
      <c r="AE74" s="14">
        <f t="shared" si="31"/>
        <v>25</v>
      </c>
      <c r="AF74" s="7">
        <v>335</v>
      </c>
      <c r="AG74" s="7">
        <f>CT[[#This Row],[Sales Rate/MT (USD)]]*CT[[#This Row],[SC Qty (MT)]]</f>
        <v>8375</v>
      </c>
      <c r="AH74" s="7">
        <f>IF(CT[[#This Row],[Container Qty]]&lt;&gt;0,CT[[#This Row],[Sales Rate/MT (USD)]]*CT[[#This Row],[Container Qty]],"")</f>
        <v>8569.2999999999993</v>
      </c>
      <c r="AI74" s="7">
        <f>IF(CT[[#This Row],[Customer Final Price]]&lt;&gt;"",CT[[#This Row],[Customer Final Price]]-CT[[#This Row],[Customer  Prov. Price]],"")</f>
        <v>194.29999999999927</v>
      </c>
      <c r="AJ74" t="s">
        <v>8</v>
      </c>
      <c r="AK74" s="1" t="s">
        <v>159</v>
      </c>
      <c r="AL74" s="1"/>
      <c r="AM74" s="100" t="s">
        <v>134</v>
      </c>
    </row>
    <row r="75" spans="1:41" x14ac:dyDescent="0.25">
      <c r="A75" t="s">
        <v>9</v>
      </c>
      <c r="B75" s="102" t="s">
        <v>124</v>
      </c>
      <c r="C75" s="81">
        <v>45849</v>
      </c>
      <c r="D75" s="1" t="s">
        <v>67</v>
      </c>
      <c r="E75" s="1" t="s">
        <v>206</v>
      </c>
      <c r="F75" s="11">
        <v>26.5</v>
      </c>
      <c r="G75" s="3"/>
      <c r="H75" s="3"/>
      <c r="I75" s="1" t="s">
        <v>203</v>
      </c>
      <c r="J75" s="1" t="s">
        <v>126</v>
      </c>
      <c r="K75" s="1" t="s">
        <v>14</v>
      </c>
      <c r="L75" s="1"/>
      <c r="M75" s="14">
        <f t="shared" si="22"/>
        <v>25</v>
      </c>
      <c r="N75" s="1">
        <v>103</v>
      </c>
      <c r="O75" s="7">
        <v>302</v>
      </c>
      <c r="P75" s="7">
        <f>CT[[#This Row],[Purchase Rate/MT (USD)]]*CT[[#This Row],[PC Qty (MT)]]</f>
        <v>7550</v>
      </c>
      <c r="Q75" s="7">
        <f>CT[[#This Row],[Purchase Rate/MT (USD)]]*CT[[#This Row],[Container Qty]]</f>
        <v>8003</v>
      </c>
      <c r="R75" s="7">
        <f>IF(CT[[#This Row],[BL Number]]&lt;&gt;0,(CT[[#This Row],[Supplier Prov. Price]]-CT[[#This Row],[Supplier Final Price]])*1.2,"")</f>
        <v>-543.6</v>
      </c>
      <c r="S75" s="101">
        <v>1.3451</v>
      </c>
      <c r="T75" s="3"/>
      <c r="U75" s="7"/>
      <c r="V75" s="7"/>
      <c r="W75" s="24"/>
      <c r="X75" s="7">
        <f>IFERROR(CT[[#This Row],[Freight Charges]]+CT[[#This Row],[Inspection Cost/MT]]+CT[[#This Row],[DHL Charges PMT]],"")</f>
        <v>0</v>
      </c>
      <c r="Y75" s="7">
        <f>IFERROR(AF75-(O75+CT[[#This Row],[Cost Per MT]]),"")</f>
        <v>33</v>
      </c>
      <c r="Z75" s="7">
        <f>IFERROR(CT[[#This Row],[Margin/MT]]*CT[[#This Row],[Container Qty]],"")</f>
        <v>874.5</v>
      </c>
      <c r="AA75" s="7"/>
      <c r="AB75" t="s">
        <v>11</v>
      </c>
      <c r="AC75" s="1" t="s">
        <v>158</v>
      </c>
      <c r="AD75" s="3">
        <v>45861</v>
      </c>
      <c r="AE75" s="14">
        <f t="shared" si="31"/>
        <v>25</v>
      </c>
      <c r="AF75" s="7">
        <v>335</v>
      </c>
      <c r="AG75" s="7">
        <f>CT[[#This Row],[Sales Rate/MT (USD)]]*CT[[#This Row],[SC Qty (MT)]]</f>
        <v>8375</v>
      </c>
      <c r="AH75" s="7">
        <f>IF(CT[[#This Row],[Container Qty]]&lt;&gt;0,CT[[#This Row],[Sales Rate/MT (USD)]]*CT[[#This Row],[Container Qty]],"")</f>
        <v>8877.5</v>
      </c>
      <c r="AI75" s="7">
        <f>IF(CT[[#This Row],[Customer Final Price]]&lt;&gt;"",CT[[#This Row],[Customer Final Price]]-CT[[#This Row],[Customer  Prov. Price]],"")</f>
        <v>502.5</v>
      </c>
      <c r="AJ75" t="s">
        <v>8</v>
      </c>
      <c r="AK75" s="1" t="s">
        <v>159</v>
      </c>
      <c r="AL75" s="1"/>
      <c r="AM75" s="100" t="s">
        <v>134</v>
      </c>
    </row>
    <row r="76" spans="1:41" x14ac:dyDescent="0.25">
      <c r="A76" t="s">
        <v>9</v>
      </c>
      <c r="B76" s="102" t="s">
        <v>124</v>
      </c>
      <c r="C76" s="81">
        <v>45849</v>
      </c>
      <c r="D76" s="1" t="s">
        <v>67</v>
      </c>
      <c r="E76" s="1" t="s">
        <v>205</v>
      </c>
      <c r="F76" s="11">
        <v>23.64</v>
      </c>
      <c r="G76" s="3"/>
      <c r="H76" s="3"/>
      <c r="I76" s="1" t="s">
        <v>203</v>
      </c>
      <c r="J76" s="1" t="s">
        <v>126</v>
      </c>
      <c r="K76" s="1" t="s">
        <v>14</v>
      </c>
      <c r="L76" s="1"/>
      <c r="M76" s="14">
        <f t="shared" si="22"/>
        <v>25</v>
      </c>
      <c r="N76" s="1">
        <v>103</v>
      </c>
      <c r="O76" s="7">
        <v>302</v>
      </c>
      <c r="P76" s="7">
        <f>CT[[#This Row],[Purchase Rate/MT (USD)]]*CT[[#This Row],[PC Qty (MT)]]</f>
        <v>7550</v>
      </c>
      <c r="Q76" s="7">
        <f>CT[[#This Row],[Purchase Rate/MT (USD)]]*CT[[#This Row],[Container Qty]]</f>
        <v>7139.28</v>
      </c>
      <c r="R76" s="7">
        <f>IF(CT[[#This Row],[BL Number]]&lt;&gt;0,(CT[[#This Row],[Supplier Prov. Price]]-CT[[#This Row],[Supplier Final Price]])*1.2,"")</f>
        <v>492.86400000000026</v>
      </c>
      <c r="S76" s="101">
        <v>1.3451</v>
      </c>
      <c r="T76" s="3"/>
      <c r="U76" s="7"/>
      <c r="V76" s="7"/>
      <c r="W76" s="24"/>
      <c r="X76" s="7">
        <f>IFERROR(CT[[#This Row],[Freight Charges]]+CT[[#This Row],[Inspection Cost/MT]]+CT[[#This Row],[DHL Charges PMT]],"")</f>
        <v>0</v>
      </c>
      <c r="Y76" s="7">
        <f>IFERROR(AF76-(O76+CT[[#This Row],[Cost Per MT]]),"")</f>
        <v>33</v>
      </c>
      <c r="Z76" s="7">
        <f>IFERROR(CT[[#This Row],[Margin/MT]]*CT[[#This Row],[Container Qty]],"")</f>
        <v>780.12</v>
      </c>
      <c r="AA76" s="7"/>
      <c r="AB76" t="s">
        <v>11</v>
      </c>
      <c r="AC76" s="1" t="s">
        <v>158</v>
      </c>
      <c r="AD76" s="3">
        <v>45861</v>
      </c>
      <c r="AE76" s="14">
        <f t="shared" si="31"/>
        <v>25</v>
      </c>
      <c r="AF76" s="7">
        <v>335</v>
      </c>
      <c r="AG76" s="7">
        <f>CT[[#This Row],[Sales Rate/MT (USD)]]*CT[[#This Row],[SC Qty (MT)]]</f>
        <v>8375</v>
      </c>
      <c r="AH76" s="7">
        <f>IF(CT[[#This Row],[Container Qty]]&lt;&gt;0,CT[[#This Row],[Sales Rate/MT (USD)]]*CT[[#This Row],[Container Qty]],"")</f>
        <v>7919.4000000000005</v>
      </c>
      <c r="AI76" s="7">
        <f>IF(CT[[#This Row],[Customer Final Price]]&lt;&gt;"",CT[[#This Row],[Customer Final Price]]-CT[[#This Row],[Customer  Prov. Price]],"")</f>
        <v>-455.59999999999945</v>
      </c>
      <c r="AJ76" t="s">
        <v>8</v>
      </c>
      <c r="AK76" s="1" t="s">
        <v>159</v>
      </c>
      <c r="AL76" s="1"/>
      <c r="AM76" s="100" t="s">
        <v>134</v>
      </c>
    </row>
    <row r="77" spans="1:41" x14ac:dyDescent="0.25">
      <c r="A77" t="s">
        <v>9</v>
      </c>
      <c r="B77" s="102" t="s">
        <v>124</v>
      </c>
      <c r="C77" s="81">
        <v>45849</v>
      </c>
      <c r="D77" s="1" t="s">
        <v>67</v>
      </c>
      <c r="F77" s="11"/>
      <c r="G77" s="3"/>
      <c r="H77" s="3"/>
      <c r="I77" s="1"/>
      <c r="J77" s="1" t="s">
        <v>126</v>
      </c>
      <c r="K77" s="1" t="s">
        <v>14</v>
      </c>
      <c r="L77" s="1"/>
      <c r="M77" s="14">
        <f t="shared" si="22"/>
        <v>25</v>
      </c>
      <c r="N77" s="1">
        <v>103</v>
      </c>
      <c r="O77" s="7">
        <v>302</v>
      </c>
      <c r="P77" s="7">
        <f>CT[[#This Row],[Purchase Rate/MT (USD)]]*CT[[#This Row],[PC Qty (MT)]]</f>
        <v>7550</v>
      </c>
      <c r="Q77" s="7">
        <f>CT[[#This Row],[Purchase Rate/MT (USD)]]*CT[[#This Row],[Container Qty]]</f>
        <v>0</v>
      </c>
      <c r="R77" s="7" t="str">
        <f>IF(CT[[#This Row],[BL Number]]&lt;&gt;0,(CT[[#This Row],[Supplier Prov. Price]]-CT[[#This Row],[Supplier Final Price]])*1.2,"")</f>
        <v/>
      </c>
      <c r="S77" s="101">
        <v>1.3451</v>
      </c>
      <c r="T77" s="3"/>
      <c r="U77" s="7"/>
      <c r="V77" s="7"/>
      <c r="W77" s="24"/>
      <c r="X77" s="7">
        <f>IFERROR(CT[[#This Row],[Freight Charges]]+CT[[#This Row],[Inspection Cost/MT]]+CT[[#This Row],[DHL Charges PMT]],"")</f>
        <v>0</v>
      </c>
      <c r="Y77" s="7">
        <f>IFERROR(AF77-(O77+CT[[#This Row],[Cost Per MT]]),"")</f>
        <v>33</v>
      </c>
      <c r="Z77" s="7">
        <f>IFERROR(CT[[#This Row],[Margin/MT]]*CT[[#This Row],[Container Qty]],"")</f>
        <v>0</v>
      </c>
      <c r="AA77" s="7"/>
      <c r="AB77" t="s">
        <v>11</v>
      </c>
      <c r="AC77" s="1" t="s">
        <v>158</v>
      </c>
      <c r="AD77" s="3">
        <v>45861</v>
      </c>
      <c r="AE77" s="14">
        <f t="shared" si="31"/>
        <v>25</v>
      </c>
      <c r="AF77" s="7">
        <v>335</v>
      </c>
      <c r="AG77" s="7">
        <f>CT[[#This Row],[Sales Rate/MT (USD)]]*CT[[#This Row],[SC Qty (MT)]]</f>
        <v>8375</v>
      </c>
      <c r="AH77" s="7" t="str">
        <f>IF(CT[[#This Row],[Container Qty]]&lt;&gt;0,CT[[#This Row],[Sales Rate/MT (USD)]]*CT[[#This Row],[Container Qty]],"")</f>
        <v/>
      </c>
      <c r="AI77" s="7" t="str">
        <f>IF(CT[[#This Row],[Customer Final Price]]&lt;&gt;"",CT[[#This Row],[Customer Final Price]]-CT[[#This Row],[Customer  Prov. Price]],"")</f>
        <v/>
      </c>
      <c r="AJ77" t="s">
        <v>8</v>
      </c>
      <c r="AK77" s="1" t="s">
        <v>159</v>
      </c>
      <c r="AL77" s="1"/>
      <c r="AM77" s="100" t="s">
        <v>134</v>
      </c>
    </row>
    <row r="78" spans="1:41" x14ac:dyDescent="0.25">
      <c r="A78" t="s">
        <v>9</v>
      </c>
      <c r="B78" s="102" t="s">
        <v>124</v>
      </c>
      <c r="C78" s="81">
        <v>45849</v>
      </c>
      <c r="D78" s="1" t="s">
        <v>67</v>
      </c>
      <c r="F78" s="11"/>
      <c r="G78" s="3"/>
      <c r="H78" s="3"/>
      <c r="I78" s="1"/>
      <c r="J78" s="1" t="s">
        <v>126</v>
      </c>
      <c r="K78" s="1" t="s">
        <v>14</v>
      </c>
      <c r="L78" s="1"/>
      <c r="M78" s="14">
        <f t="shared" si="22"/>
        <v>25</v>
      </c>
      <c r="N78" s="1">
        <v>103</v>
      </c>
      <c r="O78" s="7">
        <v>302</v>
      </c>
      <c r="P78" s="7">
        <f>CT[[#This Row],[Purchase Rate/MT (USD)]]*CT[[#This Row],[PC Qty (MT)]]</f>
        <v>7550</v>
      </c>
      <c r="Q78" s="7">
        <f>CT[[#This Row],[Purchase Rate/MT (USD)]]*CT[[#This Row],[Container Qty]]</f>
        <v>0</v>
      </c>
      <c r="R78" s="7" t="str">
        <f>IF(CT[[#This Row],[BL Number]]&lt;&gt;0,(CT[[#This Row],[Supplier Prov. Price]]-CT[[#This Row],[Supplier Final Price]])*1.2,"")</f>
        <v/>
      </c>
      <c r="S78" s="101">
        <v>1.3451</v>
      </c>
      <c r="T78" s="3"/>
      <c r="U78" s="7"/>
      <c r="V78" s="7"/>
      <c r="W78" s="24"/>
      <c r="X78" s="7">
        <f>IFERROR(CT[[#This Row],[Freight Charges]]+CT[[#This Row],[Inspection Cost/MT]]+CT[[#This Row],[DHL Charges PMT]],"")</f>
        <v>0</v>
      </c>
      <c r="Y78" s="7">
        <f>IFERROR(AF78-(O78+CT[[#This Row],[Cost Per MT]]),"")</f>
        <v>33</v>
      </c>
      <c r="Z78" s="7">
        <f>IFERROR(CT[[#This Row],[Margin/MT]]*CT[[#This Row],[Container Qty]],"")</f>
        <v>0</v>
      </c>
      <c r="AA78" s="7"/>
      <c r="AB78" t="s">
        <v>11</v>
      </c>
      <c r="AC78" s="1" t="s">
        <v>158</v>
      </c>
      <c r="AD78" s="3">
        <v>45861</v>
      </c>
      <c r="AE78" s="14">
        <f t="shared" si="31"/>
        <v>25</v>
      </c>
      <c r="AF78" s="7">
        <v>335</v>
      </c>
      <c r="AG78" s="7">
        <f>CT[[#This Row],[Sales Rate/MT (USD)]]*CT[[#This Row],[SC Qty (MT)]]</f>
        <v>8375</v>
      </c>
      <c r="AH78" s="7" t="str">
        <f>IF(CT[[#This Row],[Container Qty]]&lt;&gt;0,CT[[#This Row],[Sales Rate/MT (USD)]]*CT[[#This Row],[Container Qty]],"")</f>
        <v/>
      </c>
      <c r="AI78" s="7" t="str">
        <f>IF(CT[[#This Row],[Customer Final Price]]&lt;&gt;"",CT[[#This Row],[Customer Final Price]]-CT[[#This Row],[Customer  Prov. Price]],"")</f>
        <v/>
      </c>
      <c r="AJ78" t="s">
        <v>8</v>
      </c>
      <c r="AK78" s="1" t="s">
        <v>159</v>
      </c>
      <c r="AL78" s="1"/>
      <c r="AM78" s="100" t="s">
        <v>134</v>
      </c>
    </row>
    <row r="79" spans="1:41" x14ac:dyDescent="0.25">
      <c r="A79" t="s">
        <v>9</v>
      </c>
      <c r="B79" s="102" t="s">
        <v>124</v>
      </c>
      <c r="C79" s="81">
        <v>45849</v>
      </c>
      <c r="D79" s="1" t="s">
        <v>67</v>
      </c>
      <c r="F79" s="11"/>
      <c r="G79" s="3"/>
      <c r="H79" s="3"/>
      <c r="I79" s="1"/>
      <c r="J79" s="1" t="s">
        <v>126</v>
      </c>
      <c r="K79" s="1" t="s">
        <v>14</v>
      </c>
      <c r="L79" s="1"/>
      <c r="M79" s="14">
        <f t="shared" si="22"/>
        <v>25</v>
      </c>
      <c r="N79" s="1">
        <v>103</v>
      </c>
      <c r="O79" s="7">
        <v>302</v>
      </c>
      <c r="P79" s="7">
        <f>CT[[#This Row],[Purchase Rate/MT (USD)]]*CT[[#This Row],[PC Qty (MT)]]</f>
        <v>7550</v>
      </c>
      <c r="Q79" s="7">
        <f>CT[[#This Row],[Purchase Rate/MT (USD)]]*CT[[#This Row],[Container Qty]]</f>
        <v>0</v>
      </c>
      <c r="R79" s="7" t="str">
        <f>IF(CT[[#This Row],[BL Number]]&lt;&gt;0,(CT[[#This Row],[Supplier Prov. Price]]-CT[[#This Row],[Supplier Final Price]])*1.2,"")</f>
        <v/>
      </c>
      <c r="S79" s="101">
        <v>1.3451</v>
      </c>
      <c r="T79" s="3"/>
      <c r="U79" s="7"/>
      <c r="V79" s="7"/>
      <c r="W79" s="24"/>
      <c r="X79" s="7">
        <f>IFERROR(CT[[#This Row],[Freight Charges]]+CT[[#This Row],[Inspection Cost/MT]]+CT[[#This Row],[DHL Charges PMT]],"")</f>
        <v>0</v>
      </c>
      <c r="Y79" s="7">
        <f>IFERROR(AF79-(O79+CT[[#This Row],[Cost Per MT]]),"")</f>
        <v>33</v>
      </c>
      <c r="Z79" s="7">
        <f>IFERROR(CT[[#This Row],[Margin/MT]]*CT[[#This Row],[Container Qty]],"")</f>
        <v>0</v>
      </c>
      <c r="AA79" s="7"/>
      <c r="AB79" t="s">
        <v>11</v>
      </c>
      <c r="AC79" s="1" t="s">
        <v>158</v>
      </c>
      <c r="AD79" s="3">
        <v>45861</v>
      </c>
      <c r="AE79" s="14">
        <f t="shared" si="31"/>
        <v>25</v>
      </c>
      <c r="AF79" s="7">
        <v>335</v>
      </c>
      <c r="AG79" s="7">
        <f>CT[[#This Row],[Sales Rate/MT (USD)]]*CT[[#This Row],[SC Qty (MT)]]</f>
        <v>8375</v>
      </c>
      <c r="AH79" s="7" t="str">
        <f>IF(CT[[#This Row],[Container Qty]]&lt;&gt;0,CT[[#This Row],[Sales Rate/MT (USD)]]*CT[[#This Row],[Container Qty]],"")</f>
        <v/>
      </c>
      <c r="AI79" s="7" t="str">
        <f>IF(CT[[#This Row],[Customer Final Price]]&lt;&gt;"",CT[[#This Row],[Customer Final Price]]-CT[[#This Row],[Customer  Prov. Price]],"")</f>
        <v/>
      </c>
      <c r="AJ79" t="s">
        <v>8</v>
      </c>
      <c r="AK79" s="1" t="s">
        <v>159</v>
      </c>
      <c r="AL79" s="1"/>
      <c r="AM79" s="100" t="s">
        <v>134</v>
      </c>
    </row>
    <row r="80" spans="1:41" x14ac:dyDescent="0.25">
      <c r="A80" t="s">
        <v>9</v>
      </c>
      <c r="B80" s="102" t="s">
        <v>124</v>
      </c>
      <c r="C80" s="81">
        <v>45849</v>
      </c>
      <c r="D80" s="1" t="s">
        <v>67</v>
      </c>
      <c r="F80" s="11"/>
      <c r="G80" s="3"/>
      <c r="H80" s="3"/>
      <c r="I80" s="1"/>
      <c r="J80" s="1" t="s">
        <v>126</v>
      </c>
      <c r="K80" s="1" t="s">
        <v>14</v>
      </c>
      <c r="L80" s="1"/>
      <c r="M80" s="14">
        <f t="shared" si="22"/>
        <v>25</v>
      </c>
      <c r="N80" s="1">
        <v>103</v>
      </c>
      <c r="O80" s="7">
        <v>302</v>
      </c>
      <c r="P80" s="7">
        <f>CT[[#This Row],[Purchase Rate/MT (USD)]]*CT[[#This Row],[PC Qty (MT)]]</f>
        <v>7550</v>
      </c>
      <c r="Q80" s="7">
        <f>CT[[#This Row],[Purchase Rate/MT (USD)]]*CT[[#This Row],[Container Qty]]</f>
        <v>0</v>
      </c>
      <c r="R80" s="7" t="str">
        <f>IF(CT[[#This Row],[BL Number]]&lt;&gt;0,(CT[[#This Row],[Supplier Prov. Price]]-CT[[#This Row],[Supplier Final Price]])*1.2,"")</f>
        <v/>
      </c>
      <c r="S80" s="101">
        <v>1.3451</v>
      </c>
      <c r="T80" s="3"/>
      <c r="U80" s="7"/>
      <c r="V80" s="7"/>
      <c r="W80" s="24"/>
      <c r="X80" s="7">
        <f>IFERROR(CT[[#This Row],[Freight Charges]]+CT[[#This Row],[Inspection Cost/MT]]+CT[[#This Row],[DHL Charges PMT]],"")</f>
        <v>0</v>
      </c>
      <c r="Y80" s="7">
        <f>IFERROR(AF80-(O80+CT[[#This Row],[Cost Per MT]]),"")</f>
        <v>33</v>
      </c>
      <c r="Z80" s="7">
        <f>IFERROR(CT[[#This Row],[Margin/MT]]*CT[[#This Row],[Container Qty]],"")</f>
        <v>0</v>
      </c>
      <c r="AA80" s="7"/>
      <c r="AB80" t="s">
        <v>11</v>
      </c>
      <c r="AC80" s="1" t="s">
        <v>158</v>
      </c>
      <c r="AD80" s="3">
        <v>45861</v>
      </c>
      <c r="AE80" s="14">
        <f t="shared" si="31"/>
        <v>25</v>
      </c>
      <c r="AF80" s="7">
        <v>335</v>
      </c>
      <c r="AG80" s="7">
        <f>CT[[#This Row],[Sales Rate/MT (USD)]]*CT[[#This Row],[SC Qty (MT)]]</f>
        <v>8375</v>
      </c>
      <c r="AH80" s="7" t="str">
        <f>IF(CT[[#This Row],[Container Qty]]&lt;&gt;0,CT[[#This Row],[Sales Rate/MT (USD)]]*CT[[#This Row],[Container Qty]],"")</f>
        <v/>
      </c>
      <c r="AI80" s="7" t="str">
        <f>IF(CT[[#This Row],[Customer Final Price]]&lt;&gt;"",CT[[#This Row],[Customer Final Price]]-CT[[#This Row],[Customer  Prov. Price]],"")</f>
        <v/>
      </c>
      <c r="AJ80" t="s">
        <v>8</v>
      </c>
      <c r="AK80" s="1" t="s">
        <v>159</v>
      </c>
      <c r="AL80" s="1"/>
      <c r="AM80" s="100" t="s">
        <v>134</v>
      </c>
    </row>
    <row r="81" spans="1:39" x14ac:dyDescent="0.25">
      <c r="A81" t="s">
        <v>9</v>
      </c>
      <c r="B81" s="102" t="s">
        <v>124</v>
      </c>
      <c r="C81" s="81">
        <v>45849</v>
      </c>
      <c r="D81" s="1" t="s">
        <v>67</v>
      </c>
      <c r="F81" s="11"/>
      <c r="G81" s="3"/>
      <c r="H81" s="3"/>
      <c r="I81" s="1"/>
      <c r="J81" s="1" t="s">
        <v>126</v>
      </c>
      <c r="K81" s="1" t="s">
        <v>14</v>
      </c>
      <c r="L81" s="1"/>
      <c r="M81" s="14">
        <f t="shared" si="22"/>
        <v>25</v>
      </c>
      <c r="N81" s="1">
        <v>103</v>
      </c>
      <c r="O81" s="7">
        <v>302</v>
      </c>
      <c r="P81" s="7">
        <f>CT[[#This Row],[Purchase Rate/MT (USD)]]*CT[[#This Row],[PC Qty (MT)]]</f>
        <v>7550</v>
      </c>
      <c r="Q81" s="7">
        <f>CT[[#This Row],[Purchase Rate/MT (USD)]]*CT[[#This Row],[Container Qty]]</f>
        <v>0</v>
      </c>
      <c r="R81" s="7" t="str">
        <f>IF(CT[[#This Row],[BL Number]]&lt;&gt;0,(CT[[#This Row],[Supplier Prov. Price]]-CT[[#This Row],[Supplier Final Price]])*1.2,"")</f>
        <v/>
      </c>
      <c r="S81" s="101">
        <v>1.3451</v>
      </c>
      <c r="T81" s="3"/>
      <c r="U81" s="7"/>
      <c r="V81" s="7"/>
      <c r="W81" s="24"/>
      <c r="X81" s="7">
        <f>IFERROR(CT[[#This Row],[Freight Charges]]+CT[[#This Row],[Inspection Cost/MT]]+CT[[#This Row],[DHL Charges PMT]],"")</f>
        <v>0</v>
      </c>
      <c r="Y81" s="7">
        <f>IFERROR(AF81-(O81+CT[[#This Row],[Cost Per MT]]),"")</f>
        <v>33</v>
      </c>
      <c r="Z81" s="7">
        <f>IFERROR(CT[[#This Row],[Margin/MT]]*CT[[#This Row],[Container Qty]],"")</f>
        <v>0</v>
      </c>
      <c r="AA81" s="7"/>
      <c r="AB81" t="s">
        <v>11</v>
      </c>
      <c r="AC81" s="1" t="s">
        <v>158</v>
      </c>
      <c r="AD81" s="3">
        <v>45861</v>
      </c>
      <c r="AE81" s="14">
        <f t="shared" si="31"/>
        <v>25</v>
      </c>
      <c r="AF81" s="7">
        <v>335</v>
      </c>
      <c r="AG81" s="7">
        <f>CT[[#This Row],[Sales Rate/MT (USD)]]*CT[[#This Row],[SC Qty (MT)]]</f>
        <v>8375</v>
      </c>
      <c r="AH81" s="7" t="str">
        <f>IF(CT[[#This Row],[Container Qty]]&lt;&gt;0,CT[[#This Row],[Sales Rate/MT (USD)]]*CT[[#This Row],[Container Qty]],"")</f>
        <v/>
      </c>
      <c r="AI81" s="7" t="str">
        <f>IF(CT[[#This Row],[Customer Final Price]]&lt;&gt;"",CT[[#This Row],[Customer Final Price]]-CT[[#This Row],[Customer  Prov. Price]],"")</f>
        <v/>
      </c>
      <c r="AJ81" t="s">
        <v>8</v>
      </c>
      <c r="AK81" s="1" t="s">
        <v>159</v>
      </c>
      <c r="AL81" s="1"/>
      <c r="AM81" s="100" t="s">
        <v>134</v>
      </c>
    </row>
    <row r="82" spans="1:39" x14ac:dyDescent="0.25">
      <c r="A82" t="s">
        <v>9</v>
      </c>
      <c r="B82" s="102" t="s">
        <v>124</v>
      </c>
      <c r="C82" s="81">
        <v>45849</v>
      </c>
      <c r="D82" s="1" t="s">
        <v>67</v>
      </c>
      <c r="F82" s="11"/>
      <c r="G82" s="3"/>
      <c r="H82" s="3"/>
      <c r="I82" s="1"/>
      <c r="J82" s="1" t="s">
        <v>126</v>
      </c>
      <c r="K82" s="1" t="s">
        <v>14</v>
      </c>
      <c r="L82" s="1"/>
      <c r="M82" s="14">
        <f t="shared" si="22"/>
        <v>25</v>
      </c>
      <c r="N82" s="1">
        <v>103</v>
      </c>
      <c r="O82" s="7">
        <v>302</v>
      </c>
      <c r="P82" s="7">
        <f>CT[[#This Row],[Purchase Rate/MT (USD)]]*CT[[#This Row],[PC Qty (MT)]]</f>
        <v>7550</v>
      </c>
      <c r="Q82" s="7">
        <f>CT[[#This Row],[Purchase Rate/MT (USD)]]*CT[[#This Row],[Container Qty]]</f>
        <v>0</v>
      </c>
      <c r="R82" s="7" t="str">
        <f>IF(CT[[#This Row],[BL Number]]&lt;&gt;0,(CT[[#This Row],[Supplier Prov. Price]]-CT[[#This Row],[Supplier Final Price]])*1.2,"")</f>
        <v/>
      </c>
      <c r="S82" s="101">
        <v>1.3451</v>
      </c>
      <c r="T82" s="3"/>
      <c r="U82" s="7"/>
      <c r="V82" s="7"/>
      <c r="W82" s="24"/>
      <c r="X82" s="7">
        <f>IFERROR(CT[[#This Row],[Freight Charges]]+CT[[#This Row],[Inspection Cost/MT]]+CT[[#This Row],[DHL Charges PMT]],"")</f>
        <v>0</v>
      </c>
      <c r="Y82" s="7">
        <f>IFERROR(AF82-(O82+CT[[#This Row],[Cost Per MT]]),"")</f>
        <v>33</v>
      </c>
      <c r="Z82" s="7">
        <f>IFERROR(CT[[#This Row],[Margin/MT]]*CT[[#This Row],[Container Qty]],"")</f>
        <v>0</v>
      </c>
      <c r="AA82" s="7"/>
      <c r="AB82" t="s">
        <v>11</v>
      </c>
      <c r="AC82" s="1" t="s">
        <v>158</v>
      </c>
      <c r="AD82" s="3">
        <v>45861</v>
      </c>
      <c r="AE82" s="14">
        <f t="shared" si="31"/>
        <v>25</v>
      </c>
      <c r="AF82" s="7">
        <v>335</v>
      </c>
      <c r="AG82" s="7">
        <f>CT[[#This Row],[Sales Rate/MT (USD)]]*CT[[#This Row],[SC Qty (MT)]]</f>
        <v>8375</v>
      </c>
      <c r="AH82" s="7" t="str">
        <f>IF(CT[[#This Row],[Container Qty]]&lt;&gt;0,CT[[#This Row],[Sales Rate/MT (USD)]]*CT[[#This Row],[Container Qty]],"")</f>
        <v/>
      </c>
      <c r="AI82" s="7" t="str">
        <f>IF(CT[[#This Row],[Customer Final Price]]&lt;&gt;"",CT[[#This Row],[Customer Final Price]]-CT[[#This Row],[Customer  Prov. Price]],"")</f>
        <v/>
      </c>
      <c r="AJ82" t="s">
        <v>8</v>
      </c>
      <c r="AK82" s="1" t="s">
        <v>159</v>
      </c>
      <c r="AL82" s="1"/>
      <c r="AM82" s="100" t="s">
        <v>134</v>
      </c>
    </row>
    <row r="83" spans="1:39" x14ac:dyDescent="0.25">
      <c r="A83" t="s">
        <v>9</v>
      </c>
      <c r="B83" s="102" t="s">
        <v>124</v>
      </c>
      <c r="C83" s="81">
        <v>45849</v>
      </c>
      <c r="D83" s="1" t="s">
        <v>67</v>
      </c>
      <c r="F83" s="11"/>
      <c r="G83" s="3"/>
      <c r="H83" s="3"/>
      <c r="I83" s="1"/>
      <c r="J83" s="1" t="s">
        <v>126</v>
      </c>
      <c r="K83" s="1" t="s">
        <v>14</v>
      </c>
      <c r="L83" s="1"/>
      <c r="M83" s="14">
        <f t="shared" si="22"/>
        <v>25</v>
      </c>
      <c r="N83" s="1">
        <v>103</v>
      </c>
      <c r="O83" s="7">
        <v>302</v>
      </c>
      <c r="P83" s="7">
        <f>CT[[#This Row],[Purchase Rate/MT (USD)]]*CT[[#This Row],[PC Qty (MT)]]</f>
        <v>7550</v>
      </c>
      <c r="Q83" s="7">
        <f>CT[[#This Row],[Purchase Rate/MT (USD)]]*CT[[#This Row],[Container Qty]]</f>
        <v>0</v>
      </c>
      <c r="R83" s="7" t="str">
        <f>IF(CT[[#This Row],[BL Number]]&lt;&gt;0,(CT[[#This Row],[Supplier Prov. Price]]-CT[[#This Row],[Supplier Final Price]])*1.2,"")</f>
        <v/>
      </c>
      <c r="S83" s="101">
        <v>1.3451</v>
      </c>
      <c r="T83" s="3"/>
      <c r="U83" s="7"/>
      <c r="V83" s="7"/>
      <c r="W83" s="24"/>
      <c r="X83" s="7">
        <f>IFERROR(CT[[#This Row],[Freight Charges]]+CT[[#This Row],[Inspection Cost/MT]]+CT[[#This Row],[DHL Charges PMT]],"")</f>
        <v>0</v>
      </c>
      <c r="Y83" s="7">
        <f>IFERROR(AF83-(O83+CT[[#This Row],[Cost Per MT]]),"")</f>
        <v>33</v>
      </c>
      <c r="Z83" s="7">
        <f>IFERROR(CT[[#This Row],[Margin/MT]]*CT[[#This Row],[Container Qty]],"")</f>
        <v>0</v>
      </c>
      <c r="AA83" s="7"/>
      <c r="AB83" t="s">
        <v>11</v>
      </c>
      <c r="AC83" s="1" t="s">
        <v>158</v>
      </c>
      <c r="AD83" s="3">
        <v>45861</v>
      </c>
      <c r="AE83" s="14">
        <f t="shared" si="31"/>
        <v>25</v>
      </c>
      <c r="AF83" s="7">
        <v>335</v>
      </c>
      <c r="AG83" s="7">
        <f>CT[[#This Row],[Sales Rate/MT (USD)]]*CT[[#This Row],[SC Qty (MT)]]</f>
        <v>8375</v>
      </c>
      <c r="AH83" s="7" t="str">
        <f>IF(CT[[#This Row],[Container Qty]]&lt;&gt;0,CT[[#This Row],[Sales Rate/MT (USD)]]*CT[[#This Row],[Container Qty]],"")</f>
        <v/>
      </c>
      <c r="AI83" s="7" t="str">
        <f>IF(CT[[#This Row],[Customer Final Price]]&lt;&gt;"",CT[[#This Row],[Customer Final Price]]-CT[[#This Row],[Customer  Prov. Price]],"")</f>
        <v/>
      </c>
      <c r="AJ83" t="s">
        <v>8</v>
      </c>
      <c r="AK83" s="1" t="s">
        <v>159</v>
      </c>
      <c r="AL83" s="1"/>
      <c r="AM83" s="100" t="s">
        <v>134</v>
      </c>
    </row>
    <row r="84" spans="1:39" x14ac:dyDescent="0.25">
      <c r="A84" t="s">
        <v>9</v>
      </c>
      <c r="B84" s="102" t="s">
        <v>124</v>
      </c>
      <c r="C84" s="81">
        <v>45849</v>
      </c>
      <c r="D84" s="1" t="s">
        <v>67</v>
      </c>
      <c r="F84" s="11"/>
      <c r="G84" s="3"/>
      <c r="H84" s="3"/>
      <c r="I84" s="1"/>
      <c r="J84" s="1" t="s">
        <v>126</v>
      </c>
      <c r="K84" s="1" t="s">
        <v>14</v>
      </c>
      <c r="L84" s="1"/>
      <c r="M84" s="14">
        <f t="shared" si="22"/>
        <v>25</v>
      </c>
      <c r="N84" s="1">
        <v>103</v>
      </c>
      <c r="O84" s="7">
        <v>302</v>
      </c>
      <c r="P84" s="7">
        <f>CT[[#This Row],[Purchase Rate/MT (USD)]]*CT[[#This Row],[PC Qty (MT)]]</f>
        <v>7550</v>
      </c>
      <c r="Q84" s="7">
        <f>CT[[#This Row],[Purchase Rate/MT (USD)]]*CT[[#This Row],[Container Qty]]</f>
        <v>0</v>
      </c>
      <c r="R84" s="7" t="str">
        <f>IF(CT[[#This Row],[BL Number]]&lt;&gt;0,(CT[[#This Row],[Supplier Prov. Price]]-CT[[#This Row],[Supplier Final Price]])*1.2,"")</f>
        <v/>
      </c>
      <c r="S84" s="101">
        <v>1.3451</v>
      </c>
      <c r="T84" s="3"/>
      <c r="U84" s="7"/>
      <c r="V84" s="7"/>
      <c r="W84" s="24"/>
      <c r="X84" s="7">
        <f>IFERROR(CT[[#This Row],[Freight Charges]]+CT[[#This Row],[Inspection Cost/MT]]+CT[[#This Row],[DHL Charges PMT]],"")</f>
        <v>0</v>
      </c>
      <c r="Y84" s="7">
        <f>IFERROR(AF84-(O84+CT[[#This Row],[Cost Per MT]]),"")</f>
        <v>33</v>
      </c>
      <c r="Z84" s="7">
        <f>IFERROR(CT[[#This Row],[Margin/MT]]*CT[[#This Row],[Container Qty]],"")</f>
        <v>0</v>
      </c>
      <c r="AA84" s="7"/>
      <c r="AB84" t="s">
        <v>11</v>
      </c>
      <c r="AC84" s="1" t="s">
        <v>158</v>
      </c>
      <c r="AD84" s="3">
        <v>45861</v>
      </c>
      <c r="AE84" s="14">
        <f t="shared" si="31"/>
        <v>25</v>
      </c>
      <c r="AF84" s="7">
        <v>335</v>
      </c>
      <c r="AG84" s="7">
        <f>CT[[#This Row],[Sales Rate/MT (USD)]]*CT[[#This Row],[SC Qty (MT)]]</f>
        <v>8375</v>
      </c>
      <c r="AH84" s="7" t="str">
        <f>IF(CT[[#This Row],[Container Qty]]&lt;&gt;0,CT[[#This Row],[Sales Rate/MT (USD)]]*CT[[#This Row],[Container Qty]],"")</f>
        <v/>
      </c>
      <c r="AI84" s="7" t="str">
        <f>IF(CT[[#This Row],[Customer Final Price]]&lt;&gt;"",CT[[#This Row],[Customer Final Price]]-CT[[#This Row],[Customer  Prov. Price]],"")</f>
        <v/>
      </c>
      <c r="AJ84" t="s">
        <v>8</v>
      </c>
      <c r="AK84" s="1" t="s">
        <v>159</v>
      </c>
      <c r="AL84" s="1"/>
      <c r="AM84" s="100" t="s">
        <v>134</v>
      </c>
    </row>
    <row r="85" spans="1:39" x14ac:dyDescent="0.25">
      <c r="A85" t="s">
        <v>9</v>
      </c>
      <c r="B85" s="102" t="s">
        <v>124</v>
      </c>
      <c r="C85" s="81">
        <v>45849</v>
      </c>
      <c r="D85" s="1" t="s">
        <v>67</v>
      </c>
      <c r="F85" s="11"/>
      <c r="G85" s="3"/>
      <c r="H85" s="3"/>
      <c r="I85" s="1"/>
      <c r="J85" s="1" t="s">
        <v>126</v>
      </c>
      <c r="K85" s="1" t="s">
        <v>14</v>
      </c>
      <c r="L85" s="1"/>
      <c r="M85" s="14">
        <f t="shared" si="22"/>
        <v>25</v>
      </c>
      <c r="N85" s="1">
        <v>103</v>
      </c>
      <c r="O85" s="7">
        <v>302</v>
      </c>
      <c r="P85" s="7">
        <f>CT[[#This Row],[Purchase Rate/MT (USD)]]*CT[[#This Row],[PC Qty (MT)]]</f>
        <v>7550</v>
      </c>
      <c r="Q85" s="7">
        <f>CT[[#This Row],[Purchase Rate/MT (USD)]]*CT[[#This Row],[Container Qty]]</f>
        <v>0</v>
      </c>
      <c r="R85" s="7" t="str">
        <f>IF(CT[[#This Row],[BL Number]]&lt;&gt;0,(CT[[#This Row],[Supplier Prov. Price]]-CT[[#This Row],[Supplier Final Price]])*1.2,"")</f>
        <v/>
      </c>
      <c r="S85" s="101">
        <v>1.3451</v>
      </c>
      <c r="T85" s="3"/>
      <c r="U85" s="7"/>
      <c r="V85" s="7"/>
      <c r="W85" s="24"/>
      <c r="X85" s="7">
        <f>IFERROR(CT[[#This Row],[Freight Charges]]+CT[[#This Row],[Inspection Cost/MT]]+CT[[#This Row],[DHL Charges PMT]],"")</f>
        <v>0</v>
      </c>
      <c r="Y85" s="7">
        <f>IFERROR(AF85-(O85+CT[[#This Row],[Cost Per MT]]),"")</f>
        <v>33</v>
      </c>
      <c r="Z85" s="7">
        <f>IFERROR(CT[[#This Row],[Margin/MT]]*CT[[#This Row],[Container Qty]],"")</f>
        <v>0</v>
      </c>
      <c r="AA85" s="7"/>
      <c r="AB85" t="s">
        <v>11</v>
      </c>
      <c r="AC85" s="1" t="s">
        <v>158</v>
      </c>
      <c r="AD85" s="3">
        <v>45861</v>
      </c>
      <c r="AE85" s="14">
        <f t="shared" si="31"/>
        <v>25</v>
      </c>
      <c r="AF85" s="7">
        <v>335</v>
      </c>
      <c r="AG85" s="7">
        <f>CT[[#This Row],[Sales Rate/MT (USD)]]*CT[[#This Row],[SC Qty (MT)]]</f>
        <v>8375</v>
      </c>
      <c r="AH85" s="7" t="str">
        <f>IF(CT[[#This Row],[Container Qty]]&lt;&gt;0,CT[[#This Row],[Sales Rate/MT (USD)]]*CT[[#This Row],[Container Qty]],"")</f>
        <v/>
      </c>
      <c r="AI85" s="7" t="str">
        <f>IF(CT[[#This Row],[Customer Final Price]]&lt;&gt;"",CT[[#This Row],[Customer Final Price]]-CT[[#This Row],[Customer  Prov. Price]],"")</f>
        <v/>
      </c>
      <c r="AJ85" t="s">
        <v>8</v>
      </c>
      <c r="AK85" s="1" t="s">
        <v>159</v>
      </c>
      <c r="AL85" s="1"/>
      <c r="AM85" s="100" t="s">
        <v>134</v>
      </c>
    </row>
    <row r="86" spans="1:39" x14ac:dyDescent="0.25">
      <c r="A86" t="s">
        <v>9</v>
      </c>
      <c r="B86" s="102" t="s">
        <v>124</v>
      </c>
      <c r="C86" s="81">
        <v>45849</v>
      </c>
      <c r="D86" s="1" t="s">
        <v>67</v>
      </c>
      <c r="F86" s="11"/>
      <c r="G86" s="3"/>
      <c r="H86" s="3"/>
      <c r="I86" s="1"/>
      <c r="J86" s="1" t="s">
        <v>126</v>
      </c>
      <c r="K86" s="1" t="s">
        <v>14</v>
      </c>
      <c r="L86" s="1"/>
      <c r="M86" s="14">
        <f t="shared" si="22"/>
        <v>25</v>
      </c>
      <c r="N86" s="1">
        <v>103</v>
      </c>
      <c r="O86" s="7">
        <v>302</v>
      </c>
      <c r="P86" s="7">
        <f>CT[[#This Row],[Purchase Rate/MT (USD)]]*CT[[#This Row],[PC Qty (MT)]]</f>
        <v>7550</v>
      </c>
      <c r="Q86" s="7">
        <f>CT[[#This Row],[Purchase Rate/MT (USD)]]*CT[[#This Row],[Container Qty]]</f>
        <v>0</v>
      </c>
      <c r="R86" s="7" t="str">
        <f>IF(CT[[#This Row],[BL Number]]&lt;&gt;0,(CT[[#This Row],[Supplier Prov. Price]]-CT[[#This Row],[Supplier Final Price]])*1.2,"")</f>
        <v/>
      </c>
      <c r="S86" s="101">
        <v>1.3451</v>
      </c>
      <c r="T86" s="3"/>
      <c r="U86" s="7"/>
      <c r="V86" s="7"/>
      <c r="W86" s="24"/>
      <c r="X86" s="7">
        <f>IFERROR(CT[[#This Row],[Freight Charges]]+CT[[#This Row],[Inspection Cost/MT]]+CT[[#This Row],[DHL Charges PMT]],"")</f>
        <v>0</v>
      </c>
      <c r="Y86" s="7">
        <f>IFERROR(AF86-(O86+CT[[#This Row],[Cost Per MT]]),"")</f>
        <v>33</v>
      </c>
      <c r="Z86" s="7">
        <f>IFERROR(CT[[#This Row],[Margin/MT]]*CT[[#This Row],[Container Qty]],"")</f>
        <v>0</v>
      </c>
      <c r="AA86" s="7"/>
      <c r="AB86" t="s">
        <v>11</v>
      </c>
      <c r="AC86" s="1" t="s">
        <v>158</v>
      </c>
      <c r="AD86" s="3">
        <v>45861</v>
      </c>
      <c r="AE86" s="14">
        <f t="shared" si="31"/>
        <v>25</v>
      </c>
      <c r="AF86" s="7">
        <v>335</v>
      </c>
      <c r="AG86" s="7">
        <f>CT[[#This Row],[Sales Rate/MT (USD)]]*CT[[#This Row],[SC Qty (MT)]]</f>
        <v>8375</v>
      </c>
      <c r="AH86" s="7" t="str">
        <f>IF(CT[[#This Row],[Container Qty]]&lt;&gt;0,CT[[#This Row],[Sales Rate/MT (USD)]]*CT[[#This Row],[Container Qty]],"")</f>
        <v/>
      </c>
      <c r="AI86" s="7" t="str">
        <f>IF(CT[[#This Row],[Customer Final Price]]&lt;&gt;"",CT[[#This Row],[Customer Final Price]]-CT[[#This Row],[Customer  Prov. Price]],"")</f>
        <v/>
      </c>
      <c r="AJ86" t="s">
        <v>8</v>
      </c>
      <c r="AK86" s="1" t="s">
        <v>159</v>
      </c>
      <c r="AL86" s="1"/>
      <c r="AM86" s="100" t="s">
        <v>134</v>
      </c>
    </row>
    <row r="87" spans="1:39" x14ac:dyDescent="0.25">
      <c r="A87" t="s">
        <v>9</v>
      </c>
      <c r="B87" s="102" t="s">
        <v>124</v>
      </c>
      <c r="C87" s="81">
        <v>45849</v>
      </c>
      <c r="D87" s="1" t="s">
        <v>67</v>
      </c>
      <c r="F87" s="11"/>
      <c r="G87" s="3"/>
      <c r="H87" s="3"/>
      <c r="I87" s="1"/>
      <c r="J87" s="1" t="s">
        <v>126</v>
      </c>
      <c r="K87" s="1" t="s">
        <v>14</v>
      </c>
      <c r="L87" s="1"/>
      <c r="M87" s="14">
        <f t="shared" si="22"/>
        <v>25</v>
      </c>
      <c r="N87" s="1">
        <v>103</v>
      </c>
      <c r="O87" s="7">
        <v>302</v>
      </c>
      <c r="P87" s="7">
        <f>CT[[#This Row],[Purchase Rate/MT (USD)]]*CT[[#This Row],[PC Qty (MT)]]</f>
        <v>7550</v>
      </c>
      <c r="Q87" s="7">
        <f>CT[[#This Row],[Purchase Rate/MT (USD)]]*CT[[#This Row],[Container Qty]]</f>
        <v>0</v>
      </c>
      <c r="R87" s="7" t="str">
        <f>IF(CT[[#This Row],[BL Number]]&lt;&gt;0,(CT[[#This Row],[Supplier Prov. Price]]-CT[[#This Row],[Supplier Final Price]])*1.2,"")</f>
        <v/>
      </c>
      <c r="S87" s="101">
        <v>1.3451</v>
      </c>
      <c r="T87" s="3"/>
      <c r="U87" s="7"/>
      <c r="V87" s="7"/>
      <c r="W87" s="24"/>
      <c r="X87" s="7">
        <f>IFERROR(CT[[#This Row],[Freight Charges]]+CT[[#This Row],[Inspection Cost/MT]]+CT[[#This Row],[DHL Charges PMT]],"")</f>
        <v>0</v>
      </c>
      <c r="Y87" s="7">
        <f>IFERROR(AF87-(O87+CT[[#This Row],[Cost Per MT]]),"")</f>
        <v>33</v>
      </c>
      <c r="Z87" s="7">
        <f>IFERROR(CT[[#This Row],[Margin/MT]]*CT[[#This Row],[Container Qty]],"")</f>
        <v>0</v>
      </c>
      <c r="AA87" s="7"/>
      <c r="AB87" t="s">
        <v>11</v>
      </c>
      <c r="AC87" s="1" t="s">
        <v>158</v>
      </c>
      <c r="AD87" s="3">
        <v>45861</v>
      </c>
      <c r="AE87" s="14">
        <f t="shared" si="31"/>
        <v>25</v>
      </c>
      <c r="AF87" s="7">
        <v>335</v>
      </c>
      <c r="AG87" s="7">
        <f>CT[[#This Row],[Sales Rate/MT (USD)]]*CT[[#This Row],[SC Qty (MT)]]</f>
        <v>8375</v>
      </c>
      <c r="AH87" s="7" t="str">
        <f>IF(CT[[#This Row],[Container Qty]]&lt;&gt;0,CT[[#This Row],[Sales Rate/MT (USD)]]*CT[[#This Row],[Container Qty]],"")</f>
        <v/>
      </c>
      <c r="AI87" s="7" t="str">
        <f>IF(CT[[#This Row],[Customer Final Price]]&lt;&gt;"",CT[[#This Row],[Customer Final Price]]-CT[[#This Row],[Customer  Prov. Price]],"")</f>
        <v/>
      </c>
      <c r="AJ87" t="s">
        <v>8</v>
      </c>
      <c r="AK87" s="1" t="s">
        <v>159</v>
      </c>
      <c r="AL87" s="1"/>
      <c r="AM87" s="100" t="s">
        <v>134</v>
      </c>
    </row>
    <row r="88" spans="1:39" x14ac:dyDescent="0.25">
      <c r="A88" t="s">
        <v>9</v>
      </c>
      <c r="B88" s="102" t="s">
        <v>124</v>
      </c>
      <c r="C88" s="81">
        <v>45849</v>
      </c>
      <c r="D88" s="1" t="s">
        <v>67</v>
      </c>
      <c r="F88" s="11"/>
      <c r="G88" s="3"/>
      <c r="H88" s="3"/>
      <c r="I88" s="1"/>
      <c r="J88" s="1" t="s">
        <v>126</v>
      </c>
      <c r="K88" s="1" t="s">
        <v>14</v>
      </c>
      <c r="L88" s="1"/>
      <c r="M88" s="14">
        <f t="shared" si="22"/>
        <v>25</v>
      </c>
      <c r="N88" s="1">
        <v>103</v>
      </c>
      <c r="O88" s="7">
        <v>302</v>
      </c>
      <c r="P88" s="7">
        <f>CT[[#This Row],[Purchase Rate/MT (USD)]]*CT[[#This Row],[PC Qty (MT)]]</f>
        <v>7550</v>
      </c>
      <c r="Q88" s="7">
        <f>CT[[#This Row],[Purchase Rate/MT (USD)]]*CT[[#This Row],[Container Qty]]</f>
        <v>0</v>
      </c>
      <c r="R88" s="7" t="str">
        <f>IF(CT[[#This Row],[BL Number]]&lt;&gt;0,(CT[[#This Row],[Supplier Prov. Price]]-CT[[#This Row],[Supplier Final Price]])*1.2,"")</f>
        <v/>
      </c>
      <c r="S88" s="101">
        <v>1.3451</v>
      </c>
      <c r="T88" s="3"/>
      <c r="U88" s="7"/>
      <c r="V88" s="7"/>
      <c r="W88" s="24"/>
      <c r="X88" s="7">
        <f>IFERROR(CT[[#This Row],[Freight Charges]]+CT[[#This Row],[Inspection Cost/MT]]+CT[[#This Row],[DHL Charges PMT]],"")</f>
        <v>0</v>
      </c>
      <c r="Y88" s="7">
        <f>IFERROR(AF88-(O88+CT[[#This Row],[Cost Per MT]]),"")</f>
        <v>33</v>
      </c>
      <c r="Z88" s="7">
        <f>IFERROR(CT[[#This Row],[Margin/MT]]*CT[[#This Row],[Container Qty]],"")</f>
        <v>0</v>
      </c>
      <c r="AA88" s="7"/>
      <c r="AB88" t="s">
        <v>11</v>
      </c>
      <c r="AC88" s="1" t="s">
        <v>158</v>
      </c>
      <c r="AD88" s="3">
        <v>45861</v>
      </c>
      <c r="AE88" s="14">
        <f t="shared" si="31"/>
        <v>25</v>
      </c>
      <c r="AF88" s="7">
        <v>335</v>
      </c>
      <c r="AG88" s="7">
        <f>CT[[#This Row],[Sales Rate/MT (USD)]]*CT[[#This Row],[SC Qty (MT)]]</f>
        <v>8375</v>
      </c>
      <c r="AH88" s="7" t="str">
        <f>IF(CT[[#This Row],[Container Qty]]&lt;&gt;0,CT[[#This Row],[Sales Rate/MT (USD)]]*CT[[#This Row],[Container Qty]],"")</f>
        <v/>
      </c>
      <c r="AI88" s="7" t="str">
        <f>IF(CT[[#This Row],[Customer Final Price]]&lt;&gt;"",CT[[#This Row],[Customer Final Price]]-CT[[#This Row],[Customer  Prov. Price]],"")</f>
        <v/>
      </c>
      <c r="AJ88" t="s">
        <v>8</v>
      </c>
      <c r="AK88" s="1" t="s">
        <v>159</v>
      </c>
      <c r="AL88" s="1"/>
      <c r="AM88" s="100" t="s">
        <v>134</v>
      </c>
    </row>
    <row r="89" spans="1:39" x14ac:dyDescent="0.25">
      <c r="A89" t="s">
        <v>9</v>
      </c>
      <c r="B89" s="102" t="s">
        <v>124</v>
      </c>
      <c r="C89" s="81">
        <v>45849</v>
      </c>
      <c r="D89" s="1" t="s">
        <v>67</v>
      </c>
      <c r="F89" s="11"/>
      <c r="G89" s="3"/>
      <c r="H89" s="3"/>
      <c r="I89" s="1"/>
      <c r="J89" s="1" t="s">
        <v>126</v>
      </c>
      <c r="K89" s="1" t="s">
        <v>14</v>
      </c>
      <c r="L89" s="1"/>
      <c r="M89" s="14">
        <f t="shared" si="22"/>
        <v>25</v>
      </c>
      <c r="N89" s="1">
        <v>103</v>
      </c>
      <c r="O89" s="7">
        <v>302</v>
      </c>
      <c r="P89" s="7">
        <f>CT[[#This Row],[Purchase Rate/MT (USD)]]*CT[[#This Row],[PC Qty (MT)]]</f>
        <v>7550</v>
      </c>
      <c r="Q89" s="7">
        <f>CT[[#This Row],[Purchase Rate/MT (USD)]]*CT[[#This Row],[Container Qty]]</f>
        <v>0</v>
      </c>
      <c r="R89" s="7" t="str">
        <f>IF(CT[[#This Row],[BL Number]]&lt;&gt;0,(CT[[#This Row],[Supplier Prov. Price]]-CT[[#This Row],[Supplier Final Price]])*1.2,"")</f>
        <v/>
      </c>
      <c r="S89" s="101">
        <v>1.3451</v>
      </c>
      <c r="T89" s="3"/>
      <c r="U89" s="7"/>
      <c r="V89" s="7"/>
      <c r="W89" s="24"/>
      <c r="X89" s="7">
        <f>IFERROR(CT[[#This Row],[Freight Charges]]+CT[[#This Row],[Inspection Cost/MT]]+CT[[#This Row],[DHL Charges PMT]],"")</f>
        <v>0</v>
      </c>
      <c r="Y89" s="7">
        <f>IFERROR(AF89-(O89+CT[[#This Row],[Cost Per MT]]),"")</f>
        <v>33</v>
      </c>
      <c r="Z89" s="7">
        <f>IFERROR(CT[[#This Row],[Margin/MT]]*CT[[#This Row],[Container Qty]],"")</f>
        <v>0</v>
      </c>
      <c r="AA89" s="7"/>
      <c r="AB89" t="s">
        <v>11</v>
      </c>
      <c r="AC89" s="1" t="s">
        <v>158</v>
      </c>
      <c r="AD89" s="3">
        <v>45861</v>
      </c>
      <c r="AE89" s="14">
        <f t="shared" si="31"/>
        <v>25</v>
      </c>
      <c r="AF89" s="7">
        <v>335</v>
      </c>
      <c r="AG89" s="7">
        <f>CT[[#This Row],[Sales Rate/MT (USD)]]*CT[[#This Row],[SC Qty (MT)]]</f>
        <v>8375</v>
      </c>
      <c r="AH89" s="7" t="str">
        <f>IF(CT[[#This Row],[Container Qty]]&lt;&gt;0,CT[[#This Row],[Sales Rate/MT (USD)]]*CT[[#This Row],[Container Qty]],"")</f>
        <v/>
      </c>
      <c r="AI89" s="7" t="str">
        <f>IF(CT[[#This Row],[Customer Final Price]]&lt;&gt;"",CT[[#This Row],[Customer Final Price]]-CT[[#This Row],[Customer  Prov. Price]],"")</f>
        <v/>
      </c>
      <c r="AJ89" t="s">
        <v>8</v>
      </c>
      <c r="AK89" s="1" t="s">
        <v>159</v>
      </c>
      <c r="AL89" s="1"/>
      <c r="AM89" s="100" t="s">
        <v>134</v>
      </c>
    </row>
    <row r="90" spans="1:39" x14ac:dyDescent="0.25">
      <c r="A90" t="s">
        <v>9</v>
      </c>
      <c r="B90" s="102" t="s">
        <v>124</v>
      </c>
      <c r="C90" s="81">
        <v>45849</v>
      </c>
      <c r="D90" s="1" t="s">
        <v>67</v>
      </c>
      <c r="F90" s="11"/>
      <c r="G90" s="3"/>
      <c r="H90" s="3"/>
      <c r="I90" s="1"/>
      <c r="J90" s="1" t="s">
        <v>126</v>
      </c>
      <c r="K90" s="1" t="s">
        <v>14</v>
      </c>
      <c r="L90" s="1"/>
      <c r="M90" s="14">
        <f t="shared" si="22"/>
        <v>25</v>
      </c>
      <c r="N90" s="1">
        <v>103</v>
      </c>
      <c r="O90" s="7">
        <v>302</v>
      </c>
      <c r="P90" s="7">
        <f>CT[[#This Row],[Purchase Rate/MT (USD)]]*CT[[#This Row],[PC Qty (MT)]]</f>
        <v>7550</v>
      </c>
      <c r="Q90" s="7">
        <f>CT[[#This Row],[Purchase Rate/MT (USD)]]*CT[[#This Row],[Container Qty]]</f>
        <v>0</v>
      </c>
      <c r="R90" s="7" t="str">
        <f>IF(CT[[#This Row],[BL Number]]&lt;&gt;0,(CT[[#This Row],[Supplier Prov. Price]]-CT[[#This Row],[Supplier Final Price]])*1.2,"")</f>
        <v/>
      </c>
      <c r="S90" s="101">
        <v>1.3451</v>
      </c>
      <c r="T90" s="3"/>
      <c r="U90" s="7"/>
      <c r="V90" s="7"/>
      <c r="W90" s="24"/>
      <c r="X90" s="7">
        <f>IFERROR(CT[[#This Row],[Freight Charges]]+CT[[#This Row],[Inspection Cost/MT]]+CT[[#This Row],[DHL Charges PMT]],"")</f>
        <v>0</v>
      </c>
      <c r="Y90" s="7">
        <f>IFERROR(AF90-(O90+CT[[#This Row],[Cost Per MT]]),"")</f>
        <v>33</v>
      </c>
      <c r="Z90" s="7">
        <f>IFERROR(CT[[#This Row],[Margin/MT]]*CT[[#This Row],[Container Qty]],"")</f>
        <v>0</v>
      </c>
      <c r="AA90" s="7"/>
      <c r="AB90" t="s">
        <v>11</v>
      </c>
      <c r="AC90" s="1" t="s">
        <v>158</v>
      </c>
      <c r="AD90" s="3">
        <v>45861</v>
      </c>
      <c r="AE90" s="14">
        <f t="shared" si="31"/>
        <v>25</v>
      </c>
      <c r="AF90" s="7">
        <v>335</v>
      </c>
      <c r="AG90" s="7">
        <f>CT[[#This Row],[Sales Rate/MT (USD)]]*CT[[#This Row],[SC Qty (MT)]]</f>
        <v>8375</v>
      </c>
      <c r="AH90" s="7" t="str">
        <f>IF(CT[[#This Row],[Container Qty]]&lt;&gt;0,CT[[#This Row],[Sales Rate/MT (USD)]]*CT[[#This Row],[Container Qty]],"")</f>
        <v/>
      </c>
      <c r="AI90" s="7" t="str">
        <f>IF(CT[[#This Row],[Customer Final Price]]&lt;&gt;"",CT[[#This Row],[Customer Final Price]]-CT[[#This Row],[Customer  Prov. Price]],"")</f>
        <v/>
      </c>
      <c r="AJ90" t="s">
        <v>8</v>
      </c>
      <c r="AK90" s="1" t="s">
        <v>159</v>
      </c>
      <c r="AL90" s="1"/>
      <c r="AM90" s="100" t="s">
        <v>134</v>
      </c>
    </row>
    <row r="91" spans="1:39" x14ac:dyDescent="0.25">
      <c r="A91" t="s">
        <v>9</v>
      </c>
      <c r="B91" s="102" t="s">
        <v>124</v>
      </c>
      <c r="C91" s="81">
        <v>45849</v>
      </c>
      <c r="D91" s="1" t="s">
        <v>67</v>
      </c>
      <c r="F91" s="11"/>
      <c r="G91" s="3"/>
      <c r="H91" s="3"/>
      <c r="I91" s="1"/>
      <c r="J91" s="1" t="s">
        <v>126</v>
      </c>
      <c r="K91" s="1" t="s">
        <v>14</v>
      </c>
      <c r="L91" s="1"/>
      <c r="M91" s="14">
        <f t="shared" si="22"/>
        <v>25</v>
      </c>
      <c r="N91" s="1">
        <v>103</v>
      </c>
      <c r="O91" s="7">
        <v>302</v>
      </c>
      <c r="P91" s="7">
        <f>CT[[#This Row],[Purchase Rate/MT (USD)]]*CT[[#This Row],[PC Qty (MT)]]</f>
        <v>7550</v>
      </c>
      <c r="Q91" s="7">
        <f>CT[[#This Row],[Purchase Rate/MT (USD)]]*CT[[#This Row],[Container Qty]]</f>
        <v>0</v>
      </c>
      <c r="R91" s="7" t="str">
        <f>IF(CT[[#This Row],[BL Number]]&lt;&gt;0,(CT[[#This Row],[Supplier Prov. Price]]-CT[[#This Row],[Supplier Final Price]])*1.2,"")</f>
        <v/>
      </c>
      <c r="S91" s="101">
        <v>1.3451</v>
      </c>
      <c r="T91" s="3"/>
      <c r="U91" s="7"/>
      <c r="V91" s="7"/>
      <c r="W91" s="24"/>
      <c r="X91" s="7">
        <f>IFERROR(CT[[#This Row],[Freight Charges]]+CT[[#This Row],[Inspection Cost/MT]]+CT[[#This Row],[DHL Charges PMT]],"")</f>
        <v>0</v>
      </c>
      <c r="Y91" s="7">
        <f>IFERROR(AF91-(O91+CT[[#This Row],[Cost Per MT]]),"")</f>
        <v>33</v>
      </c>
      <c r="Z91" s="7">
        <f>IFERROR(CT[[#This Row],[Margin/MT]]*CT[[#This Row],[Container Qty]],"")</f>
        <v>0</v>
      </c>
      <c r="AA91" s="7"/>
      <c r="AB91" t="s">
        <v>11</v>
      </c>
      <c r="AC91" s="1" t="s">
        <v>158</v>
      </c>
      <c r="AD91" s="3">
        <v>45861</v>
      </c>
      <c r="AE91" s="14">
        <f t="shared" si="31"/>
        <v>25</v>
      </c>
      <c r="AF91" s="7">
        <v>335</v>
      </c>
      <c r="AG91" s="7">
        <f>CT[[#This Row],[Sales Rate/MT (USD)]]*CT[[#This Row],[SC Qty (MT)]]</f>
        <v>8375</v>
      </c>
      <c r="AH91" s="7" t="str">
        <f>IF(CT[[#This Row],[Container Qty]]&lt;&gt;0,CT[[#This Row],[Sales Rate/MT (USD)]]*CT[[#This Row],[Container Qty]],"")</f>
        <v/>
      </c>
      <c r="AI91" s="7" t="str">
        <f>IF(CT[[#This Row],[Customer Final Price]]&lt;&gt;"",CT[[#This Row],[Customer Final Price]]-CT[[#This Row],[Customer  Prov. Price]],"")</f>
        <v/>
      </c>
      <c r="AJ91" t="s">
        <v>8</v>
      </c>
      <c r="AK91" s="1" t="s">
        <v>159</v>
      </c>
      <c r="AL91" s="1"/>
      <c r="AM91" s="100" t="s">
        <v>134</v>
      </c>
    </row>
    <row r="92" spans="1:39" x14ac:dyDescent="0.25">
      <c r="A92" t="s">
        <v>9</v>
      </c>
      <c r="B92" s="102" t="s">
        <v>124</v>
      </c>
      <c r="C92" s="81">
        <v>45849</v>
      </c>
      <c r="D92" s="1" t="s">
        <v>67</v>
      </c>
      <c r="F92" s="11"/>
      <c r="G92" s="3"/>
      <c r="H92" s="3"/>
      <c r="I92" s="1"/>
      <c r="J92" s="1" t="s">
        <v>126</v>
      </c>
      <c r="K92" s="1" t="s">
        <v>14</v>
      </c>
      <c r="L92" s="1"/>
      <c r="M92" s="14">
        <f t="shared" si="22"/>
        <v>25</v>
      </c>
      <c r="N92" s="1">
        <v>103</v>
      </c>
      <c r="O92" s="7">
        <v>302</v>
      </c>
      <c r="P92" s="7">
        <f>CT[[#This Row],[Purchase Rate/MT (USD)]]*CT[[#This Row],[PC Qty (MT)]]</f>
        <v>7550</v>
      </c>
      <c r="Q92" s="7">
        <f>CT[[#This Row],[Purchase Rate/MT (USD)]]*CT[[#This Row],[Container Qty]]</f>
        <v>0</v>
      </c>
      <c r="R92" s="7" t="str">
        <f>IF(CT[[#This Row],[BL Number]]&lt;&gt;0,(CT[[#This Row],[Supplier Prov. Price]]-CT[[#This Row],[Supplier Final Price]])*1.2,"")</f>
        <v/>
      </c>
      <c r="S92" s="101">
        <v>1.3451</v>
      </c>
      <c r="T92" s="3"/>
      <c r="U92" s="7"/>
      <c r="V92" s="7"/>
      <c r="W92" s="24"/>
      <c r="X92" s="7">
        <f>IFERROR(CT[[#This Row],[Freight Charges]]+CT[[#This Row],[Inspection Cost/MT]]+CT[[#This Row],[DHL Charges PMT]],"")</f>
        <v>0</v>
      </c>
      <c r="Y92" s="7">
        <f>IFERROR(AF92-(O92+CT[[#This Row],[Cost Per MT]]),"")</f>
        <v>33</v>
      </c>
      <c r="Z92" s="7">
        <f>IFERROR(CT[[#This Row],[Margin/MT]]*CT[[#This Row],[Container Qty]],"")</f>
        <v>0</v>
      </c>
      <c r="AA92" s="7"/>
      <c r="AB92" t="s">
        <v>11</v>
      </c>
      <c r="AC92" s="1" t="s">
        <v>158</v>
      </c>
      <c r="AD92" s="3">
        <v>45861</v>
      </c>
      <c r="AE92" s="14">
        <f t="shared" si="31"/>
        <v>25</v>
      </c>
      <c r="AF92" s="7">
        <v>335</v>
      </c>
      <c r="AG92" s="7">
        <f>CT[[#This Row],[Sales Rate/MT (USD)]]*CT[[#This Row],[SC Qty (MT)]]</f>
        <v>8375</v>
      </c>
      <c r="AH92" s="7" t="str">
        <f>IF(CT[[#This Row],[Container Qty]]&lt;&gt;0,CT[[#This Row],[Sales Rate/MT (USD)]]*CT[[#This Row],[Container Qty]],"")</f>
        <v/>
      </c>
      <c r="AI92" s="7" t="str">
        <f>IF(CT[[#This Row],[Customer Final Price]]&lt;&gt;"",CT[[#This Row],[Customer Final Price]]-CT[[#This Row],[Customer  Prov. Price]],"")</f>
        <v/>
      </c>
      <c r="AJ92" t="s">
        <v>8</v>
      </c>
      <c r="AK92" s="1" t="s">
        <v>159</v>
      </c>
      <c r="AL92" s="1"/>
      <c r="AM92" s="100" t="s">
        <v>134</v>
      </c>
    </row>
    <row r="93" spans="1:39" x14ac:dyDescent="0.25">
      <c r="A93" t="s">
        <v>9</v>
      </c>
      <c r="B93" s="102" t="s">
        <v>173</v>
      </c>
      <c r="C93" s="81">
        <v>45849</v>
      </c>
      <c r="D93" s="1" t="s">
        <v>67</v>
      </c>
      <c r="F93" s="11"/>
      <c r="G93" s="3"/>
      <c r="H93" s="3"/>
      <c r="I93" s="1"/>
      <c r="J93" s="1" t="s">
        <v>126</v>
      </c>
      <c r="K93" s="1" t="s">
        <v>14</v>
      </c>
      <c r="L93" s="1"/>
      <c r="M93" s="14">
        <f t="shared" si="22"/>
        <v>25</v>
      </c>
      <c r="N93" s="1">
        <v>103</v>
      </c>
      <c r="O93" s="7">
        <v>302</v>
      </c>
      <c r="P93" s="7">
        <f>CT[[#This Row],[Purchase Rate/MT (USD)]]*CT[[#This Row],[PC Qty (MT)]]</f>
        <v>7550</v>
      </c>
      <c r="Q93" s="7">
        <f>CT[[#This Row],[Purchase Rate/MT (USD)]]*CT[[#This Row],[Container Qty]]</f>
        <v>0</v>
      </c>
      <c r="R93" s="7" t="str">
        <f>IF(CT[[#This Row],[BL Number]]&lt;&gt;0,(CT[[#This Row],[Supplier Prov. Price]]-CT[[#This Row],[Supplier Final Price]])*1.2,"")</f>
        <v/>
      </c>
      <c r="S93" s="101">
        <v>1.3451</v>
      </c>
      <c r="T93" s="3"/>
      <c r="U93" s="7"/>
      <c r="V93" s="7"/>
      <c r="W93" s="24"/>
      <c r="X93" s="7">
        <f>IFERROR(CT[[#This Row],[Freight Charges]]+CT[[#This Row],[Inspection Cost/MT]]+CT[[#This Row],[DHL Charges PMT]],"")</f>
        <v>0</v>
      </c>
      <c r="Y93" s="7">
        <f>IFERROR(AF93-(O93+CT[[#This Row],[Cost Per MT]]),"")</f>
        <v>33</v>
      </c>
      <c r="Z93" s="7">
        <f>IFERROR(CT[[#This Row],[Margin/MT]]*CT[[#This Row],[Container Qty]],"")</f>
        <v>0</v>
      </c>
      <c r="AA93" s="7"/>
      <c r="AB93" t="s">
        <v>11</v>
      </c>
      <c r="AC93" s="1" t="s">
        <v>158</v>
      </c>
      <c r="AD93" s="3">
        <v>45861</v>
      </c>
      <c r="AE93" s="14">
        <f t="shared" si="31"/>
        <v>25</v>
      </c>
      <c r="AF93" s="7">
        <v>335</v>
      </c>
      <c r="AG93" s="7">
        <f>CT[[#This Row],[Sales Rate/MT (USD)]]*CT[[#This Row],[SC Qty (MT)]]</f>
        <v>8375</v>
      </c>
      <c r="AH93" s="7" t="str">
        <f>IF(CT[[#This Row],[Container Qty]]&lt;&gt;0,CT[[#This Row],[Sales Rate/MT (USD)]]*CT[[#This Row],[Container Qty]],"")</f>
        <v/>
      </c>
      <c r="AI93" s="7" t="str">
        <f>IF(CT[[#This Row],[Customer Final Price]]&lt;&gt;"",CT[[#This Row],[Customer Final Price]]-CT[[#This Row],[Customer  Prov. Price]],"")</f>
        <v/>
      </c>
      <c r="AJ93" t="s">
        <v>8</v>
      </c>
      <c r="AK93" s="1" t="s">
        <v>159</v>
      </c>
      <c r="AL93" s="1"/>
      <c r="AM93" s="100" t="s">
        <v>134</v>
      </c>
    </row>
    <row r="94" spans="1:39" x14ac:dyDescent="0.25">
      <c r="A94" t="s">
        <v>9</v>
      </c>
      <c r="B94" s="102" t="s">
        <v>173</v>
      </c>
      <c r="C94" s="81">
        <v>45849</v>
      </c>
      <c r="D94" s="1" t="s">
        <v>67</v>
      </c>
      <c r="F94" s="11"/>
      <c r="G94" s="3"/>
      <c r="H94" s="3"/>
      <c r="I94" s="1"/>
      <c r="J94" s="1" t="s">
        <v>126</v>
      </c>
      <c r="K94" s="1" t="s">
        <v>14</v>
      </c>
      <c r="L94" s="1"/>
      <c r="M94" s="14">
        <f t="shared" si="22"/>
        <v>25</v>
      </c>
      <c r="N94" s="1">
        <v>103</v>
      </c>
      <c r="O94" s="7">
        <v>302</v>
      </c>
      <c r="P94" s="7">
        <f>CT[[#This Row],[Purchase Rate/MT (USD)]]*CT[[#This Row],[PC Qty (MT)]]</f>
        <v>7550</v>
      </c>
      <c r="Q94" s="7">
        <f>CT[[#This Row],[Purchase Rate/MT (USD)]]*CT[[#This Row],[Container Qty]]</f>
        <v>0</v>
      </c>
      <c r="R94" s="7" t="str">
        <f>IF(CT[[#This Row],[BL Number]]&lt;&gt;0,(CT[[#This Row],[Supplier Prov. Price]]-CT[[#This Row],[Supplier Final Price]])*1.2,"")</f>
        <v/>
      </c>
      <c r="S94" s="101">
        <v>1.3451</v>
      </c>
      <c r="T94" s="3"/>
      <c r="U94" s="7"/>
      <c r="V94" s="7"/>
      <c r="W94" s="24"/>
      <c r="X94" s="7">
        <f>IFERROR(CT[[#This Row],[Freight Charges]]+CT[[#This Row],[Inspection Cost/MT]]+CT[[#This Row],[DHL Charges PMT]],"")</f>
        <v>0</v>
      </c>
      <c r="Y94" s="7">
        <f>IFERROR(AF94-(O94+CT[[#This Row],[Cost Per MT]]),"")</f>
        <v>33</v>
      </c>
      <c r="Z94" s="7">
        <f>IFERROR(CT[[#This Row],[Margin/MT]]*CT[[#This Row],[Container Qty]],"")</f>
        <v>0</v>
      </c>
      <c r="AA94" s="7"/>
      <c r="AB94" t="s">
        <v>11</v>
      </c>
      <c r="AC94" s="1" t="s">
        <v>158</v>
      </c>
      <c r="AD94" s="3">
        <v>45861</v>
      </c>
      <c r="AE94" s="14">
        <f t="shared" si="31"/>
        <v>25</v>
      </c>
      <c r="AF94" s="7">
        <v>335</v>
      </c>
      <c r="AG94" s="7">
        <f>CT[[#This Row],[Sales Rate/MT (USD)]]*CT[[#This Row],[SC Qty (MT)]]</f>
        <v>8375</v>
      </c>
      <c r="AH94" s="7" t="str">
        <f>IF(CT[[#This Row],[Container Qty]]&lt;&gt;0,CT[[#This Row],[Sales Rate/MT (USD)]]*CT[[#This Row],[Container Qty]],"")</f>
        <v/>
      </c>
      <c r="AI94" s="7" t="str">
        <f>IF(CT[[#This Row],[Customer Final Price]]&lt;&gt;"",CT[[#This Row],[Customer Final Price]]-CT[[#This Row],[Customer  Prov. Price]],"")</f>
        <v/>
      </c>
      <c r="AJ94" t="s">
        <v>8</v>
      </c>
      <c r="AK94" s="1" t="s">
        <v>159</v>
      </c>
      <c r="AL94" s="1"/>
      <c r="AM94" s="100" t="s">
        <v>134</v>
      </c>
    </row>
    <row r="95" spans="1:39" x14ac:dyDescent="0.25">
      <c r="A95" t="s">
        <v>9</v>
      </c>
      <c r="B95" s="102" t="s">
        <v>173</v>
      </c>
      <c r="C95" s="81">
        <v>45849</v>
      </c>
      <c r="D95" s="1" t="s">
        <v>67</v>
      </c>
      <c r="F95" s="11"/>
      <c r="G95" s="3"/>
      <c r="H95" s="3"/>
      <c r="I95" s="1"/>
      <c r="J95" s="1" t="s">
        <v>126</v>
      </c>
      <c r="K95" s="1" t="s">
        <v>14</v>
      </c>
      <c r="L95" s="1"/>
      <c r="M95" s="14">
        <f t="shared" si="22"/>
        <v>25</v>
      </c>
      <c r="N95" s="1">
        <v>103</v>
      </c>
      <c r="O95" s="7">
        <v>302</v>
      </c>
      <c r="P95" s="7">
        <f>CT[[#This Row],[Purchase Rate/MT (USD)]]*CT[[#This Row],[PC Qty (MT)]]</f>
        <v>7550</v>
      </c>
      <c r="Q95" s="7">
        <f>CT[[#This Row],[Purchase Rate/MT (USD)]]*CT[[#This Row],[Container Qty]]</f>
        <v>0</v>
      </c>
      <c r="R95" s="7" t="str">
        <f>IF(CT[[#This Row],[BL Number]]&lt;&gt;0,(CT[[#This Row],[Supplier Prov. Price]]-CT[[#This Row],[Supplier Final Price]])*1.2,"")</f>
        <v/>
      </c>
      <c r="S95" s="101">
        <v>1.3451</v>
      </c>
      <c r="T95" s="3"/>
      <c r="U95" s="7"/>
      <c r="V95" s="7"/>
      <c r="W95" s="24"/>
      <c r="X95" s="7">
        <f>IFERROR(CT[[#This Row],[Freight Charges]]+CT[[#This Row],[Inspection Cost/MT]]+CT[[#This Row],[DHL Charges PMT]],"")</f>
        <v>0</v>
      </c>
      <c r="Y95" s="7">
        <f>IFERROR(AF95-(O95+CT[[#This Row],[Cost Per MT]]),"")</f>
        <v>33</v>
      </c>
      <c r="Z95" s="7">
        <f>IFERROR(CT[[#This Row],[Margin/MT]]*CT[[#This Row],[Container Qty]],"")</f>
        <v>0</v>
      </c>
      <c r="AA95" s="7"/>
      <c r="AB95" t="s">
        <v>11</v>
      </c>
      <c r="AC95" s="1" t="s">
        <v>158</v>
      </c>
      <c r="AD95" s="3">
        <v>45861</v>
      </c>
      <c r="AE95" s="14">
        <f t="shared" si="31"/>
        <v>25</v>
      </c>
      <c r="AF95" s="7">
        <v>335</v>
      </c>
      <c r="AG95" s="7">
        <f>CT[[#This Row],[Sales Rate/MT (USD)]]*CT[[#This Row],[SC Qty (MT)]]</f>
        <v>8375</v>
      </c>
      <c r="AH95" s="7" t="str">
        <f>IF(CT[[#This Row],[Container Qty]]&lt;&gt;0,CT[[#This Row],[Sales Rate/MT (USD)]]*CT[[#This Row],[Container Qty]],"")</f>
        <v/>
      </c>
      <c r="AI95" s="7" t="str">
        <f>IF(CT[[#This Row],[Customer Final Price]]&lt;&gt;"",CT[[#This Row],[Customer Final Price]]-CT[[#This Row],[Customer  Prov. Price]],"")</f>
        <v/>
      </c>
      <c r="AJ95" t="s">
        <v>8</v>
      </c>
      <c r="AK95" s="1" t="s">
        <v>159</v>
      </c>
      <c r="AL95" s="1"/>
      <c r="AM95" s="100" t="s">
        <v>134</v>
      </c>
    </row>
    <row r="96" spans="1:39" x14ac:dyDescent="0.25">
      <c r="A96" t="s">
        <v>9</v>
      </c>
      <c r="B96" s="102" t="s">
        <v>173</v>
      </c>
      <c r="C96" s="81">
        <v>45849</v>
      </c>
      <c r="D96" s="1" t="s">
        <v>67</v>
      </c>
      <c r="F96" s="11"/>
      <c r="G96" s="3"/>
      <c r="H96" s="3"/>
      <c r="I96" s="1"/>
      <c r="J96" s="1" t="s">
        <v>126</v>
      </c>
      <c r="K96" s="1" t="s">
        <v>14</v>
      </c>
      <c r="L96" s="1"/>
      <c r="M96" s="14">
        <f t="shared" si="22"/>
        <v>25</v>
      </c>
      <c r="N96" s="1">
        <v>103</v>
      </c>
      <c r="O96" s="7">
        <v>302</v>
      </c>
      <c r="P96" s="7">
        <f>CT[[#This Row],[Purchase Rate/MT (USD)]]*CT[[#This Row],[PC Qty (MT)]]</f>
        <v>7550</v>
      </c>
      <c r="Q96" s="7">
        <f>CT[[#This Row],[Purchase Rate/MT (USD)]]*CT[[#This Row],[Container Qty]]</f>
        <v>0</v>
      </c>
      <c r="R96" s="7" t="str">
        <f>IF(CT[[#This Row],[BL Number]]&lt;&gt;0,(CT[[#This Row],[Supplier Prov. Price]]-CT[[#This Row],[Supplier Final Price]])*1.2,"")</f>
        <v/>
      </c>
      <c r="S96" s="101">
        <v>1.3451</v>
      </c>
      <c r="T96" s="3"/>
      <c r="U96" s="7"/>
      <c r="V96" s="7"/>
      <c r="W96" s="24"/>
      <c r="X96" s="7">
        <f>IFERROR(CT[[#This Row],[Freight Charges]]+CT[[#This Row],[Inspection Cost/MT]]+CT[[#This Row],[DHL Charges PMT]],"")</f>
        <v>0</v>
      </c>
      <c r="Y96" s="7">
        <f>IFERROR(AF96-(O96+CT[[#This Row],[Cost Per MT]]),"")</f>
        <v>33</v>
      </c>
      <c r="Z96" s="7">
        <f>IFERROR(CT[[#This Row],[Margin/MT]]*CT[[#This Row],[Container Qty]],"")</f>
        <v>0</v>
      </c>
      <c r="AA96" s="7"/>
      <c r="AB96" t="s">
        <v>11</v>
      </c>
      <c r="AC96" s="1" t="s">
        <v>158</v>
      </c>
      <c r="AD96" s="3">
        <v>45861</v>
      </c>
      <c r="AE96" s="14">
        <f t="shared" si="31"/>
        <v>25</v>
      </c>
      <c r="AF96" s="7">
        <v>335</v>
      </c>
      <c r="AG96" s="7">
        <f>CT[[#This Row],[Sales Rate/MT (USD)]]*CT[[#This Row],[SC Qty (MT)]]</f>
        <v>8375</v>
      </c>
      <c r="AH96" s="7" t="str">
        <f>IF(CT[[#This Row],[Container Qty]]&lt;&gt;0,CT[[#This Row],[Sales Rate/MT (USD)]]*CT[[#This Row],[Container Qty]],"")</f>
        <v/>
      </c>
      <c r="AI96" s="7" t="str">
        <f>IF(CT[[#This Row],[Customer Final Price]]&lt;&gt;"",CT[[#This Row],[Customer Final Price]]-CT[[#This Row],[Customer  Prov. Price]],"")</f>
        <v/>
      </c>
      <c r="AJ96" t="s">
        <v>8</v>
      </c>
      <c r="AK96" s="1" t="s">
        <v>159</v>
      </c>
      <c r="AL96" s="1"/>
      <c r="AM96" s="100" t="s">
        <v>134</v>
      </c>
    </row>
    <row r="97" spans="1:39" x14ac:dyDescent="0.25">
      <c r="A97" t="s">
        <v>9</v>
      </c>
      <c r="B97" s="102" t="s">
        <v>173</v>
      </c>
      <c r="C97" s="81">
        <v>45849</v>
      </c>
      <c r="D97" s="1" t="s">
        <v>67</v>
      </c>
      <c r="F97" s="11"/>
      <c r="G97" s="3"/>
      <c r="H97" s="3"/>
      <c r="I97" s="1"/>
      <c r="J97" s="1" t="s">
        <v>126</v>
      </c>
      <c r="K97" s="1" t="s">
        <v>14</v>
      </c>
      <c r="L97" s="1"/>
      <c r="M97" s="14">
        <f t="shared" si="22"/>
        <v>25</v>
      </c>
      <c r="N97" s="1">
        <v>103</v>
      </c>
      <c r="O97" s="7">
        <v>302</v>
      </c>
      <c r="P97" s="7">
        <f>CT[[#This Row],[Purchase Rate/MT (USD)]]*CT[[#This Row],[PC Qty (MT)]]</f>
        <v>7550</v>
      </c>
      <c r="Q97" s="7">
        <f>CT[[#This Row],[Purchase Rate/MT (USD)]]*CT[[#This Row],[Container Qty]]</f>
        <v>0</v>
      </c>
      <c r="R97" s="7" t="str">
        <f>IF(CT[[#This Row],[BL Number]]&lt;&gt;0,(CT[[#This Row],[Supplier Prov. Price]]-CT[[#This Row],[Supplier Final Price]])*1.2,"")</f>
        <v/>
      </c>
      <c r="S97" s="101">
        <v>1.3451</v>
      </c>
      <c r="T97" s="3"/>
      <c r="U97" s="7"/>
      <c r="V97" s="7"/>
      <c r="W97" s="24"/>
      <c r="X97" s="7">
        <f>IFERROR(CT[[#This Row],[Freight Charges]]+CT[[#This Row],[Inspection Cost/MT]]+CT[[#This Row],[DHL Charges PMT]],"")</f>
        <v>0</v>
      </c>
      <c r="Y97" s="7">
        <f>IFERROR(AF97-(O97+CT[[#This Row],[Cost Per MT]]),"")</f>
        <v>33</v>
      </c>
      <c r="Z97" s="7">
        <f>IFERROR(CT[[#This Row],[Margin/MT]]*CT[[#This Row],[Container Qty]],"")</f>
        <v>0</v>
      </c>
      <c r="AA97" s="7"/>
      <c r="AB97" t="s">
        <v>11</v>
      </c>
      <c r="AC97" s="1" t="s">
        <v>158</v>
      </c>
      <c r="AD97" s="3">
        <v>45861</v>
      </c>
      <c r="AE97" s="14">
        <f t="shared" si="31"/>
        <v>25</v>
      </c>
      <c r="AF97" s="7">
        <v>335</v>
      </c>
      <c r="AG97" s="7">
        <f>CT[[#This Row],[Sales Rate/MT (USD)]]*CT[[#This Row],[SC Qty (MT)]]</f>
        <v>8375</v>
      </c>
      <c r="AH97" s="7" t="str">
        <f>IF(CT[[#This Row],[Container Qty]]&lt;&gt;0,CT[[#This Row],[Sales Rate/MT (USD)]]*CT[[#This Row],[Container Qty]],"")</f>
        <v/>
      </c>
      <c r="AI97" s="7" t="str">
        <f>IF(CT[[#This Row],[Customer Final Price]]&lt;&gt;"",CT[[#This Row],[Customer Final Price]]-CT[[#This Row],[Customer  Prov. Price]],"")</f>
        <v/>
      </c>
      <c r="AJ97" t="s">
        <v>8</v>
      </c>
      <c r="AK97" s="1" t="s">
        <v>159</v>
      </c>
      <c r="AL97" s="1"/>
      <c r="AM97" s="100" t="s">
        <v>134</v>
      </c>
    </row>
    <row r="98" spans="1:39" x14ac:dyDescent="0.25">
      <c r="A98" t="s">
        <v>9</v>
      </c>
      <c r="B98" s="102" t="s">
        <v>173</v>
      </c>
      <c r="C98" s="81">
        <v>45849</v>
      </c>
      <c r="D98" s="1" t="s">
        <v>67</v>
      </c>
      <c r="F98" s="11"/>
      <c r="G98" s="3"/>
      <c r="H98" s="3"/>
      <c r="I98" s="1"/>
      <c r="J98" s="1" t="s">
        <v>126</v>
      </c>
      <c r="K98" s="1" t="s">
        <v>14</v>
      </c>
      <c r="L98" s="1"/>
      <c r="M98" s="14">
        <f t="shared" si="22"/>
        <v>25</v>
      </c>
      <c r="N98" s="1">
        <v>103</v>
      </c>
      <c r="O98" s="7">
        <v>302</v>
      </c>
      <c r="P98" s="7">
        <f>CT[[#This Row],[Purchase Rate/MT (USD)]]*CT[[#This Row],[PC Qty (MT)]]</f>
        <v>7550</v>
      </c>
      <c r="Q98" s="7">
        <f>CT[[#This Row],[Purchase Rate/MT (USD)]]*CT[[#This Row],[Container Qty]]</f>
        <v>0</v>
      </c>
      <c r="R98" s="7" t="str">
        <f>IF(CT[[#This Row],[BL Number]]&lt;&gt;0,(CT[[#This Row],[Supplier Prov. Price]]-CT[[#This Row],[Supplier Final Price]])*1.2,"")</f>
        <v/>
      </c>
      <c r="S98" s="101">
        <v>1.3451</v>
      </c>
      <c r="T98" s="3"/>
      <c r="U98" s="7"/>
      <c r="V98" s="7"/>
      <c r="W98" s="24"/>
      <c r="X98" s="7">
        <f>IFERROR(CT[[#This Row],[Freight Charges]]+CT[[#This Row],[Inspection Cost/MT]]+CT[[#This Row],[DHL Charges PMT]],"")</f>
        <v>0</v>
      </c>
      <c r="Y98" s="7">
        <f>IFERROR(AF98-(O98+CT[[#This Row],[Cost Per MT]]),"")</f>
        <v>33</v>
      </c>
      <c r="Z98" s="7">
        <f>IFERROR(CT[[#This Row],[Margin/MT]]*CT[[#This Row],[Container Qty]],"")</f>
        <v>0</v>
      </c>
      <c r="AA98" s="7"/>
      <c r="AB98" t="s">
        <v>11</v>
      </c>
      <c r="AC98" s="1" t="s">
        <v>158</v>
      </c>
      <c r="AD98" s="3">
        <v>45861</v>
      </c>
      <c r="AE98" s="14">
        <f t="shared" si="31"/>
        <v>25</v>
      </c>
      <c r="AF98" s="7">
        <v>335</v>
      </c>
      <c r="AG98" s="7">
        <f>CT[[#This Row],[Sales Rate/MT (USD)]]*CT[[#This Row],[SC Qty (MT)]]</f>
        <v>8375</v>
      </c>
      <c r="AH98" s="7" t="str">
        <f>IF(CT[[#This Row],[Container Qty]]&lt;&gt;0,CT[[#This Row],[Sales Rate/MT (USD)]]*CT[[#This Row],[Container Qty]],"")</f>
        <v/>
      </c>
      <c r="AI98" s="7" t="str">
        <f>IF(CT[[#This Row],[Customer Final Price]]&lt;&gt;"",CT[[#This Row],[Customer Final Price]]-CT[[#This Row],[Customer  Prov. Price]],"")</f>
        <v/>
      </c>
      <c r="AJ98" t="s">
        <v>8</v>
      </c>
      <c r="AK98" s="1" t="s">
        <v>159</v>
      </c>
      <c r="AL98" s="1"/>
      <c r="AM98" s="100" t="s">
        <v>134</v>
      </c>
    </row>
    <row r="99" spans="1:39" x14ac:dyDescent="0.25">
      <c r="A99" t="s">
        <v>9</v>
      </c>
      <c r="B99" s="102" t="s">
        <v>173</v>
      </c>
      <c r="C99" s="81">
        <v>45849</v>
      </c>
      <c r="D99" s="1" t="s">
        <v>67</v>
      </c>
      <c r="F99" s="11"/>
      <c r="G99" s="3"/>
      <c r="H99" s="3"/>
      <c r="I99" s="1"/>
      <c r="J99" s="1" t="s">
        <v>126</v>
      </c>
      <c r="K99" s="1" t="s">
        <v>14</v>
      </c>
      <c r="L99" s="1"/>
      <c r="M99" s="14">
        <f t="shared" si="22"/>
        <v>25</v>
      </c>
      <c r="N99" s="1">
        <v>103</v>
      </c>
      <c r="O99" s="7">
        <v>302</v>
      </c>
      <c r="P99" s="7">
        <f>CT[[#This Row],[Purchase Rate/MT (USD)]]*CT[[#This Row],[PC Qty (MT)]]</f>
        <v>7550</v>
      </c>
      <c r="Q99" s="7">
        <f>CT[[#This Row],[Purchase Rate/MT (USD)]]*CT[[#This Row],[Container Qty]]</f>
        <v>0</v>
      </c>
      <c r="R99" s="7" t="str">
        <f>IF(CT[[#This Row],[BL Number]]&lt;&gt;0,(CT[[#This Row],[Supplier Prov. Price]]-CT[[#This Row],[Supplier Final Price]])*1.2,"")</f>
        <v/>
      </c>
      <c r="S99" s="101">
        <v>1.3451</v>
      </c>
      <c r="T99" s="3"/>
      <c r="U99" s="7"/>
      <c r="V99" s="7"/>
      <c r="W99" s="24"/>
      <c r="X99" s="7">
        <f>IFERROR(CT[[#This Row],[Freight Charges]]+CT[[#This Row],[Inspection Cost/MT]]+CT[[#This Row],[DHL Charges PMT]],"")</f>
        <v>0</v>
      </c>
      <c r="Y99" s="7">
        <f>IFERROR(AF99-(O99+CT[[#This Row],[Cost Per MT]]),"")</f>
        <v>33</v>
      </c>
      <c r="Z99" s="7">
        <f>IFERROR(CT[[#This Row],[Margin/MT]]*CT[[#This Row],[Container Qty]],"")</f>
        <v>0</v>
      </c>
      <c r="AA99" s="7"/>
      <c r="AB99" t="s">
        <v>11</v>
      </c>
      <c r="AC99" s="1" t="s">
        <v>158</v>
      </c>
      <c r="AD99" s="3">
        <v>45861</v>
      </c>
      <c r="AE99" s="14">
        <f t="shared" si="31"/>
        <v>25</v>
      </c>
      <c r="AF99" s="7">
        <v>335</v>
      </c>
      <c r="AG99" s="7">
        <f>CT[[#This Row],[Sales Rate/MT (USD)]]*CT[[#This Row],[SC Qty (MT)]]</f>
        <v>8375</v>
      </c>
      <c r="AH99" s="7" t="str">
        <f>IF(CT[[#This Row],[Container Qty]]&lt;&gt;0,CT[[#This Row],[Sales Rate/MT (USD)]]*CT[[#This Row],[Container Qty]],"")</f>
        <v/>
      </c>
      <c r="AI99" s="7" t="str">
        <f>IF(CT[[#This Row],[Customer Final Price]]&lt;&gt;"",CT[[#This Row],[Customer Final Price]]-CT[[#This Row],[Customer  Prov. Price]],"")</f>
        <v/>
      </c>
      <c r="AJ99" t="s">
        <v>8</v>
      </c>
      <c r="AK99" s="1" t="s">
        <v>159</v>
      </c>
      <c r="AL99" s="1"/>
      <c r="AM99" s="100" t="s">
        <v>134</v>
      </c>
    </row>
    <row r="100" spans="1:39" x14ac:dyDescent="0.25">
      <c r="A100" t="s">
        <v>9</v>
      </c>
      <c r="B100" s="102" t="s">
        <v>173</v>
      </c>
      <c r="C100" s="81">
        <v>45849</v>
      </c>
      <c r="D100" s="1" t="s">
        <v>67</v>
      </c>
      <c r="F100" s="11"/>
      <c r="G100" s="3"/>
      <c r="H100" s="3"/>
      <c r="I100" s="1"/>
      <c r="J100" s="1" t="s">
        <v>126</v>
      </c>
      <c r="K100" s="1" t="s">
        <v>14</v>
      </c>
      <c r="L100" s="1"/>
      <c r="M100" s="14">
        <f t="shared" si="22"/>
        <v>25</v>
      </c>
      <c r="N100" s="1">
        <v>103</v>
      </c>
      <c r="O100" s="7">
        <v>302</v>
      </c>
      <c r="P100" s="7">
        <f>CT[[#This Row],[Purchase Rate/MT (USD)]]*CT[[#This Row],[PC Qty (MT)]]</f>
        <v>7550</v>
      </c>
      <c r="Q100" s="7">
        <f>CT[[#This Row],[Purchase Rate/MT (USD)]]*CT[[#This Row],[Container Qty]]</f>
        <v>0</v>
      </c>
      <c r="R100" s="7" t="str">
        <f>IF(CT[[#This Row],[BL Number]]&lt;&gt;0,(CT[[#This Row],[Supplier Prov. Price]]-CT[[#This Row],[Supplier Final Price]])*1.2,"")</f>
        <v/>
      </c>
      <c r="S100" s="101">
        <v>1.3451</v>
      </c>
      <c r="T100" s="3"/>
      <c r="U100" s="7"/>
      <c r="V100" s="7"/>
      <c r="W100" s="24"/>
      <c r="X100" s="7">
        <f>IFERROR(CT[[#This Row],[Freight Charges]]+CT[[#This Row],[Inspection Cost/MT]]+CT[[#This Row],[DHL Charges PMT]],"")</f>
        <v>0</v>
      </c>
      <c r="Y100" s="7">
        <f>IFERROR(AF100-(O100+CT[[#This Row],[Cost Per MT]]),"")</f>
        <v>33</v>
      </c>
      <c r="Z100" s="7">
        <f>IFERROR(CT[[#This Row],[Margin/MT]]*CT[[#This Row],[Container Qty]],"")</f>
        <v>0</v>
      </c>
      <c r="AA100" s="7"/>
      <c r="AB100" t="s">
        <v>11</v>
      </c>
      <c r="AC100" s="1" t="s">
        <v>158</v>
      </c>
      <c r="AD100" s="3">
        <v>45861</v>
      </c>
      <c r="AE100" s="14">
        <f t="shared" si="31"/>
        <v>25</v>
      </c>
      <c r="AF100" s="7">
        <v>335</v>
      </c>
      <c r="AG100" s="7">
        <f>CT[[#This Row],[Sales Rate/MT (USD)]]*CT[[#This Row],[SC Qty (MT)]]</f>
        <v>8375</v>
      </c>
      <c r="AH100" s="7" t="str">
        <f>IF(CT[[#This Row],[Container Qty]]&lt;&gt;0,CT[[#This Row],[Sales Rate/MT (USD)]]*CT[[#This Row],[Container Qty]],"")</f>
        <v/>
      </c>
      <c r="AI100" s="7" t="str">
        <f>IF(CT[[#This Row],[Customer Final Price]]&lt;&gt;"",CT[[#This Row],[Customer Final Price]]-CT[[#This Row],[Customer  Prov. Price]],"")</f>
        <v/>
      </c>
      <c r="AJ100" t="s">
        <v>8</v>
      </c>
      <c r="AK100" s="1" t="s">
        <v>159</v>
      </c>
      <c r="AL100" s="1"/>
      <c r="AM100" s="100" t="s">
        <v>134</v>
      </c>
    </row>
    <row r="101" spans="1:39" x14ac:dyDescent="0.25">
      <c r="A101" t="s">
        <v>9</v>
      </c>
      <c r="B101" s="102" t="s">
        <v>173</v>
      </c>
      <c r="C101" s="81">
        <v>45849</v>
      </c>
      <c r="D101" s="1" t="s">
        <v>67</v>
      </c>
      <c r="F101" s="11"/>
      <c r="G101" s="3"/>
      <c r="H101" s="3"/>
      <c r="I101" s="1"/>
      <c r="J101" s="1" t="s">
        <v>126</v>
      </c>
      <c r="K101" s="1" t="s">
        <v>14</v>
      </c>
      <c r="L101" s="1"/>
      <c r="M101" s="14">
        <f t="shared" si="22"/>
        <v>25</v>
      </c>
      <c r="N101" s="1">
        <v>103</v>
      </c>
      <c r="O101" s="7">
        <v>302</v>
      </c>
      <c r="P101" s="7">
        <f>CT[[#This Row],[Purchase Rate/MT (USD)]]*CT[[#This Row],[PC Qty (MT)]]</f>
        <v>7550</v>
      </c>
      <c r="Q101" s="7">
        <f>CT[[#This Row],[Purchase Rate/MT (USD)]]*CT[[#This Row],[Container Qty]]</f>
        <v>0</v>
      </c>
      <c r="R101" s="7" t="str">
        <f>IF(CT[[#This Row],[BL Number]]&lt;&gt;0,(CT[[#This Row],[Supplier Prov. Price]]-CT[[#This Row],[Supplier Final Price]])*1.2,"")</f>
        <v/>
      </c>
      <c r="S101" s="101">
        <v>1.3451</v>
      </c>
      <c r="T101" s="3"/>
      <c r="U101" s="7"/>
      <c r="V101" s="7"/>
      <c r="W101" s="24"/>
      <c r="X101" s="7">
        <f>IFERROR(CT[[#This Row],[Freight Charges]]+CT[[#This Row],[Inspection Cost/MT]]+CT[[#This Row],[DHL Charges PMT]],"")</f>
        <v>0</v>
      </c>
      <c r="Y101" s="7">
        <f>IFERROR(AF101-(O101+CT[[#This Row],[Cost Per MT]]),"")</f>
        <v>33</v>
      </c>
      <c r="Z101" s="7">
        <f>IFERROR(CT[[#This Row],[Margin/MT]]*CT[[#This Row],[Container Qty]],"")</f>
        <v>0</v>
      </c>
      <c r="AA101" s="7"/>
      <c r="AB101" t="s">
        <v>11</v>
      </c>
      <c r="AC101" s="1" t="s">
        <v>158</v>
      </c>
      <c r="AD101" s="3">
        <v>45861</v>
      </c>
      <c r="AE101" s="14">
        <f t="shared" si="31"/>
        <v>25</v>
      </c>
      <c r="AF101" s="7">
        <v>335</v>
      </c>
      <c r="AG101" s="7">
        <f>CT[[#This Row],[Sales Rate/MT (USD)]]*CT[[#This Row],[SC Qty (MT)]]</f>
        <v>8375</v>
      </c>
      <c r="AH101" s="7" t="str">
        <f>IF(CT[[#This Row],[Container Qty]]&lt;&gt;0,CT[[#This Row],[Sales Rate/MT (USD)]]*CT[[#This Row],[Container Qty]],"")</f>
        <v/>
      </c>
      <c r="AI101" s="7" t="str">
        <f>IF(CT[[#This Row],[Customer Final Price]]&lt;&gt;"",CT[[#This Row],[Customer Final Price]]-CT[[#This Row],[Customer  Prov. Price]],"")</f>
        <v/>
      </c>
      <c r="AJ101" t="s">
        <v>8</v>
      </c>
      <c r="AK101" s="1" t="s">
        <v>159</v>
      </c>
      <c r="AL101" s="1"/>
      <c r="AM101" s="100" t="s">
        <v>134</v>
      </c>
    </row>
    <row r="102" spans="1:39" x14ac:dyDescent="0.25">
      <c r="A102" t="s">
        <v>9</v>
      </c>
      <c r="B102" s="102" t="s">
        <v>173</v>
      </c>
      <c r="C102" s="81">
        <v>45849</v>
      </c>
      <c r="D102" s="1" t="s">
        <v>67</v>
      </c>
      <c r="F102" s="11"/>
      <c r="G102" s="3"/>
      <c r="H102" s="3"/>
      <c r="I102" s="1"/>
      <c r="J102" s="1" t="s">
        <v>126</v>
      </c>
      <c r="K102" s="1" t="s">
        <v>14</v>
      </c>
      <c r="L102" s="1"/>
      <c r="M102" s="14">
        <f t="shared" si="22"/>
        <v>25</v>
      </c>
      <c r="N102" s="1">
        <v>103</v>
      </c>
      <c r="O102" s="7">
        <v>302</v>
      </c>
      <c r="P102" s="7">
        <f>CT[[#This Row],[Purchase Rate/MT (USD)]]*CT[[#This Row],[PC Qty (MT)]]</f>
        <v>7550</v>
      </c>
      <c r="Q102" s="7">
        <f>CT[[#This Row],[Purchase Rate/MT (USD)]]*CT[[#This Row],[Container Qty]]</f>
        <v>0</v>
      </c>
      <c r="R102" s="7" t="str">
        <f>IF(CT[[#This Row],[BL Number]]&lt;&gt;0,(CT[[#This Row],[Supplier Prov. Price]]-CT[[#This Row],[Supplier Final Price]])*1.2,"")</f>
        <v/>
      </c>
      <c r="S102" s="101">
        <v>1.3451</v>
      </c>
      <c r="T102" s="3"/>
      <c r="U102" s="7"/>
      <c r="V102" s="7"/>
      <c r="W102" s="24"/>
      <c r="X102" s="7">
        <f>IFERROR(CT[[#This Row],[Freight Charges]]+CT[[#This Row],[Inspection Cost/MT]]+CT[[#This Row],[DHL Charges PMT]],"")</f>
        <v>0</v>
      </c>
      <c r="Y102" s="7">
        <f>IFERROR(AF102-(O102+CT[[#This Row],[Cost Per MT]]),"")</f>
        <v>33</v>
      </c>
      <c r="Z102" s="7">
        <f>IFERROR(CT[[#This Row],[Margin/MT]]*CT[[#This Row],[Container Qty]],"")</f>
        <v>0</v>
      </c>
      <c r="AA102" s="7"/>
      <c r="AB102" t="s">
        <v>11</v>
      </c>
      <c r="AC102" s="1" t="s">
        <v>158</v>
      </c>
      <c r="AD102" s="3">
        <v>45861</v>
      </c>
      <c r="AE102" s="14">
        <f t="shared" si="31"/>
        <v>25</v>
      </c>
      <c r="AF102" s="7">
        <v>335</v>
      </c>
      <c r="AG102" s="7">
        <f>CT[[#This Row],[Sales Rate/MT (USD)]]*CT[[#This Row],[SC Qty (MT)]]</f>
        <v>8375</v>
      </c>
      <c r="AH102" s="7" t="str">
        <f>IF(CT[[#This Row],[Container Qty]]&lt;&gt;0,CT[[#This Row],[Sales Rate/MT (USD)]]*CT[[#This Row],[Container Qty]],"")</f>
        <v/>
      </c>
      <c r="AI102" s="7" t="str">
        <f>IF(CT[[#This Row],[Customer Final Price]]&lt;&gt;"",CT[[#This Row],[Customer Final Price]]-CT[[#This Row],[Customer  Prov. Price]],"")</f>
        <v/>
      </c>
      <c r="AJ102" t="s">
        <v>8</v>
      </c>
      <c r="AK102" s="1" t="s">
        <v>159</v>
      </c>
      <c r="AL102" s="1"/>
      <c r="AM102" s="100" t="s">
        <v>134</v>
      </c>
    </row>
    <row r="103" spans="1:39" x14ac:dyDescent="0.25">
      <c r="A103" t="s">
        <v>9</v>
      </c>
      <c r="B103" s="102" t="s">
        <v>173</v>
      </c>
      <c r="C103" s="81">
        <v>45849</v>
      </c>
      <c r="D103" s="1" t="s">
        <v>67</v>
      </c>
      <c r="F103" s="11"/>
      <c r="G103" s="3"/>
      <c r="H103" s="3"/>
      <c r="I103" s="1"/>
      <c r="J103" s="1" t="s">
        <v>126</v>
      </c>
      <c r="K103" s="1" t="s">
        <v>14</v>
      </c>
      <c r="L103" s="1"/>
      <c r="M103" s="14">
        <f t="shared" si="22"/>
        <v>25</v>
      </c>
      <c r="N103" s="1">
        <v>103</v>
      </c>
      <c r="O103" s="7">
        <v>302</v>
      </c>
      <c r="P103" s="7">
        <f>CT[[#This Row],[Purchase Rate/MT (USD)]]*CT[[#This Row],[PC Qty (MT)]]</f>
        <v>7550</v>
      </c>
      <c r="Q103" s="7">
        <f>CT[[#This Row],[Purchase Rate/MT (USD)]]*CT[[#This Row],[Container Qty]]</f>
        <v>0</v>
      </c>
      <c r="R103" s="7" t="str">
        <f>IF(CT[[#This Row],[BL Number]]&lt;&gt;0,(CT[[#This Row],[Supplier Prov. Price]]-CT[[#This Row],[Supplier Final Price]])*1.2,"")</f>
        <v/>
      </c>
      <c r="S103" s="101">
        <v>1.3451</v>
      </c>
      <c r="T103" s="3"/>
      <c r="U103" s="7"/>
      <c r="V103" s="7"/>
      <c r="W103" s="24"/>
      <c r="X103" s="7">
        <f>IFERROR(CT[[#This Row],[Freight Charges]]+CT[[#This Row],[Inspection Cost/MT]]+CT[[#This Row],[DHL Charges PMT]],"")</f>
        <v>0</v>
      </c>
      <c r="Y103" s="7">
        <f>IFERROR(AF103-(O103+CT[[#This Row],[Cost Per MT]]),"")</f>
        <v>33</v>
      </c>
      <c r="Z103" s="7">
        <f>IFERROR(CT[[#This Row],[Margin/MT]]*CT[[#This Row],[Container Qty]],"")</f>
        <v>0</v>
      </c>
      <c r="AA103" s="7"/>
      <c r="AB103" t="s">
        <v>11</v>
      </c>
      <c r="AC103" s="1" t="s">
        <v>158</v>
      </c>
      <c r="AD103" s="3">
        <v>45861</v>
      </c>
      <c r="AE103" s="14">
        <f t="shared" si="31"/>
        <v>25</v>
      </c>
      <c r="AF103" s="7">
        <v>335</v>
      </c>
      <c r="AG103" s="7">
        <f>CT[[#This Row],[Sales Rate/MT (USD)]]*CT[[#This Row],[SC Qty (MT)]]</f>
        <v>8375</v>
      </c>
      <c r="AH103" s="7" t="str">
        <f>IF(CT[[#This Row],[Container Qty]]&lt;&gt;0,CT[[#This Row],[Sales Rate/MT (USD)]]*CT[[#This Row],[Container Qty]],"")</f>
        <v/>
      </c>
      <c r="AI103" s="7" t="str">
        <f>IF(CT[[#This Row],[Customer Final Price]]&lt;&gt;"",CT[[#This Row],[Customer Final Price]]-CT[[#This Row],[Customer  Prov. Price]],"")</f>
        <v/>
      </c>
      <c r="AJ103" t="s">
        <v>8</v>
      </c>
      <c r="AK103" s="1" t="s">
        <v>159</v>
      </c>
      <c r="AL103" s="1"/>
      <c r="AM103" s="100" t="s">
        <v>134</v>
      </c>
    </row>
    <row r="104" spans="1:39" x14ac:dyDescent="0.25">
      <c r="A104" t="s">
        <v>9</v>
      </c>
      <c r="B104" s="102" t="s">
        <v>173</v>
      </c>
      <c r="C104" s="81">
        <v>45849</v>
      </c>
      <c r="D104" s="1" t="s">
        <v>67</v>
      </c>
      <c r="F104" s="11"/>
      <c r="G104" s="3"/>
      <c r="H104" s="3"/>
      <c r="I104" s="1"/>
      <c r="J104" s="1" t="s">
        <v>126</v>
      </c>
      <c r="K104" s="1" t="s">
        <v>14</v>
      </c>
      <c r="L104" s="1"/>
      <c r="M104" s="14">
        <f t="shared" si="22"/>
        <v>25</v>
      </c>
      <c r="N104" s="1">
        <v>103</v>
      </c>
      <c r="O104" s="7">
        <v>302</v>
      </c>
      <c r="P104" s="7">
        <f>CT[[#This Row],[Purchase Rate/MT (USD)]]*CT[[#This Row],[PC Qty (MT)]]</f>
        <v>7550</v>
      </c>
      <c r="Q104" s="7">
        <f>CT[[#This Row],[Purchase Rate/MT (USD)]]*CT[[#This Row],[Container Qty]]</f>
        <v>0</v>
      </c>
      <c r="R104" s="7" t="str">
        <f>IF(CT[[#This Row],[BL Number]]&lt;&gt;0,(CT[[#This Row],[Supplier Prov. Price]]-CT[[#This Row],[Supplier Final Price]])*1.2,"")</f>
        <v/>
      </c>
      <c r="S104" s="101">
        <v>1.3451</v>
      </c>
      <c r="T104" s="3"/>
      <c r="U104" s="7"/>
      <c r="V104" s="7"/>
      <c r="W104" s="24"/>
      <c r="X104" s="7">
        <f>IFERROR(CT[[#This Row],[Freight Charges]]+CT[[#This Row],[Inspection Cost/MT]]+CT[[#This Row],[DHL Charges PMT]],"")</f>
        <v>0</v>
      </c>
      <c r="Y104" s="7">
        <f>IFERROR(AF104-(O104+CT[[#This Row],[Cost Per MT]]),"")</f>
        <v>33</v>
      </c>
      <c r="Z104" s="7">
        <f>IFERROR(CT[[#This Row],[Margin/MT]]*CT[[#This Row],[Container Qty]],"")</f>
        <v>0</v>
      </c>
      <c r="AA104" s="7"/>
      <c r="AB104" t="s">
        <v>11</v>
      </c>
      <c r="AC104" s="1" t="s">
        <v>158</v>
      </c>
      <c r="AD104" s="3">
        <v>45861</v>
      </c>
      <c r="AE104" s="14">
        <f t="shared" si="31"/>
        <v>25</v>
      </c>
      <c r="AF104" s="7">
        <v>335</v>
      </c>
      <c r="AG104" s="7">
        <f>CT[[#This Row],[Sales Rate/MT (USD)]]*CT[[#This Row],[SC Qty (MT)]]</f>
        <v>8375</v>
      </c>
      <c r="AH104" s="7" t="str">
        <f>IF(CT[[#This Row],[Container Qty]]&lt;&gt;0,CT[[#This Row],[Sales Rate/MT (USD)]]*CT[[#This Row],[Container Qty]],"")</f>
        <v/>
      </c>
      <c r="AI104" s="7" t="str">
        <f>IF(CT[[#This Row],[Customer Final Price]]&lt;&gt;"",CT[[#This Row],[Customer Final Price]]-CT[[#This Row],[Customer  Prov. Price]],"")</f>
        <v/>
      </c>
      <c r="AJ104" t="s">
        <v>8</v>
      </c>
      <c r="AK104" s="1" t="s">
        <v>159</v>
      </c>
      <c r="AL104" s="1"/>
      <c r="AM104" s="100" t="s">
        <v>134</v>
      </c>
    </row>
    <row r="105" spans="1:39" x14ac:dyDescent="0.25">
      <c r="A105" t="s">
        <v>9</v>
      </c>
      <c r="B105" s="102" t="s">
        <v>173</v>
      </c>
      <c r="C105" s="81">
        <v>45849</v>
      </c>
      <c r="D105" s="1" t="s">
        <v>67</v>
      </c>
      <c r="F105" s="11"/>
      <c r="G105" s="3"/>
      <c r="H105" s="3"/>
      <c r="I105" s="1"/>
      <c r="J105" s="1" t="s">
        <v>126</v>
      </c>
      <c r="K105" s="1" t="s">
        <v>14</v>
      </c>
      <c r="L105" s="1"/>
      <c r="M105" s="14">
        <f t="shared" si="22"/>
        <v>25</v>
      </c>
      <c r="N105" s="1">
        <v>103</v>
      </c>
      <c r="O105" s="7">
        <v>302</v>
      </c>
      <c r="P105" s="7">
        <f>CT[[#This Row],[Purchase Rate/MT (USD)]]*CT[[#This Row],[PC Qty (MT)]]</f>
        <v>7550</v>
      </c>
      <c r="Q105" s="7">
        <f>CT[[#This Row],[Purchase Rate/MT (USD)]]*CT[[#This Row],[Container Qty]]</f>
        <v>0</v>
      </c>
      <c r="R105" s="7" t="str">
        <f>IF(CT[[#This Row],[BL Number]]&lt;&gt;0,(CT[[#This Row],[Supplier Prov. Price]]-CT[[#This Row],[Supplier Final Price]])*1.2,"")</f>
        <v/>
      </c>
      <c r="S105" s="101">
        <v>1.3451</v>
      </c>
      <c r="T105" s="3"/>
      <c r="U105" s="7"/>
      <c r="V105" s="7"/>
      <c r="W105" s="24"/>
      <c r="X105" s="7">
        <f>IFERROR(CT[[#This Row],[Freight Charges]]+CT[[#This Row],[Inspection Cost/MT]]+CT[[#This Row],[DHL Charges PMT]],"")</f>
        <v>0</v>
      </c>
      <c r="Y105" s="7">
        <f>IFERROR(AF105-(O105+CT[[#This Row],[Cost Per MT]]),"")</f>
        <v>33</v>
      </c>
      <c r="Z105" s="7">
        <f>IFERROR(CT[[#This Row],[Margin/MT]]*CT[[#This Row],[Container Qty]],"")</f>
        <v>0</v>
      </c>
      <c r="AA105" s="7"/>
      <c r="AB105" t="s">
        <v>11</v>
      </c>
      <c r="AC105" s="1" t="s">
        <v>158</v>
      </c>
      <c r="AD105" s="3">
        <v>45861</v>
      </c>
      <c r="AE105" s="14">
        <f t="shared" si="31"/>
        <v>25</v>
      </c>
      <c r="AF105" s="7">
        <v>335</v>
      </c>
      <c r="AG105" s="7">
        <f>CT[[#This Row],[Sales Rate/MT (USD)]]*CT[[#This Row],[SC Qty (MT)]]</f>
        <v>8375</v>
      </c>
      <c r="AH105" s="7" t="str">
        <f>IF(CT[[#This Row],[Container Qty]]&lt;&gt;0,CT[[#This Row],[Sales Rate/MT (USD)]]*CT[[#This Row],[Container Qty]],"")</f>
        <v/>
      </c>
      <c r="AI105" s="7" t="str">
        <f>IF(CT[[#This Row],[Customer Final Price]]&lt;&gt;"",CT[[#This Row],[Customer Final Price]]-CT[[#This Row],[Customer  Prov. Price]],"")</f>
        <v/>
      </c>
      <c r="AJ105" t="s">
        <v>8</v>
      </c>
      <c r="AK105" s="1" t="s">
        <v>159</v>
      </c>
      <c r="AL105" s="1"/>
      <c r="AM105" s="100" t="s">
        <v>134</v>
      </c>
    </row>
    <row r="106" spans="1:39" x14ac:dyDescent="0.25">
      <c r="A106" t="s">
        <v>9</v>
      </c>
      <c r="B106" s="102" t="s">
        <v>173</v>
      </c>
      <c r="C106" s="81">
        <v>45849</v>
      </c>
      <c r="D106" s="1" t="s">
        <v>67</v>
      </c>
      <c r="F106" s="11"/>
      <c r="G106" s="3"/>
      <c r="H106" s="3"/>
      <c r="I106" s="1"/>
      <c r="J106" s="1" t="s">
        <v>126</v>
      </c>
      <c r="K106" s="1" t="s">
        <v>14</v>
      </c>
      <c r="L106" s="1"/>
      <c r="M106" s="14">
        <f t="shared" si="22"/>
        <v>25</v>
      </c>
      <c r="N106" s="1">
        <v>103</v>
      </c>
      <c r="O106" s="7">
        <v>302</v>
      </c>
      <c r="P106" s="7">
        <f>CT[[#This Row],[Purchase Rate/MT (USD)]]*CT[[#This Row],[PC Qty (MT)]]</f>
        <v>7550</v>
      </c>
      <c r="Q106" s="7">
        <f>CT[[#This Row],[Purchase Rate/MT (USD)]]*CT[[#This Row],[Container Qty]]</f>
        <v>0</v>
      </c>
      <c r="R106" s="7" t="str">
        <f>IF(CT[[#This Row],[BL Number]]&lt;&gt;0,(CT[[#This Row],[Supplier Prov. Price]]-CT[[#This Row],[Supplier Final Price]])*1.2,"")</f>
        <v/>
      </c>
      <c r="S106" s="101">
        <v>1.3451</v>
      </c>
      <c r="T106" s="3"/>
      <c r="U106" s="7"/>
      <c r="V106" s="7"/>
      <c r="W106" s="24"/>
      <c r="X106" s="7">
        <f>IFERROR(CT[[#This Row],[Freight Charges]]+CT[[#This Row],[Inspection Cost/MT]]+CT[[#This Row],[DHL Charges PMT]],"")</f>
        <v>0</v>
      </c>
      <c r="Y106" s="7">
        <f>IFERROR(AF106-(O106+CT[[#This Row],[Cost Per MT]]),"")</f>
        <v>33</v>
      </c>
      <c r="Z106" s="7">
        <f>IFERROR(CT[[#This Row],[Margin/MT]]*CT[[#This Row],[Container Qty]],"")</f>
        <v>0</v>
      </c>
      <c r="AA106" s="7"/>
      <c r="AB106" t="s">
        <v>11</v>
      </c>
      <c r="AC106" s="1" t="s">
        <v>158</v>
      </c>
      <c r="AD106" s="3">
        <v>45861</v>
      </c>
      <c r="AE106" s="14">
        <f t="shared" si="31"/>
        <v>25</v>
      </c>
      <c r="AF106" s="7">
        <v>335</v>
      </c>
      <c r="AG106" s="7">
        <f>CT[[#This Row],[Sales Rate/MT (USD)]]*CT[[#This Row],[SC Qty (MT)]]</f>
        <v>8375</v>
      </c>
      <c r="AH106" s="7" t="str">
        <f>IF(CT[[#This Row],[Container Qty]]&lt;&gt;0,CT[[#This Row],[Sales Rate/MT (USD)]]*CT[[#This Row],[Container Qty]],"")</f>
        <v/>
      </c>
      <c r="AI106" s="7" t="str">
        <f>IF(CT[[#This Row],[Customer Final Price]]&lt;&gt;"",CT[[#This Row],[Customer Final Price]]-CT[[#This Row],[Customer  Prov. Price]],"")</f>
        <v/>
      </c>
      <c r="AJ106" t="s">
        <v>8</v>
      </c>
      <c r="AK106" s="1" t="s">
        <v>159</v>
      </c>
      <c r="AL106" s="1"/>
      <c r="AM106" s="100" t="s">
        <v>134</v>
      </c>
    </row>
    <row r="107" spans="1:39" x14ac:dyDescent="0.25">
      <c r="A107" t="s">
        <v>9</v>
      </c>
      <c r="B107" s="102" t="s">
        <v>173</v>
      </c>
      <c r="C107" s="81">
        <v>45849</v>
      </c>
      <c r="D107" s="1" t="s">
        <v>67</v>
      </c>
      <c r="F107" s="11"/>
      <c r="G107" s="3"/>
      <c r="H107" s="3"/>
      <c r="I107" s="1"/>
      <c r="J107" s="1" t="s">
        <v>126</v>
      </c>
      <c r="K107" s="1" t="s">
        <v>14</v>
      </c>
      <c r="L107" s="1"/>
      <c r="M107" s="14">
        <f t="shared" si="22"/>
        <v>25</v>
      </c>
      <c r="N107" s="1">
        <v>103</v>
      </c>
      <c r="O107" s="7">
        <v>302</v>
      </c>
      <c r="P107" s="7">
        <f>CT[[#This Row],[Purchase Rate/MT (USD)]]*CT[[#This Row],[PC Qty (MT)]]</f>
        <v>7550</v>
      </c>
      <c r="Q107" s="7">
        <f>CT[[#This Row],[Purchase Rate/MT (USD)]]*CT[[#This Row],[Container Qty]]</f>
        <v>0</v>
      </c>
      <c r="R107" s="7" t="str">
        <f>IF(CT[[#This Row],[BL Number]]&lt;&gt;0,(CT[[#This Row],[Supplier Prov. Price]]-CT[[#This Row],[Supplier Final Price]])*1.2,"")</f>
        <v/>
      </c>
      <c r="S107" s="101">
        <v>1.3451</v>
      </c>
      <c r="T107" s="3"/>
      <c r="U107" s="7"/>
      <c r="V107" s="7"/>
      <c r="W107" s="24"/>
      <c r="X107" s="7">
        <f>IFERROR(CT[[#This Row],[Freight Charges]]+CT[[#This Row],[Inspection Cost/MT]]+CT[[#This Row],[DHL Charges PMT]],"")</f>
        <v>0</v>
      </c>
      <c r="Y107" s="7">
        <f>IFERROR(AF107-(O107+CT[[#This Row],[Cost Per MT]]),"")</f>
        <v>33</v>
      </c>
      <c r="Z107" s="7">
        <f>IFERROR(CT[[#This Row],[Margin/MT]]*CT[[#This Row],[Container Qty]],"")</f>
        <v>0</v>
      </c>
      <c r="AA107" s="7"/>
      <c r="AB107" t="s">
        <v>11</v>
      </c>
      <c r="AC107" s="1" t="s">
        <v>158</v>
      </c>
      <c r="AD107" s="3">
        <v>45861</v>
      </c>
      <c r="AE107" s="14">
        <f t="shared" si="31"/>
        <v>25</v>
      </c>
      <c r="AF107" s="7">
        <v>335</v>
      </c>
      <c r="AG107" s="7">
        <f>CT[[#This Row],[Sales Rate/MT (USD)]]*CT[[#This Row],[SC Qty (MT)]]</f>
        <v>8375</v>
      </c>
      <c r="AH107" s="7" t="str">
        <f>IF(CT[[#This Row],[Container Qty]]&lt;&gt;0,CT[[#This Row],[Sales Rate/MT (USD)]]*CT[[#This Row],[Container Qty]],"")</f>
        <v/>
      </c>
      <c r="AI107" s="7" t="str">
        <f>IF(CT[[#This Row],[Customer Final Price]]&lt;&gt;"",CT[[#This Row],[Customer Final Price]]-CT[[#This Row],[Customer  Prov. Price]],"")</f>
        <v/>
      </c>
      <c r="AJ107" t="s">
        <v>8</v>
      </c>
      <c r="AK107" s="1" t="s">
        <v>159</v>
      </c>
      <c r="AL107" s="1"/>
      <c r="AM107" s="100" t="s">
        <v>134</v>
      </c>
    </row>
    <row r="108" spans="1:39" x14ac:dyDescent="0.25">
      <c r="A108" t="s">
        <v>9</v>
      </c>
      <c r="B108" s="102" t="s">
        <v>173</v>
      </c>
      <c r="C108" s="81">
        <v>45849</v>
      </c>
      <c r="D108" s="1" t="s">
        <v>67</v>
      </c>
      <c r="F108" s="11"/>
      <c r="G108" s="3"/>
      <c r="H108" s="3"/>
      <c r="I108" s="1"/>
      <c r="J108" s="1" t="s">
        <v>126</v>
      </c>
      <c r="K108" s="1" t="s">
        <v>14</v>
      </c>
      <c r="L108" s="1"/>
      <c r="M108" s="14">
        <f t="shared" si="22"/>
        <v>25</v>
      </c>
      <c r="N108" s="1">
        <v>103</v>
      </c>
      <c r="O108" s="7">
        <v>302</v>
      </c>
      <c r="P108" s="7">
        <f>CT[[#This Row],[Purchase Rate/MT (USD)]]*CT[[#This Row],[PC Qty (MT)]]</f>
        <v>7550</v>
      </c>
      <c r="Q108" s="7">
        <f>CT[[#This Row],[Purchase Rate/MT (USD)]]*CT[[#This Row],[Container Qty]]</f>
        <v>0</v>
      </c>
      <c r="R108" s="7" t="str">
        <f>IF(CT[[#This Row],[BL Number]]&lt;&gt;0,(CT[[#This Row],[Supplier Prov. Price]]-CT[[#This Row],[Supplier Final Price]])*1.2,"")</f>
        <v/>
      </c>
      <c r="S108" s="101">
        <v>1.3451</v>
      </c>
      <c r="T108" s="3"/>
      <c r="U108" s="7"/>
      <c r="V108" s="7"/>
      <c r="W108" s="24"/>
      <c r="X108" s="7">
        <f>IFERROR(CT[[#This Row],[Freight Charges]]+CT[[#This Row],[Inspection Cost/MT]]+CT[[#This Row],[DHL Charges PMT]],"")</f>
        <v>0</v>
      </c>
      <c r="Y108" s="7">
        <f>IFERROR(AF108-(O108+CT[[#This Row],[Cost Per MT]]),"")</f>
        <v>33</v>
      </c>
      <c r="Z108" s="7">
        <f>IFERROR(CT[[#This Row],[Margin/MT]]*CT[[#This Row],[Container Qty]],"")</f>
        <v>0</v>
      </c>
      <c r="AA108" s="7"/>
      <c r="AB108" t="s">
        <v>11</v>
      </c>
      <c r="AC108" s="1" t="s">
        <v>158</v>
      </c>
      <c r="AD108" s="3">
        <v>45861</v>
      </c>
      <c r="AE108" s="14">
        <f t="shared" si="31"/>
        <v>25</v>
      </c>
      <c r="AF108" s="7">
        <v>335</v>
      </c>
      <c r="AG108" s="7">
        <f>CT[[#This Row],[Sales Rate/MT (USD)]]*CT[[#This Row],[SC Qty (MT)]]</f>
        <v>8375</v>
      </c>
      <c r="AH108" s="7" t="str">
        <f>IF(CT[[#This Row],[Container Qty]]&lt;&gt;0,CT[[#This Row],[Sales Rate/MT (USD)]]*CT[[#This Row],[Container Qty]],"")</f>
        <v/>
      </c>
      <c r="AI108" s="7" t="str">
        <f>IF(CT[[#This Row],[Customer Final Price]]&lt;&gt;"",CT[[#This Row],[Customer Final Price]]-CT[[#This Row],[Customer  Prov. Price]],"")</f>
        <v/>
      </c>
      <c r="AJ108" t="s">
        <v>8</v>
      </c>
      <c r="AK108" s="1" t="s">
        <v>159</v>
      </c>
      <c r="AL108" s="1"/>
      <c r="AM108" s="100" t="s">
        <v>134</v>
      </c>
    </row>
    <row r="109" spans="1:39" x14ac:dyDescent="0.25">
      <c r="A109" t="s">
        <v>9</v>
      </c>
      <c r="B109" s="102" t="s">
        <v>173</v>
      </c>
      <c r="C109" s="81">
        <v>45849</v>
      </c>
      <c r="D109" s="1" t="s">
        <v>67</v>
      </c>
      <c r="F109" s="11"/>
      <c r="G109" s="3"/>
      <c r="H109" s="3"/>
      <c r="I109" s="1"/>
      <c r="J109" s="1" t="s">
        <v>126</v>
      </c>
      <c r="K109" s="1" t="s">
        <v>14</v>
      </c>
      <c r="L109" s="1"/>
      <c r="M109" s="14">
        <f t="shared" si="22"/>
        <v>25</v>
      </c>
      <c r="N109" s="1">
        <v>103</v>
      </c>
      <c r="O109" s="7">
        <v>302</v>
      </c>
      <c r="P109" s="7">
        <f>CT[[#This Row],[Purchase Rate/MT (USD)]]*CT[[#This Row],[PC Qty (MT)]]</f>
        <v>7550</v>
      </c>
      <c r="Q109" s="7">
        <f>CT[[#This Row],[Purchase Rate/MT (USD)]]*CT[[#This Row],[Container Qty]]</f>
        <v>0</v>
      </c>
      <c r="R109" s="7" t="str">
        <f>IF(CT[[#This Row],[BL Number]]&lt;&gt;0,(CT[[#This Row],[Supplier Prov. Price]]-CT[[#This Row],[Supplier Final Price]])*1.2,"")</f>
        <v/>
      </c>
      <c r="S109" s="101">
        <v>1.3451</v>
      </c>
      <c r="T109" s="3"/>
      <c r="U109" s="7"/>
      <c r="V109" s="7"/>
      <c r="W109" s="24"/>
      <c r="X109" s="7">
        <f>IFERROR(CT[[#This Row],[Freight Charges]]+CT[[#This Row],[Inspection Cost/MT]]+CT[[#This Row],[DHL Charges PMT]],"")</f>
        <v>0</v>
      </c>
      <c r="Y109" s="7">
        <f>IFERROR(AF109-(O109+CT[[#This Row],[Cost Per MT]]),"")</f>
        <v>33</v>
      </c>
      <c r="Z109" s="7">
        <f>IFERROR(CT[[#This Row],[Margin/MT]]*CT[[#This Row],[Container Qty]],"")</f>
        <v>0</v>
      </c>
      <c r="AA109" s="7"/>
      <c r="AB109" t="s">
        <v>11</v>
      </c>
      <c r="AC109" s="1" t="s">
        <v>158</v>
      </c>
      <c r="AD109" s="3">
        <v>45861</v>
      </c>
      <c r="AE109" s="14">
        <f t="shared" si="31"/>
        <v>25</v>
      </c>
      <c r="AF109" s="7">
        <v>335</v>
      </c>
      <c r="AG109" s="7">
        <f>CT[[#This Row],[Sales Rate/MT (USD)]]*CT[[#This Row],[SC Qty (MT)]]</f>
        <v>8375</v>
      </c>
      <c r="AH109" s="7" t="str">
        <f>IF(CT[[#This Row],[Container Qty]]&lt;&gt;0,CT[[#This Row],[Sales Rate/MT (USD)]]*CT[[#This Row],[Container Qty]],"")</f>
        <v/>
      </c>
      <c r="AI109" s="7" t="str">
        <f>IF(CT[[#This Row],[Customer Final Price]]&lt;&gt;"",CT[[#This Row],[Customer Final Price]]-CT[[#This Row],[Customer  Prov. Price]],"")</f>
        <v/>
      </c>
      <c r="AJ109" t="s">
        <v>8</v>
      </c>
      <c r="AK109" s="1" t="s">
        <v>159</v>
      </c>
      <c r="AL109" s="1"/>
      <c r="AM109" s="100" t="s">
        <v>134</v>
      </c>
    </row>
    <row r="110" spans="1:39" x14ac:dyDescent="0.25">
      <c r="A110" t="s">
        <v>9</v>
      </c>
      <c r="B110" s="102" t="s">
        <v>173</v>
      </c>
      <c r="C110" s="81">
        <v>45849</v>
      </c>
      <c r="D110" s="1" t="s">
        <v>67</v>
      </c>
      <c r="F110" s="11"/>
      <c r="G110" s="3"/>
      <c r="H110" s="3"/>
      <c r="I110" s="1"/>
      <c r="J110" s="1" t="s">
        <v>126</v>
      </c>
      <c r="K110" s="1" t="s">
        <v>14</v>
      </c>
      <c r="L110" s="1"/>
      <c r="M110" s="14">
        <f t="shared" si="22"/>
        <v>25</v>
      </c>
      <c r="N110" s="1">
        <v>103</v>
      </c>
      <c r="O110" s="7">
        <v>302</v>
      </c>
      <c r="P110" s="7">
        <f>CT[[#This Row],[Purchase Rate/MT (USD)]]*CT[[#This Row],[PC Qty (MT)]]</f>
        <v>7550</v>
      </c>
      <c r="Q110" s="7">
        <f>CT[[#This Row],[Purchase Rate/MT (USD)]]*CT[[#This Row],[Container Qty]]</f>
        <v>0</v>
      </c>
      <c r="R110" s="7" t="str">
        <f>IF(CT[[#This Row],[BL Number]]&lt;&gt;0,(CT[[#This Row],[Supplier Prov. Price]]-CT[[#This Row],[Supplier Final Price]])*1.2,"")</f>
        <v/>
      </c>
      <c r="S110" s="101">
        <v>1.3451</v>
      </c>
      <c r="T110" s="3"/>
      <c r="U110" s="7"/>
      <c r="V110" s="7"/>
      <c r="W110" s="24"/>
      <c r="X110" s="7">
        <f>IFERROR(CT[[#This Row],[Freight Charges]]+CT[[#This Row],[Inspection Cost/MT]]+CT[[#This Row],[DHL Charges PMT]],"")</f>
        <v>0</v>
      </c>
      <c r="Y110" s="7">
        <f>IFERROR(AF110-(O110+CT[[#This Row],[Cost Per MT]]),"")</f>
        <v>33</v>
      </c>
      <c r="Z110" s="7">
        <f>IFERROR(CT[[#This Row],[Margin/MT]]*CT[[#This Row],[Container Qty]],"")</f>
        <v>0</v>
      </c>
      <c r="AA110" s="7"/>
      <c r="AB110" t="s">
        <v>11</v>
      </c>
      <c r="AC110" s="1" t="s">
        <v>158</v>
      </c>
      <c r="AD110" s="3">
        <v>45861</v>
      </c>
      <c r="AE110" s="14">
        <f t="shared" si="31"/>
        <v>25</v>
      </c>
      <c r="AF110" s="7">
        <v>335</v>
      </c>
      <c r="AG110" s="7">
        <f>CT[[#This Row],[Sales Rate/MT (USD)]]*CT[[#This Row],[SC Qty (MT)]]</f>
        <v>8375</v>
      </c>
      <c r="AH110" s="7" t="str">
        <f>IF(CT[[#This Row],[Container Qty]]&lt;&gt;0,CT[[#This Row],[Sales Rate/MT (USD)]]*CT[[#This Row],[Container Qty]],"")</f>
        <v/>
      </c>
      <c r="AI110" s="7" t="str">
        <f>IF(CT[[#This Row],[Customer Final Price]]&lt;&gt;"",CT[[#This Row],[Customer Final Price]]-CT[[#This Row],[Customer  Prov. Price]],"")</f>
        <v/>
      </c>
      <c r="AJ110" t="s">
        <v>8</v>
      </c>
      <c r="AK110" s="1" t="s">
        <v>159</v>
      </c>
      <c r="AL110" s="1"/>
      <c r="AM110" s="100" t="s">
        <v>134</v>
      </c>
    </row>
    <row r="111" spans="1:39" x14ac:dyDescent="0.25">
      <c r="A111" t="s">
        <v>9</v>
      </c>
      <c r="B111" s="102" t="s">
        <v>173</v>
      </c>
      <c r="C111" s="81">
        <v>45849</v>
      </c>
      <c r="D111" s="1" t="s">
        <v>67</v>
      </c>
      <c r="F111" s="11"/>
      <c r="G111" s="3"/>
      <c r="H111" s="3"/>
      <c r="I111" s="1"/>
      <c r="J111" s="1" t="s">
        <v>126</v>
      </c>
      <c r="K111" s="1" t="s">
        <v>14</v>
      </c>
      <c r="L111" s="1"/>
      <c r="M111" s="14">
        <f t="shared" si="22"/>
        <v>25</v>
      </c>
      <c r="N111" s="1">
        <v>103</v>
      </c>
      <c r="O111" s="7">
        <v>302</v>
      </c>
      <c r="P111" s="7">
        <f>CT[[#This Row],[Purchase Rate/MT (USD)]]*CT[[#This Row],[PC Qty (MT)]]</f>
        <v>7550</v>
      </c>
      <c r="Q111" s="7">
        <f>CT[[#This Row],[Purchase Rate/MT (USD)]]*CT[[#This Row],[Container Qty]]</f>
        <v>0</v>
      </c>
      <c r="R111" s="7" t="str">
        <f>IF(CT[[#This Row],[BL Number]]&lt;&gt;0,(CT[[#This Row],[Supplier Prov. Price]]-CT[[#This Row],[Supplier Final Price]])*1.2,"")</f>
        <v/>
      </c>
      <c r="S111" s="101">
        <v>1.3451</v>
      </c>
      <c r="T111" s="3"/>
      <c r="U111" s="7"/>
      <c r="V111" s="7"/>
      <c r="W111" s="24"/>
      <c r="X111" s="7">
        <f>IFERROR(CT[[#This Row],[Freight Charges]]+CT[[#This Row],[Inspection Cost/MT]]+CT[[#This Row],[DHL Charges PMT]],"")</f>
        <v>0</v>
      </c>
      <c r="Y111" s="7">
        <f>IFERROR(AF111-(O111+CT[[#This Row],[Cost Per MT]]),"")</f>
        <v>33</v>
      </c>
      <c r="Z111" s="7">
        <f>IFERROR(CT[[#This Row],[Margin/MT]]*CT[[#This Row],[Container Qty]],"")</f>
        <v>0</v>
      </c>
      <c r="AA111" s="7"/>
      <c r="AB111" t="s">
        <v>11</v>
      </c>
      <c r="AC111" s="1" t="s">
        <v>158</v>
      </c>
      <c r="AD111" s="3">
        <v>45861</v>
      </c>
      <c r="AE111" s="14">
        <f t="shared" si="31"/>
        <v>25</v>
      </c>
      <c r="AF111" s="7">
        <v>335</v>
      </c>
      <c r="AG111" s="7">
        <f>CT[[#This Row],[Sales Rate/MT (USD)]]*CT[[#This Row],[SC Qty (MT)]]</f>
        <v>8375</v>
      </c>
      <c r="AH111" s="7" t="str">
        <f>IF(CT[[#This Row],[Container Qty]]&lt;&gt;0,CT[[#This Row],[Sales Rate/MT (USD)]]*CT[[#This Row],[Container Qty]],"")</f>
        <v/>
      </c>
      <c r="AI111" s="7" t="str">
        <f>IF(CT[[#This Row],[Customer Final Price]]&lt;&gt;"",CT[[#This Row],[Customer Final Price]]-CT[[#This Row],[Customer  Prov. Price]],"")</f>
        <v/>
      </c>
      <c r="AJ111" t="s">
        <v>8</v>
      </c>
      <c r="AK111" s="1" t="s">
        <v>159</v>
      </c>
      <c r="AL111" s="1"/>
      <c r="AM111" s="100" t="s">
        <v>134</v>
      </c>
    </row>
    <row r="112" spans="1:39" x14ac:dyDescent="0.25">
      <c r="A112" t="s">
        <v>9</v>
      </c>
      <c r="B112" s="102" t="s">
        <v>173</v>
      </c>
      <c r="C112" s="81">
        <v>45849</v>
      </c>
      <c r="D112" s="1" t="s">
        <v>67</v>
      </c>
      <c r="F112" s="11"/>
      <c r="G112" s="3"/>
      <c r="H112" s="3"/>
      <c r="I112" s="89"/>
      <c r="J112" s="1" t="s">
        <v>126</v>
      </c>
      <c r="K112" s="1" t="s">
        <v>14</v>
      </c>
      <c r="L112" s="1"/>
      <c r="M112" s="14">
        <f t="shared" si="22"/>
        <v>25</v>
      </c>
      <c r="N112" s="1">
        <v>103</v>
      </c>
      <c r="O112" s="7">
        <v>302</v>
      </c>
      <c r="P112" s="7">
        <f>CT[[#This Row],[Purchase Rate/MT (USD)]]*CT[[#This Row],[PC Qty (MT)]]</f>
        <v>7550</v>
      </c>
      <c r="Q112" s="7">
        <f>CT[[#This Row],[Purchase Rate/MT (USD)]]*CT[[#This Row],[Container Qty]]</f>
        <v>0</v>
      </c>
      <c r="R112" s="7" t="str">
        <f>IF(CT[[#This Row],[BL Number]]&lt;&gt;0,(CT[[#This Row],[Supplier Prov. Price]]-CT[[#This Row],[Supplier Final Price]])*1.2,"")</f>
        <v/>
      </c>
      <c r="S112" s="101">
        <v>1.3451</v>
      </c>
      <c r="T112" s="3"/>
      <c r="U112" s="7"/>
      <c r="V112" s="7"/>
      <c r="W112" s="24"/>
      <c r="X112" s="7">
        <f>IFERROR(CT[[#This Row],[Freight Charges]]+CT[[#This Row],[Inspection Cost/MT]]+CT[[#This Row],[DHL Charges PMT]],"")</f>
        <v>0</v>
      </c>
      <c r="Y112" s="7">
        <f>IFERROR(AF112-(O112+CT[[#This Row],[Cost Per MT]]),"")</f>
        <v>33</v>
      </c>
      <c r="Z112" s="7">
        <f>IFERROR(CT[[#This Row],[Margin/MT]]*CT[[#This Row],[Container Qty]],"")</f>
        <v>0</v>
      </c>
      <c r="AA112" s="7"/>
      <c r="AB112" t="s">
        <v>11</v>
      </c>
      <c r="AC112" s="1" t="s">
        <v>158</v>
      </c>
      <c r="AD112" s="3">
        <v>45861</v>
      </c>
      <c r="AE112" s="14">
        <f t="shared" si="31"/>
        <v>25</v>
      </c>
      <c r="AF112" s="7">
        <v>335</v>
      </c>
      <c r="AG112" s="7">
        <f>CT[[#This Row],[Sales Rate/MT (USD)]]*CT[[#This Row],[SC Qty (MT)]]</f>
        <v>8375</v>
      </c>
      <c r="AH112" s="7" t="str">
        <f>IF(CT[[#This Row],[Container Qty]]&lt;&gt;0,CT[[#This Row],[Sales Rate/MT (USD)]]*CT[[#This Row],[Container Qty]],"")</f>
        <v/>
      </c>
      <c r="AI112" s="7" t="str">
        <f>IF(CT[[#This Row],[Customer Final Price]]&lt;&gt;"",CT[[#This Row],[Customer Final Price]]-CT[[#This Row],[Customer  Prov. Price]],"")</f>
        <v/>
      </c>
      <c r="AJ112" t="s">
        <v>8</v>
      </c>
      <c r="AK112" s="1" t="s">
        <v>159</v>
      </c>
      <c r="AL112" s="1"/>
      <c r="AM112" s="100" t="s">
        <v>134</v>
      </c>
    </row>
    <row r="113" spans="1:39" x14ac:dyDescent="0.25">
      <c r="A113" t="s">
        <v>9</v>
      </c>
      <c r="B113" s="102" t="s">
        <v>189</v>
      </c>
      <c r="C113" s="81">
        <v>45873</v>
      </c>
      <c r="D113" s="1" t="s">
        <v>67</v>
      </c>
      <c r="F113" s="11"/>
      <c r="G113" s="3"/>
      <c r="H113" s="3"/>
      <c r="I113" s="1"/>
      <c r="J113" s="1" t="s">
        <v>174</v>
      </c>
      <c r="K113" s="1" t="s">
        <v>14</v>
      </c>
      <c r="L113" s="1"/>
      <c r="M113" s="14">
        <v>25</v>
      </c>
      <c r="N113" s="1"/>
      <c r="O113" s="7">
        <v>308</v>
      </c>
      <c r="P113" s="7">
        <f>CT[[#This Row],[Purchase Rate/MT (USD)]]*CT[[#This Row],[PC Qty (MT)]]</f>
        <v>7700</v>
      </c>
      <c r="Q113" s="7">
        <f>CT[[#This Row],[Purchase Rate/MT (USD)]]*CT[[#This Row],[Container Qty]]</f>
        <v>0</v>
      </c>
      <c r="R113" s="7" t="str">
        <f>IF(CT[[#This Row],[BL Number]]&lt;&gt;0,(CT[[#This Row],[Supplier Prov. Price]]-CT[[#This Row],[Supplier Final Price]])*1.2,"")</f>
        <v/>
      </c>
      <c r="S113" s="101">
        <v>1.3541000000000001</v>
      </c>
      <c r="T113" s="3"/>
      <c r="U113" s="7"/>
      <c r="V113" s="7"/>
      <c r="W113" s="24"/>
      <c r="X113" s="7">
        <f>IFERROR(CT[[#This Row],[Freight Charges]]+CT[[#This Row],[Inspection Cost/MT]]+CT[[#This Row],[DHL Charges PMT]],"")</f>
        <v>0</v>
      </c>
      <c r="Y113" s="7">
        <f>IFERROR(AF113-(O113+CT[[#This Row],[Cost Per MT]]),"")</f>
        <v>27</v>
      </c>
      <c r="Z113" s="7">
        <f>IFERROR(CT[[#This Row],[Margin/MT]]*CT[[#This Row],[Container Qty]],"")</f>
        <v>0</v>
      </c>
      <c r="AA113" s="7"/>
      <c r="AB113" t="s">
        <v>11</v>
      </c>
      <c r="AC113" s="1" t="s">
        <v>158</v>
      </c>
      <c r="AD113" s="3">
        <v>45861</v>
      </c>
      <c r="AE113" s="14">
        <f t="shared" si="31"/>
        <v>25</v>
      </c>
      <c r="AF113" s="7">
        <v>335</v>
      </c>
      <c r="AG113" s="7">
        <f>CT[[#This Row],[Sales Rate/MT (USD)]]*CT[[#This Row],[SC Qty (MT)]]</f>
        <v>8375</v>
      </c>
      <c r="AH113" s="7" t="str">
        <f>IF(CT[[#This Row],[Container Qty]]&lt;&gt;0,CT[[#This Row],[Sales Rate/MT (USD)]]*CT[[#This Row],[Container Qty]],"")</f>
        <v/>
      </c>
      <c r="AI113" s="7" t="str">
        <f>IF(CT[[#This Row],[Customer Final Price]]&lt;&gt;"",CT[[#This Row],[Customer Final Price]]-CT[[#This Row],[Customer  Prov. Price]],"")</f>
        <v/>
      </c>
      <c r="AJ113" t="s">
        <v>8</v>
      </c>
      <c r="AK113" s="1" t="s">
        <v>159</v>
      </c>
      <c r="AL113" s="1"/>
      <c r="AM113" s="100" t="s">
        <v>134</v>
      </c>
    </row>
    <row r="114" spans="1:39" x14ac:dyDescent="0.25">
      <c r="A114" t="s">
        <v>9</v>
      </c>
      <c r="B114" s="102" t="s">
        <v>189</v>
      </c>
      <c r="C114" s="81">
        <v>45873</v>
      </c>
      <c r="D114" s="1" t="s">
        <v>67</v>
      </c>
      <c r="F114" s="11"/>
      <c r="G114" s="3"/>
      <c r="H114" s="3"/>
      <c r="I114" s="1"/>
      <c r="J114" s="1" t="s">
        <v>174</v>
      </c>
      <c r="K114" s="1" t="s">
        <v>14</v>
      </c>
      <c r="L114" s="1"/>
      <c r="M114" s="14">
        <v>25</v>
      </c>
      <c r="N114" s="1"/>
      <c r="O114" s="7">
        <v>308</v>
      </c>
      <c r="P114" s="7">
        <f>CT[[#This Row],[Purchase Rate/MT (USD)]]*CT[[#This Row],[PC Qty (MT)]]</f>
        <v>7700</v>
      </c>
      <c r="Q114" s="7">
        <f>CT[[#This Row],[Purchase Rate/MT (USD)]]*CT[[#This Row],[Container Qty]]</f>
        <v>0</v>
      </c>
      <c r="R114" s="7" t="str">
        <f>IF(CT[[#This Row],[BL Number]]&lt;&gt;0,(CT[[#This Row],[Supplier Prov. Price]]-CT[[#This Row],[Supplier Final Price]])*1.2,"")</f>
        <v/>
      </c>
      <c r="S114" s="101">
        <v>1.3541000000000001</v>
      </c>
      <c r="T114" s="3"/>
      <c r="U114" s="7"/>
      <c r="V114" s="7"/>
      <c r="W114" s="24"/>
      <c r="X114" s="7">
        <f>IFERROR(CT[[#This Row],[Freight Charges]]+CT[[#This Row],[Inspection Cost/MT]]+CT[[#This Row],[DHL Charges PMT]],"")</f>
        <v>0</v>
      </c>
      <c r="Y114" s="7">
        <f>IFERROR(AF114-(O114+CT[[#This Row],[Cost Per MT]]),"")</f>
        <v>27</v>
      </c>
      <c r="Z114" s="7">
        <f>IFERROR(CT[[#This Row],[Margin/MT]]*CT[[#This Row],[Container Qty]],"")</f>
        <v>0</v>
      </c>
      <c r="AA114" s="7"/>
      <c r="AB114" t="s">
        <v>11</v>
      </c>
      <c r="AC114" s="1" t="s">
        <v>158</v>
      </c>
      <c r="AD114" s="3">
        <v>45861</v>
      </c>
      <c r="AE114" s="14">
        <f t="shared" si="31"/>
        <v>25</v>
      </c>
      <c r="AF114" s="7">
        <v>335</v>
      </c>
      <c r="AG114" s="7">
        <f>CT[[#This Row],[Sales Rate/MT (USD)]]*CT[[#This Row],[SC Qty (MT)]]</f>
        <v>8375</v>
      </c>
      <c r="AH114" s="7" t="str">
        <f>IF(CT[[#This Row],[Container Qty]]&lt;&gt;0,CT[[#This Row],[Sales Rate/MT (USD)]]*CT[[#This Row],[Container Qty]],"")</f>
        <v/>
      </c>
      <c r="AI114" s="7" t="str">
        <f>IF(CT[[#This Row],[Customer Final Price]]&lt;&gt;"",CT[[#This Row],[Customer Final Price]]-CT[[#This Row],[Customer  Prov. Price]],"")</f>
        <v/>
      </c>
      <c r="AJ114" t="s">
        <v>8</v>
      </c>
      <c r="AK114" s="1" t="s">
        <v>159</v>
      </c>
      <c r="AL114" s="1"/>
      <c r="AM114" s="100" t="s">
        <v>134</v>
      </c>
    </row>
    <row r="115" spans="1:39" x14ac:dyDescent="0.25">
      <c r="A115" t="s">
        <v>9</v>
      </c>
      <c r="B115" s="102" t="s">
        <v>189</v>
      </c>
      <c r="C115" s="81">
        <v>45873</v>
      </c>
      <c r="D115" s="1" t="s">
        <v>67</v>
      </c>
      <c r="F115" s="11"/>
      <c r="G115" s="3"/>
      <c r="H115" s="3"/>
      <c r="I115" s="1"/>
      <c r="J115" s="1" t="s">
        <v>174</v>
      </c>
      <c r="K115" s="1" t="s">
        <v>14</v>
      </c>
      <c r="L115" s="1"/>
      <c r="M115" s="14">
        <v>25</v>
      </c>
      <c r="N115" s="1"/>
      <c r="O115" s="7">
        <v>308</v>
      </c>
      <c r="P115" s="7">
        <f>CT[[#This Row],[Purchase Rate/MT (USD)]]*CT[[#This Row],[PC Qty (MT)]]</f>
        <v>7700</v>
      </c>
      <c r="Q115" s="7">
        <f>CT[[#This Row],[Purchase Rate/MT (USD)]]*CT[[#This Row],[Container Qty]]</f>
        <v>0</v>
      </c>
      <c r="R115" s="7" t="str">
        <f>IF(CT[[#This Row],[BL Number]]&lt;&gt;0,(CT[[#This Row],[Supplier Prov. Price]]-CT[[#This Row],[Supplier Final Price]])*1.2,"")</f>
        <v/>
      </c>
      <c r="S115" s="101">
        <v>1.3541000000000001</v>
      </c>
      <c r="T115" s="3"/>
      <c r="U115" s="7"/>
      <c r="V115" s="7"/>
      <c r="W115" s="24"/>
      <c r="X115" s="7">
        <f>IFERROR(CT[[#This Row],[Freight Charges]]+CT[[#This Row],[Inspection Cost/MT]]+CT[[#This Row],[DHL Charges PMT]],"")</f>
        <v>0</v>
      </c>
      <c r="Y115" s="7">
        <f>IFERROR(AF115-(O115+CT[[#This Row],[Cost Per MT]]),"")</f>
        <v>27</v>
      </c>
      <c r="Z115" s="7">
        <f>IFERROR(CT[[#This Row],[Margin/MT]]*CT[[#This Row],[Container Qty]],"")</f>
        <v>0</v>
      </c>
      <c r="AA115" s="7"/>
      <c r="AB115" t="s">
        <v>11</v>
      </c>
      <c r="AC115" s="1" t="s">
        <v>158</v>
      </c>
      <c r="AD115" s="3">
        <v>45861</v>
      </c>
      <c r="AE115" s="14">
        <f t="shared" si="31"/>
        <v>25</v>
      </c>
      <c r="AF115" s="7">
        <v>335</v>
      </c>
      <c r="AG115" s="7">
        <f>CT[[#This Row],[Sales Rate/MT (USD)]]*CT[[#This Row],[SC Qty (MT)]]</f>
        <v>8375</v>
      </c>
      <c r="AH115" s="7" t="str">
        <f>IF(CT[[#This Row],[Container Qty]]&lt;&gt;0,CT[[#This Row],[Sales Rate/MT (USD)]]*CT[[#This Row],[Container Qty]],"")</f>
        <v/>
      </c>
      <c r="AI115" s="7" t="str">
        <f>IF(CT[[#This Row],[Customer Final Price]]&lt;&gt;"",CT[[#This Row],[Customer Final Price]]-CT[[#This Row],[Customer  Prov. Price]],"")</f>
        <v/>
      </c>
      <c r="AJ115" t="s">
        <v>8</v>
      </c>
      <c r="AK115" s="1" t="s">
        <v>159</v>
      </c>
      <c r="AL115" s="1"/>
      <c r="AM115" s="100" t="s">
        <v>134</v>
      </c>
    </row>
    <row r="116" spans="1:39" x14ac:dyDescent="0.25">
      <c r="A116" t="s">
        <v>9</v>
      </c>
      <c r="B116" s="102" t="s">
        <v>189</v>
      </c>
      <c r="C116" s="81">
        <v>45873</v>
      </c>
      <c r="D116" s="1" t="s">
        <v>67</v>
      </c>
      <c r="F116" s="11"/>
      <c r="G116" s="3"/>
      <c r="H116" s="3"/>
      <c r="I116" s="1"/>
      <c r="J116" s="1" t="s">
        <v>174</v>
      </c>
      <c r="K116" s="1" t="s">
        <v>14</v>
      </c>
      <c r="L116" s="1"/>
      <c r="M116" s="14">
        <v>25</v>
      </c>
      <c r="N116" s="1"/>
      <c r="O116" s="7">
        <v>308</v>
      </c>
      <c r="P116" s="7">
        <f>CT[[#This Row],[Purchase Rate/MT (USD)]]*CT[[#This Row],[PC Qty (MT)]]</f>
        <v>7700</v>
      </c>
      <c r="Q116" s="7">
        <f>CT[[#This Row],[Purchase Rate/MT (USD)]]*CT[[#This Row],[Container Qty]]</f>
        <v>0</v>
      </c>
      <c r="R116" s="7" t="str">
        <f>IF(CT[[#This Row],[BL Number]]&lt;&gt;0,(CT[[#This Row],[Supplier Prov. Price]]-CT[[#This Row],[Supplier Final Price]])*1.2,"")</f>
        <v/>
      </c>
      <c r="S116" s="101">
        <v>1.3541000000000001</v>
      </c>
      <c r="T116" s="3"/>
      <c r="U116" s="7"/>
      <c r="V116" s="7"/>
      <c r="W116" s="24"/>
      <c r="X116" s="7">
        <f>IFERROR(CT[[#This Row],[Freight Charges]]+CT[[#This Row],[Inspection Cost/MT]]+CT[[#This Row],[DHL Charges PMT]],"")</f>
        <v>0</v>
      </c>
      <c r="Y116" s="7">
        <f>IFERROR(AF116-(O116+CT[[#This Row],[Cost Per MT]]),"")</f>
        <v>27</v>
      </c>
      <c r="Z116" s="7">
        <f>IFERROR(CT[[#This Row],[Margin/MT]]*CT[[#This Row],[Container Qty]],"")</f>
        <v>0</v>
      </c>
      <c r="AA116" s="7"/>
      <c r="AB116" t="s">
        <v>11</v>
      </c>
      <c r="AC116" s="1" t="s">
        <v>158</v>
      </c>
      <c r="AD116" s="3">
        <v>45861</v>
      </c>
      <c r="AE116" s="14">
        <f t="shared" si="31"/>
        <v>25</v>
      </c>
      <c r="AF116" s="7">
        <v>335</v>
      </c>
      <c r="AG116" s="7">
        <f>CT[[#This Row],[Sales Rate/MT (USD)]]*CT[[#This Row],[SC Qty (MT)]]</f>
        <v>8375</v>
      </c>
      <c r="AH116" s="7" t="str">
        <f>IF(CT[[#This Row],[Container Qty]]&lt;&gt;0,CT[[#This Row],[Sales Rate/MT (USD)]]*CT[[#This Row],[Container Qty]],"")</f>
        <v/>
      </c>
      <c r="AI116" s="7" t="str">
        <f>IF(CT[[#This Row],[Customer Final Price]]&lt;&gt;"",CT[[#This Row],[Customer Final Price]]-CT[[#This Row],[Customer  Prov. Price]],"")</f>
        <v/>
      </c>
      <c r="AJ116" t="s">
        <v>8</v>
      </c>
      <c r="AK116" s="1" t="s">
        <v>159</v>
      </c>
      <c r="AL116" s="1"/>
      <c r="AM116" s="100" t="s">
        <v>134</v>
      </c>
    </row>
    <row r="117" spans="1:39" x14ac:dyDescent="0.25">
      <c r="A117" t="s">
        <v>9</v>
      </c>
      <c r="B117" s="102" t="s">
        <v>189</v>
      </c>
      <c r="C117" s="81">
        <v>45873</v>
      </c>
      <c r="D117" s="1" t="s">
        <v>67</v>
      </c>
      <c r="F117" s="11"/>
      <c r="G117" s="3"/>
      <c r="H117" s="3"/>
      <c r="I117" s="1"/>
      <c r="J117" s="1" t="s">
        <v>174</v>
      </c>
      <c r="K117" s="1" t="s">
        <v>14</v>
      </c>
      <c r="L117" s="1"/>
      <c r="M117" s="14">
        <v>25</v>
      </c>
      <c r="N117" s="1"/>
      <c r="O117" s="7">
        <v>308</v>
      </c>
      <c r="P117" s="7">
        <f>CT[[#This Row],[Purchase Rate/MT (USD)]]*CT[[#This Row],[PC Qty (MT)]]</f>
        <v>7700</v>
      </c>
      <c r="Q117" s="7">
        <f>CT[[#This Row],[Purchase Rate/MT (USD)]]*CT[[#This Row],[Container Qty]]</f>
        <v>0</v>
      </c>
      <c r="R117" s="7" t="str">
        <f>IF(CT[[#This Row],[BL Number]]&lt;&gt;0,(CT[[#This Row],[Supplier Prov. Price]]-CT[[#This Row],[Supplier Final Price]])*1.2,"")</f>
        <v/>
      </c>
      <c r="S117" s="101">
        <v>1.3541000000000001</v>
      </c>
      <c r="T117" s="3"/>
      <c r="U117" s="7"/>
      <c r="V117" s="7"/>
      <c r="W117" s="24"/>
      <c r="X117" s="7">
        <f>IFERROR(CT[[#This Row],[Freight Charges]]+CT[[#This Row],[Inspection Cost/MT]]+CT[[#This Row],[DHL Charges PMT]],"")</f>
        <v>0</v>
      </c>
      <c r="Y117" s="7">
        <f>IFERROR(AF117-(O117+CT[[#This Row],[Cost Per MT]]),"")</f>
        <v>27</v>
      </c>
      <c r="Z117" s="7">
        <f>IFERROR(CT[[#This Row],[Margin/MT]]*CT[[#This Row],[Container Qty]],"")</f>
        <v>0</v>
      </c>
      <c r="AA117" s="7"/>
      <c r="AB117" t="s">
        <v>11</v>
      </c>
      <c r="AC117" s="1" t="s">
        <v>158</v>
      </c>
      <c r="AD117" s="3">
        <v>45861</v>
      </c>
      <c r="AE117" s="14">
        <f t="shared" si="31"/>
        <v>25</v>
      </c>
      <c r="AF117" s="7">
        <v>335</v>
      </c>
      <c r="AG117" s="7">
        <f>CT[[#This Row],[Sales Rate/MT (USD)]]*CT[[#This Row],[SC Qty (MT)]]</f>
        <v>8375</v>
      </c>
      <c r="AH117" s="7" t="str">
        <f>IF(CT[[#This Row],[Container Qty]]&lt;&gt;0,CT[[#This Row],[Sales Rate/MT (USD)]]*CT[[#This Row],[Container Qty]],"")</f>
        <v/>
      </c>
      <c r="AI117" s="7" t="str">
        <f>IF(CT[[#This Row],[Customer Final Price]]&lt;&gt;"",CT[[#This Row],[Customer Final Price]]-CT[[#This Row],[Customer  Prov. Price]],"")</f>
        <v/>
      </c>
      <c r="AJ117" t="s">
        <v>8</v>
      </c>
      <c r="AK117" s="1" t="s">
        <v>159</v>
      </c>
      <c r="AL117" s="1"/>
      <c r="AM117" s="100" t="s">
        <v>134</v>
      </c>
    </row>
    <row r="118" spans="1:39" x14ac:dyDescent="0.25">
      <c r="A118" t="s">
        <v>9</v>
      </c>
      <c r="B118" s="102" t="s">
        <v>189</v>
      </c>
      <c r="C118" s="81">
        <v>45873</v>
      </c>
      <c r="D118" s="1" t="s">
        <v>67</v>
      </c>
      <c r="F118" s="11"/>
      <c r="G118" s="3"/>
      <c r="H118" s="3"/>
      <c r="I118" s="1"/>
      <c r="J118" s="1" t="s">
        <v>174</v>
      </c>
      <c r="K118" s="1" t="s">
        <v>14</v>
      </c>
      <c r="L118" s="1"/>
      <c r="M118" s="14">
        <v>25</v>
      </c>
      <c r="N118" s="1"/>
      <c r="O118" s="7">
        <v>308</v>
      </c>
      <c r="P118" s="7">
        <f>CT[[#This Row],[Purchase Rate/MT (USD)]]*CT[[#This Row],[PC Qty (MT)]]</f>
        <v>7700</v>
      </c>
      <c r="Q118" s="7">
        <f>CT[[#This Row],[Purchase Rate/MT (USD)]]*CT[[#This Row],[Container Qty]]</f>
        <v>0</v>
      </c>
      <c r="R118" s="7" t="str">
        <f>IF(CT[[#This Row],[BL Number]]&lt;&gt;0,(CT[[#This Row],[Supplier Prov. Price]]-CT[[#This Row],[Supplier Final Price]])*1.2,"")</f>
        <v/>
      </c>
      <c r="S118" s="101">
        <v>1.3541000000000001</v>
      </c>
      <c r="T118" s="3"/>
      <c r="U118" s="7"/>
      <c r="V118" s="7"/>
      <c r="W118" s="24"/>
      <c r="X118" s="7">
        <f>IFERROR(CT[[#This Row],[Freight Charges]]+CT[[#This Row],[Inspection Cost/MT]]+CT[[#This Row],[DHL Charges PMT]],"")</f>
        <v>0</v>
      </c>
      <c r="Y118" s="7">
        <f>IFERROR(AF118-(O118+CT[[#This Row],[Cost Per MT]]),"")</f>
        <v>27</v>
      </c>
      <c r="Z118" s="7">
        <f>IFERROR(CT[[#This Row],[Margin/MT]]*CT[[#This Row],[Container Qty]],"")</f>
        <v>0</v>
      </c>
      <c r="AA118" s="7"/>
      <c r="AB118" t="s">
        <v>11</v>
      </c>
      <c r="AC118" s="1" t="s">
        <v>158</v>
      </c>
      <c r="AD118" s="3">
        <v>45861</v>
      </c>
      <c r="AE118" s="14">
        <f t="shared" si="31"/>
        <v>25</v>
      </c>
      <c r="AF118" s="7">
        <v>335</v>
      </c>
      <c r="AG118" s="7">
        <f>CT[[#This Row],[Sales Rate/MT (USD)]]*CT[[#This Row],[SC Qty (MT)]]</f>
        <v>8375</v>
      </c>
      <c r="AH118" s="7" t="str">
        <f>IF(CT[[#This Row],[Container Qty]]&lt;&gt;0,CT[[#This Row],[Sales Rate/MT (USD)]]*CT[[#This Row],[Container Qty]],"")</f>
        <v/>
      </c>
      <c r="AI118" s="7" t="str">
        <f>IF(CT[[#This Row],[Customer Final Price]]&lt;&gt;"",CT[[#This Row],[Customer Final Price]]-CT[[#This Row],[Customer  Prov. Price]],"")</f>
        <v/>
      </c>
      <c r="AJ118" t="s">
        <v>8</v>
      </c>
      <c r="AK118" s="1" t="s">
        <v>159</v>
      </c>
      <c r="AL118" s="1"/>
      <c r="AM118" s="100" t="s">
        <v>134</v>
      </c>
    </row>
    <row r="119" spans="1:39" x14ac:dyDescent="0.25">
      <c r="A119" t="s">
        <v>9</v>
      </c>
      <c r="B119" s="102" t="s">
        <v>189</v>
      </c>
      <c r="C119" s="81">
        <v>45873</v>
      </c>
      <c r="D119" s="1" t="s">
        <v>67</v>
      </c>
      <c r="F119" s="11"/>
      <c r="G119" s="3"/>
      <c r="H119" s="3"/>
      <c r="I119" s="1"/>
      <c r="J119" s="1" t="s">
        <v>174</v>
      </c>
      <c r="K119" s="1" t="s">
        <v>14</v>
      </c>
      <c r="L119" s="1"/>
      <c r="M119" s="14">
        <v>25</v>
      </c>
      <c r="N119" s="1"/>
      <c r="O119" s="7">
        <v>308</v>
      </c>
      <c r="P119" s="7">
        <f>CT[[#This Row],[Purchase Rate/MT (USD)]]*CT[[#This Row],[PC Qty (MT)]]</f>
        <v>7700</v>
      </c>
      <c r="Q119" s="7">
        <f>CT[[#This Row],[Purchase Rate/MT (USD)]]*CT[[#This Row],[Container Qty]]</f>
        <v>0</v>
      </c>
      <c r="R119" s="7" t="str">
        <f>IF(CT[[#This Row],[BL Number]]&lt;&gt;0,(CT[[#This Row],[Supplier Prov. Price]]-CT[[#This Row],[Supplier Final Price]])*1.2,"")</f>
        <v/>
      </c>
      <c r="S119" s="101">
        <v>1.3541000000000001</v>
      </c>
      <c r="T119" s="3"/>
      <c r="U119" s="7"/>
      <c r="V119" s="7"/>
      <c r="W119" s="24"/>
      <c r="X119" s="7">
        <f>IFERROR(CT[[#This Row],[Freight Charges]]+CT[[#This Row],[Inspection Cost/MT]]+CT[[#This Row],[DHL Charges PMT]],"")</f>
        <v>0</v>
      </c>
      <c r="Y119" s="7">
        <f>IFERROR(AF119-(O119+CT[[#This Row],[Cost Per MT]]),"")</f>
        <v>27</v>
      </c>
      <c r="Z119" s="7">
        <f>IFERROR(CT[[#This Row],[Margin/MT]]*CT[[#This Row],[Container Qty]],"")</f>
        <v>0</v>
      </c>
      <c r="AA119" s="7"/>
      <c r="AB119" t="s">
        <v>11</v>
      </c>
      <c r="AC119" s="1" t="s">
        <v>158</v>
      </c>
      <c r="AD119" s="3">
        <v>45861</v>
      </c>
      <c r="AE119" s="14">
        <f t="shared" si="31"/>
        <v>25</v>
      </c>
      <c r="AF119" s="7">
        <v>335</v>
      </c>
      <c r="AG119" s="7">
        <f>CT[[#This Row],[Sales Rate/MT (USD)]]*CT[[#This Row],[SC Qty (MT)]]</f>
        <v>8375</v>
      </c>
      <c r="AH119" s="7" t="str">
        <f>IF(CT[[#This Row],[Container Qty]]&lt;&gt;0,CT[[#This Row],[Sales Rate/MT (USD)]]*CT[[#This Row],[Container Qty]],"")</f>
        <v/>
      </c>
      <c r="AI119" s="7" t="str">
        <f>IF(CT[[#This Row],[Customer Final Price]]&lt;&gt;"",CT[[#This Row],[Customer Final Price]]-CT[[#This Row],[Customer  Prov. Price]],"")</f>
        <v/>
      </c>
      <c r="AJ119" t="s">
        <v>8</v>
      </c>
      <c r="AK119" s="1" t="s">
        <v>159</v>
      </c>
      <c r="AL119" s="1"/>
      <c r="AM119" s="100" t="s">
        <v>134</v>
      </c>
    </row>
    <row r="120" spans="1:39" x14ac:dyDescent="0.25">
      <c r="A120" t="s">
        <v>9</v>
      </c>
      <c r="B120" s="102" t="s">
        <v>189</v>
      </c>
      <c r="C120" s="81">
        <v>45873</v>
      </c>
      <c r="D120" s="1" t="s">
        <v>67</v>
      </c>
      <c r="F120" s="11"/>
      <c r="G120" s="3"/>
      <c r="H120" s="3"/>
      <c r="I120" s="1"/>
      <c r="J120" s="1" t="s">
        <v>174</v>
      </c>
      <c r="K120" s="1" t="s">
        <v>14</v>
      </c>
      <c r="L120" s="1"/>
      <c r="M120" s="14">
        <v>25</v>
      </c>
      <c r="N120" s="1"/>
      <c r="O120" s="7">
        <v>308</v>
      </c>
      <c r="P120" s="7">
        <f>CT[[#This Row],[Purchase Rate/MT (USD)]]*CT[[#This Row],[PC Qty (MT)]]</f>
        <v>7700</v>
      </c>
      <c r="Q120" s="7">
        <f>CT[[#This Row],[Purchase Rate/MT (USD)]]*CT[[#This Row],[Container Qty]]</f>
        <v>0</v>
      </c>
      <c r="R120" s="7" t="str">
        <f>IF(CT[[#This Row],[BL Number]]&lt;&gt;0,(CT[[#This Row],[Supplier Prov. Price]]-CT[[#This Row],[Supplier Final Price]])*1.2,"")</f>
        <v/>
      </c>
      <c r="S120" s="101">
        <v>1.3541000000000001</v>
      </c>
      <c r="T120" s="3"/>
      <c r="U120" s="7"/>
      <c r="V120" s="7"/>
      <c r="W120" s="24"/>
      <c r="X120" s="7">
        <f>IFERROR(CT[[#This Row],[Freight Charges]]+CT[[#This Row],[Inspection Cost/MT]]+CT[[#This Row],[DHL Charges PMT]],"")</f>
        <v>0</v>
      </c>
      <c r="Y120" s="7">
        <f>IFERROR(AF120-(O120+CT[[#This Row],[Cost Per MT]]),"")</f>
        <v>27</v>
      </c>
      <c r="Z120" s="7">
        <f>IFERROR(CT[[#This Row],[Margin/MT]]*CT[[#This Row],[Container Qty]],"")</f>
        <v>0</v>
      </c>
      <c r="AA120" s="7"/>
      <c r="AB120" t="s">
        <v>11</v>
      </c>
      <c r="AC120" s="1" t="s">
        <v>158</v>
      </c>
      <c r="AD120" s="3">
        <v>45861</v>
      </c>
      <c r="AE120" s="14">
        <f t="shared" si="31"/>
        <v>25</v>
      </c>
      <c r="AF120" s="7">
        <v>335</v>
      </c>
      <c r="AG120" s="7">
        <f>CT[[#This Row],[Sales Rate/MT (USD)]]*CT[[#This Row],[SC Qty (MT)]]</f>
        <v>8375</v>
      </c>
      <c r="AH120" s="7" t="str">
        <f>IF(CT[[#This Row],[Container Qty]]&lt;&gt;0,CT[[#This Row],[Sales Rate/MT (USD)]]*CT[[#This Row],[Container Qty]],"")</f>
        <v/>
      </c>
      <c r="AI120" s="7" t="str">
        <f>IF(CT[[#This Row],[Customer Final Price]]&lt;&gt;"",CT[[#This Row],[Customer Final Price]]-CT[[#This Row],[Customer  Prov. Price]],"")</f>
        <v/>
      </c>
      <c r="AJ120" t="s">
        <v>8</v>
      </c>
      <c r="AK120" s="1" t="s">
        <v>159</v>
      </c>
      <c r="AL120" s="1"/>
      <c r="AM120" s="100" t="s">
        <v>134</v>
      </c>
    </row>
    <row r="121" spans="1:39" x14ac:dyDescent="0.25">
      <c r="A121" t="s">
        <v>9</v>
      </c>
      <c r="B121" s="102" t="s">
        <v>189</v>
      </c>
      <c r="C121" s="81">
        <v>45873</v>
      </c>
      <c r="D121" s="1" t="s">
        <v>67</v>
      </c>
      <c r="F121" s="11"/>
      <c r="G121" s="3"/>
      <c r="H121" s="3"/>
      <c r="I121" s="1"/>
      <c r="J121" s="1" t="s">
        <v>174</v>
      </c>
      <c r="K121" s="1" t="s">
        <v>14</v>
      </c>
      <c r="L121" s="1"/>
      <c r="M121" s="14">
        <v>25</v>
      </c>
      <c r="N121" s="1"/>
      <c r="O121" s="7">
        <v>308</v>
      </c>
      <c r="P121" s="7">
        <f>CT[[#This Row],[Purchase Rate/MT (USD)]]*CT[[#This Row],[PC Qty (MT)]]</f>
        <v>7700</v>
      </c>
      <c r="Q121" s="7">
        <f>CT[[#This Row],[Purchase Rate/MT (USD)]]*CT[[#This Row],[Container Qty]]</f>
        <v>0</v>
      </c>
      <c r="R121" s="7" t="str">
        <f>IF(CT[[#This Row],[BL Number]]&lt;&gt;0,(CT[[#This Row],[Supplier Prov. Price]]-CT[[#This Row],[Supplier Final Price]])*1.2,"")</f>
        <v/>
      </c>
      <c r="S121" s="101">
        <v>1.3541000000000001</v>
      </c>
      <c r="T121" s="3"/>
      <c r="U121" s="7"/>
      <c r="V121" s="7"/>
      <c r="W121" s="24"/>
      <c r="X121" s="7">
        <f>IFERROR(CT[[#This Row],[Freight Charges]]+CT[[#This Row],[Inspection Cost/MT]]+CT[[#This Row],[DHL Charges PMT]],"")</f>
        <v>0</v>
      </c>
      <c r="Y121" s="7">
        <f>IFERROR(AF121-(O121+CT[[#This Row],[Cost Per MT]]),"")</f>
        <v>27</v>
      </c>
      <c r="Z121" s="7">
        <f>IFERROR(CT[[#This Row],[Margin/MT]]*CT[[#This Row],[Container Qty]],"")</f>
        <v>0</v>
      </c>
      <c r="AA121" s="7"/>
      <c r="AB121" t="s">
        <v>11</v>
      </c>
      <c r="AC121" s="1" t="s">
        <v>158</v>
      </c>
      <c r="AD121" s="3">
        <v>45861</v>
      </c>
      <c r="AE121" s="14">
        <f t="shared" si="31"/>
        <v>25</v>
      </c>
      <c r="AF121" s="7">
        <v>335</v>
      </c>
      <c r="AG121" s="7">
        <f>CT[[#This Row],[Sales Rate/MT (USD)]]*CT[[#This Row],[SC Qty (MT)]]</f>
        <v>8375</v>
      </c>
      <c r="AH121" s="7" t="str">
        <f>IF(CT[[#This Row],[Container Qty]]&lt;&gt;0,CT[[#This Row],[Sales Rate/MT (USD)]]*CT[[#This Row],[Container Qty]],"")</f>
        <v/>
      </c>
      <c r="AI121" s="7" t="str">
        <f>IF(CT[[#This Row],[Customer Final Price]]&lt;&gt;"",CT[[#This Row],[Customer Final Price]]-CT[[#This Row],[Customer  Prov. Price]],"")</f>
        <v/>
      </c>
      <c r="AJ121" t="s">
        <v>8</v>
      </c>
      <c r="AK121" s="1" t="s">
        <v>159</v>
      </c>
      <c r="AL121" s="1"/>
      <c r="AM121" s="100" t="s">
        <v>134</v>
      </c>
    </row>
    <row r="122" spans="1:39" x14ac:dyDescent="0.25">
      <c r="A122" t="s">
        <v>9</v>
      </c>
      <c r="B122" s="102" t="s">
        <v>189</v>
      </c>
      <c r="C122" s="81">
        <v>45873</v>
      </c>
      <c r="D122" s="1" t="s">
        <v>67</v>
      </c>
      <c r="F122" s="11"/>
      <c r="G122" s="3"/>
      <c r="H122" s="3"/>
      <c r="I122" s="1"/>
      <c r="J122" s="1" t="s">
        <v>174</v>
      </c>
      <c r="K122" s="1" t="s">
        <v>14</v>
      </c>
      <c r="L122" s="1"/>
      <c r="M122" s="14">
        <v>25</v>
      </c>
      <c r="N122" s="1"/>
      <c r="O122" s="7">
        <v>308</v>
      </c>
      <c r="P122" s="7">
        <f>CT[[#This Row],[Purchase Rate/MT (USD)]]*CT[[#This Row],[PC Qty (MT)]]</f>
        <v>7700</v>
      </c>
      <c r="Q122" s="7">
        <f>CT[[#This Row],[Purchase Rate/MT (USD)]]*CT[[#This Row],[Container Qty]]</f>
        <v>0</v>
      </c>
      <c r="R122" s="7" t="str">
        <f>IF(CT[[#This Row],[BL Number]]&lt;&gt;0,(CT[[#This Row],[Supplier Prov. Price]]-CT[[#This Row],[Supplier Final Price]])*1.2,"")</f>
        <v/>
      </c>
      <c r="S122" s="101">
        <v>1.3541000000000001</v>
      </c>
      <c r="T122" s="3"/>
      <c r="U122" s="7"/>
      <c r="V122" s="7"/>
      <c r="W122" s="24"/>
      <c r="X122" s="7">
        <f>IFERROR(CT[[#This Row],[Freight Charges]]+CT[[#This Row],[Inspection Cost/MT]]+CT[[#This Row],[DHL Charges PMT]],"")</f>
        <v>0</v>
      </c>
      <c r="Y122" s="7">
        <f>IFERROR(AF122-(O122+CT[[#This Row],[Cost Per MT]]),"")</f>
        <v>27</v>
      </c>
      <c r="Z122" s="7">
        <f>IFERROR(CT[[#This Row],[Margin/MT]]*CT[[#This Row],[Container Qty]],"")</f>
        <v>0</v>
      </c>
      <c r="AA122" s="7"/>
      <c r="AB122" t="s">
        <v>11</v>
      </c>
      <c r="AC122" s="1" t="s">
        <v>158</v>
      </c>
      <c r="AD122" s="3">
        <v>45861</v>
      </c>
      <c r="AE122" s="14">
        <f t="shared" si="31"/>
        <v>25</v>
      </c>
      <c r="AF122" s="7">
        <v>335</v>
      </c>
      <c r="AG122" s="7">
        <f>CT[[#This Row],[Sales Rate/MT (USD)]]*CT[[#This Row],[SC Qty (MT)]]</f>
        <v>8375</v>
      </c>
      <c r="AH122" s="7" t="str">
        <f>IF(CT[[#This Row],[Container Qty]]&lt;&gt;0,CT[[#This Row],[Sales Rate/MT (USD)]]*CT[[#This Row],[Container Qty]],"")</f>
        <v/>
      </c>
      <c r="AI122" s="7" t="str">
        <f>IF(CT[[#This Row],[Customer Final Price]]&lt;&gt;"",CT[[#This Row],[Customer Final Price]]-CT[[#This Row],[Customer  Prov. Price]],"")</f>
        <v/>
      </c>
      <c r="AJ122" t="s">
        <v>8</v>
      </c>
      <c r="AK122" s="1" t="s">
        <v>159</v>
      </c>
      <c r="AL122" s="1"/>
      <c r="AM122" s="100" t="s">
        <v>134</v>
      </c>
    </row>
    <row r="123" spans="1:39" x14ac:dyDescent="0.25">
      <c r="A123" t="s">
        <v>9</v>
      </c>
      <c r="B123" s="102" t="s">
        <v>189</v>
      </c>
      <c r="C123" s="81">
        <v>45873</v>
      </c>
      <c r="D123" s="1" t="s">
        <v>67</v>
      </c>
      <c r="F123" s="11"/>
      <c r="G123" s="3"/>
      <c r="H123" s="3"/>
      <c r="I123" s="1"/>
      <c r="J123" s="1" t="s">
        <v>174</v>
      </c>
      <c r="K123" s="1" t="s">
        <v>14</v>
      </c>
      <c r="L123" s="1"/>
      <c r="M123" s="14">
        <v>25</v>
      </c>
      <c r="N123" s="1"/>
      <c r="O123" s="7">
        <v>308</v>
      </c>
      <c r="P123" s="7">
        <f>CT[[#This Row],[Purchase Rate/MT (USD)]]*CT[[#This Row],[PC Qty (MT)]]</f>
        <v>7700</v>
      </c>
      <c r="Q123" s="7">
        <f>CT[[#This Row],[Purchase Rate/MT (USD)]]*CT[[#This Row],[Container Qty]]</f>
        <v>0</v>
      </c>
      <c r="R123" s="7" t="str">
        <f>IF(CT[[#This Row],[BL Number]]&lt;&gt;0,(CT[[#This Row],[Supplier Prov. Price]]-CT[[#This Row],[Supplier Final Price]])*1.2,"")</f>
        <v/>
      </c>
      <c r="S123" s="101">
        <v>1.3541000000000001</v>
      </c>
      <c r="T123" s="3"/>
      <c r="U123" s="7"/>
      <c r="V123" s="7"/>
      <c r="W123" s="24"/>
      <c r="X123" s="7">
        <f>IFERROR(CT[[#This Row],[Freight Charges]]+CT[[#This Row],[Inspection Cost/MT]]+CT[[#This Row],[DHL Charges PMT]],"")</f>
        <v>0</v>
      </c>
      <c r="Y123" s="7">
        <f>IFERROR(AF123-(O123+CT[[#This Row],[Cost Per MT]]),"")</f>
        <v>27</v>
      </c>
      <c r="Z123" s="7">
        <f>IFERROR(CT[[#This Row],[Margin/MT]]*CT[[#This Row],[Container Qty]],"")</f>
        <v>0</v>
      </c>
      <c r="AA123" s="7"/>
      <c r="AB123" t="s">
        <v>11</v>
      </c>
      <c r="AC123" s="1" t="s">
        <v>158</v>
      </c>
      <c r="AD123" s="3">
        <v>45861</v>
      </c>
      <c r="AE123" s="14">
        <f t="shared" si="31"/>
        <v>25</v>
      </c>
      <c r="AF123" s="7">
        <v>335</v>
      </c>
      <c r="AG123" s="7">
        <f>CT[[#This Row],[Sales Rate/MT (USD)]]*CT[[#This Row],[SC Qty (MT)]]</f>
        <v>8375</v>
      </c>
      <c r="AH123" s="7" t="str">
        <f>IF(CT[[#This Row],[Container Qty]]&lt;&gt;0,CT[[#This Row],[Sales Rate/MT (USD)]]*CT[[#This Row],[Container Qty]],"")</f>
        <v/>
      </c>
      <c r="AI123" s="7" t="str">
        <f>IF(CT[[#This Row],[Customer Final Price]]&lt;&gt;"",CT[[#This Row],[Customer Final Price]]-CT[[#This Row],[Customer  Prov. Price]],"")</f>
        <v/>
      </c>
      <c r="AJ123" t="s">
        <v>8</v>
      </c>
      <c r="AK123" s="1" t="s">
        <v>159</v>
      </c>
      <c r="AL123" s="1"/>
      <c r="AM123" s="100" t="s">
        <v>134</v>
      </c>
    </row>
    <row r="124" spans="1:39" x14ac:dyDescent="0.25">
      <c r="A124" t="s">
        <v>9</v>
      </c>
      <c r="B124" s="102" t="s">
        <v>189</v>
      </c>
      <c r="C124" s="81">
        <v>45873</v>
      </c>
      <c r="D124" s="1" t="s">
        <v>67</v>
      </c>
      <c r="F124" s="11"/>
      <c r="G124" s="3"/>
      <c r="H124" s="3"/>
      <c r="I124" s="1"/>
      <c r="J124" s="1" t="s">
        <v>174</v>
      </c>
      <c r="K124" s="1" t="s">
        <v>14</v>
      </c>
      <c r="L124" s="1"/>
      <c r="M124" s="14">
        <v>25</v>
      </c>
      <c r="N124" s="1"/>
      <c r="O124" s="7">
        <v>308</v>
      </c>
      <c r="P124" s="7">
        <f>CT[[#This Row],[Purchase Rate/MT (USD)]]*CT[[#This Row],[PC Qty (MT)]]</f>
        <v>7700</v>
      </c>
      <c r="Q124" s="7">
        <f>CT[[#This Row],[Purchase Rate/MT (USD)]]*CT[[#This Row],[Container Qty]]</f>
        <v>0</v>
      </c>
      <c r="R124" s="7" t="str">
        <f>IF(CT[[#This Row],[BL Number]]&lt;&gt;0,(CT[[#This Row],[Supplier Prov. Price]]-CT[[#This Row],[Supplier Final Price]])*1.2,"")</f>
        <v/>
      </c>
      <c r="S124" s="101">
        <v>1.3541000000000001</v>
      </c>
      <c r="T124" s="3"/>
      <c r="U124" s="7"/>
      <c r="V124" s="7"/>
      <c r="W124" s="24"/>
      <c r="X124" s="7">
        <f>IFERROR(CT[[#This Row],[Freight Charges]]+CT[[#This Row],[Inspection Cost/MT]]+CT[[#This Row],[DHL Charges PMT]],"")</f>
        <v>0</v>
      </c>
      <c r="Y124" s="7">
        <f>IFERROR(AF124-(O124+CT[[#This Row],[Cost Per MT]]),"")</f>
        <v>27</v>
      </c>
      <c r="Z124" s="7">
        <f>IFERROR(CT[[#This Row],[Margin/MT]]*CT[[#This Row],[Container Qty]],"")</f>
        <v>0</v>
      </c>
      <c r="AA124" s="7"/>
      <c r="AB124" t="s">
        <v>11</v>
      </c>
      <c r="AC124" s="1" t="s">
        <v>158</v>
      </c>
      <c r="AD124" s="3">
        <v>45861</v>
      </c>
      <c r="AE124" s="14">
        <f t="shared" si="31"/>
        <v>25</v>
      </c>
      <c r="AF124" s="7">
        <v>335</v>
      </c>
      <c r="AG124" s="7">
        <f>CT[[#This Row],[Sales Rate/MT (USD)]]*CT[[#This Row],[SC Qty (MT)]]</f>
        <v>8375</v>
      </c>
      <c r="AH124" s="7" t="str">
        <f>IF(CT[[#This Row],[Container Qty]]&lt;&gt;0,CT[[#This Row],[Sales Rate/MT (USD)]]*CT[[#This Row],[Container Qty]],"")</f>
        <v/>
      </c>
      <c r="AI124" s="7" t="str">
        <f>IF(CT[[#This Row],[Customer Final Price]]&lt;&gt;"",CT[[#This Row],[Customer Final Price]]-CT[[#This Row],[Customer  Prov. Price]],"")</f>
        <v/>
      </c>
      <c r="AJ124" t="s">
        <v>8</v>
      </c>
      <c r="AK124" s="1" t="s">
        <v>159</v>
      </c>
      <c r="AL124" s="1"/>
      <c r="AM124" s="100" t="s">
        <v>134</v>
      </c>
    </row>
    <row r="125" spans="1:39" x14ac:dyDescent="0.25">
      <c r="A125" t="s">
        <v>9</v>
      </c>
      <c r="B125" s="102" t="s">
        <v>189</v>
      </c>
      <c r="C125" s="81">
        <v>45873</v>
      </c>
      <c r="D125" s="1" t="s">
        <v>67</v>
      </c>
      <c r="F125" s="11"/>
      <c r="G125" s="3"/>
      <c r="H125" s="3"/>
      <c r="I125" s="1"/>
      <c r="J125" s="1" t="s">
        <v>174</v>
      </c>
      <c r="K125" s="1" t="s">
        <v>14</v>
      </c>
      <c r="L125" s="1"/>
      <c r="M125" s="14">
        <v>25</v>
      </c>
      <c r="N125" s="1"/>
      <c r="O125" s="7">
        <v>308</v>
      </c>
      <c r="P125" s="7">
        <f>CT[[#This Row],[Purchase Rate/MT (USD)]]*CT[[#This Row],[PC Qty (MT)]]</f>
        <v>7700</v>
      </c>
      <c r="Q125" s="7">
        <f>CT[[#This Row],[Purchase Rate/MT (USD)]]*CT[[#This Row],[Container Qty]]</f>
        <v>0</v>
      </c>
      <c r="R125" s="7" t="str">
        <f>IF(CT[[#This Row],[BL Number]]&lt;&gt;0,(CT[[#This Row],[Supplier Prov. Price]]-CT[[#This Row],[Supplier Final Price]])*1.2,"")</f>
        <v/>
      </c>
      <c r="S125" s="101">
        <v>1.3541000000000001</v>
      </c>
      <c r="T125" s="3"/>
      <c r="U125" s="7"/>
      <c r="V125" s="7"/>
      <c r="W125" s="24"/>
      <c r="X125" s="7">
        <f>IFERROR(CT[[#This Row],[Freight Charges]]+CT[[#This Row],[Inspection Cost/MT]]+CT[[#This Row],[DHL Charges PMT]],"")</f>
        <v>0</v>
      </c>
      <c r="Y125" s="7">
        <f>IFERROR(AF125-(O125+CT[[#This Row],[Cost Per MT]]),"")</f>
        <v>27</v>
      </c>
      <c r="Z125" s="7">
        <f>IFERROR(CT[[#This Row],[Margin/MT]]*CT[[#This Row],[Container Qty]],"")</f>
        <v>0</v>
      </c>
      <c r="AA125" s="7"/>
      <c r="AB125" t="s">
        <v>11</v>
      </c>
      <c r="AC125" s="1" t="s">
        <v>158</v>
      </c>
      <c r="AD125" s="3">
        <v>45861</v>
      </c>
      <c r="AE125" s="14">
        <f t="shared" si="31"/>
        <v>25</v>
      </c>
      <c r="AF125" s="7">
        <v>335</v>
      </c>
      <c r="AG125" s="7">
        <f>CT[[#This Row],[Sales Rate/MT (USD)]]*CT[[#This Row],[SC Qty (MT)]]</f>
        <v>8375</v>
      </c>
      <c r="AH125" s="7" t="str">
        <f>IF(CT[[#This Row],[Container Qty]]&lt;&gt;0,CT[[#This Row],[Sales Rate/MT (USD)]]*CT[[#This Row],[Container Qty]],"")</f>
        <v/>
      </c>
      <c r="AI125" s="7" t="str">
        <f>IF(CT[[#This Row],[Customer Final Price]]&lt;&gt;"",CT[[#This Row],[Customer Final Price]]-CT[[#This Row],[Customer  Prov. Price]],"")</f>
        <v/>
      </c>
      <c r="AJ125" t="s">
        <v>8</v>
      </c>
      <c r="AK125" s="1" t="s">
        <v>159</v>
      </c>
      <c r="AL125" s="1"/>
      <c r="AM125" s="100" t="s">
        <v>134</v>
      </c>
    </row>
    <row r="126" spans="1:39" x14ac:dyDescent="0.25">
      <c r="A126" t="s">
        <v>9</v>
      </c>
      <c r="B126" s="102" t="s">
        <v>189</v>
      </c>
      <c r="C126" s="81">
        <v>45873</v>
      </c>
      <c r="D126" s="1" t="s">
        <v>67</v>
      </c>
      <c r="F126" s="11"/>
      <c r="G126" s="3"/>
      <c r="H126" s="3"/>
      <c r="I126" s="1"/>
      <c r="J126" s="1" t="s">
        <v>174</v>
      </c>
      <c r="K126" s="1" t="s">
        <v>14</v>
      </c>
      <c r="L126" s="1"/>
      <c r="M126" s="14">
        <v>25</v>
      </c>
      <c r="N126" s="1"/>
      <c r="O126" s="7">
        <v>308</v>
      </c>
      <c r="P126" s="7">
        <f>CT[[#This Row],[Purchase Rate/MT (USD)]]*CT[[#This Row],[PC Qty (MT)]]</f>
        <v>7700</v>
      </c>
      <c r="Q126" s="7">
        <f>CT[[#This Row],[Purchase Rate/MT (USD)]]*CT[[#This Row],[Container Qty]]</f>
        <v>0</v>
      </c>
      <c r="R126" s="7" t="str">
        <f>IF(CT[[#This Row],[BL Number]]&lt;&gt;0,(CT[[#This Row],[Supplier Prov. Price]]-CT[[#This Row],[Supplier Final Price]])*1.2,"")</f>
        <v/>
      </c>
      <c r="S126" s="101">
        <v>1.3541000000000001</v>
      </c>
      <c r="T126" s="3"/>
      <c r="U126" s="7"/>
      <c r="V126" s="7"/>
      <c r="W126" s="24"/>
      <c r="X126" s="7">
        <f>IFERROR(CT[[#This Row],[Freight Charges]]+CT[[#This Row],[Inspection Cost/MT]]+CT[[#This Row],[DHL Charges PMT]],"")</f>
        <v>0</v>
      </c>
      <c r="Y126" s="7">
        <f>IFERROR(AF126-(O126+CT[[#This Row],[Cost Per MT]]),"")</f>
        <v>27</v>
      </c>
      <c r="Z126" s="7">
        <f>IFERROR(CT[[#This Row],[Margin/MT]]*CT[[#This Row],[Container Qty]],"")</f>
        <v>0</v>
      </c>
      <c r="AA126" s="7"/>
      <c r="AB126" t="s">
        <v>11</v>
      </c>
      <c r="AC126" s="1" t="s">
        <v>158</v>
      </c>
      <c r="AD126" s="3">
        <v>45861</v>
      </c>
      <c r="AE126" s="14">
        <f t="shared" si="31"/>
        <v>25</v>
      </c>
      <c r="AF126" s="7">
        <v>335</v>
      </c>
      <c r="AG126" s="7">
        <f>CT[[#This Row],[Sales Rate/MT (USD)]]*CT[[#This Row],[SC Qty (MT)]]</f>
        <v>8375</v>
      </c>
      <c r="AH126" s="7" t="str">
        <f>IF(CT[[#This Row],[Container Qty]]&lt;&gt;0,CT[[#This Row],[Sales Rate/MT (USD)]]*CT[[#This Row],[Container Qty]],"")</f>
        <v/>
      </c>
      <c r="AI126" s="7" t="str">
        <f>IF(CT[[#This Row],[Customer Final Price]]&lt;&gt;"",CT[[#This Row],[Customer Final Price]]-CT[[#This Row],[Customer  Prov. Price]],"")</f>
        <v/>
      </c>
      <c r="AJ126" t="s">
        <v>8</v>
      </c>
      <c r="AK126" s="1" t="s">
        <v>159</v>
      </c>
      <c r="AL126" s="1"/>
      <c r="AM126" s="100" t="s">
        <v>134</v>
      </c>
    </row>
    <row r="127" spans="1:39" x14ac:dyDescent="0.25">
      <c r="A127" t="s">
        <v>9</v>
      </c>
      <c r="B127" s="102" t="s">
        <v>189</v>
      </c>
      <c r="C127" s="81">
        <v>45873</v>
      </c>
      <c r="D127" s="1" t="s">
        <v>67</v>
      </c>
      <c r="F127" s="11"/>
      <c r="G127" s="3"/>
      <c r="H127" s="3"/>
      <c r="I127" s="1"/>
      <c r="J127" s="1" t="s">
        <v>174</v>
      </c>
      <c r="K127" s="1" t="s">
        <v>14</v>
      </c>
      <c r="L127" s="1"/>
      <c r="M127" s="14">
        <v>25</v>
      </c>
      <c r="N127" s="1"/>
      <c r="O127" s="7">
        <v>308</v>
      </c>
      <c r="P127" s="7">
        <f>CT[[#This Row],[Purchase Rate/MT (USD)]]*CT[[#This Row],[PC Qty (MT)]]</f>
        <v>7700</v>
      </c>
      <c r="Q127" s="7">
        <f>CT[[#This Row],[Purchase Rate/MT (USD)]]*CT[[#This Row],[Container Qty]]</f>
        <v>0</v>
      </c>
      <c r="R127" s="7" t="str">
        <f>IF(CT[[#This Row],[BL Number]]&lt;&gt;0,(CT[[#This Row],[Supplier Prov. Price]]-CT[[#This Row],[Supplier Final Price]])*1.2,"")</f>
        <v/>
      </c>
      <c r="S127" s="101">
        <v>1.3541000000000001</v>
      </c>
      <c r="T127" s="3"/>
      <c r="U127" s="7"/>
      <c r="V127" s="7"/>
      <c r="W127" s="24"/>
      <c r="X127" s="7">
        <f>IFERROR(CT[[#This Row],[Freight Charges]]+CT[[#This Row],[Inspection Cost/MT]]+CT[[#This Row],[DHL Charges PMT]],"")</f>
        <v>0</v>
      </c>
      <c r="Y127" s="7">
        <f>IFERROR(AF127-(O127+CT[[#This Row],[Cost Per MT]]),"")</f>
        <v>27</v>
      </c>
      <c r="Z127" s="7">
        <f>IFERROR(CT[[#This Row],[Margin/MT]]*CT[[#This Row],[Container Qty]],"")</f>
        <v>0</v>
      </c>
      <c r="AA127" s="7"/>
      <c r="AB127" t="s">
        <v>11</v>
      </c>
      <c r="AC127" s="1" t="s">
        <v>158</v>
      </c>
      <c r="AD127" s="3">
        <v>45861</v>
      </c>
      <c r="AE127" s="14">
        <f t="shared" si="31"/>
        <v>25</v>
      </c>
      <c r="AF127" s="7">
        <v>335</v>
      </c>
      <c r="AG127" s="7">
        <f>CT[[#This Row],[Sales Rate/MT (USD)]]*CT[[#This Row],[SC Qty (MT)]]</f>
        <v>8375</v>
      </c>
      <c r="AH127" s="7" t="str">
        <f>IF(CT[[#This Row],[Container Qty]]&lt;&gt;0,CT[[#This Row],[Sales Rate/MT (USD)]]*CT[[#This Row],[Container Qty]],"")</f>
        <v/>
      </c>
      <c r="AI127" s="7" t="str">
        <f>IF(CT[[#This Row],[Customer Final Price]]&lt;&gt;"",CT[[#This Row],[Customer Final Price]]-CT[[#This Row],[Customer  Prov. Price]],"")</f>
        <v/>
      </c>
      <c r="AJ127" t="s">
        <v>8</v>
      </c>
      <c r="AK127" s="1" t="s">
        <v>159</v>
      </c>
      <c r="AL127" s="1"/>
      <c r="AM127" s="100" t="s">
        <v>134</v>
      </c>
    </row>
    <row r="128" spans="1:39" x14ac:dyDescent="0.25">
      <c r="A128" t="s">
        <v>9</v>
      </c>
      <c r="B128" s="102" t="s">
        <v>189</v>
      </c>
      <c r="C128" s="81">
        <v>45873</v>
      </c>
      <c r="D128" s="1" t="s">
        <v>67</v>
      </c>
      <c r="F128" s="11"/>
      <c r="G128" s="3"/>
      <c r="H128" s="3"/>
      <c r="I128" s="1"/>
      <c r="J128" s="1" t="s">
        <v>174</v>
      </c>
      <c r="K128" s="1" t="s">
        <v>14</v>
      </c>
      <c r="L128" s="1"/>
      <c r="M128" s="14">
        <v>25</v>
      </c>
      <c r="N128" s="1"/>
      <c r="O128" s="7">
        <v>308</v>
      </c>
      <c r="P128" s="7">
        <f>CT[[#This Row],[Purchase Rate/MT (USD)]]*CT[[#This Row],[PC Qty (MT)]]</f>
        <v>7700</v>
      </c>
      <c r="Q128" s="7">
        <f>CT[[#This Row],[Purchase Rate/MT (USD)]]*CT[[#This Row],[Container Qty]]</f>
        <v>0</v>
      </c>
      <c r="R128" s="7" t="str">
        <f>IF(CT[[#This Row],[BL Number]]&lt;&gt;0,(CT[[#This Row],[Supplier Prov. Price]]-CT[[#This Row],[Supplier Final Price]])*1.2,"")</f>
        <v/>
      </c>
      <c r="S128" s="101">
        <v>1.3541000000000001</v>
      </c>
      <c r="T128" s="3"/>
      <c r="U128" s="7"/>
      <c r="V128" s="7"/>
      <c r="W128" s="24"/>
      <c r="X128" s="7">
        <f>IFERROR(CT[[#This Row],[Freight Charges]]+CT[[#This Row],[Inspection Cost/MT]]+CT[[#This Row],[DHL Charges PMT]],"")</f>
        <v>0</v>
      </c>
      <c r="Y128" s="7">
        <f>IFERROR(AF128-(O128+CT[[#This Row],[Cost Per MT]]),"")</f>
        <v>27</v>
      </c>
      <c r="Z128" s="7">
        <f>IFERROR(CT[[#This Row],[Margin/MT]]*CT[[#This Row],[Container Qty]],"")</f>
        <v>0</v>
      </c>
      <c r="AA128" s="7"/>
      <c r="AB128" t="s">
        <v>11</v>
      </c>
      <c r="AC128" s="1" t="s">
        <v>158</v>
      </c>
      <c r="AD128" s="3">
        <v>45861</v>
      </c>
      <c r="AE128" s="14">
        <f t="shared" si="31"/>
        <v>25</v>
      </c>
      <c r="AF128" s="7">
        <v>335</v>
      </c>
      <c r="AG128" s="7">
        <f>CT[[#This Row],[Sales Rate/MT (USD)]]*CT[[#This Row],[SC Qty (MT)]]</f>
        <v>8375</v>
      </c>
      <c r="AH128" s="7" t="str">
        <f>IF(CT[[#This Row],[Container Qty]]&lt;&gt;0,CT[[#This Row],[Sales Rate/MT (USD)]]*CT[[#This Row],[Container Qty]],"")</f>
        <v/>
      </c>
      <c r="AI128" s="7" t="str">
        <f>IF(CT[[#This Row],[Customer Final Price]]&lt;&gt;"",CT[[#This Row],[Customer Final Price]]-CT[[#This Row],[Customer  Prov. Price]],"")</f>
        <v/>
      </c>
      <c r="AJ128" t="s">
        <v>8</v>
      </c>
      <c r="AK128" s="1" t="s">
        <v>159</v>
      </c>
      <c r="AL128" s="1"/>
      <c r="AM128" s="100" t="s">
        <v>134</v>
      </c>
    </row>
    <row r="129" spans="1:39" x14ac:dyDescent="0.25">
      <c r="A129" t="s">
        <v>9</v>
      </c>
      <c r="B129" s="102" t="s">
        <v>189</v>
      </c>
      <c r="C129" s="81">
        <v>45873</v>
      </c>
      <c r="D129" s="1" t="s">
        <v>67</v>
      </c>
      <c r="F129" s="11"/>
      <c r="G129" s="3"/>
      <c r="H129" s="3"/>
      <c r="I129" s="1"/>
      <c r="J129" s="1" t="s">
        <v>174</v>
      </c>
      <c r="K129" s="1" t="s">
        <v>14</v>
      </c>
      <c r="L129" s="1"/>
      <c r="M129" s="14">
        <v>25</v>
      </c>
      <c r="N129" s="1"/>
      <c r="O129" s="7">
        <v>308</v>
      </c>
      <c r="P129" s="7">
        <f>CT[[#This Row],[Purchase Rate/MT (USD)]]*CT[[#This Row],[PC Qty (MT)]]</f>
        <v>7700</v>
      </c>
      <c r="Q129" s="7">
        <f>CT[[#This Row],[Purchase Rate/MT (USD)]]*CT[[#This Row],[Container Qty]]</f>
        <v>0</v>
      </c>
      <c r="R129" s="7" t="str">
        <f>IF(CT[[#This Row],[BL Number]]&lt;&gt;0,(CT[[#This Row],[Supplier Prov. Price]]-CT[[#This Row],[Supplier Final Price]])*1.2,"")</f>
        <v/>
      </c>
      <c r="S129" s="101">
        <v>1.3541000000000001</v>
      </c>
      <c r="T129" s="3"/>
      <c r="U129" s="7"/>
      <c r="V129" s="7"/>
      <c r="W129" s="24"/>
      <c r="X129" s="7">
        <f>IFERROR(CT[[#This Row],[Freight Charges]]+CT[[#This Row],[Inspection Cost/MT]]+CT[[#This Row],[DHL Charges PMT]],"")</f>
        <v>0</v>
      </c>
      <c r="Y129" s="7">
        <f>IFERROR(AF129-(O129+CT[[#This Row],[Cost Per MT]]),"")</f>
        <v>27</v>
      </c>
      <c r="Z129" s="7">
        <f>IFERROR(CT[[#This Row],[Margin/MT]]*CT[[#This Row],[Container Qty]],"")</f>
        <v>0</v>
      </c>
      <c r="AA129" s="7"/>
      <c r="AB129" t="s">
        <v>11</v>
      </c>
      <c r="AC129" s="1" t="s">
        <v>158</v>
      </c>
      <c r="AD129" s="3">
        <v>45861</v>
      </c>
      <c r="AE129" s="14">
        <f t="shared" si="31"/>
        <v>25</v>
      </c>
      <c r="AF129" s="7">
        <v>335</v>
      </c>
      <c r="AG129" s="7">
        <f>CT[[#This Row],[Sales Rate/MT (USD)]]*CT[[#This Row],[SC Qty (MT)]]</f>
        <v>8375</v>
      </c>
      <c r="AH129" s="7" t="str">
        <f>IF(CT[[#This Row],[Container Qty]]&lt;&gt;0,CT[[#This Row],[Sales Rate/MT (USD)]]*CT[[#This Row],[Container Qty]],"")</f>
        <v/>
      </c>
      <c r="AI129" s="7" t="str">
        <f>IF(CT[[#This Row],[Customer Final Price]]&lt;&gt;"",CT[[#This Row],[Customer Final Price]]-CT[[#This Row],[Customer  Prov. Price]],"")</f>
        <v/>
      </c>
      <c r="AJ129" t="s">
        <v>8</v>
      </c>
      <c r="AK129" s="1" t="s">
        <v>159</v>
      </c>
      <c r="AL129" s="1"/>
      <c r="AM129" s="100" t="s">
        <v>134</v>
      </c>
    </row>
    <row r="130" spans="1:39" x14ac:dyDescent="0.25">
      <c r="A130" t="s">
        <v>9</v>
      </c>
      <c r="B130" s="102" t="s">
        <v>189</v>
      </c>
      <c r="C130" s="81">
        <v>45873</v>
      </c>
      <c r="D130" s="1" t="s">
        <v>67</v>
      </c>
      <c r="F130" s="11"/>
      <c r="G130" s="3"/>
      <c r="H130" s="3"/>
      <c r="I130" s="1"/>
      <c r="J130" s="1" t="s">
        <v>174</v>
      </c>
      <c r="K130" s="1" t="s">
        <v>14</v>
      </c>
      <c r="L130" s="1"/>
      <c r="M130" s="14">
        <v>25</v>
      </c>
      <c r="N130" s="1"/>
      <c r="O130" s="7">
        <v>308</v>
      </c>
      <c r="P130" s="7">
        <f>CT[[#This Row],[Purchase Rate/MT (USD)]]*CT[[#This Row],[PC Qty (MT)]]</f>
        <v>7700</v>
      </c>
      <c r="Q130" s="7">
        <f>CT[[#This Row],[Purchase Rate/MT (USD)]]*CT[[#This Row],[Container Qty]]</f>
        <v>0</v>
      </c>
      <c r="R130" s="7" t="str">
        <f>IF(CT[[#This Row],[BL Number]]&lt;&gt;0,(CT[[#This Row],[Supplier Prov. Price]]-CT[[#This Row],[Supplier Final Price]])*1.2,"")</f>
        <v/>
      </c>
      <c r="S130" s="101">
        <v>1.3541000000000001</v>
      </c>
      <c r="T130" s="3"/>
      <c r="U130" s="7"/>
      <c r="V130" s="7"/>
      <c r="W130" s="24"/>
      <c r="X130" s="7">
        <f>IFERROR(CT[[#This Row],[Freight Charges]]+CT[[#This Row],[Inspection Cost/MT]]+CT[[#This Row],[DHL Charges PMT]],"")</f>
        <v>0</v>
      </c>
      <c r="Y130" s="7">
        <f>IFERROR(AF130-(O130+CT[[#This Row],[Cost Per MT]]),"")</f>
        <v>27</v>
      </c>
      <c r="Z130" s="7">
        <f>IFERROR(CT[[#This Row],[Margin/MT]]*CT[[#This Row],[Container Qty]],"")</f>
        <v>0</v>
      </c>
      <c r="AA130" s="7"/>
      <c r="AB130" t="s">
        <v>11</v>
      </c>
      <c r="AC130" s="1" t="s">
        <v>158</v>
      </c>
      <c r="AD130" s="3">
        <v>45861</v>
      </c>
      <c r="AE130" s="14">
        <f t="shared" si="31"/>
        <v>25</v>
      </c>
      <c r="AF130" s="7">
        <v>335</v>
      </c>
      <c r="AG130" s="7">
        <f>CT[[#This Row],[Sales Rate/MT (USD)]]*CT[[#This Row],[SC Qty (MT)]]</f>
        <v>8375</v>
      </c>
      <c r="AH130" s="7" t="str">
        <f>IF(CT[[#This Row],[Container Qty]]&lt;&gt;0,CT[[#This Row],[Sales Rate/MT (USD)]]*CT[[#This Row],[Container Qty]],"")</f>
        <v/>
      </c>
      <c r="AI130" s="7" t="str">
        <f>IF(CT[[#This Row],[Customer Final Price]]&lt;&gt;"",CT[[#This Row],[Customer Final Price]]-CT[[#This Row],[Customer  Prov. Price]],"")</f>
        <v/>
      </c>
      <c r="AJ130" t="s">
        <v>8</v>
      </c>
      <c r="AK130" s="1" t="s">
        <v>159</v>
      </c>
      <c r="AL130" s="1"/>
      <c r="AM130" s="100" t="s">
        <v>134</v>
      </c>
    </row>
    <row r="131" spans="1:39" x14ac:dyDescent="0.25">
      <c r="A131" t="s">
        <v>9</v>
      </c>
      <c r="B131" s="102" t="s">
        <v>189</v>
      </c>
      <c r="C131" s="81">
        <v>45873</v>
      </c>
      <c r="D131" s="1" t="s">
        <v>67</v>
      </c>
      <c r="F131" s="11"/>
      <c r="G131" s="3"/>
      <c r="H131" s="3"/>
      <c r="I131" s="1"/>
      <c r="J131" s="1" t="s">
        <v>174</v>
      </c>
      <c r="K131" s="1" t="s">
        <v>14</v>
      </c>
      <c r="L131" s="1"/>
      <c r="M131" s="14">
        <v>25</v>
      </c>
      <c r="N131" s="1"/>
      <c r="O131" s="7">
        <v>308</v>
      </c>
      <c r="P131" s="7">
        <f>CT[[#This Row],[Purchase Rate/MT (USD)]]*CT[[#This Row],[PC Qty (MT)]]</f>
        <v>7700</v>
      </c>
      <c r="Q131" s="7">
        <f>CT[[#This Row],[Purchase Rate/MT (USD)]]*CT[[#This Row],[Container Qty]]</f>
        <v>0</v>
      </c>
      <c r="R131" s="7" t="str">
        <f>IF(CT[[#This Row],[BL Number]]&lt;&gt;0,(CT[[#This Row],[Supplier Prov. Price]]-CT[[#This Row],[Supplier Final Price]])*1.2,"")</f>
        <v/>
      </c>
      <c r="S131" s="101">
        <v>1.3541000000000001</v>
      </c>
      <c r="T131" s="3"/>
      <c r="U131" s="7"/>
      <c r="V131" s="7"/>
      <c r="W131" s="24"/>
      <c r="X131" s="7">
        <f>IFERROR(CT[[#This Row],[Freight Charges]]+CT[[#This Row],[Inspection Cost/MT]]+CT[[#This Row],[DHL Charges PMT]],"")</f>
        <v>0</v>
      </c>
      <c r="Y131" s="7">
        <f>IFERROR(AF131-(O131+CT[[#This Row],[Cost Per MT]]),"")</f>
        <v>27</v>
      </c>
      <c r="Z131" s="7">
        <f>IFERROR(CT[[#This Row],[Margin/MT]]*CT[[#This Row],[Container Qty]],"")</f>
        <v>0</v>
      </c>
      <c r="AA131" s="7"/>
      <c r="AB131" t="s">
        <v>11</v>
      </c>
      <c r="AC131" s="1" t="s">
        <v>158</v>
      </c>
      <c r="AD131" s="3">
        <v>45861</v>
      </c>
      <c r="AE131" s="14">
        <f t="shared" si="31"/>
        <v>25</v>
      </c>
      <c r="AF131" s="7">
        <v>335</v>
      </c>
      <c r="AG131" s="7">
        <f>CT[[#This Row],[Sales Rate/MT (USD)]]*CT[[#This Row],[SC Qty (MT)]]</f>
        <v>8375</v>
      </c>
      <c r="AH131" s="7" t="str">
        <f>IF(CT[[#This Row],[Container Qty]]&lt;&gt;0,CT[[#This Row],[Sales Rate/MT (USD)]]*CT[[#This Row],[Container Qty]],"")</f>
        <v/>
      </c>
      <c r="AI131" s="7" t="str">
        <f>IF(CT[[#This Row],[Customer Final Price]]&lt;&gt;"",CT[[#This Row],[Customer Final Price]]-CT[[#This Row],[Customer  Prov. Price]],"")</f>
        <v/>
      </c>
      <c r="AJ131" t="s">
        <v>8</v>
      </c>
      <c r="AK131" s="1" t="s">
        <v>159</v>
      </c>
      <c r="AL131" s="1"/>
      <c r="AM131" s="100" t="s">
        <v>134</v>
      </c>
    </row>
    <row r="132" spans="1:39" x14ac:dyDescent="0.25">
      <c r="A132" t="s">
        <v>9</v>
      </c>
      <c r="B132" s="102" t="s">
        <v>189</v>
      </c>
      <c r="C132" s="81">
        <v>45873</v>
      </c>
      <c r="D132" s="1" t="s">
        <v>67</v>
      </c>
      <c r="F132" s="11"/>
      <c r="G132" s="3"/>
      <c r="H132" s="3"/>
      <c r="I132" s="1"/>
      <c r="J132" s="1" t="s">
        <v>174</v>
      </c>
      <c r="K132" s="1" t="s">
        <v>14</v>
      </c>
      <c r="L132" s="1"/>
      <c r="M132" s="14">
        <v>25</v>
      </c>
      <c r="N132" s="1"/>
      <c r="O132" s="7">
        <v>308</v>
      </c>
      <c r="P132" s="7">
        <f>CT[[#This Row],[Purchase Rate/MT (USD)]]*CT[[#This Row],[PC Qty (MT)]]</f>
        <v>7700</v>
      </c>
      <c r="Q132" s="7">
        <f>CT[[#This Row],[Purchase Rate/MT (USD)]]*CT[[#This Row],[Container Qty]]</f>
        <v>0</v>
      </c>
      <c r="R132" s="7" t="str">
        <f>IF(CT[[#This Row],[BL Number]]&lt;&gt;0,(CT[[#This Row],[Supplier Prov. Price]]-CT[[#This Row],[Supplier Final Price]])*1.2,"")</f>
        <v/>
      </c>
      <c r="S132" s="101">
        <v>1.3541000000000001</v>
      </c>
      <c r="T132" s="3"/>
      <c r="U132" s="7"/>
      <c r="V132" s="7"/>
      <c r="W132" s="24"/>
      <c r="X132" s="7">
        <f>IFERROR(CT[[#This Row],[Freight Charges]]+CT[[#This Row],[Inspection Cost/MT]]+CT[[#This Row],[DHL Charges PMT]],"")</f>
        <v>0</v>
      </c>
      <c r="Y132" s="7">
        <f>IFERROR(AF132-(O132+CT[[#This Row],[Cost Per MT]]),"")</f>
        <v>27</v>
      </c>
      <c r="Z132" s="7">
        <f>IFERROR(CT[[#This Row],[Margin/MT]]*CT[[#This Row],[Container Qty]],"")</f>
        <v>0</v>
      </c>
      <c r="AA132" s="7"/>
      <c r="AB132" t="s">
        <v>11</v>
      </c>
      <c r="AC132" s="1" t="s">
        <v>158</v>
      </c>
      <c r="AD132" s="3">
        <v>45861</v>
      </c>
      <c r="AE132" s="14">
        <f t="shared" si="31"/>
        <v>25</v>
      </c>
      <c r="AF132" s="7">
        <v>335</v>
      </c>
      <c r="AG132" s="7">
        <f>CT[[#This Row],[Sales Rate/MT (USD)]]*CT[[#This Row],[SC Qty (MT)]]</f>
        <v>8375</v>
      </c>
      <c r="AH132" s="7" t="str">
        <f>IF(CT[[#This Row],[Container Qty]]&lt;&gt;0,CT[[#This Row],[Sales Rate/MT (USD)]]*CT[[#This Row],[Container Qty]],"")</f>
        <v/>
      </c>
      <c r="AI132" s="7" t="str">
        <f>IF(CT[[#This Row],[Customer Final Price]]&lt;&gt;"",CT[[#This Row],[Customer Final Price]]-CT[[#This Row],[Customer  Prov. Price]],"")</f>
        <v/>
      </c>
      <c r="AJ132" t="s">
        <v>8</v>
      </c>
      <c r="AK132" s="1" t="s">
        <v>159</v>
      </c>
      <c r="AL132" s="1"/>
      <c r="AM132" s="100" t="s">
        <v>134</v>
      </c>
    </row>
    <row r="133" spans="1:39" x14ac:dyDescent="0.25">
      <c r="A133" t="s">
        <v>9</v>
      </c>
      <c r="B133" s="102"/>
      <c r="C133" s="81"/>
      <c r="D133" s="1" t="s">
        <v>67</v>
      </c>
      <c r="F133" s="11"/>
      <c r="G133" s="3"/>
      <c r="H133" s="3"/>
      <c r="I133" s="1"/>
      <c r="J133" s="1"/>
      <c r="K133" s="1"/>
      <c r="L133" s="1"/>
      <c r="M133" s="14">
        <v>25</v>
      </c>
      <c r="N133" s="1"/>
      <c r="O133" s="7"/>
      <c r="P133" s="7">
        <f>CT[[#This Row],[Purchase Rate/MT (USD)]]*CT[[#This Row],[PC Qty (MT)]]</f>
        <v>0</v>
      </c>
      <c r="Q133" s="7">
        <f>CT[[#This Row],[Purchase Rate/MT (USD)]]*CT[[#This Row],[Container Qty]]</f>
        <v>0</v>
      </c>
      <c r="R133" s="7" t="str">
        <f>IF(CT[[#This Row],[BL Number]]&lt;&gt;0,(CT[[#This Row],[Supplier Prov. Price]]-CT[[#This Row],[Supplier Final Price]])*1.2,"")</f>
        <v/>
      </c>
      <c r="S133" s="101"/>
      <c r="T133" s="3"/>
      <c r="U133" s="7"/>
      <c r="V133" s="7"/>
      <c r="W133" s="24"/>
      <c r="X133" s="7">
        <f>IFERROR(CT[[#This Row],[Freight Charges]]+CT[[#This Row],[Inspection Cost/MT]]+CT[[#This Row],[DHL Charges PMT]],"")</f>
        <v>0</v>
      </c>
      <c r="Y133" s="7">
        <f>IFERROR(AF133-(O133+CT[[#This Row],[Cost Per MT]]),"")</f>
        <v>335</v>
      </c>
      <c r="Z133" s="7">
        <f>IFERROR(CT[[#This Row],[Margin/MT]]*CT[[#This Row],[Container Qty]],"")</f>
        <v>0</v>
      </c>
      <c r="AA133" s="7"/>
      <c r="AB133" t="s">
        <v>11</v>
      </c>
      <c r="AC133" s="1" t="s">
        <v>158</v>
      </c>
      <c r="AD133" s="3">
        <v>45861</v>
      </c>
      <c r="AE133" s="14">
        <f t="shared" si="31"/>
        <v>25</v>
      </c>
      <c r="AF133" s="7">
        <v>335</v>
      </c>
      <c r="AG133" s="7">
        <f>CT[[#This Row],[Sales Rate/MT (USD)]]*CT[[#This Row],[SC Qty (MT)]]</f>
        <v>8375</v>
      </c>
      <c r="AH133" s="7" t="str">
        <f>IF(CT[[#This Row],[Container Qty]]&lt;&gt;0,CT[[#This Row],[Sales Rate/MT (USD)]]*CT[[#This Row],[Container Qty]],"")</f>
        <v/>
      </c>
      <c r="AI133" s="7" t="str">
        <f>IF(CT[[#This Row],[Customer Final Price]]&lt;&gt;"",CT[[#This Row],[Customer Final Price]]-CT[[#This Row],[Customer  Prov. Price]],"")</f>
        <v/>
      </c>
      <c r="AJ133" t="s">
        <v>8</v>
      </c>
      <c r="AK133" s="1" t="s">
        <v>159</v>
      </c>
      <c r="AL133" s="1"/>
      <c r="AM133" s="100" t="s">
        <v>134</v>
      </c>
    </row>
    <row r="134" spans="1:39" x14ac:dyDescent="0.25">
      <c r="A134" t="s">
        <v>9</v>
      </c>
      <c r="B134" s="102"/>
      <c r="C134" s="81"/>
      <c r="D134" s="1" t="s">
        <v>67</v>
      </c>
      <c r="F134" s="11"/>
      <c r="G134" s="3"/>
      <c r="H134" s="3"/>
      <c r="I134" s="1"/>
      <c r="J134" s="1"/>
      <c r="K134" s="1"/>
      <c r="L134" s="1"/>
      <c r="M134" s="14">
        <v>25</v>
      </c>
      <c r="N134" s="1"/>
      <c r="O134" s="7"/>
      <c r="P134" s="7">
        <f>CT[[#This Row],[Purchase Rate/MT (USD)]]*CT[[#This Row],[PC Qty (MT)]]</f>
        <v>0</v>
      </c>
      <c r="Q134" s="7">
        <f>CT[[#This Row],[Purchase Rate/MT (USD)]]*CT[[#This Row],[Container Qty]]</f>
        <v>0</v>
      </c>
      <c r="R134" s="7" t="str">
        <f>IF(CT[[#This Row],[BL Number]]&lt;&gt;0,(CT[[#This Row],[Supplier Prov. Price]]-CT[[#This Row],[Supplier Final Price]])*1.2,"")</f>
        <v/>
      </c>
      <c r="S134" s="101"/>
      <c r="T134" s="3"/>
      <c r="U134" s="7"/>
      <c r="V134" s="7"/>
      <c r="W134" s="24"/>
      <c r="X134" s="7">
        <f>IFERROR(CT[[#This Row],[Freight Charges]]+CT[[#This Row],[Inspection Cost/MT]]+CT[[#This Row],[DHL Charges PMT]],"")</f>
        <v>0</v>
      </c>
      <c r="Y134" s="7">
        <f>IFERROR(AF134-(O134+CT[[#This Row],[Cost Per MT]]),"")</f>
        <v>335</v>
      </c>
      <c r="Z134" s="7">
        <f>IFERROR(CT[[#This Row],[Margin/MT]]*CT[[#This Row],[Container Qty]],"")</f>
        <v>0</v>
      </c>
      <c r="AA134" s="7"/>
      <c r="AB134" t="s">
        <v>11</v>
      </c>
      <c r="AC134" s="1" t="s">
        <v>158</v>
      </c>
      <c r="AD134" s="3">
        <v>45861</v>
      </c>
      <c r="AE134" s="14">
        <f t="shared" si="31"/>
        <v>25</v>
      </c>
      <c r="AF134" s="7">
        <v>335</v>
      </c>
      <c r="AG134" s="7">
        <f>CT[[#This Row],[Sales Rate/MT (USD)]]*CT[[#This Row],[SC Qty (MT)]]</f>
        <v>8375</v>
      </c>
      <c r="AH134" s="7" t="str">
        <f>IF(CT[[#This Row],[Container Qty]]&lt;&gt;0,CT[[#This Row],[Sales Rate/MT (USD)]]*CT[[#This Row],[Container Qty]],"")</f>
        <v/>
      </c>
      <c r="AI134" s="7" t="str">
        <f>IF(CT[[#This Row],[Customer Final Price]]&lt;&gt;"",CT[[#This Row],[Customer Final Price]]-CT[[#This Row],[Customer  Prov. Price]],"")</f>
        <v/>
      </c>
      <c r="AJ134" t="s">
        <v>8</v>
      </c>
      <c r="AK134" s="1" t="s">
        <v>159</v>
      </c>
      <c r="AL134" s="1"/>
      <c r="AM134" s="100" t="s">
        <v>134</v>
      </c>
    </row>
    <row r="135" spans="1:39" x14ac:dyDescent="0.25">
      <c r="A135" t="s">
        <v>9</v>
      </c>
      <c r="B135" s="102"/>
      <c r="C135" s="81"/>
      <c r="D135" s="1" t="s">
        <v>67</v>
      </c>
      <c r="F135" s="11"/>
      <c r="G135" s="3"/>
      <c r="H135" s="3"/>
      <c r="I135" s="1"/>
      <c r="J135" s="1"/>
      <c r="K135" s="1"/>
      <c r="L135" s="1"/>
      <c r="M135" s="14">
        <v>25</v>
      </c>
      <c r="N135" s="1"/>
      <c r="O135" s="7"/>
      <c r="P135" s="7">
        <f>CT[[#This Row],[Purchase Rate/MT (USD)]]*CT[[#This Row],[PC Qty (MT)]]</f>
        <v>0</v>
      </c>
      <c r="Q135" s="7">
        <f>CT[[#This Row],[Purchase Rate/MT (USD)]]*CT[[#This Row],[Container Qty]]</f>
        <v>0</v>
      </c>
      <c r="R135" s="7" t="str">
        <f>IF(CT[[#This Row],[BL Number]]&lt;&gt;0,(CT[[#This Row],[Supplier Prov. Price]]-CT[[#This Row],[Supplier Final Price]])*1.2,"")</f>
        <v/>
      </c>
      <c r="S135" s="101"/>
      <c r="T135" s="3"/>
      <c r="U135" s="7"/>
      <c r="V135" s="7"/>
      <c r="W135" s="24"/>
      <c r="X135" s="7">
        <f>IFERROR(CT[[#This Row],[Freight Charges]]+CT[[#This Row],[Inspection Cost/MT]]+CT[[#This Row],[DHL Charges PMT]],"")</f>
        <v>0</v>
      </c>
      <c r="Y135" s="7">
        <f>IFERROR(AF135-(O135+CT[[#This Row],[Cost Per MT]]),"")</f>
        <v>335</v>
      </c>
      <c r="Z135" s="7">
        <f>IFERROR(CT[[#This Row],[Margin/MT]]*CT[[#This Row],[Container Qty]],"")</f>
        <v>0</v>
      </c>
      <c r="AA135" s="7"/>
      <c r="AB135" t="s">
        <v>11</v>
      </c>
      <c r="AC135" s="1" t="s">
        <v>158</v>
      </c>
      <c r="AD135" s="3">
        <v>45861</v>
      </c>
      <c r="AE135" s="14">
        <f t="shared" si="31"/>
        <v>25</v>
      </c>
      <c r="AF135" s="7">
        <v>335</v>
      </c>
      <c r="AG135" s="7">
        <f>CT[[#This Row],[Sales Rate/MT (USD)]]*CT[[#This Row],[SC Qty (MT)]]</f>
        <v>8375</v>
      </c>
      <c r="AH135" s="7" t="str">
        <f>IF(CT[[#This Row],[Container Qty]]&lt;&gt;0,CT[[#This Row],[Sales Rate/MT (USD)]]*CT[[#This Row],[Container Qty]],"")</f>
        <v/>
      </c>
      <c r="AI135" s="7" t="str">
        <f>IF(CT[[#This Row],[Customer Final Price]]&lt;&gt;"",CT[[#This Row],[Customer Final Price]]-CT[[#This Row],[Customer  Prov. Price]],"")</f>
        <v/>
      </c>
      <c r="AJ135" t="s">
        <v>8</v>
      </c>
      <c r="AK135" s="1" t="s">
        <v>159</v>
      </c>
      <c r="AL135" s="1"/>
      <c r="AM135" s="100" t="s">
        <v>134</v>
      </c>
    </row>
    <row r="136" spans="1:39" x14ac:dyDescent="0.25">
      <c r="A136" t="s">
        <v>9</v>
      </c>
      <c r="B136" s="102"/>
      <c r="C136" s="81"/>
      <c r="D136" s="1" t="s">
        <v>67</v>
      </c>
      <c r="F136" s="11"/>
      <c r="G136" s="3"/>
      <c r="H136" s="3"/>
      <c r="I136" s="1"/>
      <c r="J136" s="1"/>
      <c r="K136" s="1"/>
      <c r="L136" s="1"/>
      <c r="M136" s="14">
        <v>25</v>
      </c>
      <c r="N136" s="1"/>
      <c r="O136" s="7"/>
      <c r="P136" s="7">
        <f>CT[[#This Row],[Purchase Rate/MT (USD)]]*CT[[#This Row],[PC Qty (MT)]]</f>
        <v>0</v>
      </c>
      <c r="Q136" s="7">
        <f>CT[[#This Row],[Purchase Rate/MT (USD)]]*CT[[#This Row],[Container Qty]]</f>
        <v>0</v>
      </c>
      <c r="R136" s="7" t="str">
        <f>IF(CT[[#This Row],[BL Number]]&lt;&gt;0,(CT[[#This Row],[Supplier Prov. Price]]-CT[[#This Row],[Supplier Final Price]])*1.2,"")</f>
        <v/>
      </c>
      <c r="S136" s="101"/>
      <c r="T136" s="3"/>
      <c r="U136" s="7"/>
      <c r="V136" s="7"/>
      <c r="W136" s="24"/>
      <c r="X136" s="7">
        <f>IFERROR(CT[[#This Row],[Freight Charges]]+CT[[#This Row],[Inspection Cost/MT]]+CT[[#This Row],[DHL Charges PMT]],"")</f>
        <v>0</v>
      </c>
      <c r="Y136" s="7">
        <f>IFERROR(AF136-(O136+CT[[#This Row],[Cost Per MT]]),"")</f>
        <v>335</v>
      </c>
      <c r="Z136" s="7">
        <f>IFERROR(CT[[#This Row],[Margin/MT]]*CT[[#This Row],[Container Qty]],"")</f>
        <v>0</v>
      </c>
      <c r="AA136" s="7"/>
      <c r="AB136" t="s">
        <v>11</v>
      </c>
      <c r="AC136" s="1" t="s">
        <v>158</v>
      </c>
      <c r="AD136" s="3">
        <v>45861</v>
      </c>
      <c r="AE136" s="14">
        <f t="shared" si="31"/>
        <v>25</v>
      </c>
      <c r="AF136" s="7">
        <v>335</v>
      </c>
      <c r="AG136" s="7">
        <f>CT[[#This Row],[Sales Rate/MT (USD)]]*CT[[#This Row],[SC Qty (MT)]]</f>
        <v>8375</v>
      </c>
      <c r="AH136" s="7" t="str">
        <f>IF(CT[[#This Row],[Container Qty]]&lt;&gt;0,CT[[#This Row],[Sales Rate/MT (USD)]]*CT[[#This Row],[Container Qty]],"")</f>
        <v/>
      </c>
      <c r="AI136" s="7" t="str">
        <f>IF(CT[[#This Row],[Customer Final Price]]&lt;&gt;"",CT[[#This Row],[Customer Final Price]]-CT[[#This Row],[Customer  Prov. Price]],"")</f>
        <v/>
      </c>
      <c r="AJ136" t="s">
        <v>8</v>
      </c>
      <c r="AK136" s="1" t="s">
        <v>159</v>
      </c>
      <c r="AL136" s="1"/>
      <c r="AM136" s="100" t="s">
        <v>134</v>
      </c>
    </row>
    <row r="137" spans="1:39" x14ac:dyDescent="0.25">
      <c r="A137" t="s">
        <v>9</v>
      </c>
      <c r="B137" s="102"/>
      <c r="C137" s="81"/>
      <c r="D137" s="1" t="s">
        <v>67</v>
      </c>
      <c r="F137" s="11"/>
      <c r="G137" s="3"/>
      <c r="H137" s="3"/>
      <c r="I137" s="1"/>
      <c r="J137" s="1"/>
      <c r="K137" s="1"/>
      <c r="L137" s="1"/>
      <c r="M137" s="14">
        <v>25</v>
      </c>
      <c r="N137" s="1"/>
      <c r="O137" s="7"/>
      <c r="P137" s="7">
        <f>CT[[#This Row],[Purchase Rate/MT (USD)]]*CT[[#This Row],[PC Qty (MT)]]</f>
        <v>0</v>
      </c>
      <c r="Q137" s="7">
        <f>CT[[#This Row],[Purchase Rate/MT (USD)]]*CT[[#This Row],[Container Qty]]</f>
        <v>0</v>
      </c>
      <c r="R137" s="7" t="str">
        <f>IF(CT[[#This Row],[BL Number]]&lt;&gt;0,(CT[[#This Row],[Supplier Prov. Price]]-CT[[#This Row],[Supplier Final Price]])*1.2,"")</f>
        <v/>
      </c>
      <c r="S137" s="101"/>
      <c r="T137" s="3"/>
      <c r="U137" s="7"/>
      <c r="V137" s="7"/>
      <c r="W137" s="24"/>
      <c r="X137" s="7">
        <f>IFERROR(CT[[#This Row],[Freight Charges]]+CT[[#This Row],[Inspection Cost/MT]]+CT[[#This Row],[DHL Charges PMT]],"")</f>
        <v>0</v>
      </c>
      <c r="Y137" s="7">
        <f>IFERROR(AF137-(O137+CT[[#This Row],[Cost Per MT]]),"")</f>
        <v>335</v>
      </c>
      <c r="Z137" s="7">
        <f>IFERROR(CT[[#This Row],[Margin/MT]]*CT[[#This Row],[Container Qty]],"")</f>
        <v>0</v>
      </c>
      <c r="AA137" s="7"/>
      <c r="AB137" t="s">
        <v>11</v>
      </c>
      <c r="AC137" s="1" t="s">
        <v>158</v>
      </c>
      <c r="AD137" s="3">
        <v>45861</v>
      </c>
      <c r="AE137" s="14">
        <f t="shared" ref="AE137:AE200" si="32">7500/300</f>
        <v>25</v>
      </c>
      <c r="AF137" s="7">
        <v>335</v>
      </c>
      <c r="AG137" s="7">
        <f>CT[[#This Row],[Sales Rate/MT (USD)]]*CT[[#This Row],[SC Qty (MT)]]</f>
        <v>8375</v>
      </c>
      <c r="AH137" s="7" t="str">
        <f>IF(CT[[#This Row],[Container Qty]]&lt;&gt;0,CT[[#This Row],[Sales Rate/MT (USD)]]*CT[[#This Row],[Container Qty]],"")</f>
        <v/>
      </c>
      <c r="AI137" s="7" t="str">
        <f>IF(CT[[#This Row],[Customer Final Price]]&lt;&gt;"",CT[[#This Row],[Customer Final Price]]-CT[[#This Row],[Customer  Prov. Price]],"")</f>
        <v/>
      </c>
      <c r="AJ137" t="s">
        <v>8</v>
      </c>
      <c r="AK137" s="1" t="s">
        <v>159</v>
      </c>
      <c r="AL137" s="1"/>
      <c r="AM137" s="100" t="s">
        <v>134</v>
      </c>
    </row>
    <row r="138" spans="1:39" x14ac:dyDescent="0.25">
      <c r="A138" t="s">
        <v>9</v>
      </c>
      <c r="B138" s="102"/>
      <c r="C138" s="81"/>
      <c r="D138" s="1" t="s">
        <v>67</v>
      </c>
      <c r="F138" s="11"/>
      <c r="G138" s="3"/>
      <c r="H138" s="3"/>
      <c r="I138" s="1"/>
      <c r="J138" s="1"/>
      <c r="K138" s="1"/>
      <c r="L138" s="1"/>
      <c r="M138" s="14">
        <v>25</v>
      </c>
      <c r="N138" s="1"/>
      <c r="O138" s="7"/>
      <c r="P138" s="7">
        <f>CT[[#This Row],[Purchase Rate/MT (USD)]]*CT[[#This Row],[PC Qty (MT)]]</f>
        <v>0</v>
      </c>
      <c r="Q138" s="7">
        <f>CT[[#This Row],[Purchase Rate/MT (USD)]]*CT[[#This Row],[Container Qty]]</f>
        <v>0</v>
      </c>
      <c r="R138" s="7" t="str">
        <f>IF(CT[[#This Row],[BL Number]]&lt;&gt;0,(CT[[#This Row],[Supplier Prov. Price]]-CT[[#This Row],[Supplier Final Price]])*1.2,"")</f>
        <v/>
      </c>
      <c r="S138" s="101"/>
      <c r="T138" s="3"/>
      <c r="U138" s="7"/>
      <c r="V138" s="7"/>
      <c r="W138" s="24"/>
      <c r="X138" s="7">
        <f>IFERROR(CT[[#This Row],[Freight Charges]]+CT[[#This Row],[Inspection Cost/MT]]+CT[[#This Row],[DHL Charges PMT]],"")</f>
        <v>0</v>
      </c>
      <c r="Y138" s="7">
        <f>IFERROR(AF138-(O138+CT[[#This Row],[Cost Per MT]]),"")</f>
        <v>335</v>
      </c>
      <c r="Z138" s="7">
        <f>IFERROR(CT[[#This Row],[Margin/MT]]*CT[[#This Row],[Container Qty]],"")</f>
        <v>0</v>
      </c>
      <c r="AA138" s="7"/>
      <c r="AB138" t="s">
        <v>11</v>
      </c>
      <c r="AC138" s="1" t="s">
        <v>158</v>
      </c>
      <c r="AD138" s="3">
        <v>45861</v>
      </c>
      <c r="AE138" s="14">
        <f t="shared" si="32"/>
        <v>25</v>
      </c>
      <c r="AF138" s="7">
        <v>335</v>
      </c>
      <c r="AG138" s="7">
        <f>CT[[#This Row],[Sales Rate/MT (USD)]]*CT[[#This Row],[SC Qty (MT)]]</f>
        <v>8375</v>
      </c>
      <c r="AH138" s="7" t="str">
        <f>IF(CT[[#This Row],[Container Qty]]&lt;&gt;0,CT[[#This Row],[Sales Rate/MT (USD)]]*CT[[#This Row],[Container Qty]],"")</f>
        <v/>
      </c>
      <c r="AI138" s="7" t="str">
        <f>IF(CT[[#This Row],[Customer Final Price]]&lt;&gt;"",CT[[#This Row],[Customer Final Price]]-CT[[#This Row],[Customer  Prov. Price]],"")</f>
        <v/>
      </c>
      <c r="AJ138" t="s">
        <v>8</v>
      </c>
      <c r="AK138" s="1" t="s">
        <v>159</v>
      </c>
      <c r="AL138" s="1"/>
      <c r="AM138" s="100" t="s">
        <v>134</v>
      </c>
    </row>
    <row r="139" spans="1:39" x14ac:dyDescent="0.25">
      <c r="A139" t="s">
        <v>9</v>
      </c>
      <c r="B139" s="102"/>
      <c r="C139" s="81"/>
      <c r="D139" s="1" t="s">
        <v>67</v>
      </c>
      <c r="F139" s="11"/>
      <c r="G139" s="3"/>
      <c r="H139" s="3"/>
      <c r="I139" s="1"/>
      <c r="J139" s="1"/>
      <c r="K139" s="1"/>
      <c r="L139" s="1"/>
      <c r="M139" s="14">
        <v>25</v>
      </c>
      <c r="N139" s="1"/>
      <c r="O139" s="7"/>
      <c r="P139" s="7">
        <f>CT[[#This Row],[Purchase Rate/MT (USD)]]*CT[[#This Row],[PC Qty (MT)]]</f>
        <v>0</v>
      </c>
      <c r="Q139" s="7">
        <f>CT[[#This Row],[Purchase Rate/MT (USD)]]*CT[[#This Row],[Container Qty]]</f>
        <v>0</v>
      </c>
      <c r="R139" s="7" t="str">
        <f>IF(CT[[#This Row],[BL Number]]&lt;&gt;0,(CT[[#This Row],[Supplier Prov. Price]]-CT[[#This Row],[Supplier Final Price]])*1.2,"")</f>
        <v/>
      </c>
      <c r="S139" s="101"/>
      <c r="T139" s="3"/>
      <c r="U139" s="7"/>
      <c r="V139" s="7"/>
      <c r="W139" s="24"/>
      <c r="X139" s="7">
        <f>IFERROR(CT[[#This Row],[Freight Charges]]+CT[[#This Row],[Inspection Cost/MT]]+CT[[#This Row],[DHL Charges PMT]],"")</f>
        <v>0</v>
      </c>
      <c r="Y139" s="7">
        <f>IFERROR(AF139-(O139+CT[[#This Row],[Cost Per MT]]),"")</f>
        <v>335</v>
      </c>
      <c r="Z139" s="7">
        <f>IFERROR(CT[[#This Row],[Margin/MT]]*CT[[#This Row],[Container Qty]],"")</f>
        <v>0</v>
      </c>
      <c r="AA139" s="7"/>
      <c r="AB139" t="s">
        <v>11</v>
      </c>
      <c r="AC139" s="1" t="s">
        <v>158</v>
      </c>
      <c r="AD139" s="3">
        <v>45861</v>
      </c>
      <c r="AE139" s="14">
        <f t="shared" si="32"/>
        <v>25</v>
      </c>
      <c r="AF139" s="7">
        <v>335</v>
      </c>
      <c r="AG139" s="7">
        <f>CT[[#This Row],[Sales Rate/MT (USD)]]*CT[[#This Row],[SC Qty (MT)]]</f>
        <v>8375</v>
      </c>
      <c r="AH139" s="7" t="str">
        <f>IF(CT[[#This Row],[Container Qty]]&lt;&gt;0,CT[[#This Row],[Sales Rate/MT (USD)]]*CT[[#This Row],[Container Qty]],"")</f>
        <v/>
      </c>
      <c r="AI139" s="7" t="str">
        <f>IF(CT[[#This Row],[Customer Final Price]]&lt;&gt;"",CT[[#This Row],[Customer Final Price]]-CT[[#This Row],[Customer  Prov. Price]],"")</f>
        <v/>
      </c>
      <c r="AJ139" t="s">
        <v>8</v>
      </c>
      <c r="AK139" s="1" t="s">
        <v>159</v>
      </c>
      <c r="AL139" s="1"/>
      <c r="AM139" s="100" t="s">
        <v>134</v>
      </c>
    </row>
    <row r="140" spans="1:39" x14ac:dyDescent="0.25">
      <c r="A140" t="s">
        <v>9</v>
      </c>
      <c r="B140" s="102"/>
      <c r="C140" s="81"/>
      <c r="D140" s="1" t="s">
        <v>67</v>
      </c>
      <c r="F140" s="11"/>
      <c r="G140" s="3"/>
      <c r="H140" s="3"/>
      <c r="I140" s="1"/>
      <c r="J140" s="1"/>
      <c r="K140" s="1"/>
      <c r="L140" s="1"/>
      <c r="M140" s="14">
        <v>25</v>
      </c>
      <c r="N140" s="1"/>
      <c r="O140" s="7"/>
      <c r="P140" s="7">
        <f>CT[[#This Row],[Purchase Rate/MT (USD)]]*CT[[#This Row],[PC Qty (MT)]]</f>
        <v>0</v>
      </c>
      <c r="Q140" s="7">
        <f>CT[[#This Row],[Purchase Rate/MT (USD)]]*CT[[#This Row],[Container Qty]]</f>
        <v>0</v>
      </c>
      <c r="R140" s="7" t="str">
        <f>IF(CT[[#This Row],[BL Number]]&lt;&gt;0,(CT[[#This Row],[Supplier Prov. Price]]-CT[[#This Row],[Supplier Final Price]])*1.2,"")</f>
        <v/>
      </c>
      <c r="S140" s="101"/>
      <c r="T140" s="3"/>
      <c r="U140" s="7"/>
      <c r="V140" s="7"/>
      <c r="W140" s="24"/>
      <c r="X140" s="7">
        <f>IFERROR(CT[[#This Row],[Freight Charges]]+CT[[#This Row],[Inspection Cost/MT]]+CT[[#This Row],[DHL Charges PMT]],"")</f>
        <v>0</v>
      </c>
      <c r="Y140" s="7">
        <f>IFERROR(AF140-(O140+CT[[#This Row],[Cost Per MT]]),"")</f>
        <v>335</v>
      </c>
      <c r="Z140" s="7">
        <f>IFERROR(CT[[#This Row],[Margin/MT]]*CT[[#This Row],[Container Qty]],"")</f>
        <v>0</v>
      </c>
      <c r="AA140" s="7"/>
      <c r="AB140" t="s">
        <v>11</v>
      </c>
      <c r="AC140" s="1" t="s">
        <v>158</v>
      </c>
      <c r="AD140" s="3">
        <v>45861</v>
      </c>
      <c r="AE140" s="14">
        <f t="shared" si="32"/>
        <v>25</v>
      </c>
      <c r="AF140" s="7">
        <v>335</v>
      </c>
      <c r="AG140" s="7">
        <f>CT[[#This Row],[Sales Rate/MT (USD)]]*CT[[#This Row],[SC Qty (MT)]]</f>
        <v>8375</v>
      </c>
      <c r="AH140" s="7" t="str">
        <f>IF(CT[[#This Row],[Container Qty]]&lt;&gt;0,CT[[#This Row],[Sales Rate/MT (USD)]]*CT[[#This Row],[Container Qty]],"")</f>
        <v/>
      </c>
      <c r="AI140" s="7" t="str">
        <f>IF(CT[[#This Row],[Customer Final Price]]&lt;&gt;"",CT[[#This Row],[Customer Final Price]]-CT[[#This Row],[Customer  Prov. Price]],"")</f>
        <v/>
      </c>
      <c r="AJ140" t="s">
        <v>8</v>
      </c>
      <c r="AK140" s="1" t="s">
        <v>159</v>
      </c>
      <c r="AL140" s="1"/>
      <c r="AM140" s="100" t="s">
        <v>134</v>
      </c>
    </row>
    <row r="141" spans="1:39" x14ac:dyDescent="0.25">
      <c r="A141" t="s">
        <v>9</v>
      </c>
      <c r="B141" s="102"/>
      <c r="C141" s="81"/>
      <c r="D141" s="1" t="s">
        <v>67</v>
      </c>
      <c r="F141" s="11"/>
      <c r="G141" s="3"/>
      <c r="H141" s="3"/>
      <c r="I141" s="1"/>
      <c r="J141" s="1"/>
      <c r="K141" s="1"/>
      <c r="L141" s="1"/>
      <c r="M141" s="14">
        <v>25</v>
      </c>
      <c r="N141" s="1"/>
      <c r="O141" s="7"/>
      <c r="P141" s="7">
        <f>CT[[#This Row],[Purchase Rate/MT (USD)]]*CT[[#This Row],[PC Qty (MT)]]</f>
        <v>0</v>
      </c>
      <c r="Q141" s="7">
        <f>CT[[#This Row],[Purchase Rate/MT (USD)]]*CT[[#This Row],[Container Qty]]</f>
        <v>0</v>
      </c>
      <c r="R141" s="7" t="str">
        <f>IF(CT[[#This Row],[BL Number]]&lt;&gt;0,(CT[[#This Row],[Supplier Prov. Price]]-CT[[#This Row],[Supplier Final Price]])*1.2,"")</f>
        <v/>
      </c>
      <c r="S141" s="101"/>
      <c r="T141" s="3"/>
      <c r="U141" s="7"/>
      <c r="V141" s="7"/>
      <c r="W141" s="24"/>
      <c r="X141" s="7">
        <f>IFERROR(CT[[#This Row],[Freight Charges]]+CT[[#This Row],[Inspection Cost/MT]]+CT[[#This Row],[DHL Charges PMT]],"")</f>
        <v>0</v>
      </c>
      <c r="Y141" s="7">
        <f>IFERROR(AF141-(O141+CT[[#This Row],[Cost Per MT]]),"")</f>
        <v>335</v>
      </c>
      <c r="Z141" s="7">
        <f>IFERROR(CT[[#This Row],[Margin/MT]]*CT[[#This Row],[Container Qty]],"")</f>
        <v>0</v>
      </c>
      <c r="AA141" s="7"/>
      <c r="AB141" t="s">
        <v>11</v>
      </c>
      <c r="AC141" s="1" t="s">
        <v>158</v>
      </c>
      <c r="AD141" s="3">
        <v>45861</v>
      </c>
      <c r="AE141" s="14">
        <f t="shared" si="32"/>
        <v>25</v>
      </c>
      <c r="AF141" s="7">
        <v>335</v>
      </c>
      <c r="AG141" s="7">
        <f>CT[[#This Row],[Sales Rate/MT (USD)]]*CT[[#This Row],[SC Qty (MT)]]</f>
        <v>8375</v>
      </c>
      <c r="AH141" s="7" t="str">
        <f>IF(CT[[#This Row],[Container Qty]]&lt;&gt;0,CT[[#This Row],[Sales Rate/MT (USD)]]*CT[[#This Row],[Container Qty]],"")</f>
        <v/>
      </c>
      <c r="AI141" s="7" t="str">
        <f>IF(CT[[#This Row],[Customer Final Price]]&lt;&gt;"",CT[[#This Row],[Customer Final Price]]-CT[[#This Row],[Customer  Prov. Price]],"")</f>
        <v/>
      </c>
      <c r="AJ141" t="s">
        <v>8</v>
      </c>
      <c r="AK141" s="1" t="s">
        <v>159</v>
      </c>
      <c r="AL141" s="1"/>
      <c r="AM141" s="100" t="s">
        <v>134</v>
      </c>
    </row>
    <row r="142" spans="1:39" x14ac:dyDescent="0.25">
      <c r="A142" t="s">
        <v>9</v>
      </c>
      <c r="B142" s="102"/>
      <c r="C142" s="81"/>
      <c r="D142" s="1" t="s">
        <v>67</v>
      </c>
      <c r="F142" s="11"/>
      <c r="G142" s="3"/>
      <c r="H142" s="3"/>
      <c r="I142" s="1"/>
      <c r="J142" s="1"/>
      <c r="K142" s="1"/>
      <c r="L142" s="1"/>
      <c r="M142" s="14">
        <v>25</v>
      </c>
      <c r="N142" s="1"/>
      <c r="O142" s="7"/>
      <c r="P142" s="7">
        <f>CT[[#This Row],[Purchase Rate/MT (USD)]]*CT[[#This Row],[PC Qty (MT)]]</f>
        <v>0</v>
      </c>
      <c r="Q142" s="7">
        <f>CT[[#This Row],[Purchase Rate/MT (USD)]]*CT[[#This Row],[Container Qty]]</f>
        <v>0</v>
      </c>
      <c r="R142" s="7" t="str">
        <f>IF(CT[[#This Row],[BL Number]]&lt;&gt;0,(CT[[#This Row],[Supplier Prov. Price]]-CT[[#This Row],[Supplier Final Price]])*1.2,"")</f>
        <v/>
      </c>
      <c r="S142" s="101"/>
      <c r="T142" s="3"/>
      <c r="U142" s="7"/>
      <c r="V142" s="7"/>
      <c r="W142" s="24"/>
      <c r="X142" s="7">
        <f>IFERROR(CT[[#This Row],[Freight Charges]]+CT[[#This Row],[Inspection Cost/MT]]+CT[[#This Row],[DHL Charges PMT]],"")</f>
        <v>0</v>
      </c>
      <c r="Y142" s="7">
        <f>IFERROR(AF142-(O142+CT[[#This Row],[Cost Per MT]]),"")</f>
        <v>335</v>
      </c>
      <c r="Z142" s="7">
        <f>IFERROR(CT[[#This Row],[Margin/MT]]*CT[[#This Row],[Container Qty]],"")</f>
        <v>0</v>
      </c>
      <c r="AA142" s="7"/>
      <c r="AB142" t="s">
        <v>11</v>
      </c>
      <c r="AC142" s="1" t="s">
        <v>158</v>
      </c>
      <c r="AD142" s="3">
        <v>45861</v>
      </c>
      <c r="AE142" s="14">
        <f t="shared" si="32"/>
        <v>25</v>
      </c>
      <c r="AF142" s="7">
        <v>335</v>
      </c>
      <c r="AG142" s="7">
        <f>CT[[#This Row],[Sales Rate/MT (USD)]]*CT[[#This Row],[SC Qty (MT)]]</f>
        <v>8375</v>
      </c>
      <c r="AH142" s="7" t="str">
        <f>IF(CT[[#This Row],[Container Qty]]&lt;&gt;0,CT[[#This Row],[Sales Rate/MT (USD)]]*CT[[#This Row],[Container Qty]],"")</f>
        <v/>
      </c>
      <c r="AI142" s="7" t="str">
        <f>IF(CT[[#This Row],[Customer Final Price]]&lt;&gt;"",CT[[#This Row],[Customer Final Price]]-CT[[#This Row],[Customer  Prov. Price]],"")</f>
        <v/>
      </c>
      <c r="AJ142" t="s">
        <v>8</v>
      </c>
      <c r="AK142" s="1" t="s">
        <v>159</v>
      </c>
      <c r="AL142" s="1"/>
      <c r="AM142" s="100" t="s">
        <v>134</v>
      </c>
    </row>
    <row r="143" spans="1:39" x14ac:dyDescent="0.25">
      <c r="A143" t="s">
        <v>9</v>
      </c>
      <c r="B143" s="102"/>
      <c r="C143" s="81"/>
      <c r="D143" s="1" t="s">
        <v>67</v>
      </c>
      <c r="F143" s="11"/>
      <c r="G143" s="3"/>
      <c r="H143" s="3"/>
      <c r="I143" s="1"/>
      <c r="J143" s="1"/>
      <c r="K143" s="1"/>
      <c r="L143" s="1"/>
      <c r="M143" s="14">
        <v>25</v>
      </c>
      <c r="N143" s="1"/>
      <c r="O143" s="7"/>
      <c r="P143" s="7">
        <f>CT[[#This Row],[Purchase Rate/MT (USD)]]*CT[[#This Row],[PC Qty (MT)]]</f>
        <v>0</v>
      </c>
      <c r="Q143" s="7">
        <f>CT[[#This Row],[Purchase Rate/MT (USD)]]*CT[[#This Row],[Container Qty]]</f>
        <v>0</v>
      </c>
      <c r="R143" s="7" t="str">
        <f>IF(CT[[#This Row],[BL Number]]&lt;&gt;0,(CT[[#This Row],[Supplier Prov. Price]]-CT[[#This Row],[Supplier Final Price]])*1.2,"")</f>
        <v/>
      </c>
      <c r="S143" s="101"/>
      <c r="T143" s="3"/>
      <c r="U143" s="7"/>
      <c r="V143" s="7"/>
      <c r="W143" s="24"/>
      <c r="X143" s="7">
        <f>IFERROR(CT[[#This Row],[Freight Charges]]+CT[[#This Row],[Inspection Cost/MT]]+CT[[#This Row],[DHL Charges PMT]],"")</f>
        <v>0</v>
      </c>
      <c r="Y143" s="7">
        <f>IFERROR(AF143-(O143+CT[[#This Row],[Cost Per MT]]),"")</f>
        <v>335</v>
      </c>
      <c r="Z143" s="7">
        <f>IFERROR(CT[[#This Row],[Margin/MT]]*CT[[#This Row],[Container Qty]],"")</f>
        <v>0</v>
      </c>
      <c r="AA143" s="7"/>
      <c r="AB143" t="s">
        <v>11</v>
      </c>
      <c r="AC143" s="1" t="s">
        <v>158</v>
      </c>
      <c r="AD143" s="3">
        <v>45861</v>
      </c>
      <c r="AE143" s="14">
        <f t="shared" si="32"/>
        <v>25</v>
      </c>
      <c r="AF143" s="7">
        <v>335</v>
      </c>
      <c r="AG143" s="7">
        <f>CT[[#This Row],[Sales Rate/MT (USD)]]*CT[[#This Row],[SC Qty (MT)]]</f>
        <v>8375</v>
      </c>
      <c r="AH143" s="7" t="str">
        <f>IF(CT[[#This Row],[Container Qty]]&lt;&gt;0,CT[[#This Row],[Sales Rate/MT (USD)]]*CT[[#This Row],[Container Qty]],"")</f>
        <v/>
      </c>
      <c r="AI143" s="7" t="str">
        <f>IF(CT[[#This Row],[Customer Final Price]]&lt;&gt;"",CT[[#This Row],[Customer Final Price]]-CT[[#This Row],[Customer  Prov. Price]],"")</f>
        <v/>
      </c>
      <c r="AJ143" t="s">
        <v>8</v>
      </c>
      <c r="AK143" s="1" t="s">
        <v>159</v>
      </c>
      <c r="AL143" s="1"/>
      <c r="AM143" s="100" t="s">
        <v>134</v>
      </c>
    </row>
    <row r="144" spans="1:39" x14ac:dyDescent="0.25">
      <c r="A144" t="s">
        <v>9</v>
      </c>
      <c r="B144" s="102"/>
      <c r="C144" s="81"/>
      <c r="D144" s="1" t="s">
        <v>67</v>
      </c>
      <c r="F144" s="11"/>
      <c r="G144" s="3"/>
      <c r="H144" s="3"/>
      <c r="I144" s="1"/>
      <c r="J144" s="1"/>
      <c r="K144" s="1"/>
      <c r="L144" s="1"/>
      <c r="M144" s="14">
        <v>25</v>
      </c>
      <c r="N144" s="1"/>
      <c r="O144" s="7"/>
      <c r="P144" s="7">
        <f>CT[[#This Row],[Purchase Rate/MT (USD)]]*CT[[#This Row],[PC Qty (MT)]]</f>
        <v>0</v>
      </c>
      <c r="Q144" s="7">
        <f>CT[[#This Row],[Purchase Rate/MT (USD)]]*CT[[#This Row],[Container Qty]]</f>
        <v>0</v>
      </c>
      <c r="R144" s="7" t="str">
        <f>IF(CT[[#This Row],[BL Number]]&lt;&gt;0,(CT[[#This Row],[Supplier Prov. Price]]-CT[[#This Row],[Supplier Final Price]])*1.2,"")</f>
        <v/>
      </c>
      <c r="S144" s="101"/>
      <c r="T144" s="3"/>
      <c r="U144" s="7"/>
      <c r="V144" s="7"/>
      <c r="W144" s="24"/>
      <c r="X144" s="7">
        <f>IFERROR(CT[[#This Row],[Freight Charges]]+CT[[#This Row],[Inspection Cost/MT]]+CT[[#This Row],[DHL Charges PMT]],"")</f>
        <v>0</v>
      </c>
      <c r="Y144" s="7">
        <f>IFERROR(AF144-(O144+CT[[#This Row],[Cost Per MT]]),"")</f>
        <v>335</v>
      </c>
      <c r="Z144" s="7">
        <f>IFERROR(CT[[#This Row],[Margin/MT]]*CT[[#This Row],[Container Qty]],"")</f>
        <v>0</v>
      </c>
      <c r="AA144" s="7"/>
      <c r="AB144" t="s">
        <v>11</v>
      </c>
      <c r="AC144" s="1" t="s">
        <v>158</v>
      </c>
      <c r="AD144" s="3">
        <v>45861</v>
      </c>
      <c r="AE144" s="14">
        <f t="shared" si="32"/>
        <v>25</v>
      </c>
      <c r="AF144" s="7">
        <v>335</v>
      </c>
      <c r="AG144" s="7">
        <f>CT[[#This Row],[Sales Rate/MT (USD)]]*CT[[#This Row],[SC Qty (MT)]]</f>
        <v>8375</v>
      </c>
      <c r="AH144" s="7" t="str">
        <f>IF(CT[[#This Row],[Container Qty]]&lt;&gt;0,CT[[#This Row],[Sales Rate/MT (USD)]]*CT[[#This Row],[Container Qty]],"")</f>
        <v/>
      </c>
      <c r="AI144" s="7" t="str">
        <f>IF(CT[[#This Row],[Customer Final Price]]&lt;&gt;"",CT[[#This Row],[Customer Final Price]]-CT[[#This Row],[Customer  Prov. Price]],"")</f>
        <v/>
      </c>
      <c r="AJ144" t="s">
        <v>8</v>
      </c>
      <c r="AK144" s="1" t="s">
        <v>159</v>
      </c>
      <c r="AL144" s="1"/>
      <c r="AM144" s="100" t="s">
        <v>134</v>
      </c>
    </row>
    <row r="145" spans="1:39" x14ac:dyDescent="0.25">
      <c r="A145" t="s">
        <v>9</v>
      </c>
      <c r="B145" s="102"/>
      <c r="C145" s="81"/>
      <c r="D145" s="1" t="s">
        <v>67</v>
      </c>
      <c r="F145" s="11"/>
      <c r="G145" s="3"/>
      <c r="H145" s="3"/>
      <c r="I145" s="1"/>
      <c r="J145" s="1"/>
      <c r="K145" s="1"/>
      <c r="L145" s="1"/>
      <c r="M145" s="14">
        <v>25</v>
      </c>
      <c r="N145" s="1"/>
      <c r="O145" s="7"/>
      <c r="P145" s="7">
        <f>CT[[#This Row],[Purchase Rate/MT (USD)]]*CT[[#This Row],[PC Qty (MT)]]</f>
        <v>0</v>
      </c>
      <c r="Q145" s="7">
        <f>CT[[#This Row],[Purchase Rate/MT (USD)]]*CT[[#This Row],[Container Qty]]</f>
        <v>0</v>
      </c>
      <c r="R145" s="7" t="str">
        <f>IF(CT[[#This Row],[BL Number]]&lt;&gt;0,(CT[[#This Row],[Supplier Prov. Price]]-CT[[#This Row],[Supplier Final Price]])*1.2,"")</f>
        <v/>
      </c>
      <c r="S145" s="101"/>
      <c r="T145" s="3"/>
      <c r="U145" s="7"/>
      <c r="V145" s="7"/>
      <c r="W145" s="24"/>
      <c r="X145" s="7">
        <f>IFERROR(CT[[#This Row],[Freight Charges]]+CT[[#This Row],[Inspection Cost/MT]]+CT[[#This Row],[DHL Charges PMT]],"")</f>
        <v>0</v>
      </c>
      <c r="Y145" s="7">
        <f>IFERROR(AF145-(O145+CT[[#This Row],[Cost Per MT]]),"")</f>
        <v>335</v>
      </c>
      <c r="Z145" s="7">
        <f>IFERROR(CT[[#This Row],[Margin/MT]]*CT[[#This Row],[Container Qty]],"")</f>
        <v>0</v>
      </c>
      <c r="AA145" s="7"/>
      <c r="AB145" t="s">
        <v>11</v>
      </c>
      <c r="AC145" s="1" t="s">
        <v>158</v>
      </c>
      <c r="AD145" s="3">
        <v>45861</v>
      </c>
      <c r="AE145" s="14">
        <f t="shared" si="32"/>
        <v>25</v>
      </c>
      <c r="AF145" s="7">
        <v>335</v>
      </c>
      <c r="AG145" s="7">
        <f>CT[[#This Row],[Sales Rate/MT (USD)]]*CT[[#This Row],[SC Qty (MT)]]</f>
        <v>8375</v>
      </c>
      <c r="AH145" s="7" t="str">
        <f>IF(CT[[#This Row],[Container Qty]]&lt;&gt;0,CT[[#This Row],[Sales Rate/MT (USD)]]*CT[[#This Row],[Container Qty]],"")</f>
        <v/>
      </c>
      <c r="AI145" s="7" t="str">
        <f>IF(CT[[#This Row],[Customer Final Price]]&lt;&gt;"",CT[[#This Row],[Customer Final Price]]-CT[[#This Row],[Customer  Prov. Price]],"")</f>
        <v/>
      </c>
      <c r="AJ145" t="s">
        <v>8</v>
      </c>
      <c r="AK145" s="1" t="s">
        <v>159</v>
      </c>
      <c r="AL145" s="1"/>
      <c r="AM145" s="100" t="s">
        <v>134</v>
      </c>
    </row>
    <row r="146" spans="1:39" x14ac:dyDescent="0.25">
      <c r="A146" t="s">
        <v>9</v>
      </c>
      <c r="B146" s="102"/>
      <c r="C146" s="81"/>
      <c r="D146" s="1" t="s">
        <v>67</v>
      </c>
      <c r="F146" s="11"/>
      <c r="G146" s="3"/>
      <c r="H146" s="3"/>
      <c r="I146" s="1"/>
      <c r="J146" s="1"/>
      <c r="K146" s="1"/>
      <c r="L146" s="1"/>
      <c r="M146" s="14">
        <v>25</v>
      </c>
      <c r="N146" s="1"/>
      <c r="O146" s="7"/>
      <c r="P146" s="7">
        <f>CT[[#This Row],[Purchase Rate/MT (USD)]]*CT[[#This Row],[PC Qty (MT)]]</f>
        <v>0</v>
      </c>
      <c r="Q146" s="7">
        <f>CT[[#This Row],[Purchase Rate/MT (USD)]]*CT[[#This Row],[Container Qty]]</f>
        <v>0</v>
      </c>
      <c r="R146" s="7" t="str">
        <f>IF(CT[[#This Row],[BL Number]]&lt;&gt;0,(CT[[#This Row],[Supplier Prov. Price]]-CT[[#This Row],[Supplier Final Price]])*1.2,"")</f>
        <v/>
      </c>
      <c r="S146" s="101"/>
      <c r="T146" s="3"/>
      <c r="U146" s="7"/>
      <c r="V146" s="7"/>
      <c r="W146" s="24"/>
      <c r="X146" s="7">
        <f>IFERROR(CT[[#This Row],[Freight Charges]]+CT[[#This Row],[Inspection Cost/MT]]+CT[[#This Row],[DHL Charges PMT]],"")</f>
        <v>0</v>
      </c>
      <c r="Y146" s="7">
        <f>IFERROR(AF146-(O146+CT[[#This Row],[Cost Per MT]]),"")</f>
        <v>335</v>
      </c>
      <c r="Z146" s="7">
        <f>IFERROR(CT[[#This Row],[Margin/MT]]*CT[[#This Row],[Container Qty]],"")</f>
        <v>0</v>
      </c>
      <c r="AA146" s="7"/>
      <c r="AB146" t="s">
        <v>11</v>
      </c>
      <c r="AC146" s="1" t="s">
        <v>158</v>
      </c>
      <c r="AD146" s="3">
        <v>45861</v>
      </c>
      <c r="AE146" s="14">
        <f t="shared" si="32"/>
        <v>25</v>
      </c>
      <c r="AF146" s="7">
        <v>335</v>
      </c>
      <c r="AG146" s="7">
        <f>CT[[#This Row],[Sales Rate/MT (USD)]]*CT[[#This Row],[SC Qty (MT)]]</f>
        <v>8375</v>
      </c>
      <c r="AH146" s="7" t="str">
        <f>IF(CT[[#This Row],[Container Qty]]&lt;&gt;0,CT[[#This Row],[Sales Rate/MT (USD)]]*CT[[#This Row],[Container Qty]],"")</f>
        <v/>
      </c>
      <c r="AI146" s="7" t="str">
        <f>IF(CT[[#This Row],[Customer Final Price]]&lt;&gt;"",CT[[#This Row],[Customer Final Price]]-CT[[#This Row],[Customer  Prov. Price]],"")</f>
        <v/>
      </c>
      <c r="AJ146" t="s">
        <v>8</v>
      </c>
      <c r="AK146" s="1" t="s">
        <v>159</v>
      </c>
      <c r="AL146" s="1"/>
      <c r="AM146" s="100" t="s">
        <v>134</v>
      </c>
    </row>
    <row r="147" spans="1:39" x14ac:dyDescent="0.25">
      <c r="A147" t="s">
        <v>9</v>
      </c>
      <c r="B147" s="102"/>
      <c r="C147" s="81"/>
      <c r="D147" s="1" t="s">
        <v>67</v>
      </c>
      <c r="F147" s="11"/>
      <c r="G147" s="3"/>
      <c r="H147" s="3"/>
      <c r="I147" s="1"/>
      <c r="J147" s="1"/>
      <c r="K147" s="1"/>
      <c r="L147" s="1"/>
      <c r="M147" s="14">
        <v>25</v>
      </c>
      <c r="N147" s="1"/>
      <c r="O147" s="7"/>
      <c r="P147" s="7">
        <f>CT[[#This Row],[Purchase Rate/MT (USD)]]*CT[[#This Row],[PC Qty (MT)]]</f>
        <v>0</v>
      </c>
      <c r="Q147" s="7">
        <f>CT[[#This Row],[Purchase Rate/MT (USD)]]*CT[[#This Row],[Container Qty]]</f>
        <v>0</v>
      </c>
      <c r="R147" s="7" t="str">
        <f>IF(CT[[#This Row],[BL Number]]&lt;&gt;0,(CT[[#This Row],[Supplier Prov. Price]]-CT[[#This Row],[Supplier Final Price]])*1.2,"")</f>
        <v/>
      </c>
      <c r="S147" s="101"/>
      <c r="T147" s="3"/>
      <c r="U147" s="7"/>
      <c r="V147" s="7"/>
      <c r="W147" s="24"/>
      <c r="X147" s="7">
        <f>IFERROR(CT[[#This Row],[Freight Charges]]+CT[[#This Row],[Inspection Cost/MT]]+CT[[#This Row],[DHL Charges PMT]],"")</f>
        <v>0</v>
      </c>
      <c r="Y147" s="7">
        <f>IFERROR(AF147-(O147+CT[[#This Row],[Cost Per MT]]),"")</f>
        <v>335</v>
      </c>
      <c r="Z147" s="7">
        <f>IFERROR(CT[[#This Row],[Margin/MT]]*CT[[#This Row],[Container Qty]],"")</f>
        <v>0</v>
      </c>
      <c r="AA147" s="7"/>
      <c r="AB147" t="s">
        <v>11</v>
      </c>
      <c r="AC147" s="1" t="s">
        <v>158</v>
      </c>
      <c r="AD147" s="3">
        <v>45861</v>
      </c>
      <c r="AE147" s="14">
        <f t="shared" si="32"/>
        <v>25</v>
      </c>
      <c r="AF147" s="7">
        <v>335</v>
      </c>
      <c r="AG147" s="7">
        <f>CT[[#This Row],[Sales Rate/MT (USD)]]*CT[[#This Row],[SC Qty (MT)]]</f>
        <v>8375</v>
      </c>
      <c r="AH147" s="7" t="str">
        <f>IF(CT[[#This Row],[Container Qty]]&lt;&gt;0,CT[[#This Row],[Sales Rate/MT (USD)]]*CT[[#This Row],[Container Qty]],"")</f>
        <v/>
      </c>
      <c r="AI147" s="7" t="str">
        <f>IF(CT[[#This Row],[Customer Final Price]]&lt;&gt;"",CT[[#This Row],[Customer Final Price]]-CT[[#This Row],[Customer  Prov. Price]],"")</f>
        <v/>
      </c>
      <c r="AJ147" t="s">
        <v>8</v>
      </c>
      <c r="AK147" s="1" t="s">
        <v>159</v>
      </c>
      <c r="AL147" s="1"/>
      <c r="AM147" s="100" t="s">
        <v>134</v>
      </c>
    </row>
    <row r="148" spans="1:39" x14ac:dyDescent="0.25">
      <c r="A148" t="s">
        <v>9</v>
      </c>
      <c r="B148" s="102"/>
      <c r="C148" s="81"/>
      <c r="D148" s="1" t="s">
        <v>67</v>
      </c>
      <c r="F148" s="11"/>
      <c r="G148" s="3"/>
      <c r="H148" s="3"/>
      <c r="I148" s="1"/>
      <c r="J148" s="1"/>
      <c r="K148" s="1"/>
      <c r="L148" s="1"/>
      <c r="M148" s="14">
        <v>25</v>
      </c>
      <c r="N148" s="1"/>
      <c r="O148" s="7"/>
      <c r="P148" s="7">
        <f>CT[[#This Row],[Purchase Rate/MT (USD)]]*CT[[#This Row],[PC Qty (MT)]]</f>
        <v>0</v>
      </c>
      <c r="Q148" s="7">
        <f>CT[[#This Row],[Purchase Rate/MT (USD)]]*CT[[#This Row],[Container Qty]]</f>
        <v>0</v>
      </c>
      <c r="R148" s="7" t="str">
        <f>IF(CT[[#This Row],[BL Number]]&lt;&gt;0,(CT[[#This Row],[Supplier Prov. Price]]-CT[[#This Row],[Supplier Final Price]])*1.2,"")</f>
        <v/>
      </c>
      <c r="S148" s="101"/>
      <c r="T148" s="3"/>
      <c r="U148" s="7"/>
      <c r="V148" s="7"/>
      <c r="W148" s="24"/>
      <c r="X148" s="7">
        <f>IFERROR(CT[[#This Row],[Freight Charges]]+CT[[#This Row],[Inspection Cost/MT]]+CT[[#This Row],[DHL Charges PMT]],"")</f>
        <v>0</v>
      </c>
      <c r="Y148" s="7">
        <f>IFERROR(AF148-(O148+CT[[#This Row],[Cost Per MT]]),"")</f>
        <v>335</v>
      </c>
      <c r="Z148" s="7">
        <f>IFERROR(CT[[#This Row],[Margin/MT]]*CT[[#This Row],[Container Qty]],"")</f>
        <v>0</v>
      </c>
      <c r="AA148" s="7"/>
      <c r="AB148" t="s">
        <v>11</v>
      </c>
      <c r="AC148" s="1" t="s">
        <v>158</v>
      </c>
      <c r="AD148" s="3">
        <v>45861</v>
      </c>
      <c r="AE148" s="14">
        <f t="shared" si="32"/>
        <v>25</v>
      </c>
      <c r="AF148" s="7">
        <v>335</v>
      </c>
      <c r="AG148" s="7">
        <f>CT[[#This Row],[Sales Rate/MT (USD)]]*CT[[#This Row],[SC Qty (MT)]]</f>
        <v>8375</v>
      </c>
      <c r="AH148" s="7" t="str">
        <f>IF(CT[[#This Row],[Container Qty]]&lt;&gt;0,CT[[#This Row],[Sales Rate/MT (USD)]]*CT[[#This Row],[Container Qty]],"")</f>
        <v/>
      </c>
      <c r="AI148" s="7" t="str">
        <f>IF(CT[[#This Row],[Customer Final Price]]&lt;&gt;"",CT[[#This Row],[Customer Final Price]]-CT[[#This Row],[Customer  Prov. Price]],"")</f>
        <v/>
      </c>
      <c r="AJ148" t="s">
        <v>8</v>
      </c>
      <c r="AK148" s="1" t="s">
        <v>159</v>
      </c>
      <c r="AL148" s="1"/>
      <c r="AM148" s="100" t="s">
        <v>134</v>
      </c>
    </row>
    <row r="149" spans="1:39" x14ac:dyDescent="0.25">
      <c r="A149" t="s">
        <v>9</v>
      </c>
      <c r="B149" s="102"/>
      <c r="C149" s="81"/>
      <c r="D149" s="1" t="s">
        <v>67</v>
      </c>
      <c r="F149" s="11"/>
      <c r="G149" s="3"/>
      <c r="H149" s="3"/>
      <c r="I149" s="1"/>
      <c r="J149" s="1"/>
      <c r="K149" s="1"/>
      <c r="L149" s="1"/>
      <c r="M149" s="14">
        <v>25</v>
      </c>
      <c r="N149" s="1"/>
      <c r="O149" s="7"/>
      <c r="P149" s="7">
        <f>CT[[#This Row],[Purchase Rate/MT (USD)]]*CT[[#This Row],[PC Qty (MT)]]</f>
        <v>0</v>
      </c>
      <c r="Q149" s="7">
        <f>CT[[#This Row],[Purchase Rate/MT (USD)]]*CT[[#This Row],[Container Qty]]</f>
        <v>0</v>
      </c>
      <c r="R149" s="7" t="str">
        <f>IF(CT[[#This Row],[BL Number]]&lt;&gt;0,(CT[[#This Row],[Supplier Prov. Price]]-CT[[#This Row],[Supplier Final Price]])*1.2,"")</f>
        <v/>
      </c>
      <c r="S149" s="101"/>
      <c r="T149" s="3"/>
      <c r="U149" s="7"/>
      <c r="V149" s="7"/>
      <c r="W149" s="24"/>
      <c r="X149" s="7">
        <f>IFERROR(CT[[#This Row],[Freight Charges]]+CT[[#This Row],[Inspection Cost/MT]]+CT[[#This Row],[DHL Charges PMT]],"")</f>
        <v>0</v>
      </c>
      <c r="Y149" s="7">
        <f>IFERROR(AF149-(O149+CT[[#This Row],[Cost Per MT]]),"")</f>
        <v>335</v>
      </c>
      <c r="Z149" s="7">
        <f>IFERROR(CT[[#This Row],[Margin/MT]]*CT[[#This Row],[Container Qty]],"")</f>
        <v>0</v>
      </c>
      <c r="AA149" s="7"/>
      <c r="AB149" t="s">
        <v>11</v>
      </c>
      <c r="AC149" s="1" t="s">
        <v>158</v>
      </c>
      <c r="AD149" s="3">
        <v>45861</v>
      </c>
      <c r="AE149" s="14">
        <f t="shared" si="32"/>
        <v>25</v>
      </c>
      <c r="AF149" s="7">
        <v>335</v>
      </c>
      <c r="AG149" s="7">
        <f>CT[[#This Row],[Sales Rate/MT (USD)]]*CT[[#This Row],[SC Qty (MT)]]</f>
        <v>8375</v>
      </c>
      <c r="AH149" s="7" t="str">
        <f>IF(CT[[#This Row],[Container Qty]]&lt;&gt;0,CT[[#This Row],[Sales Rate/MT (USD)]]*CT[[#This Row],[Container Qty]],"")</f>
        <v/>
      </c>
      <c r="AI149" s="7" t="str">
        <f>IF(CT[[#This Row],[Customer Final Price]]&lt;&gt;"",CT[[#This Row],[Customer Final Price]]-CT[[#This Row],[Customer  Prov. Price]],"")</f>
        <v/>
      </c>
      <c r="AJ149" t="s">
        <v>8</v>
      </c>
      <c r="AK149" s="1" t="s">
        <v>159</v>
      </c>
      <c r="AL149" s="1"/>
      <c r="AM149" s="100" t="s">
        <v>134</v>
      </c>
    </row>
    <row r="150" spans="1:39" x14ac:dyDescent="0.25">
      <c r="A150" t="s">
        <v>9</v>
      </c>
      <c r="B150" s="102"/>
      <c r="C150" s="81"/>
      <c r="D150" s="1" t="s">
        <v>67</v>
      </c>
      <c r="F150" s="11"/>
      <c r="G150" s="3"/>
      <c r="H150" s="3"/>
      <c r="I150" s="1"/>
      <c r="J150" s="1"/>
      <c r="K150" s="1"/>
      <c r="L150" s="1"/>
      <c r="M150" s="14">
        <v>25</v>
      </c>
      <c r="N150" s="1"/>
      <c r="O150" s="7"/>
      <c r="P150" s="7">
        <f>CT[[#This Row],[Purchase Rate/MT (USD)]]*CT[[#This Row],[PC Qty (MT)]]</f>
        <v>0</v>
      </c>
      <c r="Q150" s="7">
        <f>CT[[#This Row],[Purchase Rate/MT (USD)]]*CT[[#This Row],[Container Qty]]</f>
        <v>0</v>
      </c>
      <c r="R150" s="7" t="str">
        <f>IF(CT[[#This Row],[BL Number]]&lt;&gt;0,(CT[[#This Row],[Supplier Prov. Price]]-CT[[#This Row],[Supplier Final Price]])*1.2,"")</f>
        <v/>
      </c>
      <c r="S150" s="101"/>
      <c r="T150" s="3"/>
      <c r="U150" s="7"/>
      <c r="V150" s="7"/>
      <c r="W150" s="24"/>
      <c r="X150" s="7">
        <f>IFERROR(CT[[#This Row],[Freight Charges]]+CT[[#This Row],[Inspection Cost/MT]]+CT[[#This Row],[DHL Charges PMT]],"")</f>
        <v>0</v>
      </c>
      <c r="Y150" s="7">
        <f>IFERROR(AF150-(O150+CT[[#This Row],[Cost Per MT]]),"")</f>
        <v>335</v>
      </c>
      <c r="Z150" s="7">
        <f>IFERROR(CT[[#This Row],[Margin/MT]]*CT[[#This Row],[Container Qty]],"")</f>
        <v>0</v>
      </c>
      <c r="AA150" s="7"/>
      <c r="AB150" t="s">
        <v>11</v>
      </c>
      <c r="AC150" s="1" t="s">
        <v>158</v>
      </c>
      <c r="AD150" s="3">
        <v>45861</v>
      </c>
      <c r="AE150" s="14">
        <f t="shared" si="32"/>
        <v>25</v>
      </c>
      <c r="AF150" s="7">
        <v>335</v>
      </c>
      <c r="AG150" s="7">
        <f>CT[[#This Row],[Sales Rate/MT (USD)]]*CT[[#This Row],[SC Qty (MT)]]</f>
        <v>8375</v>
      </c>
      <c r="AH150" s="7" t="str">
        <f>IF(CT[[#This Row],[Container Qty]]&lt;&gt;0,CT[[#This Row],[Sales Rate/MT (USD)]]*CT[[#This Row],[Container Qty]],"")</f>
        <v/>
      </c>
      <c r="AI150" s="7" t="str">
        <f>IF(CT[[#This Row],[Customer Final Price]]&lt;&gt;"",CT[[#This Row],[Customer Final Price]]-CT[[#This Row],[Customer  Prov. Price]],"")</f>
        <v/>
      </c>
      <c r="AJ150" t="s">
        <v>8</v>
      </c>
      <c r="AK150" s="1" t="s">
        <v>159</v>
      </c>
      <c r="AL150" s="1"/>
      <c r="AM150" s="100" t="s">
        <v>134</v>
      </c>
    </row>
    <row r="151" spans="1:39" x14ac:dyDescent="0.25">
      <c r="A151" t="s">
        <v>9</v>
      </c>
      <c r="B151" s="102"/>
      <c r="C151" s="81"/>
      <c r="D151" s="1" t="s">
        <v>67</v>
      </c>
      <c r="F151" s="11"/>
      <c r="G151" s="3"/>
      <c r="H151" s="3"/>
      <c r="I151" s="1"/>
      <c r="J151" s="1"/>
      <c r="K151" s="1"/>
      <c r="L151" s="1"/>
      <c r="M151" s="14">
        <v>25</v>
      </c>
      <c r="N151" s="1"/>
      <c r="O151" s="7"/>
      <c r="P151" s="7">
        <f>CT[[#This Row],[Purchase Rate/MT (USD)]]*CT[[#This Row],[PC Qty (MT)]]</f>
        <v>0</v>
      </c>
      <c r="Q151" s="7">
        <f>CT[[#This Row],[Purchase Rate/MT (USD)]]*CT[[#This Row],[Container Qty]]</f>
        <v>0</v>
      </c>
      <c r="R151" s="7" t="str">
        <f>IF(CT[[#This Row],[BL Number]]&lt;&gt;0,(CT[[#This Row],[Supplier Prov. Price]]-CT[[#This Row],[Supplier Final Price]])*1.2,"")</f>
        <v/>
      </c>
      <c r="S151" s="101"/>
      <c r="T151" s="3"/>
      <c r="U151" s="7"/>
      <c r="V151" s="7"/>
      <c r="W151" s="24"/>
      <c r="X151" s="7">
        <f>IFERROR(CT[[#This Row],[Freight Charges]]+CT[[#This Row],[Inspection Cost/MT]]+CT[[#This Row],[DHL Charges PMT]],"")</f>
        <v>0</v>
      </c>
      <c r="Y151" s="7">
        <f>IFERROR(AF151-(O151+CT[[#This Row],[Cost Per MT]]),"")</f>
        <v>335</v>
      </c>
      <c r="Z151" s="7">
        <f>IFERROR(CT[[#This Row],[Margin/MT]]*CT[[#This Row],[Container Qty]],"")</f>
        <v>0</v>
      </c>
      <c r="AA151" s="7"/>
      <c r="AB151" t="s">
        <v>11</v>
      </c>
      <c r="AC151" s="1" t="s">
        <v>158</v>
      </c>
      <c r="AD151" s="3">
        <v>45861</v>
      </c>
      <c r="AE151" s="14">
        <f t="shared" si="32"/>
        <v>25</v>
      </c>
      <c r="AF151" s="7">
        <v>335</v>
      </c>
      <c r="AG151" s="7">
        <f>CT[[#This Row],[Sales Rate/MT (USD)]]*CT[[#This Row],[SC Qty (MT)]]</f>
        <v>8375</v>
      </c>
      <c r="AH151" s="7" t="str">
        <f>IF(CT[[#This Row],[Container Qty]]&lt;&gt;0,CT[[#This Row],[Sales Rate/MT (USD)]]*CT[[#This Row],[Container Qty]],"")</f>
        <v/>
      </c>
      <c r="AI151" s="7" t="str">
        <f>IF(CT[[#This Row],[Customer Final Price]]&lt;&gt;"",CT[[#This Row],[Customer Final Price]]-CT[[#This Row],[Customer  Prov. Price]],"")</f>
        <v/>
      </c>
      <c r="AJ151" t="s">
        <v>8</v>
      </c>
      <c r="AK151" s="1" t="s">
        <v>159</v>
      </c>
      <c r="AL151" s="1"/>
      <c r="AM151" s="100" t="s">
        <v>134</v>
      </c>
    </row>
    <row r="152" spans="1:39" x14ac:dyDescent="0.25">
      <c r="A152" t="s">
        <v>9</v>
      </c>
      <c r="B152" s="102"/>
      <c r="C152" s="81"/>
      <c r="D152" s="1" t="s">
        <v>67</v>
      </c>
      <c r="F152" s="11"/>
      <c r="G152" s="3"/>
      <c r="H152" s="3"/>
      <c r="I152" s="1"/>
      <c r="J152" s="1"/>
      <c r="K152" s="1"/>
      <c r="L152" s="1"/>
      <c r="M152" s="14">
        <v>25</v>
      </c>
      <c r="N152" s="1"/>
      <c r="O152" s="7"/>
      <c r="P152" s="7">
        <f>CT[[#This Row],[Purchase Rate/MT (USD)]]*CT[[#This Row],[PC Qty (MT)]]</f>
        <v>0</v>
      </c>
      <c r="Q152" s="7">
        <f>CT[[#This Row],[Purchase Rate/MT (USD)]]*CT[[#This Row],[Container Qty]]</f>
        <v>0</v>
      </c>
      <c r="R152" s="7" t="str">
        <f>IF(CT[[#This Row],[BL Number]]&lt;&gt;0,(CT[[#This Row],[Supplier Prov. Price]]-CT[[#This Row],[Supplier Final Price]])*1.2,"")</f>
        <v/>
      </c>
      <c r="S152" s="101"/>
      <c r="T152" s="3"/>
      <c r="U152" s="7"/>
      <c r="V152" s="7"/>
      <c r="W152" s="24"/>
      <c r="X152" s="7">
        <f>IFERROR(CT[[#This Row],[Freight Charges]]+CT[[#This Row],[Inspection Cost/MT]]+CT[[#This Row],[DHL Charges PMT]],"")</f>
        <v>0</v>
      </c>
      <c r="Y152" s="7">
        <f>IFERROR(AF152-(O152+CT[[#This Row],[Cost Per MT]]),"")</f>
        <v>335</v>
      </c>
      <c r="Z152" s="7">
        <f>IFERROR(CT[[#This Row],[Margin/MT]]*CT[[#This Row],[Container Qty]],"")</f>
        <v>0</v>
      </c>
      <c r="AA152" s="7"/>
      <c r="AB152" t="s">
        <v>11</v>
      </c>
      <c r="AC152" s="1" t="s">
        <v>158</v>
      </c>
      <c r="AD152" s="3">
        <v>45861</v>
      </c>
      <c r="AE152" s="14">
        <f t="shared" si="32"/>
        <v>25</v>
      </c>
      <c r="AF152" s="7">
        <v>335</v>
      </c>
      <c r="AG152" s="7">
        <f>CT[[#This Row],[Sales Rate/MT (USD)]]*CT[[#This Row],[SC Qty (MT)]]</f>
        <v>8375</v>
      </c>
      <c r="AH152" s="7" t="str">
        <f>IF(CT[[#This Row],[Container Qty]]&lt;&gt;0,CT[[#This Row],[Sales Rate/MT (USD)]]*CT[[#This Row],[Container Qty]],"")</f>
        <v/>
      </c>
      <c r="AI152" s="7" t="str">
        <f>IF(CT[[#This Row],[Customer Final Price]]&lt;&gt;"",CT[[#This Row],[Customer Final Price]]-CT[[#This Row],[Customer  Prov. Price]],"")</f>
        <v/>
      </c>
      <c r="AJ152" t="s">
        <v>8</v>
      </c>
      <c r="AK152" s="1" t="s">
        <v>159</v>
      </c>
      <c r="AL152" s="1"/>
      <c r="AM152" s="100" t="s">
        <v>134</v>
      </c>
    </row>
    <row r="153" spans="1:39" x14ac:dyDescent="0.25">
      <c r="A153" t="s">
        <v>9</v>
      </c>
      <c r="B153" s="102"/>
      <c r="C153" s="81"/>
      <c r="D153" s="1" t="s">
        <v>67</v>
      </c>
      <c r="F153" s="11"/>
      <c r="G153" s="3"/>
      <c r="H153" s="3"/>
      <c r="I153" s="1"/>
      <c r="J153" s="1"/>
      <c r="K153" s="1"/>
      <c r="L153" s="1"/>
      <c r="M153" s="14">
        <v>25</v>
      </c>
      <c r="N153" s="1"/>
      <c r="O153" s="7"/>
      <c r="P153" s="7">
        <f>CT[[#This Row],[Purchase Rate/MT (USD)]]*CT[[#This Row],[PC Qty (MT)]]</f>
        <v>0</v>
      </c>
      <c r="Q153" s="7">
        <f>CT[[#This Row],[Purchase Rate/MT (USD)]]*CT[[#This Row],[Container Qty]]</f>
        <v>0</v>
      </c>
      <c r="R153" s="7" t="str">
        <f>IF(CT[[#This Row],[BL Number]]&lt;&gt;0,(CT[[#This Row],[Supplier Prov. Price]]-CT[[#This Row],[Supplier Final Price]])*1.2,"")</f>
        <v/>
      </c>
      <c r="S153" s="101"/>
      <c r="T153" s="3"/>
      <c r="U153" s="7"/>
      <c r="V153" s="7"/>
      <c r="W153" s="24"/>
      <c r="X153" s="7">
        <f>IFERROR(CT[[#This Row],[Freight Charges]]+CT[[#This Row],[Inspection Cost/MT]]+CT[[#This Row],[DHL Charges PMT]],"")</f>
        <v>0</v>
      </c>
      <c r="Y153" s="7">
        <f>IFERROR(AF153-(O153+CT[[#This Row],[Cost Per MT]]),"")</f>
        <v>335</v>
      </c>
      <c r="Z153" s="7">
        <f>IFERROR(CT[[#This Row],[Margin/MT]]*CT[[#This Row],[Container Qty]],"")</f>
        <v>0</v>
      </c>
      <c r="AA153" s="7"/>
      <c r="AB153" t="s">
        <v>11</v>
      </c>
      <c r="AC153" s="1" t="s">
        <v>158</v>
      </c>
      <c r="AD153" s="3">
        <v>45861</v>
      </c>
      <c r="AE153" s="14">
        <f t="shared" si="32"/>
        <v>25</v>
      </c>
      <c r="AF153" s="7">
        <v>335</v>
      </c>
      <c r="AG153" s="7">
        <f>CT[[#This Row],[Sales Rate/MT (USD)]]*CT[[#This Row],[SC Qty (MT)]]</f>
        <v>8375</v>
      </c>
      <c r="AH153" s="7" t="str">
        <f>IF(CT[[#This Row],[Container Qty]]&lt;&gt;0,CT[[#This Row],[Sales Rate/MT (USD)]]*CT[[#This Row],[Container Qty]],"")</f>
        <v/>
      </c>
      <c r="AI153" s="7" t="str">
        <f>IF(CT[[#This Row],[Customer Final Price]]&lt;&gt;"",CT[[#This Row],[Customer Final Price]]-CT[[#This Row],[Customer  Prov. Price]],"")</f>
        <v/>
      </c>
      <c r="AJ153" t="s">
        <v>8</v>
      </c>
      <c r="AK153" s="1" t="s">
        <v>159</v>
      </c>
      <c r="AL153" s="1"/>
      <c r="AM153" s="100" t="s">
        <v>134</v>
      </c>
    </row>
    <row r="154" spans="1:39" x14ac:dyDescent="0.25">
      <c r="A154" t="s">
        <v>9</v>
      </c>
      <c r="B154" s="102"/>
      <c r="C154" s="81"/>
      <c r="D154" s="1" t="s">
        <v>67</v>
      </c>
      <c r="F154" s="11"/>
      <c r="G154" s="3"/>
      <c r="H154" s="3"/>
      <c r="I154" s="1"/>
      <c r="J154" s="1"/>
      <c r="K154" s="1"/>
      <c r="L154" s="1"/>
      <c r="M154" s="14">
        <v>25</v>
      </c>
      <c r="N154" s="1"/>
      <c r="O154" s="7"/>
      <c r="P154" s="7">
        <f>CT[[#This Row],[Purchase Rate/MT (USD)]]*CT[[#This Row],[PC Qty (MT)]]</f>
        <v>0</v>
      </c>
      <c r="Q154" s="7">
        <f>CT[[#This Row],[Purchase Rate/MT (USD)]]*CT[[#This Row],[Container Qty]]</f>
        <v>0</v>
      </c>
      <c r="R154" s="7" t="str">
        <f>IF(CT[[#This Row],[BL Number]]&lt;&gt;0,(CT[[#This Row],[Supplier Prov. Price]]-CT[[#This Row],[Supplier Final Price]])*1.2,"")</f>
        <v/>
      </c>
      <c r="S154" s="101"/>
      <c r="T154" s="3"/>
      <c r="U154" s="7"/>
      <c r="V154" s="7"/>
      <c r="W154" s="24"/>
      <c r="X154" s="7">
        <f>IFERROR(CT[[#This Row],[Freight Charges]]+CT[[#This Row],[Inspection Cost/MT]]+CT[[#This Row],[DHL Charges PMT]],"")</f>
        <v>0</v>
      </c>
      <c r="Y154" s="7">
        <f>IFERROR(AF154-(O154+CT[[#This Row],[Cost Per MT]]),"")</f>
        <v>335</v>
      </c>
      <c r="Z154" s="7">
        <f>IFERROR(CT[[#This Row],[Margin/MT]]*CT[[#This Row],[Container Qty]],"")</f>
        <v>0</v>
      </c>
      <c r="AA154" s="7"/>
      <c r="AB154" t="s">
        <v>11</v>
      </c>
      <c r="AC154" s="1" t="s">
        <v>158</v>
      </c>
      <c r="AD154" s="3">
        <v>45861</v>
      </c>
      <c r="AE154" s="14">
        <f t="shared" si="32"/>
        <v>25</v>
      </c>
      <c r="AF154" s="7">
        <v>335</v>
      </c>
      <c r="AG154" s="7">
        <f>CT[[#This Row],[Sales Rate/MT (USD)]]*CT[[#This Row],[SC Qty (MT)]]</f>
        <v>8375</v>
      </c>
      <c r="AH154" s="7" t="str">
        <f>IF(CT[[#This Row],[Container Qty]]&lt;&gt;0,CT[[#This Row],[Sales Rate/MT (USD)]]*CT[[#This Row],[Container Qty]],"")</f>
        <v/>
      </c>
      <c r="AI154" s="7" t="str">
        <f>IF(CT[[#This Row],[Customer Final Price]]&lt;&gt;"",CT[[#This Row],[Customer Final Price]]-CT[[#This Row],[Customer  Prov. Price]],"")</f>
        <v/>
      </c>
      <c r="AJ154" t="s">
        <v>8</v>
      </c>
      <c r="AK154" s="1" t="s">
        <v>159</v>
      </c>
      <c r="AL154" s="1"/>
      <c r="AM154" s="100" t="s">
        <v>134</v>
      </c>
    </row>
    <row r="155" spans="1:39" x14ac:dyDescent="0.25">
      <c r="A155" t="s">
        <v>9</v>
      </c>
      <c r="B155" s="102"/>
      <c r="C155" s="81"/>
      <c r="D155" s="1" t="s">
        <v>67</v>
      </c>
      <c r="F155" s="11"/>
      <c r="G155" s="3"/>
      <c r="H155" s="3"/>
      <c r="I155" s="1"/>
      <c r="J155" s="1"/>
      <c r="K155" s="1"/>
      <c r="L155" s="1"/>
      <c r="M155" s="14">
        <v>25</v>
      </c>
      <c r="N155" s="1"/>
      <c r="O155" s="7"/>
      <c r="P155" s="7">
        <f>CT[[#This Row],[Purchase Rate/MT (USD)]]*CT[[#This Row],[PC Qty (MT)]]</f>
        <v>0</v>
      </c>
      <c r="Q155" s="7">
        <f>CT[[#This Row],[Purchase Rate/MT (USD)]]*CT[[#This Row],[Container Qty]]</f>
        <v>0</v>
      </c>
      <c r="R155" s="7" t="str">
        <f>IF(CT[[#This Row],[BL Number]]&lt;&gt;0,(CT[[#This Row],[Supplier Prov. Price]]-CT[[#This Row],[Supplier Final Price]])*1.2,"")</f>
        <v/>
      </c>
      <c r="S155" s="101"/>
      <c r="T155" s="3"/>
      <c r="U155" s="7"/>
      <c r="V155" s="7"/>
      <c r="W155" s="24"/>
      <c r="X155" s="7">
        <f>IFERROR(CT[[#This Row],[Freight Charges]]+CT[[#This Row],[Inspection Cost/MT]]+CT[[#This Row],[DHL Charges PMT]],"")</f>
        <v>0</v>
      </c>
      <c r="Y155" s="7">
        <f>IFERROR(AF155-(O155+CT[[#This Row],[Cost Per MT]]),"")</f>
        <v>335</v>
      </c>
      <c r="Z155" s="7">
        <f>IFERROR(CT[[#This Row],[Margin/MT]]*CT[[#This Row],[Container Qty]],"")</f>
        <v>0</v>
      </c>
      <c r="AA155" s="7"/>
      <c r="AB155" t="s">
        <v>11</v>
      </c>
      <c r="AC155" s="1" t="s">
        <v>158</v>
      </c>
      <c r="AD155" s="3">
        <v>45861</v>
      </c>
      <c r="AE155" s="14">
        <f t="shared" si="32"/>
        <v>25</v>
      </c>
      <c r="AF155" s="7">
        <v>335</v>
      </c>
      <c r="AG155" s="7">
        <f>CT[[#This Row],[Sales Rate/MT (USD)]]*CT[[#This Row],[SC Qty (MT)]]</f>
        <v>8375</v>
      </c>
      <c r="AH155" s="7" t="str">
        <f>IF(CT[[#This Row],[Container Qty]]&lt;&gt;0,CT[[#This Row],[Sales Rate/MT (USD)]]*CT[[#This Row],[Container Qty]],"")</f>
        <v/>
      </c>
      <c r="AI155" s="7" t="str">
        <f>IF(CT[[#This Row],[Customer Final Price]]&lt;&gt;"",CT[[#This Row],[Customer Final Price]]-CT[[#This Row],[Customer  Prov. Price]],"")</f>
        <v/>
      </c>
      <c r="AJ155" t="s">
        <v>8</v>
      </c>
      <c r="AK155" s="1" t="s">
        <v>159</v>
      </c>
      <c r="AL155" s="1"/>
      <c r="AM155" s="100" t="s">
        <v>134</v>
      </c>
    </row>
    <row r="156" spans="1:39" x14ac:dyDescent="0.25">
      <c r="A156" t="s">
        <v>9</v>
      </c>
      <c r="B156" s="102"/>
      <c r="C156" s="81"/>
      <c r="D156" s="1" t="s">
        <v>67</v>
      </c>
      <c r="F156" s="11"/>
      <c r="G156" s="3"/>
      <c r="H156" s="3"/>
      <c r="I156" s="1"/>
      <c r="J156" s="1"/>
      <c r="K156" s="1"/>
      <c r="L156" s="1"/>
      <c r="M156" s="14">
        <v>25</v>
      </c>
      <c r="N156" s="1"/>
      <c r="O156" s="7"/>
      <c r="P156" s="7">
        <f>CT[[#This Row],[Purchase Rate/MT (USD)]]*CT[[#This Row],[PC Qty (MT)]]</f>
        <v>0</v>
      </c>
      <c r="Q156" s="7">
        <f>CT[[#This Row],[Purchase Rate/MT (USD)]]*CT[[#This Row],[Container Qty]]</f>
        <v>0</v>
      </c>
      <c r="R156" s="7" t="str">
        <f>IF(CT[[#This Row],[BL Number]]&lt;&gt;0,(CT[[#This Row],[Supplier Prov. Price]]-CT[[#This Row],[Supplier Final Price]])*1.2,"")</f>
        <v/>
      </c>
      <c r="S156" s="101"/>
      <c r="T156" s="3"/>
      <c r="U156" s="7"/>
      <c r="V156" s="7"/>
      <c r="W156" s="24"/>
      <c r="X156" s="7">
        <f>IFERROR(CT[[#This Row],[Freight Charges]]+CT[[#This Row],[Inspection Cost/MT]]+CT[[#This Row],[DHL Charges PMT]],"")</f>
        <v>0</v>
      </c>
      <c r="Y156" s="7">
        <f>IFERROR(AF156-(O156+CT[[#This Row],[Cost Per MT]]),"")</f>
        <v>335</v>
      </c>
      <c r="Z156" s="7">
        <f>IFERROR(CT[[#This Row],[Margin/MT]]*CT[[#This Row],[Container Qty]],"")</f>
        <v>0</v>
      </c>
      <c r="AA156" s="7"/>
      <c r="AB156" t="s">
        <v>11</v>
      </c>
      <c r="AC156" s="1" t="s">
        <v>158</v>
      </c>
      <c r="AD156" s="3">
        <v>45861</v>
      </c>
      <c r="AE156" s="14">
        <f t="shared" si="32"/>
        <v>25</v>
      </c>
      <c r="AF156" s="7">
        <v>335</v>
      </c>
      <c r="AG156" s="7">
        <f>CT[[#This Row],[Sales Rate/MT (USD)]]*CT[[#This Row],[SC Qty (MT)]]</f>
        <v>8375</v>
      </c>
      <c r="AH156" s="7" t="str">
        <f>IF(CT[[#This Row],[Container Qty]]&lt;&gt;0,CT[[#This Row],[Sales Rate/MT (USD)]]*CT[[#This Row],[Container Qty]],"")</f>
        <v/>
      </c>
      <c r="AI156" s="7" t="str">
        <f>IF(CT[[#This Row],[Customer Final Price]]&lt;&gt;"",CT[[#This Row],[Customer Final Price]]-CT[[#This Row],[Customer  Prov. Price]],"")</f>
        <v/>
      </c>
      <c r="AJ156" t="s">
        <v>8</v>
      </c>
      <c r="AK156" s="1" t="s">
        <v>159</v>
      </c>
      <c r="AL156" s="1"/>
      <c r="AM156" s="100" t="s">
        <v>134</v>
      </c>
    </row>
    <row r="157" spans="1:39" x14ac:dyDescent="0.25">
      <c r="A157" t="s">
        <v>9</v>
      </c>
      <c r="B157" s="102"/>
      <c r="C157" s="81"/>
      <c r="D157" s="1" t="s">
        <v>67</v>
      </c>
      <c r="F157" s="11"/>
      <c r="G157" s="3"/>
      <c r="H157" s="3"/>
      <c r="I157" s="1"/>
      <c r="J157" s="1"/>
      <c r="K157" s="1"/>
      <c r="L157" s="1"/>
      <c r="M157" s="14">
        <v>25</v>
      </c>
      <c r="N157" s="1"/>
      <c r="O157" s="7"/>
      <c r="P157" s="7">
        <f>CT[[#This Row],[Purchase Rate/MT (USD)]]*CT[[#This Row],[PC Qty (MT)]]</f>
        <v>0</v>
      </c>
      <c r="Q157" s="7">
        <f>CT[[#This Row],[Purchase Rate/MT (USD)]]*CT[[#This Row],[Container Qty]]</f>
        <v>0</v>
      </c>
      <c r="R157" s="7" t="str">
        <f>IF(CT[[#This Row],[BL Number]]&lt;&gt;0,(CT[[#This Row],[Supplier Prov. Price]]-CT[[#This Row],[Supplier Final Price]])*1.2,"")</f>
        <v/>
      </c>
      <c r="S157" s="101"/>
      <c r="T157" s="3"/>
      <c r="U157" s="7"/>
      <c r="V157" s="7"/>
      <c r="W157" s="24"/>
      <c r="X157" s="7">
        <f>IFERROR(CT[[#This Row],[Freight Charges]]+CT[[#This Row],[Inspection Cost/MT]]+CT[[#This Row],[DHL Charges PMT]],"")</f>
        <v>0</v>
      </c>
      <c r="Y157" s="7">
        <f>IFERROR(AF157-(O157+CT[[#This Row],[Cost Per MT]]),"")</f>
        <v>335</v>
      </c>
      <c r="Z157" s="7">
        <f>IFERROR(CT[[#This Row],[Margin/MT]]*CT[[#This Row],[Container Qty]],"")</f>
        <v>0</v>
      </c>
      <c r="AA157" s="7"/>
      <c r="AB157" t="s">
        <v>11</v>
      </c>
      <c r="AC157" s="1" t="s">
        <v>158</v>
      </c>
      <c r="AD157" s="3">
        <v>45861</v>
      </c>
      <c r="AE157" s="14">
        <f t="shared" si="32"/>
        <v>25</v>
      </c>
      <c r="AF157" s="7">
        <v>335</v>
      </c>
      <c r="AG157" s="7">
        <f>CT[[#This Row],[Sales Rate/MT (USD)]]*CT[[#This Row],[SC Qty (MT)]]</f>
        <v>8375</v>
      </c>
      <c r="AH157" s="7" t="str">
        <f>IF(CT[[#This Row],[Container Qty]]&lt;&gt;0,CT[[#This Row],[Sales Rate/MT (USD)]]*CT[[#This Row],[Container Qty]],"")</f>
        <v/>
      </c>
      <c r="AI157" s="7" t="str">
        <f>IF(CT[[#This Row],[Customer Final Price]]&lt;&gt;"",CT[[#This Row],[Customer Final Price]]-CT[[#This Row],[Customer  Prov. Price]],"")</f>
        <v/>
      </c>
      <c r="AJ157" t="s">
        <v>8</v>
      </c>
      <c r="AK157" s="1" t="s">
        <v>159</v>
      </c>
      <c r="AL157" s="1"/>
      <c r="AM157" s="100" t="s">
        <v>134</v>
      </c>
    </row>
    <row r="158" spans="1:39" x14ac:dyDescent="0.25">
      <c r="A158" t="s">
        <v>9</v>
      </c>
      <c r="B158" s="102"/>
      <c r="C158" s="81"/>
      <c r="D158" s="1" t="s">
        <v>67</v>
      </c>
      <c r="F158" s="11"/>
      <c r="G158" s="3"/>
      <c r="H158" s="3"/>
      <c r="I158" s="1"/>
      <c r="J158" s="1"/>
      <c r="K158" s="1"/>
      <c r="L158" s="1"/>
      <c r="M158" s="14">
        <v>25</v>
      </c>
      <c r="N158" s="1"/>
      <c r="O158" s="7"/>
      <c r="P158" s="7">
        <f>CT[[#This Row],[Purchase Rate/MT (USD)]]*CT[[#This Row],[PC Qty (MT)]]</f>
        <v>0</v>
      </c>
      <c r="Q158" s="7">
        <f>CT[[#This Row],[Purchase Rate/MT (USD)]]*CT[[#This Row],[Container Qty]]</f>
        <v>0</v>
      </c>
      <c r="R158" s="7" t="str">
        <f>IF(CT[[#This Row],[BL Number]]&lt;&gt;0,(CT[[#This Row],[Supplier Prov. Price]]-CT[[#This Row],[Supplier Final Price]])*1.2,"")</f>
        <v/>
      </c>
      <c r="S158" s="101"/>
      <c r="T158" s="3"/>
      <c r="U158" s="7"/>
      <c r="V158" s="7"/>
      <c r="W158" s="24"/>
      <c r="X158" s="7">
        <f>IFERROR(CT[[#This Row],[Freight Charges]]+CT[[#This Row],[Inspection Cost/MT]]+CT[[#This Row],[DHL Charges PMT]],"")</f>
        <v>0</v>
      </c>
      <c r="Y158" s="7">
        <f>IFERROR(AF158-(O158+CT[[#This Row],[Cost Per MT]]),"")</f>
        <v>335</v>
      </c>
      <c r="Z158" s="7">
        <f>IFERROR(CT[[#This Row],[Margin/MT]]*CT[[#This Row],[Container Qty]],"")</f>
        <v>0</v>
      </c>
      <c r="AA158" s="7"/>
      <c r="AB158" t="s">
        <v>11</v>
      </c>
      <c r="AC158" s="1" t="s">
        <v>158</v>
      </c>
      <c r="AD158" s="3">
        <v>45861</v>
      </c>
      <c r="AE158" s="14">
        <f t="shared" si="32"/>
        <v>25</v>
      </c>
      <c r="AF158" s="7">
        <v>335</v>
      </c>
      <c r="AG158" s="7">
        <f>CT[[#This Row],[Sales Rate/MT (USD)]]*CT[[#This Row],[SC Qty (MT)]]</f>
        <v>8375</v>
      </c>
      <c r="AH158" s="7" t="str">
        <f>IF(CT[[#This Row],[Container Qty]]&lt;&gt;0,CT[[#This Row],[Sales Rate/MT (USD)]]*CT[[#This Row],[Container Qty]],"")</f>
        <v/>
      </c>
      <c r="AI158" s="7" t="str">
        <f>IF(CT[[#This Row],[Customer Final Price]]&lt;&gt;"",CT[[#This Row],[Customer Final Price]]-CT[[#This Row],[Customer  Prov. Price]],"")</f>
        <v/>
      </c>
      <c r="AJ158" t="s">
        <v>8</v>
      </c>
      <c r="AK158" s="1" t="s">
        <v>159</v>
      </c>
      <c r="AL158" s="1"/>
      <c r="AM158" s="100" t="s">
        <v>134</v>
      </c>
    </row>
    <row r="159" spans="1:39" x14ac:dyDescent="0.25">
      <c r="A159" t="s">
        <v>9</v>
      </c>
      <c r="B159" s="102"/>
      <c r="C159" s="81"/>
      <c r="D159" s="1" t="s">
        <v>67</v>
      </c>
      <c r="F159" s="11"/>
      <c r="G159" s="3"/>
      <c r="H159" s="3"/>
      <c r="I159" s="1"/>
      <c r="J159" s="1"/>
      <c r="K159" s="1"/>
      <c r="L159" s="1"/>
      <c r="M159" s="14">
        <v>25</v>
      </c>
      <c r="N159" s="1"/>
      <c r="O159" s="7"/>
      <c r="P159" s="7">
        <f>CT[[#This Row],[Purchase Rate/MT (USD)]]*CT[[#This Row],[PC Qty (MT)]]</f>
        <v>0</v>
      </c>
      <c r="Q159" s="7">
        <f>CT[[#This Row],[Purchase Rate/MT (USD)]]*CT[[#This Row],[Container Qty]]</f>
        <v>0</v>
      </c>
      <c r="R159" s="7" t="str">
        <f>IF(CT[[#This Row],[BL Number]]&lt;&gt;0,(CT[[#This Row],[Supplier Prov. Price]]-CT[[#This Row],[Supplier Final Price]])*1.2,"")</f>
        <v/>
      </c>
      <c r="S159" s="101"/>
      <c r="T159" s="3"/>
      <c r="U159" s="7"/>
      <c r="V159" s="7"/>
      <c r="W159" s="24"/>
      <c r="X159" s="7">
        <f>IFERROR(CT[[#This Row],[Freight Charges]]+CT[[#This Row],[Inspection Cost/MT]]+CT[[#This Row],[DHL Charges PMT]],"")</f>
        <v>0</v>
      </c>
      <c r="Y159" s="7">
        <f>IFERROR(AF159-(O159+CT[[#This Row],[Cost Per MT]]),"")</f>
        <v>335</v>
      </c>
      <c r="Z159" s="7">
        <f>IFERROR(CT[[#This Row],[Margin/MT]]*CT[[#This Row],[Container Qty]],"")</f>
        <v>0</v>
      </c>
      <c r="AA159" s="7"/>
      <c r="AB159" t="s">
        <v>11</v>
      </c>
      <c r="AC159" s="1" t="s">
        <v>158</v>
      </c>
      <c r="AD159" s="3">
        <v>45861</v>
      </c>
      <c r="AE159" s="14">
        <f t="shared" si="32"/>
        <v>25</v>
      </c>
      <c r="AF159" s="7">
        <v>335</v>
      </c>
      <c r="AG159" s="7">
        <f>CT[[#This Row],[Sales Rate/MT (USD)]]*CT[[#This Row],[SC Qty (MT)]]</f>
        <v>8375</v>
      </c>
      <c r="AH159" s="7" t="str">
        <f>IF(CT[[#This Row],[Container Qty]]&lt;&gt;0,CT[[#This Row],[Sales Rate/MT (USD)]]*CT[[#This Row],[Container Qty]],"")</f>
        <v/>
      </c>
      <c r="AI159" s="7" t="str">
        <f>IF(CT[[#This Row],[Customer Final Price]]&lt;&gt;"",CT[[#This Row],[Customer Final Price]]-CT[[#This Row],[Customer  Prov. Price]],"")</f>
        <v/>
      </c>
      <c r="AJ159" t="s">
        <v>8</v>
      </c>
      <c r="AK159" s="1" t="s">
        <v>159</v>
      </c>
      <c r="AL159" s="1"/>
      <c r="AM159" s="100" t="s">
        <v>134</v>
      </c>
    </row>
    <row r="160" spans="1:39" x14ac:dyDescent="0.25">
      <c r="A160" t="s">
        <v>9</v>
      </c>
      <c r="B160" s="102"/>
      <c r="C160" s="81"/>
      <c r="D160" s="1" t="s">
        <v>67</v>
      </c>
      <c r="F160" s="11"/>
      <c r="G160" s="3"/>
      <c r="H160" s="3"/>
      <c r="I160" s="1"/>
      <c r="J160" s="1"/>
      <c r="K160" s="1"/>
      <c r="L160" s="1"/>
      <c r="M160" s="14">
        <v>25</v>
      </c>
      <c r="N160" s="1"/>
      <c r="O160" s="7"/>
      <c r="P160" s="7">
        <f>CT[[#This Row],[Purchase Rate/MT (USD)]]*CT[[#This Row],[PC Qty (MT)]]</f>
        <v>0</v>
      </c>
      <c r="Q160" s="7">
        <f>CT[[#This Row],[Purchase Rate/MT (USD)]]*CT[[#This Row],[Container Qty]]</f>
        <v>0</v>
      </c>
      <c r="R160" s="7" t="str">
        <f>IF(CT[[#This Row],[BL Number]]&lt;&gt;0,(CT[[#This Row],[Supplier Prov. Price]]-CT[[#This Row],[Supplier Final Price]])*1.2,"")</f>
        <v/>
      </c>
      <c r="S160" s="101"/>
      <c r="T160" s="3"/>
      <c r="U160" s="7"/>
      <c r="V160" s="7"/>
      <c r="W160" s="24"/>
      <c r="X160" s="7">
        <f>IFERROR(CT[[#This Row],[Freight Charges]]+CT[[#This Row],[Inspection Cost/MT]]+CT[[#This Row],[DHL Charges PMT]],"")</f>
        <v>0</v>
      </c>
      <c r="Y160" s="7">
        <f>IFERROR(AF160-(O160+CT[[#This Row],[Cost Per MT]]),"")</f>
        <v>335</v>
      </c>
      <c r="Z160" s="7">
        <f>IFERROR(CT[[#This Row],[Margin/MT]]*CT[[#This Row],[Container Qty]],"")</f>
        <v>0</v>
      </c>
      <c r="AA160" s="7"/>
      <c r="AB160" t="s">
        <v>11</v>
      </c>
      <c r="AC160" s="1" t="s">
        <v>158</v>
      </c>
      <c r="AD160" s="3">
        <v>45861</v>
      </c>
      <c r="AE160" s="14">
        <f t="shared" si="32"/>
        <v>25</v>
      </c>
      <c r="AF160" s="7">
        <v>335</v>
      </c>
      <c r="AG160" s="7">
        <f>CT[[#This Row],[Sales Rate/MT (USD)]]*CT[[#This Row],[SC Qty (MT)]]</f>
        <v>8375</v>
      </c>
      <c r="AH160" s="7" t="str">
        <f>IF(CT[[#This Row],[Container Qty]]&lt;&gt;0,CT[[#This Row],[Sales Rate/MT (USD)]]*CT[[#This Row],[Container Qty]],"")</f>
        <v/>
      </c>
      <c r="AI160" s="7" t="str">
        <f>IF(CT[[#This Row],[Customer Final Price]]&lt;&gt;"",CT[[#This Row],[Customer Final Price]]-CT[[#This Row],[Customer  Prov. Price]],"")</f>
        <v/>
      </c>
      <c r="AJ160" t="s">
        <v>8</v>
      </c>
      <c r="AK160" s="1" t="s">
        <v>159</v>
      </c>
      <c r="AL160" s="1"/>
      <c r="AM160" s="100" t="s">
        <v>134</v>
      </c>
    </row>
    <row r="161" spans="1:39" x14ac:dyDescent="0.25">
      <c r="A161" t="s">
        <v>9</v>
      </c>
      <c r="B161" s="102"/>
      <c r="C161" s="81"/>
      <c r="D161" s="1" t="s">
        <v>67</v>
      </c>
      <c r="F161" s="11"/>
      <c r="G161" s="3"/>
      <c r="H161" s="3"/>
      <c r="I161" s="1"/>
      <c r="J161" s="1"/>
      <c r="K161" s="1"/>
      <c r="L161" s="1"/>
      <c r="M161" s="14">
        <v>25</v>
      </c>
      <c r="N161" s="1"/>
      <c r="O161" s="7"/>
      <c r="P161" s="7">
        <f>CT[[#This Row],[Purchase Rate/MT (USD)]]*CT[[#This Row],[PC Qty (MT)]]</f>
        <v>0</v>
      </c>
      <c r="Q161" s="7">
        <f>CT[[#This Row],[Purchase Rate/MT (USD)]]*CT[[#This Row],[Container Qty]]</f>
        <v>0</v>
      </c>
      <c r="R161" s="7" t="str">
        <f>IF(CT[[#This Row],[BL Number]]&lt;&gt;0,(CT[[#This Row],[Supplier Prov. Price]]-CT[[#This Row],[Supplier Final Price]])*1.2,"")</f>
        <v/>
      </c>
      <c r="S161" s="101"/>
      <c r="T161" s="3"/>
      <c r="U161" s="7"/>
      <c r="V161" s="7"/>
      <c r="W161" s="24"/>
      <c r="X161" s="7">
        <f>IFERROR(CT[[#This Row],[Freight Charges]]+CT[[#This Row],[Inspection Cost/MT]]+CT[[#This Row],[DHL Charges PMT]],"")</f>
        <v>0</v>
      </c>
      <c r="Y161" s="7">
        <f>IFERROR(AF161-(O161+CT[[#This Row],[Cost Per MT]]),"")</f>
        <v>335</v>
      </c>
      <c r="Z161" s="7">
        <f>IFERROR(CT[[#This Row],[Margin/MT]]*CT[[#This Row],[Container Qty]],"")</f>
        <v>0</v>
      </c>
      <c r="AA161" s="7"/>
      <c r="AB161" t="s">
        <v>11</v>
      </c>
      <c r="AC161" s="1" t="s">
        <v>158</v>
      </c>
      <c r="AD161" s="3">
        <v>45861</v>
      </c>
      <c r="AE161" s="14">
        <f t="shared" si="32"/>
        <v>25</v>
      </c>
      <c r="AF161" s="7">
        <v>335</v>
      </c>
      <c r="AG161" s="7">
        <f>CT[[#This Row],[Sales Rate/MT (USD)]]*CT[[#This Row],[SC Qty (MT)]]</f>
        <v>8375</v>
      </c>
      <c r="AH161" s="7" t="str">
        <f>IF(CT[[#This Row],[Container Qty]]&lt;&gt;0,CT[[#This Row],[Sales Rate/MT (USD)]]*CT[[#This Row],[Container Qty]],"")</f>
        <v/>
      </c>
      <c r="AI161" s="7" t="str">
        <f>IF(CT[[#This Row],[Customer Final Price]]&lt;&gt;"",CT[[#This Row],[Customer Final Price]]-CT[[#This Row],[Customer  Prov. Price]],"")</f>
        <v/>
      </c>
      <c r="AJ161" t="s">
        <v>8</v>
      </c>
      <c r="AK161" s="1" t="s">
        <v>159</v>
      </c>
      <c r="AL161" s="1"/>
      <c r="AM161" s="100" t="s">
        <v>134</v>
      </c>
    </row>
    <row r="162" spans="1:39" x14ac:dyDescent="0.25">
      <c r="A162" t="s">
        <v>9</v>
      </c>
      <c r="B162" s="102"/>
      <c r="C162" s="81"/>
      <c r="D162" s="1" t="s">
        <v>67</v>
      </c>
      <c r="F162" s="11"/>
      <c r="G162" s="3"/>
      <c r="H162" s="3"/>
      <c r="I162" s="1"/>
      <c r="J162" s="1"/>
      <c r="K162" s="1"/>
      <c r="L162" s="1"/>
      <c r="M162" s="14">
        <v>25</v>
      </c>
      <c r="N162" s="1"/>
      <c r="O162" s="7"/>
      <c r="P162" s="7">
        <f>CT[[#This Row],[Purchase Rate/MT (USD)]]*CT[[#This Row],[PC Qty (MT)]]</f>
        <v>0</v>
      </c>
      <c r="Q162" s="7">
        <f>CT[[#This Row],[Purchase Rate/MT (USD)]]*CT[[#This Row],[Container Qty]]</f>
        <v>0</v>
      </c>
      <c r="R162" s="7" t="str">
        <f>IF(CT[[#This Row],[BL Number]]&lt;&gt;0,(CT[[#This Row],[Supplier Prov. Price]]-CT[[#This Row],[Supplier Final Price]])*1.2,"")</f>
        <v/>
      </c>
      <c r="S162" s="101"/>
      <c r="T162" s="3"/>
      <c r="U162" s="7"/>
      <c r="V162" s="7"/>
      <c r="W162" s="24"/>
      <c r="X162" s="7">
        <f>IFERROR(CT[[#This Row],[Freight Charges]]+CT[[#This Row],[Inspection Cost/MT]]+CT[[#This Row],[DHL Charges PMT]],"")</f>
        <v>0</v>
      </c>
      <c r="Y162" s="7">
        <f>IFERROR(AF162-(O162+CT[[#This Row],[Cost Per MT]]),"")</f>
        <v>335</v>
      </c>
      <c r="Z162" s="7">
        <f>IFERROR(CT[[#This Row],[Margin/MT]]*CT[[#This Row],[Container Qty]],"")</f>
        <v>0</v>
      </c>
      <c r="AA162" s="7"/>
      <c r="AB162" t="s">
        <v>11</v>
      </c>
      <c r="AC162" s="1" t="s">
        <v>158</v>
      </c>
      <c r="AD162" s="3">
        <v>45861</v>
      </c>
      <c r="AE162" s="14">
        <f t="shared" si="32"/>
        <v>25</v>
      </c>
      <c r="AF162" s="7">
        <v>335</v>
      </c>
      <c r="AG162" s="7">
        <f>CT[[#This Row],[Sales Rate/MT (USD)]]*CT[[#This Row],[SC Qty (MT)]]</f>
        <v>8375</v>
      </c>
      <c r="AH162" s="7" t="str">
        <f>IF(CT[[#This Row],[Container Qty]]&lt;&gt;0,CT[[#This Row],[Sales Rate/MT (USD)]]*CT[[#This Row],[Container Qty]],"")</f>
        <v/>
      </c>
      <c r="AI162" s="7" t="str">
        <f>IF(CT[[#This Row],[Customer Final Price]]&lt;&gt;"",CT[[#This Row],[Customer Final Price]]-CT[[#This Row],[Customer  Prov. Price]],"")</f>
        <v/>
      </c>
      <c r="AJ162" t="s">
        <v>8</v>
      </c>
      <c r="AK162" s="1" t="s">
        <v>159</v>
      </c>
      <c r="AL162" s="1"/>
      <c r="AM162" s="100" t="s">
        <v>134</v>
      </c>
    </row>
    <row r="163" spans="1:39" x14ac:dyDescent="0.25">
      <c r="A163" t="s">
        <v>9</v>
      </c>
      <c r="B163" s="102"/>
      <c r="C163" s="81"/>
      <c r="D163" s="1" t="s">
        <v>67</v>
      </c>
      <c r="F163" s="11"/>
      <c r="G163" s="3"/>
      <c r="H163" s="3"/>
      <c r="I163" s="1"/>
      <c r="J163" s="1"/>
      <c r="K163" s="1"/>
      <c r="L163" s="1"/>
      <c r="M163" s="14">
        <v>25</v>
      </c>
      <c r="N163" s="1"/>
      <c r="O163" s="7"/>
      <c r="P163" s="7">
        <f>CT[[#This Row],[Purchase Rate/MT (USD)]]*CT[[#This Row],[PC Qty (MT)]]</f>
        <v>0</v>
      </c>
      <c r="Q163" s="7">
        <f>CT[[#This Row],[Purchase Rate/MT (USD)]]*CT[[#This Row],[Container Qty]]</f>
        <v>0</v>
      </c>
      <c r="R163" s="7" t="str">
        <f>IF(CT[[#This Row],[BL Number]]&lt;&gt;0,(CT[[#This Row],[Supplier Prov. Price]]-CT[[#This Row],[Supplier Final Price]])*1.2,"")</f>
        <v/>
      </c>
      <c r="S163" s="101"/>
      <c r="T163" s="3"/>
      <c r="U163" s="7"/>
      <c r="V163" s="7"/>
      <c r="W163" s="24"/>
      <c r="X163" s="7">
        <f>IFERROR(CT[[#This Row],[Freight Charges]]+CT[[#This Row],[Inspection Cost/MT]]+CT[[#This Row],[DHL Charges PMT]],"")</f>
        <v>0</v>
      </c>
      <c r="Y163" s="7">
        <f>IFERROR(AF163-(O163+CT[[#This Row],[Cost Per MT]]),"")</f>
        <v>335</v>
      </c>
      <c r="Z163" s="7">
        <f>IFERROR(CT[[#This Row],[Margin/MT]]*CT[[#This Row],[Container Qty]],"")</f>
        <v>0</v>
      </c>
      <c r="AA163" s="7"/>
      <c r="AB163" t="s">
        <v>11</v>
      </c>
      <c r="AC163" s="1" t="s">
        <v>158</v>
      </c>
      <c r="AD163" s="3">
        <v>45861</v>
      </c>
      <c r="AE163" s="14">
        <f t="shared" si="32"/>
        <v>25</v>
      </c>
      <c r="AF163" s="7">
        <v>335</v>
      </c>
      <c r="AG163" s="7">
        <f>CT[[#This Row],[Sales Rate/MT (USD)]]*CT[[#This Row],[SC Qty (MT)]]</f>
        <v>8375</v>
      </c>
      <c r="AH163" s="7" t="str">
        <f>IF(CT[[#This Row],[Container Qty]]&lt;&gt;0,CT[[#This Row],[Sales Rate/MT (USD)]]*CT[[#This Row],[Container Qty]],"")</f>
        <v/>
      </c>
      <c r="AI163" s="7" t="str">
        <f>IF(CT[[#This Row],[Customer Final Price]]&lt;&gt;"",CT[[#This Row],[Customer Final Price]]-CT[[#This Row],[Customer  Prov. Price]],"")</f>
        <v/>
      </c>
      <c r="AJ163" t="s">
        <v>8</v>
      </c>
      <c r="AK163" s="1" t="s">
        <v>159</v>
      </c>
      <c r="AL163" s="1"/>
      <c r="AM163" s="100" t="s">
        <v>134</v>
      </c>
    </row>
    <row r="164" spans="1:39" x14ac:dyDescent="0.25">
      <c r="A164" t="s">
        <v>9</v>
      </c>
      <c r="B164" s="102"/>
      <c r="C164" s="81"/>
      <c r="D164" s="1" t="s">
        <v>67</v>
      </c>
      <c r="F164" s="11"/>
      <c r="G164" s="3"/>
      <c r="H164" s="3"/>
      <c r="I164" s="1"/>
      <c r="J164" s="1"/>
      <c r="K164" s="1"/>
      <c r="L164" s="1"/>
      <c r="M164" s="14">
        <v>25</v>
      </c>
      <c r="N164" s="1"/>
      <c r="O164" s="7"/>
      <c r="P164" s="7">
        <f>CT[[#This Row],[Purchase Rate/MT (USD)]]*CT[[#This Row],[PC Qty (MT)]]</f>
        <v>0</v>
      </c>
      <c r="Q164" s="7">
        <f>CT[[#This Row],[Purchase Rate/MT (USD)]]*CT[[#This Row],[Container Qty]]</f>
        <v>0</v>
      </c>
      <c r="R164" s="7" t="str">
        <f>IF(CT[[#This Row],[BL Number]]&lt;&gt;0,(CT[[#This Row],[Supplier Prov. Price]]-CT[[#This Row],[Supplier Final Price]])*1.2,"")</f>
        <v/>
      </c>
      <c r="S164" s="101"/>
      <c r="T164" s="3"/>
      <c r="U164" s="7"/>
      <c r="V164" s="7"/>
      <c r="W164" s="24"/>
      <c r="X164" s="7">
        <f>IFERROR(CT[[#This Row],[Freight Charges]]+CT[[#This Row],[Inspection Cost/MT]]+CT[[#This Row],[DHL Charges PMT]],"")</f>
        <v>0</v>
      </c>
      <c r="Y164" s="7">
        <f>IFERROR(AF164-(O164+CT[[#This Row],[Cost Per MT]]),"")</f>
        <v>335</v>
      </c>
      <c r="Z164" s="7">
        <f>IFERROR(CT[[#This Row],[Margin/MT]]*CT[[#This Row],[Container Qty]],"")</f>
        <v>0</v>
      </c>
      <c r="AA164" s="7"/>
      <c r="AB164" t="s">
        <v>11</v>
      </c>
      <c r="AC164" s="1" t="s">
        <v>158</v>
      </c>
      <c r="AD164" s="3">
        <v>45861</v>
      </c>
      <c r="AE164" s="14">
        <f t="shared" si="32"/>
        <v>25</v>
      </c>
      <c r="AF164" s="7">
        <v>335</v>
      </c>
      <c r="AG164" s="7">
        <f>CT[[#This Row],[Sales Rate/MT (USD)]]*CT[[#This Row],[SC Qty (MT)]]</f>
        <v>8375</v>
      </c>
      <c r="AH164" s="7" t="str">
        <f>IF(CT[[#This Row],[Container Qty]]&lt;&gt;0,CT[[#This Row],[Sales Rate/MT (USD)]]*CT[[#This Row],[Container Qty]],"")</f>
        <v/>
      </c>
      <c r="AI164" s="7" t="str">
        <f>IF(CT[[#This Row],[Customer Final Price]]&lt;&gt;"",CT[[#This Row],[Customer Final Price]]-CT[[#This Row],[Customer  Prov. Price]],"")</f>
        <v/>
      </c>
      <c r="AJ164" t="s">
        <v>8</v>
      </c>
      <c r="AK164" s="1" t="s">
        <v>159</v>
      </c>
      <c r="AL164" s="1"/>
      <c r="AM164" s="100" t="s">
        <v>134</v>
      </c>
    </row>
    <row r="165" spans="1:39" x14ac:dyDescent="0.25">
      <c r="A165" t="s">
        <v>9</v>
      </c>
      <c r="B165" s="102"/>
      <c r="C165" s="81"/>
      <c r="D165" s="1" t="s">
        <v>67</v>
      </c>
      <c r="F165" s="11"/>
      <c r="G165" s="3"/>
      <c r="H165" s="3"/>
      <c r="I165" s="1"/>
      <c r="J165" s="1"/>
      <c r="K165" s="1"/>
      <c r="L165" s="1"/>
      <c r="M165" s="14">
        <v>25</v>
      </c>
      <c r="N165" s="1"/>
      <c r="O165" s="7"/>
      <c r="P165" s="7">
        <f>CT[[#This Row],[Purchase Rate/MT (USD)]]*CT[[#This Row],[PC Qty (MT)]]</f>
        <v>0</v>
      </c>
      <c r="Q165" s="7">
        <f>CT[[#This Row],[Purchase Rate/MT (USD)]]*CT[[#This Row],[Container Qty]]</f>
        <v>0</v>
      </c>
      <c r="R165" s="7" t="str">
        <f>IF(CT[[#This Row],[BL Number]]&lt;&gt;0,(CT[[#This Row],[Supplier Prov. Price]]-CT[[#This Row],[Supplier Final Price]])*1.2,"")</f>
        <v/>
      </c>
      <c r="S165" s="101"/>
      <c r="T165" s="3"/>
      <c r="U165" s="7"/>
      <c r="V165" s="7"/>
      <c r="W165" s="24"/>
      <c r="X165" s="7">
        <f>IFERROR(CT[[#This Row],[Freight Charges]]+CT[[#This Row],[Inspection Cost/MT]]+CT[[#This Row],[DHL Charges PMT]],"")</f>
        <v>0</v>
      </c>
      <c r="Y165" s="7">
        <f>IFERROR(AF165-(O165+CT[[#This Row],[Cost Per MT]]),"")</f>
        <v>335</v>
      </c>
      <c r="Z165" s="7">
        <f>IFERROR(CT[[#This Row],[Margin/MT]]*CT[[#This Row],[Container Qty]],"")</f>
        <v>0</v>
      </c>
      <c r="AA165" s="7"/>
      <c r="AB165" t="s">
        <v>11</v>
      </c>
      <c r="AC165" s="1" t="s">
        <v>158</v>
      </c>
      <c r="AD165" s="3">
        <v>45861</v>
      </c>
      <c r="AE165" s="14">
        <f t="shared" si="32"/>
        <v>25</v>
      </c>
      <c r="AF165" s="7">
        <v>335</v>
      </c>
      <c r="AG165" s="7">
        <f>CT[[#This Row],[Sales Rate/MT (USD)]]*CT[[#This Row],[SC Qty (MT)]]</f>
        <v>8375</v>
      </c>
      <c r="AH165" s="7" t="str">
        <f>IF(CT[[#This Row],[Container Qty]]&lt;&gt;0,CT[[#This Row],[Sales Rate/MT (USD)]]*CT[[#This Row],[Container Qty]],"")</f>
        <v/>
      </c>
      <c r="AI165" s="7" t="str">
        <f>IF(CT[[#This Row],[Customer Final Price]]&lt;&gt;"",CT[[#This Row],[Customer Final Price]]-CT[[#This Row],[Customer  Prov. Price]],"")</f>
        <v/>
      </c>
      <c r="AJ165" t="s">
        <v>8</v>
      </c>
      <c r="AK165" s="1" t="s">
        <v>159</v>
      </c>
      <c r="AL165" s="1"/>
      <c r="AM165" s="100" t="s">
        <v>134</v>
      </c>
    </row>
    <row r="166" spans="1:39" x14ac:dyDescent="0.25">
      <c r="A166" t="s">
        <v>9</v>
      </c>
      <c r="B166" s="102"/>
      <c r="C166" s="81"/>
      <c r="D166" s="1" t="s">
        <v>67</v>
      </c>
      <c r="F166" s="11"/>
      <c r="G166" s="3"/>
      <c r="H166" s="3"/>
      <c r="I166" s="1"/>
      <c r="J166" s="1"/>
      <c r="K166" s="1"/>
      <c r="L166" s="1"/>
      <c r="M166" s="14">
        <v>25</v>
      </c>
      <c r="N166" s="1"/>
      <c r="O166" s="7"/>
      <c r="P166" s="7">
        <f>CT[[#This Row],[Purchase Rate/MT (USD)]]*CT[[#This Row],[PC Qty (MT)]]</f>
        <v>0</v>
      </c>
      <c r="Q166" s="7">
        <f>CT[[#This Row],[Purchase Rate/MT (USD)]]*CT[[#This Row],[Container Qty]]</f>
        <v>0</v>
      </c>
      <c r="R166" s="7" t="str">
        <f>IF(CT[[#This Row],[BL Number]]&lt;&gt;0,(CT[[#This Row],[Supplier Prov. Price]]-CT[[#This Row],[Supplier Final Price]])*1.2,"")</f>
        <v/>
      </c>
      <c r="S166" s="101"/>
      <c r="T166" s="3"/>
      <c r="U166" s="7"/>
      <c r="V166" s="7"/>
      <c r="W166" s="24"/>
      <c r="X166" s="7">
        <f>IFERROR(CT[[#This Row],[Freight Charges]]+CT[[#This Row],[Inspection Cost/MT]]+CT[[#This Row],[DHL Charges PMT]],"")</f>
        <v>0</v>
      </c>
      <c r="Y166" s="7">
        <f>IFERROR(AF166-(O166+CT[[#This Row],[Cost Per MT]]),"")</f>
        <v>335</v>
      </c>
      <c r="Z166" s="7">
        <f>IFERROR(CT[[#This Row],[Margin/MT]]*CT[[#This Row],[Container Qty]],"")</f>
        <v>0</v>
      </c>
      <c r="AA166" s="7"/>
      <c r="AB166" t="s">
        <v>11</v>
      </c>
      <c r="AC166" s="1" t="s">
        <v>158</v>
      </c>
      <c r="AD166" s="3">
        <v>45861</v>
      </c>
      <c r="AE166" s="14">
        <f t="shared" si="32"/>
        <v>25</v>
      </c>
      <c r="AF166" s="7">
        <v>335</v>
      </c>
      <c r="AG166" s="7">
        <f>CT[[#This Row],[Sales Rate/MT (USD)]]*CT[[#This Row],[SC Qty (MT)]]</f>
        <v>8375</v>
      </c>
      <c r="AH166" s="7" t="str">
        <f>IF(CT[[#This Row],[Container Qty]]&lt;&gt;0,CT[[#This Row],[Sales Rate/MT (USD)]]*CT[[#This Row],[Container Qty]],"")</f>
        <v/>
      </c>
      <c r="AI166" s="7" t="str">
        <f>IF(CT[[#This Row],[Customer Final Price]]&lt;&gt;"",CT[[#This Row],[Customer Final Price]]-CT[[#This Row],[Customer  Prov. Price]],"")</f>
        <v/>
      </c>
      <c r="AJ166" t="s">
        <v>8</v>
      </c>
      <c r="AK166" s="1" t="s">
        <v>159</v>
      </c>
      <c r="AL166" s="1"/>
      <c r="AM166" s="100" t="s">
        <v>134</v>
      </c>
    </row>
    <row r="167" spans="1:39" x14ac:dyDescent="0.25">
      <c r="A167" t="s">
        <v>9</v>
      </c>
      <c r="B167" s="102"/>
      <c r="C167" s="81"/>
      <c r="D167" s="1" t="s">
        <v>67</v>
      </c>
      <c r="F167" s="11"/>
      <c r="G167" s="3"/>
      <c r="H167" s="3"/>
      <c r="I167" s="1"/>
      <c r="J167" s="1"/>
      <c r="K167" s="1"/>
      <c r="L167" s="1"/>
      <c r="M167" s="14">
        <v>25</v>
      </c>
      <c r="N167" s="1"/>
      <c r="O167" s="7"/>
      <c r="P167" s="7">
        <f>CT[[#This Row],[Purchase Rate/MT (USD)]]*CT[[#This Row],[PC Qty (MT)]]</f>
        <v>0</v>
      </c>
      <c r="Q167" s="7">
        <f>CT[[#This Row],[Purchase Rate/MT (USD)]]*CT[[#This Row],[Container Qty]]</f>
        <v>0</v>
      </c>
      <c r="R167" s="7" t="str">
        <f>IF(CT[[#This Row],[BL Number]]&lt;&gt;0,(CT[[#This Row],[Supplier Prov. Price]]-CT[[#This Row],[Supplier Final Price]])*1.2,"")</f>
        <v/>
      </c>
      <c r="S167" s="101"/>
      <c r="T167" s="3"/>
      <c r="U167" s="7"/>
      <c r="V167" s="7"/>
      <c r="W167" s="24"/>
      <c r="X167" s="7">
        <f>IFERROR(CT[[#This Row],[Freight Charges]]+CT[[#This Row],[Inspection Cost/MT]]+CT[[#This Row],[DHL Charges PMT]],"")</f>
        <v>0</v>
      </c>
      <c r="Y167" s="7">
        <f>IFERROR(AF167-(O167+CT[[#This Row],[Cost Per MT]]),"")</f>
        <v>335</v>
      </c>
      <c r="Z167" s="7">
        <f>IFERROR(CT[[#This Row],[Margin/MT]]*CT[[#This Row],[Container Qty]],"")</f>
        <v>0</v>
      </c>
      <c r="AA167" s="7"/>
      <c r="AB167" t="s">
        <v>11</v>
      </c>
      <c r="AC167" s="1" t="s">
        <v>158</v>
      </c>
      <c r="AD167" s="3">
        <v>45861</v>
      </c>
      <c r="AE167" s="14">
        <f t="shared" si="32"/>
        <v>25</v>
      </c>
      <c r="AF167" s="7">
        <v>335</v>
      </c>
      <c r="AG167" s="7">
        <f>CT[[#This Row],[Sales Rate/MT (USD)]]*CT[[#This Row],[SC Qty (MT)]]</f>
        <v>8375</v>
      </c>
      <c r="AH167" s="7" t="str">
        <f>IF(CT[[#This Row],[Container Qty]]&lt;&gt;0,CT[[#This Row],[Sales Rate/MT (USD)]]*CT[[#This Row],[Container Qty]],"")</f>
        <v/>
      </c>
      <c r="AI167" s="7" t="str">
        <f>IF(CT[[#This Row],[Customer Final Price]]&lt;&gt;"",CT[[#This Row],[Customer Final Price]]-CT[[#This Row],[Customer  Prov. Price]],"")</f>
        <v/>
      </c>
      <c r="AJ167" t="s">
        <v>8</v>
      </c>
      <c r="AK167" s="1" t="s">
        <v>159</v>
      </c>
      <c r="AL167" s="1"/>
      <c r="AM167" s="100" t="s">
        <v>134</v>
      </c>
    </row>
    <row r="168" spans="1:39" x14ac:dyDescent="0.25">
      <c r="A168" t="s">
        <v>9</v>
      </c>
      <c r="B168" s="102"/>
      <c r="C168" s="81"/>
      <c r="D168" s="1" t="s">
        <v>67</v>
      </c>
      <c r="F168" s="11"/>
      <c r="G168" s="3"/>
      <c r="H168" s="3"/>
      <c r="I168" s="1"/>
      <c r="J168" s="1"/>
      <c r="K168" s="1"/>
      <c r="L168" s="1"/>
      <c r="M168" s="14">
        <v>25</v>
      </c>
      <c r="N168" s="1"/>
      <c r="O168" s="7"/>
      <c r="P168" s="7">
        <f>CT[[#This Row],[Purchase Rate/MT (USD)]]*CT[[#This Row],[PC Qty (MT)]]</f>
        <v>0</v>
      </c>
      <c r="Q168" s="7">
        <f>CT[[#This Row],[Purchase Rate/MT (USD)]]*CT[[#This Row],[Container Qty]]</f>
        <v>0</v>
      </c>
      <c r="R168" s="7" t="str">
        <f>IF(CT[[#This Row],[BL Number]]&lt;&gt;0,(CT[[#This Row],[Supplier Prov. Price]]-CT[[#This Row],[Supplier Final Price]])*1.2,"")</f>
        <v/>
      </c>
      <c r="S168" s="101"/>
      <c r="T168" s="3"/>
      <c r="U168" s="7"/>
      <c r="V168" s="7"/>
      <c r="W168" s="24"/>
      <c r="X168" s="7">
        <f>IFERROR(CT[[#This Row],[Freight Charges]]+CT[[#This Row],[Inspection Cost/MT]]+CT[[#This Row],[DHL Charges PMT]],"")</f>
        <v>0</v>
      </c>
      <c r="Y168" s="7">
        <f>IFERROR(AF168-(O168+CT[[#This Row],[Cost Per MT]]),"")</f>
        <v>335</v>
      </c>
      <c r="Z168" s="7">
        <f>IFERROR(CT[[#This Row],[Margin/MT]]*CT[[#This Row],[Container Qty]],"")</f>
        <v>0</v>
      </c>
      <c r="AA168" s="7"/>
      <c r="AB168" t="s">
        <v>11</v>
      </c>
      <c r="AC168" s="1" t="s">
        <v>158</v>
      </c>
      <c r="AD168" s="3">
        <v>45861</v>
      </c>
      <c r="AE168" s="14">
        <f t="shared" si="32"/>
        <v>25</v>
      </c>
      <c r="AF168" s="7">
        <v>335</v>
      </c>
      <c r="AG168" s="7">
        <f>CT[[#This Row],[Sales Rate/MT (USD)]]*CT[[#This Row],[SC Qty (MT)]]</f>
        <v>8375</v>
      </c>
      <c r="AH168" s="7" t="str">
        <f>IF(CT[[#This Row],[Container Qty]]&lt;&gt;0,CT[[#This Row],[Sales Rate/MT (USD)]]*CT[[#This Row],[Container Qty]],"")</f>
        <v/>
      </c>
      <c r="AI168" s="7" t="str">
        <f>IF(CT[[#This Row],[Customer Final Price]]&lt;&gt;"",CT[[#This Row],[Customer Final Price]]-CT[[#This Row],[Customer  Prov. Price]],"")</f>
        <v/>
      </c>
      <c r="AJ168" t="s">
        <v>8</v>
      </c>
      <c r="AK168" s="1" t="s">
        <v>159</v>
      </c>
      <c r="AL168" s="1"/>
      <c r="AM168" s="100" t="s">
        <v>134</v>
      </c>
    </row>
    <row r="169" spans="1:39" x14ac:dyDescent="0.25">
      <c r="A169" t="s">
        <v>9</v>
      </c>
      <c r="B169" s="102"/>
      <c r="C169" s="81"/>
      <c r="D169" s="1" t="s">
        <v>67</v>
      </c>
      <c r="F169" s="11"/>
      <c r="G169" s="3"/>
      <c r="H169" s="3"/>
      <c r="I169" s="1"/>
      <c r="J169" s="1"/>
      <c r="K169" s="1"/>
      <c r="L169" s="1"/>
      <c r="M169" s="14">
        <v>25</v>
      </c>
      <c r="N169" s="1"/>
      <c r="O169" s="7"/>
      <c r="P169" s="7">
        <f>CT[[#This Row],[Purchase Rate/MT (USD)]]*CT[[#This Row],[PC Qty (MT)]]</f>
        <v>0</v>
      </c>
      <c r="Q169" s="7">
        <f>CT[[#This Row],[Purchase Rate/MT (USD)]]*CT[[#This Row],[Container Qty]]</f>
        <v>0</v>
      </c>
      <c r="R169" s="7" t="str">
        <f>IF(CT[[#This Row],[BL Number]]&lt;&gt;0,(CT[[#This Row],[Supplier Prov. Price]]-CT[[#This Row],[Supplier Final Price]])*1.2,"")</f>
        <v/>
      </c>
      <c r="S169" s="101"/>
      <c r="T169" s="3"/>
      <c r="U169" s="7"/>
      <c r="V169" s="7"/>
      <c r="W169" s="24"/>
      <c r="X169" s="7">
        <f>IFERROR(CT[[#This Row],[Freight Charges]]+CT[[#This Row],[Inspection Cost/MT]]+CT[[#This Row],[DHL Charges PMT]],"")</f>
        <v>0</v>
      </c>
      <c r="Y169" s="7">
        <f>IFERROR(AF169-(O169+CT[[#This Row],[Cost Per MT]]),"")</f>
        <v>335</v>
      </c>
      <c r="Z169" s="7">
        <f>IFERROR(CT[[#This Row],[Margin/MT]]*CT[[#This Row],[Container Qty]],"")</f>
        <v>0</v>
      </c>
      <c r="AA169" s="7"/>
      <c r="AB169" t="s">
        <v>11</v>
      </c>
      <c r="AC169" s="1" t="s">
        <v>158</v>
      </c>
      <c r="AD169" s="3">
        <v>45861</v>
      </c>
      <c r="AE169" s="14">
        <f t="shared" si="32"/>
        <v>25</v>
      </c>
      <c r="AF169" s="7">
        <v>335</v>
      </c>
      <c r="AG169" s="7">
        <f>CT[[#This Row],[Sales Rate/MT (USD)]]*CT[[#This Row],[SC Qty (MT)]]</f>
        <v>8375</v>
      </c>
      <c r="AH169" s="7" t="str">
        <f>IF(CT[[#This Row],[Container Qty]]&lt;&gt;0,CT[[#This Row],[Sales Rate/MT (USD)]]*CT[[#This Row],[Container Qty]],"")</f>
        <v/>
      </c>
      <c r="AI169" s="7" t="str">
        <f>IF(CT[[#This Row],[Customer Final Price]]&lt;&gt;"",CT[[#This Row],[Customer Final Price]]-CT[[#This Row],[Customer  Prov. Price]],"")</f>
        <v/>
      </c>
      <c r="AJ169" t="s">
        <v>8</v>
      </c>
      <c r="AK169" s="1" t="s">
        <v>159</v>
      </c>
      <c r="AL169" s="1"/>
      <c r="AM169" s="100" t="s">
        <v>134</v>
      </c>
    </row>
    <row r="170" spans="1:39" x14ac:dyDescent="0.25">
      <c r="A170" t="s">
        <v>9</v>
      </c>
      <c r="B170" s="102"/>
      <c r="C170" s="81"/>
      <c r="D170" s="1" t="s">
        <v>67</v>
      </c>
      <c r="F170" s="11"/>
      <c r="G170" s="3"/>
      <c r="H170" s="3"/>
      <c r="I170" s="1"/>
      <c r="J170" s="1"/>
      <c r="K170" s="1"/>
      <c r="L170" s="1"/>
      <c r="M170" s="14">
        <v>25</v>
      </c>
      <c r="N170" s="1"/>
      <c r="O170" s="7"/>
      <c r="P170" s="7">
        <f>CT[[#This Row],[Purchase Rate/MT (USD)]]*CT[[#This Row],[PC Qty (MT)]]</f>
        <v>0</v>
      </c>
      <c r="Q170" s="7">
        <f>CT[[#This Row],[Purchase Rate/MT (USD)]]*CT[[#This Row],[Container Qty]]</f>
        <v>0</v>
      </c>
      <c r="R170" s="7" t="str">
        <f>IF(CT[[#This Row],[BL Number]]&lt;&gt;0,(CT[[#This Row],[Supplier Prov. Price]]-CT[[#This Row],[Supplier Final Price]])*1.2,"")</f>
        <v/>
      </c>
      <c r="S170" s="101"/>
      <c r="T170" s="3"/>
      <c r="U170" s="7"/>
      <c r="V170" s="7"/>
      <c r="W170" s="24"/>
      <c r="X170" s="7">
        <f>IFERROR(CT[[#This Row],[Freight Charges]]+CT[[#This Row],[Inspection Cost/MT]]+CT[[#This Row],[DHL Charges PMT]],"")</f>
        <v>0</v>
      </c>
      <c r="Y170" s="7">
        <f>IFERROR(AF170-(O170+CT[[#This Row],[Cost Per MT]]),"")</f>
        <v>335</v>
      </c>
      <c r="Z170" s="7">
        <f>IFERROR(CT[[#This Row],[Margin/MT]]*CT[[#This Row],[Container Qty]],"")</f>
        <v>0</v>
      </c>
      <c r="AA170" s="7"/>
      <c r="AB170" t="s">
        <v>11</v>
      </c>
      <c r="AC170" s="1" t="s">
        <v>158</v>
      </c>
      <c r="AD170" s="3">
        <v>45861</v>
      </c>
      <c r="AE170" s="14">
        <f t="shared" si="32"/>
        <v>25</v>
      </c>
      <c r="AF170" s="7">
        <v>335</v>
      </c>
      <c r="AG170" s="7">
        <f>CT[[#This Row],[Sales Rate/MT (USD)]]*CT[[#This Row],[SC Qty (MT)]]</f>
        <v>8375</v>
      </c>
      <c r="AH170" s="7" t="str">
        <f>IF(CT[[#This Row],[Container Qty]]&lt;&gt;0,CT[[#This Row],[Sales Rate/MT (USD)]]*CT[[#This Row],[Container Qty]],"")</f>
        <v/>
      </c>
      <c r="AI170" s="7" t="str">
        <f>IF(CT[[#This Row],[Customer Final Price]]&lt;&gt;"",CT[[#This Row],[Customer Final Price]]-CT[[#This Row],[Customer  Prov. Price]],"")</f>
        <v/>
      </c>
      <c r="AJ170" t="s">
        <v>8</v>
      </c>
      <c r="AK170" s="1" t="s">
        <v>159</v>
      </c>
      <c r="AL170" s="1"/>
      <c r="AM170" s="100" t="s">
        <v>134</v>
      </c>
    </row>
    <row r="171" spans="1:39" x14ac:dyDescent="0.25">
      <c r="A171" t="s">
        <v>9</v>
      </c>
      <c r="B171" s="102"/>
      <c r="C171" s="81"/>
      <c r="D171" s="1" t="s">
        <v>67</v>
      </c>
      <c r="F171" s="11"/>
      <c r="G171" s="3"/>
      <c r="H171" s="3"/>
      <c r="I171" s="1"/>
      <c r="J171" s="1"/>
      <c r="K171" s="1"/>
      <c r="L171" s="1"/>
      <c r="M171" s="14">
        <v>25</v>
      </c>
      <c r="N171" s="1"/>
      <c r="O171" s="7"/>
      <c r="P171" s="7">
        <f>CT[[#This Row],[Purchase Rate/MT (USD)]]*CT[[#This Row],[PC Qty (MT)]]</f>
        <v>0</v>
      </c>
      <c r="Q171" s="7">
        <f>CT[[#This Row],[Purchase Rate/MT (USD)]]*CT[[#This Row],[Container Qty]]</f>
        <v>0</v>
      </c>
      <c r="R171" s="7" t="str">
        <f>IF(CT[[#This Row],[BL Number]]&lt;&gt;0,(CT[[#This Row],[Supplier Prov. Price]]-CT[[#This Row],[Supplier Final Price]])*1.2,"")</f>
        <v/>
      </c>
      <c r="S171" s="101"/>
      <c r="T171" s="3"/>
      <c r="U171" s="7"/>
      <c r="V171" s="7"/>
      <c r="W171" s="24"/>
      <c r="X171" s="7">
        <f>IFERROR(CT[[#This Row],[Freight Charges]]+CT[[#This Row],[Inspection Cost/MT]]+CT[[#This Row],[DHL Charges PMT]],"")</f>
        <v>0</v>
      </c>
      <c r="Y171" s="7">
        <f>IFERROR(AF171-(O171+CT[[#This Row],[Cost Per MT]]),"")</f>
        <v>335</v>
      </c>
      <c r="Z171" s="7">
        <f>IFERROR(CT[[#This Row],[Margin/MT]]*CT[[#This Row],[Container Qty]],"")</f>
        <v>0</v>
      </c>
      <c r="AA171" s="7"/>
      <c r="AB171" t="s">
        <v>11</v>
      </c>
      <c r="AC171" s="1" t="s">
        <v>158</v>
      </c>
      <c r="AD171" s="3">
        <v>45861</v>
      </c>
      <c r="AE171" s="14">
        <f t="shared" si="32"/>
        <v>25</v>
      </c>
      <c r="AF171" s="7">
        <v>335</v>
      </c>
      <c r="AG171" s="7">
        <f>CT[[#This Row],[Sales Rate/MT (USD)]]*CT[[#This Row],[SC Qty (MT)]]</f>
        <v>8375</v>
      </c>
      <c r="AH171" s="7" t="str">
        <f>IF(CT[[#This Row],[Container Qty]]&lt;&gt;0,CT[[#This Row],[Sales Rate/MT (USD)]]*CT[[#This Row],[Container Qty]],"")</f>
        <v/>
      </c>
      <c r="AI171" s="7" t="str">
        <f>IF(CT[[#This Row],[Customer Final Price]]&lt;&gt;"",CT[[#This Row],[Customer Final Price]]-CT[[#This Row],[Customer  Prov. Price]],"")</f>
        <v/>
      </c>
      <c r="AJ171" t="s">
        <v>8</v>
      </c>
      <c r="AK171" s="1" t="s">
        <v>159</v>
      </c>
      <c r="AL171" s="1"/>
      <c r="AM171" s="100" t="s">
        <v>134</v>
      </c>
    </row>
    <row r="172" spans="1:39" x14ac:dyDescent="0.25">
      <c r="A172" t="s">
        <v>9</v>
      </c>
      <c r="B172" s="102"/>
      <c r="C172" s="81"/>
      <c r="D172" s="1" t="s">
        <v>67</v>
      </c>
      <c r="F172" s="11"/>
      <c r="G172" s="3"/>
      <c r="H172" s="3"/>
      <c r="I172" s="1"/>
      <c r="J172" s="1"/>
      <c r="K172" s="1"/>
      <c r="L172" s="1"/>
      <c r="M172" s="14">
        <v>25</v>
      </c>
      <c r="N172" s="1"/>
      <c r="O172" s="7"/>
      <c r="P172" s="7">
        <f>CT[[#This Row],[Purchase Rate/MT (USD)]]*CT[[#This Row],[PC Qty (MT)]]</f>
        <v>0</v>
      </c>
      <c r="Q172" s="7">
        <f>CT[[#This Row],[Purchase Rate/MT (USD)]]*CT[[#This Row],[Container Qty]]</f>
        <v>0</v>
      </c>
      <c r="R172" s="7" t="str">
        <f>IF(CT[[#This Row],[BL Number]]&lt;&gt;0,(CT[[#This Row],[Supplier Prov. Price]]-CT[[#This Row],[Supplier Final Price]])*1.2,"")</f>
        <v/>
      </c>
      <c r="S172" s="101"/>
      <c r="T172" s="3"/>
      <c r="U172" s="7"/>
      <c r="V172" s="7"/>
      <c r="W172" s="24"/>
      <c r="X172" s="7">
        <f>IFERROR(CT[[#This Row],[Freight Charges]]+CT[[#This Row],[Inspection Cost/MT]]+CT[[#This Row],[DHL Charges PMT]],"")</f>
        <v>0</v>
      </c>
      <c r="Y172" s="7">
        <f>IFERROR(AF172-(O172+CT[[#This Row],[Cost Per MT]]),"")</f>
        <v>335</v>
      </c>
      <c r="Z172" s="7">
        <f>IFERROR(CT[[#This Row],[Margin/MT]]*CT[[#This Row],[Container Qty]],"")</f>
        <v>0</v>
      </c>
      <c r="AA172" s="7"/>
      <c r="AB172" t="s">
        <v>11</v>
      </c>
      <c r="AC172" s="1" t="s">
        <v>158</v>
      </c>
      <c r="AD172" s="3">
        <v>45861</v>
      </c>
      <c r="AE172" s="14">
        <f t="shared" si="32"/>
        <v>25</v>
      </c>
      <c r="AF172" s="7">
        <v>335</v>
      </c>
      <c r="AG172" s="7">
        <f>CT[[#This Row],[Sales Rate/MT (USD)]]*CT[[#This Row],[SC Qty (MT)]]</f>
        <v>8375</v>
      </c>
      <c r="AH172" s="7" t="str">
        <f>IF(CT[[#This Row],[Container Qty]]&lt;&gt;0,CT[[#This Row],[Sales Rate/MT (USD)]]*CT[[#This Row],[Container Qty]],"")</f>
        <v/>
      </c>
      <c r="AI172" s="7" t="str">
        <f>IF(CT[[#This Row],[Customer Final Price]]&lt;&gt;"",CT[[#This Row],[Customer Final Price]]-CT[[#This Row],[Customer  Prov. Price]],"")</f>
        <v/>
      </c>
      <c r="AJ172" t="s">
        <v>8</v>
      </c>
      <c r="AK172" s="1" t="s">
        <v>159</v>
      </c>
      <c r="AL172" s="1"/>
      <c r="AM172" s="100" t="s">
        <v>134</v>
      </c>
    </row>
    <row r="173" spans="1:39" x14ac:dyDescent="0.25">
      <c r="A173" t="s">
        <v>9</v>
      </c>
      <c r="B173" s="102"/>
      <c r="C173" s="81"/>
      <c r="D173" s="1" t="s">
        <v>67</v>
      </c>
      <c r="F173" s="11"/>
      <c r="G173" s="3"/>
      <c r="H173" s="3"/>
      <c r="I173" s="1"/>
      <c r="J173" s="1"/>
      <c r="K173" s="1"/>
      <c r="L173" s="1"/>
      <c r="M173" s="14">
        <v>25</v>
      </c>
      <c r="N173" s="1"/>
      <c r="O173" s="7"/>
      <c r="P173" s="7">
        <f>CT[[#This Row],[Purchase Rate/MT (USD)]]*CT[[#This Row],[PC Qty (MT)]]</f>
        <v>0</v>
      </c>
      <c r="Q173" s="7">
        <f>CT[[#This Row],[Purchase Rate/MT (USD)]]*CT[[#This Row],[Container Qty]]</f>
        <v>0</v>
      </c>
      <c r="R173" s="7" t="str">
        <f>IF(CT[[#This Row],[BL Number]]&lt;&gt;0,(CT[[#This Row],[Supplier Prov. Price]]-CT[[#This Row],[Supplier Final Price]])*1.2,"")</f>
        <v/>
      </c>
      <c r="S173" s="101"/>
      <c r="T173" s="3"/>
      <c r="U173" s="7"/>
      <c r="V173" s="7"/>
      <c r="W173" s="24"/>
      <c r="X173" s="7">
        <f>IFERROR(CT[[#This Row],[Freight Charges]]+CT[[#This Row],[Inspection Cost/MT]]+CT[[#This Row],[DHL Charges PMT]],"")</f>
        <v>0</v>
      </c>
      <c r="Y173" s="7">
        <f>IFERROR(AF173-(O173+CT[[#This Row],[Cost Per MT]]),"")</f>
        <v>335</v>
      </c>
      <c r="Z173" s="7">
        <f>IFERROR(CT[[#This Row],[Margin/MT]]*CT[[#This Row],[Container Qty]],"")</f>
        <v>0</v>
      </c>
      <c r="AA173" s="7"/>
      <c r="AB173" t="s">
        <v>11</v>
      </c>
      <c r="AC173" s="1" t="s">
        <v>158</v>
      </c>
      <c r="AD173" s="3">
        <v>45861</v>
      </c>
      <c r="AE173" s="14">
        <f t="shared" si="32"/>
        <v>25</v>
      </c>
      <c r="AF173" s="7">
        <v>335</v>
      </c>
      <c r="AG173" s="7">
        <f>CT[[#This Row],[Sales Rate/MT (USD)]]*CT[[#This Row],[SC Qty (MT)]]</f>
        <v>8375</v>
      </c>
      <c r="AH173" s="7" t="str">
        <f>IF(CT[[#This Row],[Container Qty]]&lt;&gt;0,CT[[#This Row],[Sales Rate/MT (USD)]]*CT[[#This Row],[Container Qty]],"")</f>
        <v/>
      </c>
      <c r="AI173" s="7" t="str">
        <f>IF(CT[[#This Row],[Customer Final Price]]&lt;&gt;"",CT[[#This Row],[Customer Final Price]]-CT[[#This Row],[Customer  Prov. Price]],"")</f>
        <v/>
      </c>
      <c r="AJ173" t="s">
        <v>8</v>
      </c>
      <c r="AK173" s="1" t="s">
        <v>159</v>
      </c>
      <c r="AL173" s="1"/>
      <c r="AM173" s="100" t="s">
        <v>134</v>
      </c>
    </row>
    <row r="174" spans="1:39" x14ac:dyDescent="0.25">
      <c r="A174" t="s">
        <v>9</v>
      </c>
      <c r="B174" s="102"/>
      <c r="C174" s="81"/>
      <c r="D174" s="1" t="s">
        <v>67</v>
      </c>
      <c r="F174" s="11"/>
      <c r="G174" s="3"/>
      <c r="H174" s="3"/>
      <c r="I174" s="1"/>
      <c r="J174" s="1"/>
      <c r="K174" s="1"/>
      <c r="L174" s="1"/>
      <c r="M174" s="14">
        <v>25</v>
      </c>
      <c r="N174" s="1"/>
      <c r="O174" s="7"/>
      <c r="P174" s="7">
        <f>CT[[#This Row],[Purchase Rate/MT (USD)]]*CT[[#This Row],[PC Qty (MT)]]</f>
        <v>0</v>
      </c>
      <c r="Q174" s="7">
        <f>CT[[#This Row],[Purchase Rate/MT (USD)]]*CT[[#This Row],[Container Qty]]</f>
        <v>0</v>
      </c>
      <c r="R174" s="7" t="str">
        <f>IF(CT[[#This Row],[BL Number]]&lt;&gt;0,(CT[[#This Row],[Supplier Prov. Price]]-CT[[#This Row],[Supplier Final Price]])*1.2,"")</f>
        <v/>
      </c>
      <c r="S174" s="101"/>
      <c r="T174" s="3"/>
      <c r="U174" s="7"/>
      <c r="V174" s="7"/>
      <c r="W174" s="24"/>
      <c r="X174" s="7">
        <f>IFERROR(CT[[#This Row],[Freight Charges]]+CT[[#This Row],[Inspection Cost/MT]]+CT[[#This Row],[DHL Charges PMT]],"")</f>
        <v>0</v>
      </c>
      <c r="Y174" s="7">
        <f>IFERROR(AF174-(O174+CT[[#This Row],[Cost Per MT]]),"")</f>
        <v>335</v>
      </c>
      <c r="Z174" s="7">
        <f>IFERROR(CT[[#This Row],[Margin/MT]]*CT[[#This Row],[Container Qty]],"")</f>
        <v>0</v>
      </c>
      <c r="AA174" s="7"/>
      <c r="AB174" t="s">
        <v>11</v>
      </c>
      <c r="AC174" s="1" t="s">
        <v>158</v>
      </c>
      <c r="AD174" s="3">
        <v>45861</v>
      </c>
      <c r="AE174" s="14">
        <f t="shared" si="32"/>
        <v>25</v>
      </c>
      <c r="AF174" s="7">
        <v>335</v>
      </c>
      <c r="AG174" s="7">
        <f>CT[[#This Row],[Sales Rate/MT (USD)]]*CT[[#This Row],[SC Qty (MT)]]</f>
        <v>8375</v>
      </c>
      <c r="AH174" s="7" t="str">
        <f>IF(CT[[#This Row],[Container Qty]]&lt;&gt;0,CT[[#This Row],[Sales Rate/MT (USD)]]*CT[[#This Row],[Container Qty]],"")</f>
        <v/>
      </c>
      <c r="AI174" s="7" t="str">
        <f>IF(CT[[#This Row],[Customer Final Price]]&lt;&gt;"",CT[[#This Row],[Customer Final Price]]-CT[[#This Row],[Customer  Prov. Price]],"")</f>
        <v/>
      </c>
      <c r="AJ174" t="s">
        <v>8</v>
      </c>
      <c r="AK174" s="1" t="s">
        <v>159</v>
      </c>
      <c r="AL174" s="1"/>
      <c r="AM174" s="100" t="s">
        <v>134</v>
      </c>
    </row>
    <row r="175" spans="1:39" x14ac:dyDescent="0.25">
      <c r="A175" t="s">
        <v>9</v>
      </c>
      <c r="B175" s="102"/>
      <c r="C175" s="81"/>
      <c r="D175" s="1" t="s">
        <v>67</v>
      </c>
      <c r="F175" s="11"/>
      <c r="G175" s="3"/>
      <c r="H175" s="3"/>
      <c r="I175" s="1"/>
      <c r="J175" s="1"/>
      <c r="K175" s="1"/>
      <c r="L175" s="1"/>
      <c r="M175" s="14">
        <v>25</v>
      </c>
      <c r="N175" s="1"/>
      <c r="O175" s="7"/>
      <c r="P175" s="7">
        <f>CT[[#This Row],[Purchase Rate/MT (USD)]]*CT[[#This Row],[PC Qty (MT)]]</f>
        <v>0</v>
      </c>
      <c r="Q175" s="7">
        <f>CT[[#This Row],[Purchase Rate/MT (USD)]]*CT[[#This Row],[Container Qty]]</f>
        <v>0</v>
      </c>
      <c r="R175" s="7" t="str">
        <f>IF(CT[[#This Row],[BL Number]]&lt;&gt;0,(CT[[#This Row],[Supplier Prov. Price]]-CT[[#This Row],[Supplier Final Price]])*1.2,"")</f>
        <v/>
      </c>
      <c r="S175" s="101"/>
      <c r="T175" s="3"/>
      <c r="U175" s="7"/>
      <c r="V175" s="7"/>
      <c r="W175" s="24"/>
      <c r="X175" s="7">
        <f>IFERROR(CT[[#This Row],[Freight Charges]]+CT[[#This Row],[Inspection Cost/MT]]+CT[[#This Row],[DHL Charges PMT]],"")</f>
        <v>0</v>
      </c>
      <c r="Y175" s="7">
        <f>IFERROR(AF175-(O175+CT[[#This Row],[Cost Per MT]]),"")</f>
        <v>335</v>
      </c>
      <c r="Z175" s="7">
        <f>IFERROR(CT[[#This Row],[Margin/MT]]*CT[[#This Row],[Container Qty]],"")</f>
        <v>0</v>
      </c>
      <c r="AA175" s="7"/>
      <c r="AB175" t="s">
        <v>11</v>
      </c>
      <c r="AC175" s="1" t="s">
        <v>158</v>
      </c>
      <c r="AD175" s="3">
        <v>45861</v>
      </c>
      <c r="AE175" s="14">
        <f t="shared" si="32"/>
        <v>25</v>
      </c>
      <c r="AF175" s="7">
        <v>335</v>
      </c>
      <c r="AG175" s="7">
        <f>CT[[#This Row],[Sales Rate/MT (USD)]]*CT[[#This Row],[SC Qty (MT)]]</f>
        <v>8375</v>
      </c>
      <c r="AH175" s="7" t="str">
        <f>IF(CT[[#This Row],[Container Qty]]&lt;&gt;0,CT[[#This Row],[Sales Rate/MT (USD)]]*CT[[#This Row],[Container Qty]],"")</f>
        <v/>
      </c>
      <c r="AI175" s="7" t="str">
        <f>IF(CT[[#This Row],[Customer Final Price]]&lt;&gt;"",CT[[#This Row],[Customer Final Price]]-CT[[#This Row],[Customer  Prov. Price]],"")</f>
        <v/>
      </c>
      <c r="AJ175" t="s">
        <v>8</v>
      </c>
      <c r="AK175" s="1" t="s">
        <v>159</v>
      </c>
      <c r="AL175" s="1"/>
      <c r="AM175" s="100" t="s">
        <v>134</v>
      </c>
    </row>
    <row r="176" spans="1:39" x14ac:dyDescent="0.25">
      <c r="A176" t="s">
        <v>9</v>
      </c>
      <c r="B176" s="102"/>
      <c r="C176" s="81"/>
      <c r="D176" s="1" t="s">
        <v>67</v>
      </c>
      <c r="F176" s="11"/>
      <c r="G176" s="3"/>
      <c r="H176" s="3"/>
      <c r="I176" s="1"/>
      <c r="J176" s="1"/>
      <c r="K176" s="1"/>
      <c r="L176" s="1"/>
      <c r="M176" s="14">
        <v>25</v>
      </c>
      <c r="N176" s="1"/>
      <c r="O176" s="7"/>
      <c r="P176" s="7">
        <f>CT[[#This Row],[Purchase Rate/MT (USD)]]*CT[[#This Row],[PC Qty (MT)]]</f>
        <v>0</v>
      </c>
      <c r="Q176" s="7">
        <f>CT[[#This Row],[Purchase Rate/MT (USD)]]*CT[[#This Row],[Container Qty]]</f>
        <v>0</v>
      </c>
      <c r="R176" s="7" t="str">
        <f>IF(CT[[#This Row],[BL Number]]&lt;&gt;0,(CT[[#This Row],[Supplier Prov. Price]]-CT[[#This Row],[Supplier Final Price]])*1.2,"")</f>
        <v/>
      </c>
      <c r="S176" s="101"/>
      <c r="T176" s="3"/>
      <c r="U176" s="7"/>
      <c r="V176" s="7"/>
      <c r="W176" s="24"/>
      <c r="X176" s="7">
        <f>IFERROR(CT[[#This Row],[Freight Charges]]+CT[[#This Row],[Inspection Cost/MT]]+CT[[#This Row],[DHL Charges PMT]],"")</f>
        <v>0</v>
      </c>
      <c r="Y176" s="7">
        <f>IFERROR(AF176-(O176+CT[[#This Row],[Cost Per MT]]),"")</f>
        <v>335</v>
      </c>
      <c r="Z176" s="7">
        <f>IFERROR(CT[[#This Row],[Margin/MT]]*CT[[#This Row],[Container Qty]],"")</f>
        <v>0</v>
      </c>
      <c r="AA176" s="7"/>
      <c r="AB176" t="s">
        <v>11</v>
      </c>
      <c r="AC176" s="1" t="s">
        <v>158</v>
      </c>
      <c r="AD176" s="3">
        <v>45861</v>
      </c>
      <c r="AE176" s="14">
        <f t="shared" si="32"/>
        <v>25</v>
      </c>
      <c r="AF176" s="7">
        <v>335</v>
      </c>
      <c r="AG176" s="7">
        <f>CT[[#This Row],[Sales Rate/MT (USD)]]*CT[[#This Row],[SC Qty (MT)]]</f>
        <v>8375</v>
      </c>
      <c r="AH176" s="7" t="str">
        <f>IF(CT[[#This Row],[Container Qty]]&lt;&gt;0,CT[[#This Row],[Sales Rate/MT (USD)]]*CT[[#This Row],[Container Qty]],"")</f>
        <v/>
      </c>
      <c r="AI176" s="7" t="str">
        <f>IF(CT[[#This Row],[Customer Final Price]]&lt;&gt;"",CT[[#This Row],[Customer Final Price]]-CT[[#This Row],[Customer  Prov. Price]],"")</f>
        <v/>
      </c>
      <c r="AJ176" t="s">
        <v>8</v>
      </c>
      <c r="AK176" s="1" t="s">
        <v>159</v>
      </c>
      <c r="AL176" s="1"/>
      <c r="AM176" s="100" t="s">
        <v>134</v>
      </c>
    </row>
    <row r="177" spans="1:39" x14ac:dyDescent="0.25">
      <c r="A177" t="s">
        <v>9</v>
      </c>
      <c r="B177" s="102"/>
      <c r="C177" s="81"/>
      <c r="D177" s="1" t="s">
        <v>67</v>
      </c>
      <c r="F177" s="11"/>
      <c r="G177" s="3"/>
      <c r="H177" s="3"/>
      <c r="I177" s="1"/>
      <c r="J177" s="1"/>
      <c r="K177" s="1"/>
      <c r="L177" s="1"/>
      <c r="M177" s="14">
        <v>25</v>
      </c>
      <c r="N177" s="1"/>
      <c r="O177" s="7"/>
      <c r="P177" s="7">
        <f>CT[[#This Row],[Purchase Rate/MT (USD)]]*CT[[#This Row],[PC Qty (MT)]]</f>
        <v>0</v>
      </c>
      <c r="Q177" s="7">
        <f>CT[[#This Row],[Purchase Rate/MT (USD)]]*CT[[#This Row],[Container Qty]]</f>
        <v>0</v>
      </c>
      <c r="R177" s="7" t="str">
        <f>IF(CT[[#This Row],[BL Number]]&lt;&gt;0,(CT[[#This Row],[Supplier Prov. Price]]-CT[[#This Row],[Supplier Final Price]])*1.2,"")</f>
        <v/>
      </c>
      <c r="S177" s="101"/>
      <c r="T177" s="3"/>
      <c r="U177" s="7"/>
      <c r="V177" s="7"/>
      <c r="W177" s="24"/>
      <c r="X177" s="7">
        <f>IFERROR(CT[[#This Row],[Freight Charges]]+CT[[#This Row],[Inspection Cost/MT]]+CT[[#This Row],[DHL Charges PMT]],"")</f>
        <v>0</v>
      </c>
      <c r="Y177" s="7">
        <f>IFERROR(AF177-(O177+CT[[#This Row],[Cost Per MT]]),"")</f>
        <v>335</v>
      </c>
      <c r="Z177" s="7">
        <f>IFERROR(CT[[#This Row],[Margin/MT]]*CT[[#This Row],[Container Qty]],"")</f>
        <v>0</v>
      </c>
      <c r="AA177" s="7"/>
      <c r="AB177" t="s">
        <v>11</v>
      </c>
      <c r="AC177" s="1" t="s">
        <v>158</v>
      </c>
      <c r="AD177" s="3">
        <v>45861</v>
      </c>
      <c r="AE177" s="14">
        <f t="shared" si="32"/>
        <v>25</v>
      </c>
      <c r="AF177" s="7">
        <v>335</v>
      </c>
      <c r="AG177" s="7">
        <f>CT[[#This Row],[Sales Rate/MT (USD)]]*CT[[#This Row],[SC Qty (MT)]]</f>
        <v>8375</v>
      </c>
      <c r="AH177" s="7" t="str">
        <f>IF(CT[[#This Row],[Container Qty]]&lt;&gt;0,CT[[#This Row],[Sales Rate/MT (USD)]]*CT[[#This Row],[Container Qty]],"")</f>
        <v/>
      </c>
      <c r="AI177" s="7" t="str">
        <f>IF(CT[[#This Row],[Customer Final Price]]&lt;&gt;"",CT[[#This Row],[Customer Final Price]]-CT[[#This Row],[Customer  Prov. Price]],"")</f>
        <v/>
      </c>
      <c r="AJ177" t="s">
        <v>8</v>
      </c>
      <c r="AK177" s="1" t="s">
        <v>159</v>
      </c>
      <c r="AL177" s="1"/>
      <c r="AM177" s="100" t="s">
        <v>134</v>
      </c>
    </row>
    <row r="178" spans="1:39" x14ac:dyDescent="0.25">
      <c r="A178" t="s">
        <v>9</v>
      </c>
      <c r="B178" s="102"/>
      <c r="C178" s="81"/>
      <c r="D178" s="1" t="s">
        <v>67</v>
      </c>
      <c r="F178" s="11"/>
      <c r="G178" s="3"/>
      <c r="H178" s="3"/>
      <c r="I178" s="1"/>
      <c r="J178" s="1"/>
      <c r="K178" s="1"/>
      <c r="L178" s="1"/>
      <c r="M178" s="14">
        <v>25</v>
      </c>
      <c r="N178" s="1"/>
      <c r="O178" s="7"/>
      <c r="P178" s="7">
        <f>CT[[#This Row],[Purchase Rate/MT (USD)]]*CT[[#This Row],[PC Qty (MT)]]</f>
        <v>0</v>
      </c>
      <c r="Q178" s="7">
        <f>CT[[#This Row],[Purchase Rate/MT (USD)]]*CT[[#This Row],[Container Qty]]</f>
        <v>0</v>
      </c>
      <c r="R178" s="7" t="str">
        <f>IF(CT[[#This Row],[BL Number]]&lt;&gt;0,(CT[[#This Row],[Supplier Prov. Price]]-CT[[#This Row],[Supplier Final Price]])*1.2,"")</f>
        <v/>
      </c>
      <c r="S178" s="101"/>
      <c r="T178" s="3"/>
      <c r="U178" s="7"/>
      <c r="V178" s="7"/>
      <c r="W178" s="24"/>
      <c r="X178" s="7">
        <f>IFERROR(CT[[#This Row],[Freight Charges]]+CT[[#This Row],[Inspection Cost/MT]]+CT[[#This Row],[DHL Charges PMT]],"")</f>
        <v>0</v>
      </c>
      <c r="Y178" s="7">
        <f>IFERROR(AF178-(O178+CT[[#This Row],[Cost Per MT]]),"")</f>
        <v>335</v>
      </c>
      <c r="Z178" s="7">
        <f>IFERROR(CT[[#This Row],[Margin/MT]]*CT[[#This Row],[Container Qty]],"")</f>
        <v>0</v>
      </c>
      <c r="AA178" s="7"/>
      <c r="AB178" t="s">
        <v>11</v>
      </c>
      <c r="AC178" s="1" t="s">
        <v>158</v>
      </c>
      <c r="AD178" s="3">
        <v>45861</v>
      </c>
      <c r="AE178" s="14">
        <f t="shared" si="32"/>
        <v>25</v>
      </c>
      <c r="AF178" s="7">
        <v>335</v>
      </c>
      <c r="AG178" s="7">
        <f>CT[[#This Row],[Sales Rate/MT (USD)]]*CT[[#This Row],[SC Qty (MT)]]</f>
        <v>8375</v>
      </c>
      <c r="AH178" s="7" t="str">
        <f>IF(CT[[#This Row],[Container Qty]]&lt;&gt;0,CT[[#This Row],[Sales Rate/MT (USD)]]*CT[[#This Row],[Container Qty]],"")</f>
        <v/>
      </c>
      <c r="AI178" s="7" t="str">
        <f>IF(CT[[#This Row],[Customer Final Price]]&lt;&gt;"",CT[[#This Row],[Customer Final Price]]-CT[[#This Row],[Customer  Prov. Price]],"")</f>
        <v/>
      </c>
      <c r="AJ178" t="s">
        <v>8</v>
      </c>
      <c r="AK178" s="1" t="s">
        <v>159</v>
      </c>
      <c r="AL178" s="1"/>
      <c r="AM178" s="100" t="s">
        <v>134</v>
      </c>
    </row>
    <row r="179" spans="1:39" x14ac:dyDescent="0.25">
      <c r="A179" t="s">
        <v>9</v>
      </c>
      <c r="B179" s="102"/>
      <c r="C179" s="81"/>
      <c r="D179" s="1" t="s">
        <v>67</v>
      </c>
      <c r="F179" s="11"/>
      <c r="G179" s="3"/>
      <c r="H179" s="3"/>
      <c r="I179" s="1"/>
      <c r="J179" s="1"/>
      <c r="K179" s="1"/>
      <c r="L179" s="1"/>
      <c r="M179" s="14">
        <v>25</v>
      </c>
      <c r="N179" s="1"/>
      <c r="O179" s="7"/>
      <c r="P179" s="7">
        <f>CT[[#This Row],[Purchase Rate/MT (USD)]]*CT[[#This Row],[PC Qty (MT)]]</f>
        <v>0</v>
      </c>
      <c r="Q179" s="7">
        <f>CT[[#This Row],[Purchase Rate/MT (USD)]]*CT[[#This Row],[Container Qty]]</f>
        <v>0</v>
      </c>
      <c r="R179" s="7" t="str">
        <f>IF(CT[[#This Row],[BL Number]]&lt;&gt;0,(CT[[#This Row],[Supplier Prov. Price]]-CT[[#This Row],[Supplier Final Price]])*1.2,"")</f>
        <v/>
      </c>
      <c r="S179" s="101"/>
      <c r="T179" s="3"/>
      <c r="U179" s="7"/>
      <c r="V179" s="7"/>
      <c r="W179" s="24"/>
      <c r="X179" s="7">
        <f>IFERROR(CT[[#This Row],[Freight Charges]]+CT[[#This Row],[Inspection Cost/MT]]+CT[[#This Row],[DHL Charges PMT]],"")</f>
        <v>0</v>
      </c>
      <c r="Y179" s="7">
        <f>IFERROR(AF179-(O179+CT[[#This Row],[Cost Per MT]]),"")</f>
        <v>335</v>
      </c>
      <c r="Z179" s="7">
        <f>IFERROR(CT[[#This Row],[Margin/MT]]*CT[[#This Row],[Container Qty]],"")</f>
        <v>0</v>
      </c>
      <c r="AA179" s="7"/>
      <c r="AB179" t="s">
        <v>11</v>
      </c>
      <c r="AC179" s="1" t="s">
        <v>158</v>
      </c>
      <c r="AD179" s="3">
        <v>45861</v>
      </c>
      <c r="AE179" s="14">
        <f t="shared" si="32"/>
        <v>25</v>
      </c>
      <c r="AF179" s="7">
        <v>335</v>
      </c>
      <c r="AG179" s="7">
        <f>CT[[#This Row],[Sales Rate/MT (USD)]]*CT[[#This Row],[SC Qty (MT)]]</f>
        <v>8375</v>
      </c>
      <c r="AH179" s="7" t="str">
        <f>IF(CT[[#This Row],[Container Qty]]&lt;&gt;0,CT[[#This Row],[Sales Rate/MT (USD)]]*CT[[#This Row],[Container Qty]],"")</f>
        <v/>
      </c>
      <c r="AI179" s="7" t="str">
        <f>IF(CT[[#This Row],[Customer Final Price]]&lt;&gt;"",CT[[#This Row],[Customer Final Price]]-CT[[#This Row],[Customer  Prov. Price]],"")</f>
        <v/>
      </c>
      <c r="AJ179" t="s">
        <v>8</v>
      </c>
      <c r="AK179" s="1" t="s">
        <v>159</v>
      </c>
      <c r="AL179" s="1"/>
      <c r="AM179" s="100" t="s">
        <v>134</v>
      </c>
    </row>
    <row r="180" spans="1:39" x14ac:dyDescent="0.25">
      <c r="A180" t="s">
        <v>9</v>
      </c>
      <c r="B180" s="102"/>
      <c r="C180" s="81"/>
      <c r="D180" s="1" t="s">
        <v>67</v>
      </c>
      <c r="F180" s="11"/>
      <c r="G180" s="3"/>
      <c r="H180" s="3"/>
      <c r="I180" s="1"/>
      <c r="J180" s="1"/>
      <c r="K180" s="1"/>
      <c r="L180" s="1"/>
      <c r="M180" s="14">
        <v>25</v>
      </c>
      <c r="N180" s="1"/>
      <c r="O180" s="7"/>
      <c r="P180" s="7">
        <f>CT[[#This Row],[Purchase Rate/MT (USD)]]*CT[[#This Row],[PC Qty (MT)]]</f>
        <v>0</v>
      </c>
      <c r="Q180" s="7">
        <f>CT[[#This Row],[Purchase Rate/MT (USD)]]*CT[[#This Row],[Container Qty]]</f>
        <v>0</v>
      </c>
      <c r="R180" s="7" t="str">
        <f>IF(CT[[#This Row],[BL Number]]&lt;&gt;0,(CT[[#This Row],[Supplier Prov. Price]]-CT[[#This Row],[Supplier Final Price]])*1.2,"")</f>
        <v/>
      </c>
      <c r="S180" s="101"/>
      <c r="T180" s="3"/>
      <c r="U180" s="7"/>
      <c r="V180" s="7"/>
      <c r="W180" s="24"/>
      <c r="X180" s="7">
        <f>IFERROR(CT[[#This Row],[Freight Charges]]+CT[[#This Row],[Inspection Cost/MT]]+CT[[#This Row],[DHL Charges PMT]],"")</f>
        <v>0</v>
      </c>
      <c r="Y180" s="7">
        <f>IFERROR(AF180-(O180+CT[[#This Row],[Cost Per MT]]),"")</f>
        <v>335</v>
      </c>
      <c r="Z180" s="7">
        <f>IFERROR(CT[[#This Row],[Margin/MT]]*CT[[#This Row],[Container Qty]],"")</f>
        <v>0</v>
      </c>
      <c r="AA180" s="7"/>
      <c r="AB180" t="s">
        <v>11</v>
      </c>
      <c r="AC180" s="1" t="s">
        <v>158</v>
      </c>
      <c r="AD180" s="3">
        <v>45861</v>
      </c>
      <c r="AE180" s="14">
        <f t="shared" si="32"/>
        <v>25</v>
      </c>
      <c r="AF180" s="7">
        <v>335</v>
      </c>
      <c r="AG180" s="7">
        <f>CT[[#This Row],[Sales Rate/MT (USD)]]*CT[[#This Row],[SC Qty (MT)]]</f>
        <v>8375</v>
      </c>
      <c r="AH180" s="7" t="str">
        <f>IF(CT[[#This Row],[Container Qty]]&lt;&gt;0,CT[[#This Row],[Sales Rate/MT (USD)]]*CT[[#This Row],[Container Qty]],"")</f>
        <v/>
      </c>
      <c r="AI180" s="7" t="str">
        <f>IF(CT[[#This Row],[Customer Final Price]]&lt;&gt;"",CT[[#This Row],[Customer Final Price]]-CT[[#This Row],[Customer  Prov. Price]],"")</f>
        <v/>
      </c>
      <c r="AJ180" t="s">
        <v>8</v>
      </c>
      <c r="AK180" s="1" t="s">
        <v>159</v>
      </c>
      <c r="AL180" s="1"/>
      <c r="AM180" s="100" t="s">
        <v>134</v>
      </c>
    </row>
    <row r="181" spans="1:39" x14ac:dyDescent="0.25">
      <c r="A181" t="s">
        <v>9</v>
      </c>
      <c r="B181" s="102"/>
      <c r="C181" s="81"/>
      <c r="D181" s="1" t="s">
        <v>67</v>
      </c>
      <c r="F181" s="11"/>
      <c r="G181" s="3"/>
      <c r="H181" s="3"/>
      <c r="I181" s="1"/>
      <c r="J181" s="1"/>
      <c r="K181" s="1"/>
      <c r="L181" s="1"/>
      <c r="M181" s="14">
        <v>25</v>
      </c>
      <c r="N181" s="1"/>
      <c r="O181" s="7"/>
      <c r="P181" s="7">
        <f>CT[[#This Row],[Purchase Rate/MT (USD)]]*CT[[#This Row],[PC Qty (MT)]]</f>
        <v>0</v>
      </c>
      <c r="Q181" s="7">
        <f>CT[[#This Row],[Purchase Rate/MT (USD)]]*CT[[#This Row],[Container Qty]]</f>
        <v>0</v>
      </c>
      <c r="R181" s="7" t="str">
        <f>IF(CT[[#This Row],[BL Number]]&lt;&gt;0,(CT[[#This Row],[Supplier Prov. Price]]-CT[[#This Row],[Supplier Final Price]])*1.2,"")</f>
        <v/>
      </c>
      <c r="S181" s="101"/>
      <c r="T181" s="3"/>
      <c r="U181" s="7"/>
      <c r="V181" s="7"/>
      <c r="W181" s="24"/>
      <c r="X181" s="7">
        <f>IFERROR(CT[[#This Row],[Freight Charges]]+CT[[#This Row],[Inspection Cost/MT]]+CT[[#This Row],[DHL Charges PMT]],"")</f>
        <v>0</v>
      </c>
      <c r="Y181" s="7">
        <f>IFERROR(AF181-(O181+CT[[#This Row],[Cost Per MT]]),"")</f>
        <v>335</v>
      </c>
      <c r="Z181" s="7">
        <f>IFERROR(CT[[#This Row],[Margin/MT]]*CT[[#This Row],[Container Qty]],"")</f>
        <v>0</v>
      </c>
      <c r="AA181" s="7"/>
      <c r="AB181" t="s">
        <v>11</v>
      </c>
      <c r="AC181" s="1" t="s">
        <v>158</v>
      </c>
      <c r="AD181" s="3">
        <v>45861</v>
      </c>
      <c r="AE181" s="14">
        <f t="shared" si="32"/>
        <v>25</v>
      </c>
      <c r="AF181" s="7">
        <v>335</v>
      </c>
      <c r="AG181" s="7">
        <f>CT[[#This Row],[Sales Rate/MT (USD)]]*CT[[#This Row],[SC Qty (MT)]]</f>
        <v>8375</v>
      </c>
      <c r="AH181" s="7" t="str">
        <f>IF(CT[[#This Row],[Container Qty]]&lt;&gt;0,CT[[#This Row],[Sales Rate/MT (USD)]]*CT[[#This Row],[Container Qty]],"")</f>
        <v/>
      </c>
      <c r="AI181" s="7" t="str">
        <f>IF(CT[[#This Row],[Customer Final Price]]&lt;&gt;"",CT[[#This Row],[Customer Final Price]]-CT[[#This Row],[Customer  Prov. Price]],"")</f>
        <v/>
      </c>
      <c r="AJ181" t="s">
        <v>8</v>
      </c>
      <c r="AK181" s="1" t="s">
        <v>159</v>
      </c>
      <c r="AL181" s="1"/>
      <c r="AM181" s="100" t="s">
        <v>134</v>
      </c>
    </row>
    <row r="182" spans="1:39" x14ac:dyDescent="0.25">
      <c r="A182" t="s">
        <v>9</v>
      </c>
      <c r="B182" s="102"/>
      <c r="C182" s="81"/>
      <c r="D182" s="1" t="s">
        <v>67</v>
      </c>
      <c r="F182" s="11"/>
      <c r="G182" s="3"/>
      <c r="H182" s="3"/>
      <c r="I182" s="1"/>
      <c r="J182" s="1"/>
      <c r="K182" s="1"/>
      <c r="L182" s="1"/>
      <c r="M182" s="14">
        <v>25</v>
      </c>
      <c r="N182" s="1"/>
      <c r="O182" s="7"/>
      <c r="P182" s="7">
        <f>CT[[#This Row],[Purchase Rate/MT (USD)]]*CT[[#This Row],[PC Qty (MT)]]</f>
        <v>0</v>
      </c>
      <c r="Q182" s="7">
        <f>CT[[#This Row],[Purchase Rate/MT (USD)]]*CT[[#This Row],[Container Qty]]</f>
        <v>0</v>
      </c>
      <c r="R182" s="7" t="str">
        <f>IF(CT[[#This Row],[BL Number]]&lt;&gt;0,(CT[[#This Row],[Supplier Prov. Price]]-CT[[#This Row],[Supplier Final Price]])*1.2,"")</f>
        <v/>
      </c>
      <c r="S182" s="101"/>
      <c r="T182" s="3"/>
      <c r="U182" s="7"/>
      <c r="V182" s="7"/>
      <c r="W182" s="24"/>
      <c r="X182" s="7">
        <f>IFERROR(CT[[#This Row],[Freight Charges]]+CT[[#This Row],[Inspection Cost/MT]]+CT[[#This Row],[DHL Charges PMT]],"")</f>
        <v>0</v>
      </c>
      <c r="Y182" s="7">
        <f>IFERROR(AF182-(O182+CT[[#This Row],[Cost Per MT]]),"")</f>
        <v>335</v>
      </c>
      <c r="Z182" s="7">
        <f>IFERROR(CT[[#This Row],[Margin/MT]]*CT[[#This Row],[Container Qty]],"")</f>
        <v>0</v>
      </c>
      <c r="AA182" s="7"/>
      <c r="AB182" t="s">
        <v>11</v>
      </c>
      <c r="AC182" s="1" t="s">
        <v>158</v>
      </c>
      <c r="AD182" s="3">
        <v>45861</v>
      </c>
      <c r="AE182" s="14">
        <f t="shared" si="32"/>
        <v>25</v>
      </c>
      <c r="AF182" s="7">
        <v>335</v>
      </c>
      <c r="AG182" s="7">
        <f>CT[[#This Row],[Sales Rate/MT (USD)]]*CT[[#This Row],[SC Qty (MT)]]</f>
        <v>8375</v>
      </c>
      <c r="AH182" s="7" t="str">
        <f>IF(CT[[#This Row],[Container Qty]]&lt;&gt;0,CT[[#This Row],[Sales Rate/MT (USD)]]*CT[[#This Row],[Container Qty]],"")</f>
        <v/>
      </c>
      <c r="AI182" s="7" t="str">
        <f>IF(CT[[#This Row],[Customer Final Price]]&lt;&gt;"",CT[[#This Row],[Customer Final Price]]-CT[[#This Row],[Customer  Prov. Price]],"")</f>
        <v/>
      </c>
      <c r="AJ182" t="s">
        <v>8</v>
      </c>
      <c r="AK182" s="1" t="s">
        <v>159</v>
      </c>
      <c r="AL182" s="1"/>
      <c r="AM182" s="100" t="s">
        <v>134</v>
      </c>
    </row>
    <row r="183" spans="1:39" x14ac:dyDescent="0.25">
      <c r="A183" t="s">
        <v>9</v>
      </c>
      <c r="B183" s="102"/>
      <c r="C183" s="81"/>
      <c r="D183" s="1" t="s">
        <v>67</v>
      </c>
      <c r="F183" s="11"/>
      <c r="G183" s="3"/>
      <c r="H183" s="3"/>
      <c r="I183" s="1"/>
      <c r="J183" s="1"/>
      <c r="K183" s="1"/>
      <c r="L183" s="1"/>
      <c r="M183" s="14">
        <v>25</v>
      </c>
      <c r="N183" s="1"/>
      <c r="O183" s="7"/>
      <c r="P183" s="7">
        <f>CT[[#This Row],[Purchase Rate/MT (USD)]]*CT[[#This Row],[PC Qty (MT)]]</f>
        <v>0</v>
      </c>
      <c r="Q183" s="7">
        <f>CT[[#This Row],[Purchase Rate/MT (USD)]]*CT[[#This Row],[Container Qty]]</f>
        <v>0</v>
      </c>
      <c r="R183" s="7" t="str">
        <f>IF(CT[[#This Row],[BL Number]]&lt;&gt;0,(CT[[#This Row],[Supplier Prov. Price]]-CT[[#This Row],[Supplier Final Price]])*1.2,"")</f>
        <v/>
      </c>
      <c r="S183" s="101"/>
      <c r="T183" s="3"/>
      <c r="U183" s="7"/>
      <c r="V183" s="7"/>
      <c r="W183" s="24"/>
      <c r="X183" s="7">
        <f>IFERROR(CT[[#This Row],[Freight Charges]]+CT[[#This Row],[Inspection Cost/MT]]+CT[[#This Row],[DHL Charges PMT]],"")</f>
        <v>0</v>
      </c>
      <c r="Y183" s="7">
        <f>IFERROR(AF183-(O183+CT[[#This Row],[Cost Per MT]]),"")</f>
        <v>335</v>
      </c>
      <c r="Z183" s="7">
        <f>IFERROR(CT[[#This Row],[Margin/MT]]*CT[[#This Row],[Container Qty]],"")</f>
        <v>0</v>
      </c>
      <c r="AA183" s="7"/>
      <c r="AB183" t="s">
        <v>11</v>
      </c>
      <c r="AC183" s="1" t="s">
        <v>158</v>
      </c>
      <c r="AD183" s="3">
        <v>45861</v>
      </c>
      <c r="AE183" s="14">
        <f t="shared" si="32"/>
        <v>25</v>
      </c>
      <c r="AF183" s="7">
        <v>335</v>
      </c>
      <c r="AG183" s="7">
        <f>CT[[#This Row],[Sales Rate/MT (USD)]]*CT[[#This Row],[SC Qty (MT)]]</f>
        <v>8375</v>
      </c>
      <c r="AH183" s="7" t="str">
        <f>IF(CT[[#This Row],[Container Qty]]&lt;&gt;0,CT[[#This Row],[Sales Rate/MT (USD)]]*CT[[#This Row],[Container Qty]],"")</f>
        <v/>
      </c>
      <c r="AI183" s="7" t="str">
        <f>IF(CT[[#This Row],[Customer Final Price]]&lt;&gt;"",CT[[#This Row],[Customer Final Price]]-CT[[#This Row],[Customer  Prov. Price]],"")</f>
        <v/>
      </c>
      <c r="AJ183" t="s">
        <v>8</v>
      </c>
      <c r="AK183" s="1" t="s">
        <v>159</v>
      </c>
      <c r="AL183" s="1"/>
      <c r="AM183" s="100" t="s">
        <v>134</v>
      </c>
    </row>
    <row r="184" spans="1:39" x14ac:dyDescent="0.25">
      <c r="A184" t="s">
        <v>9</v>
      </c>
      <c r="B184" s="102"/>
      <c r="C184" s="81"/>
      <c r="D184" s="1" t="s">
        <v>67</v>
      </c>
      <c r="F184" s="11"/>
      <c r="G184" s="3"/>
      <c r="H184" s="3"/>
      <c r="I184" s="1"/>
      <c r="J184" s="1"/>
      <c r="K184" s="1"/>
      <c r="L184" s="1"/>
      <c r="M184" s="14">
        <v>25</v>
      </c>
      <c r="N184" s="1"/>
      <c r="O184" s="7"/>
      <c r="P184" s="7">
        <f>CT[[#This Row],[Purchase Rate/MT (USD)]]*CT[[#This Row],[PC Qty (MT)]]</f>
        <v>0</v>
      </c>
      <c r="Q184" s="7">
        <f>CT[[#This Row],[Purchase Rate/MT (USD)]]*CT[[#This Row],[Container Qty]]</f>
        <v>0</v>
      </c>
      <c r="R184" s="7" t="str">
        <f>IF(CT[[#This Row],[BL Number]]&lt;&gt;0,(CT[[#This Row],[Supplier Prov. Price]]-CT[[#This Row],[Supplier Final Price]])*1.2,"")</f>
        <v/>
      </c>
      <c r="S184" s="101"/>
      <c r="T184" s="3"/>
      <c r="U184" s="7"/>
      <c r="V184" s="7"/>
      <c r="W184" s="24"/>
      <c r="X184" s="7">
        <f>IFERROR(CT[[#This Row],[Freight Charges]]+CT[[#This Row],[Inspection Cost/MT]]+CT[[#This Row],[DHL Charges PMT]],"")</f>
        <v>0</v>
      </c>
      <c r="Y184" s="7">
        <f>IFERROR(AF184-(O184+CT[[#This Row],[Cost Per MT]]),"")</f>
        <v>335</v>
      </c>
      <c r="Z184" s="7">
        <f>IFERROR(CT[[#This Row],[Margin/MT]]*CT[[#This Row],[Container Qty]],"")</f>
        <v>0</v>
      </c>
      <c r="AA184" s="7"/>
      <c r="AB184" t="s">
        <v>11</v>
      </c>
      <c r="AC184" s="1" t="s">
        <v>158</v>
      </c>
      <c r="AD184" s="3">
        <v>45861</v>
      </c>
      <c r="AE184" s="14">
        <f t="shared" si="32"/>
        <v>25</v>
      </c>
      <c r="AF184" s="7">
        <v>335</v>
      </c>
      <c r="AG184" s="7">
        <f>CT[[#This Row],[Sales Rate/MT (USD)]]*CT[[#This Row],[SC Qty (MT)]]</f>
        <v>8375</v>
      </c>
      <c r="AH184" s="7" t="str">
        <f>IF(CT[[#This Row],[Container Qty]]&lt;&gt;0,CT[[#This Row],[Sales Rate/MT (USD)]]*CT[[#This Row],[Container Qty]],"")</f>
        <v/>
      </c>
      <c r="AI184" s="7" t="str">
        <f>IF(CT[[#This Row],[Customer Final Price]]&lt;&gt;"",CT[[#This Row],[Customer Final Price]]-CT[[#This Row],[Customer  Prov. Price]],"")</f>
        <v/>
      </c>
      <c r="AJ184" t="s">
        <v>8</v>
      </c>
      <c r="AK184" s="1" t="s">
        <v>159</v>
      </c>
      <c r="AL184" s="1"/>
      <c r="AM184" s="100" t="s">
        <v>134</v>
      </c>
    </row>
    <row r="185" spans="1:39" x14ac:dyDescent="0.25">
      <c r="A185" t="s">
        <v>9</v>
      </c>
      <c r="B185" s="102"/>
      <c r="C185" s="81"/>
      <c r="D185" s="1" t="s">
        <v>67</v>
      </c>
      <c r="F185" s="11"/>
      <c r="G185" s="3"/>
      <c r="H185" s="3"/>
      <c r="I185" s="1"/>
      <c r="J185" s="1"/>
      <c r="K185" s="1"/>
      <c r="L185" s="1"/>
      <c r="M185" s="14">
        <v>25</v>
      </c>
      <c r="N185" s="1"/>
      <c r="O185" s="7"/>
      <c r="P185" s="7">
        <f>CT[[#This Row],[Purchase Rate/MT (USD)]]*CT[[#This Row],[PC Qty (MT)]]</f>
        <v>0</v>
      </c>
      <c r="Q185" s="7">
        <f>CT[[#This Row],[Purchase Rate/MT (USD)]]*CT[[#This Row],[Container Qty]]</f>
        <v>0</v>
      </c>
      <c r="R185" s="7" t="str">
        <f>IF(CT[[#This Row],[BL Number]]&lt;&gt;0,(CT[[#This Row],[Supplier Prov. Price]]-CT[[#This Row],[Supplier Final Price]])*1.2,"")</f>
        <v/>
      </c>
      <c r="S185" s="101"/>
      <c r="T185" s="3"/>
      <c r="U185" s="7"/>
      <c r="V185" s="7"/>
      <c r="W185" s="24"/>
      <c r="X185" s="7">
        <f>IFERROR(CT[[#This Row],[Freight Charges]]+CT[[#This Row],[Inspection Cost/MT]]+CT[[#This Row],[DHL Charges PMT]],"")</f>
        <v>0</v>
      </c>
      <c r="Y185" s="7">
        <f>IFERROR(AF185-(O185+CT[[#This Row],[Cost Per MT]]),"")</f>
        <v>335</v>
      </c>
      <c r="Z185" s="7">
        <f>IFERROR(CT[[#This Row],[Margin/MT]]*CT[[#This Row],[Container Qty]],"")</f>
        <v>0</v>
      </c>
      <c r="AA185" s="7"/>
      <c r="AB185" t="s">
        <v>11</v>
      </c>
      <c r="AC185" s="1" t="s">
        <v>158</v>
      </c>
      <c r="AD185" s="3">
        <v>45861</v>
      </c>
      <c r="AE185" s="14">
        <f t="shared" si="32"/>
        <v>25</v>
      </c>
      <c r="AF185" s="7">
        <v>335</v>
      </c>
      <c r="AG185" s="7">
        <f>CT[[#This Row],[Sales Rate/MT (USD)]]*CT[[#This Row],[SC Qty (MT)]]</f>
        <v>8375</v>
      </c>
      <c r="AH185" s="7" t="str">
        <f>IF(CT[[#This Row],[Container Qty]]&lt;&gt;0,CT[[#This Row],[Sales Rate/MT (USD)]]*CT[[#This Row],[Container Qty]],"")</f>
        <v/>
      </c>
      <c r="AI185" s="7" t="str">
        <f>IF(CT[[#This Row],[Customer Final Price]]&lt;&gt;"",CT[[#This Row],[Customer Final Price]]-CT[[#This Row],[Customer  Prov. Price]],"")</f>
        <v/>
      </c>
      <c r="AJ185" t="s">
        <v>8</v>
      </c>
      <c r="AK185" s="1" t="s">
        <v>159</v>
      </c>
      <c r="AL185" s="1"/>
      <c r="AM185" s="100" t="s">
        <v>134</v>
      </c>
    </row>
    <row r="186" spans="1:39" x14ac:dyDescent="0.25">
      <c r="A186" t="s">
        <v>9</v>
      </c>
      <c r="B186" s="102"/>
      <c r="C186" s="81"/>
      <c r="D186" s="1" t="s">
        <v>67</v>
      </c>
      <c r="F186" s="11"/>
      <c r="G186" s="3"/>
      <c r="H186" s="3"/>
      <c r="I186" s="1"/>
      <c r="J186" s="1"/>
      <c r="K186" s="1"/>
      <c r="L186" s="1"/>
      <c r="M186" s="14">
        <v>25</v>
      </c>
      <c r="N186" s="1"/>
      <c r="O186" s="7"/>
      <c r="P186" s="7">
        <f>CT[[#This Row],[Purchase Rate/MT (USD)]]*CT[[#This Row],[PC Qty (MT)]]</f>
        <v>0</v>
      </c>
      <c r="Q186" s="7">
        <f>CT[[#This Row],[Purchase Rate/MT (USD)]]*CT[[#This Row],[Container Qty]]</f>
        <v>0</v>
      </c>
      <c r="R186" s="7" t="str">
        <f>IF(CT[[#This Row],[BL Number]]&lt;&gt;0,(CT[[#This Row],[Supplier Prov. Price]]-CT[[#This Row],[Supplier Final Price]])*1.2,"")</f>
        <v/>
      </c>
      <c r="S186" s="101"/>
      <c r="T186" s="3"/>
      <c r="U186" s="7"/>
      <c r="V186" s="7"/>
      <c r="W186" s="24"/>
      <c r="X186" s="7">
        <f>IFERROR(CT[[#This Row],[Freight Charges]]+CT[[#This Row],[Inspection Cost/MT]]+CT[[#This Row],[DHL Charges PMT]],"")</f>
        <v>0</v>
      </c>
      <c r="Y186" s="7">
        <f>IFERROR(AF186-(O186+CT[[#This Row],[Cost Per MT]]),"")</f>
        <v>335</v>
      </c>
      <c r="Z186" s="7">
        <f>IFERROR(CT[[#This Row],[Margin/MT]]*CT[[#This Row],[Container Qty]],"")</f>
        <v>0</v>
      </c>
      <c r="AA186" s="7"/>
      <c r="AB186" t="s">
        <v>11</v>
      </c>
      <c r="AC186" s="1" t="s">
        <v>158</v>
      </c>
      <c r="AD186" s="3">
        <v>45861</v>
      </c>
      <c r="AE186" s="14">
        <f t="shared" si="32"/>
        <v>25</v>
      </c>
      <c r="AF186" s="7">
        <v>335</v>
      </c>
      <c r="AG186" s="7">
        <f>CT[[#This Row],[Sales Rate/MT (USD)]]*CT[[#This Row],[SC Qty (MT)]]</f>
        <v>8375</v>
      </c>
      <c r="AH186" s="7" t="str">
        <f>IF(CT[[#This Row],[Container Qty]]&lt;&gt;0,CT[[#This Row],[Sales Rate/MT (USD)]]*CT[[#This Row],[Container Qty]],"")</f>
        <v/>
      </c>
      <c r="AI186" s="7" t="str">
        <f>IF(CT[[#This Row],[Customer Final Price]]&lt;&gt;"",CT[[#This Row],[Customer Final Price]]-CT[[#This Row],[Customer  Prov. Price]],"")</f>
        <v/>
      </c>
      <c r="AJ186" t="s">
        <v>8</v>
      </c>
      <c r="AK186" s="1" t="s">
        <v>159</v>
      </c>
      <c r="AL186" s="1"/>
      <c r="AM186" s="100" t="s">
        <v>134</v>
      </c>
    </row>
    <row r="187" spans="1:39" x14ac:dyDescent="0.25">
      <c r="A187" t="s">
        <v>9</v>
      </c>
      <c r="B187" s="102"/>
      <c r="C187" s="81"/>
      <c r="D187" s="1" t="s">
        <v>67</v>
      </c>
      <c r="F187" s="11"/>
      <c r="G187" s="3"/>
      <c r="H187" s="3"/>
      <c r="I187" s="1"/>
      <c r="J187" s="1"/>
      <c r="K187" s="1"/>
      <c r="L187" s="1"/>
      <c r="M187" s="14">
        <v>25</v>
      </c>
      <c r="N187" s="1"/>
      <c r="O187" s="7"/>
      <c r="P187" s="7">
        <f>CT[[#This Row],[Purchase Rate/MT (USD)]]*CT[[#This Row],[PC Qty (MT)]]</f>
        <v>0</v>
      </c>
      <c r="Q187" s="7">
        <f>CT[[#This Row],[Purchase Rate/MT (USD)]]*CT[[#This Row],[Container Qty]]</f>
        <v>0</v>
      </c>
      <c r="R187" s="7" t="str">
        <f>IF(CT[[#This Row],[BL Number]]&lt;&gt;0,(CT[[#This Row],[Supplier Prov. Price]]-CT[[#This Row],[Supplier Final Price]])*1.2,"")</f>
        <v/>
      </c>
      <c r="S187" s="101"/>
      <c r="T187" s="3"/>
      <c r="U187" s="7"/>
      <c r="V187" s="7"/>
      <c r="W187" s="24"/>
      <c r="X187" s="7">
        <f>IFERROR(CT[[#This Row],[Freight Charges]]+CT[[#This Row],[Inspection Cost/MT]]+CT[[#This Row],[DHL Charges PMT]],"")</f>
        <v>0</v>
      </c>
      <c r="Y187" s="7">
        <f>IFERROR(AF187-(O187+CT[[#This Row],[Cost Per MT]]),"")</f>
        <v>335</v>
      </c>
      <c r="Z187" s="7">
        <f>IFERROR(CT[[#This Row],[Margin/MT]]*CT[[#This Row],[Container Qty]],"")</f>
        <v>0</v>
      </c>
      <c r="AA187" s="7"/>
      <c r="AB187" t="s">
        <v>11</v>
      </c>
      <c r="AC187" s="1" t="s">
        <v>158</v>
      </c>
      <c r="AD187" s="3">
        <v>45861</v>
      </c>
      <c r="AE187" s="14">
        <f t="shared" si="32"/>
        <v>25</v>
      </c>
      <c r="AF187" s="7">
        <v>335</v>
      </c>
      <c r="AG187" s="7">
        <f>CT[[#This Row],[Sales Rate/MT (USD)]]*CT[[#This Row],[SC Qty (MT)]]</f>
        <v>8375</v>
      </c>
      <c r="AH187" s="7" t="str">
        <f>IF(CT[[#This Row],[Container Qty]]&lt;&gt;0,CT[[#This Row],[Sales Rate/MT (USD)]]*CT[[#This Row],[Container Qty]],"")</f>
        <v/>
      </c>
      <c r="AI187" s="7" t="str">
        <f>IF(CT[[#This Row],[Customer Final Price]]&lt;&gt;"",CT[[#This Row],[Customer Final Price]]-CT[[#This Row],[Customer  Prov. Price]],"")</f>
        <v/>
      </c>
      <c r="AJ187" t="s">
        <v>8</v>
      </c>
      <c r="AK187" s="1" t="s">
        <v>159</v>
      </c>
      <c r="AL187" s="1"/>
      <c r="AM187" s="100" t="s">
        <v>134</v>
      </c>
    </row>
    <row r="188" spans="1:39" x14ac:dyDescent="0.25">
      <c r="A188" t="s">
        <v>9</v>
      </c>
      <c r="B188" s="102"/>
      <c r="C188" s="81"/>
      <c r="D188" s="1" t="s">
        <v>67</v>
      </c>
      <c r="F188" s="11"/>
      <c r="G188" s="3"/>
      <c r="H188" s="3"/>
      <c r="I188" s="1"/>
      <c r="J188" s="1"/>
      <c r="K188" s="1"/>
      <c r="L188" s="1"/>
      <c r="M188" s="14">
        <v>25</v>
      </c>
      <c r="N188" s="1"/>
      <c r="O188" s="7"/>
      <c r="P188" s="7">
        <f>CT[[#This Row],[Purchase Rate/MT (USD)]]*CT[[#This Row],[PC Qty (MT)]]</f>
        <v>0</v>
      </c>
      <c r="Q188" s="7">
        <f>CT[[#This Row],[Purchase Rate/MT (USD)]]*CT[[#This Row],[Container Qty]]</f>
        <v>0</v>
      </c>
      <c r="R188" s="7" t="str">
        <f>IF(CT[[#This Row],[BL Number]]&lt;&gt;0,(CT[[#This Row],[Supplier Prov. Price]]-CT[[#This Row],[Supplier Final Price]])*1.2,"")</f>
        <v/>
      </c>
      <c r="S188" s="101"/>
      <c r="T188" s="3"/>
      <c r="U188" s="7"/>
      <c r="V188" s="7"/>
      <c r="W188" s="24"/>
      <c r="X188" s="7">
        <f>IFERROR(CT[[#This Row],[Freight Charges]]+CT[[#This Row],[Inspection Cost/MT]]+CT[[#This Row],[DHL Charges PMT]],"")</f>
        <v>0</v>
      </c>
      <c r="Y188" s="7">
        <f>IFERROR(AF188-(O188+CT[[#This Row],[Cost Per MT]]),"")</f>
        <v>335</v>
      </c>
      <c r="Z188" s="7">
        <f>IFERROR(CT[[#This Row],[Margin/MT]]*CT[[#This Row],[Container Qty]],"")</f>
        <v>0</v>
      </c>
      <c r="AA188" s="7"/>
      <c r="AB188" t="s">
        <v>11</v>
      </c>
      <c r="AC188" s="1" t="s">
        <v>158</v>
      </c>
      <c r="AD188" s="3">
        <v>45861</v>
      </c>
      <c r="AE188" s="14">
        <f t="shared" si="32"/>
        <v>25</v>
      </c>
      <c r="AF188" s="7">
        <v>335</v>
      </c>
      <c r="AG188" s="7">
        <f>CT[[#This Row],[Sales Rate/MT (USD)]]*CT[[#This Row],[SC Qty (MT)]]</f>
        <v>8375</v>
      </c>
      <c r="AH188" s="7" t="str">
        <f>IF(CT[[#This Row],[Container Qty]]&lt;&gt;0,CT[[#This Row],[Sales Rate/MT (USD)]]*CT[[#This Row],[Container Qty]],"")</f>
        <v/>
      </c>
      <c r="AI188" s="7" t="str">
        <f>IF(CT[[#This Row],[Customer Final Price]]&lt;&gt;"",CT[[#This Row],[Customer Final Price]]-CT[[#This Row],[Customer  Prov. Price]],"")</f>
        <v/>
      </c>
      <c r="AJ188" t="s">
        <v>8</v>
      </c>
      <c r="AK188" s="1" t="s">
        <v>159</v>
      </c>
      <c r="AL188" s="1"/>
      <c r="AM188" s="100" t="s">
        <v>134</v>
      </c>
    </row>
    <row r="189" spans="1:39" x14ac:dyDescent="0.25">
      <c r="A189" t="s">
        <v>9</v>
      </c>
      <c r="B189" s="102"/>
      <c r="C189" s="81"/>
      <c r="D189" s="1" t="s">
        <v>67</v>
      </c>
      <c r="F189" s="11"/>
      <c r="G189" s="3"/>
      <c r="H189" s="3"/>
      <c r="I189" s="1"/>
      <c r="J189" s="1"/>
      <c r="K189" s="1"/>
      <c r="L189" s="1"/>
      <c r="M189" s="14">
        <v>25</v>
      </c>
      <c r="N189" s="1"/>
      <c r="O189" s="7"/>
      <c r="P189" s="7">
        <f>CT[[#This Row],[Purchase Rate/MT (USD)]]*CT[[#This Row],[PC Qty (MT)]]</f>
        <v>0</v>
      </c>
      <c r="Q189" s="7">
        <f>CT[[#This Row],[Purchase Rate/MT (USD)]]*CT[[#This Row],[Container Qty]]</f>
        <v>0</v>
      </c>
      <c r="R189" s="7" t="str">
        <f>IF(CT[[#This Row],[BL Number]]&lt;&gt;0,(CT[[#This Row],[Supplier Prov. Price]]-CT[[#This Row],[Supplier Final Price]])*1.2,"")</f>
        <v/>
      </c>
      <c r="S189" s="101"/>
      <c r="T189" s="3"/>
      <c r="U189" s="7"/>
      <c r="V189" s="7"/>
      <c r="W189" s="24"/>
      <c r="X189" s="7">
        <f>IFERROR(CT[[#This Row],[Freight Charges]]+CT[[#This Row],[Inspection Cost/MT]]+CT[[#This Row],[DHL Charges PMT]],"")</f>
        <v>0</v>
      </c>
      <c r="Y189" s="7">
        <f>IFERROR(AF189-(O189+CT[[#This Row],[Cost Per MT]]),"")</f>
        <v>335</v>
      </c>
      <c r="Z189" s="7">
        <f>IFERROR(CT[[#This Row],[Margin/MT]]*CT[[#This Row],[Container Qty]],"")</f>
        <v>0</v>
      </c>
      <c r="AA189" s="7"/>
      <c r="AB189" t="s">
        <v>11</v>
      </c>
      <c r="AC189" s="1" t="s">
        <v>158</v>
      </c>
      <c r="AD189" s="3">
        <v>45861</v>
      </c>
      <c r="AE189" s="14">
        <f t="shared" si="32"/>
        <v>25</v>
      </c>
      <c r="AF189" s="7">
        <v>335</v>
      </c>
      <c r="AG189" s="7">
        <f>CT[[#This Row],[Sales Rate/MT (USD)]]*CT[[#This Row],[SC Qty (MT)]]</f>
        <v>8375</v>
      </c>
      <c r="AH189" s="7" t="str">
        <f>IF(CT[[#This Row],[Container Qty]]&lt;&gt;0,CT[[#This Row],[Sales Rate/MT (USD)]]*CT[[#This Row],[Container Qty]],"")</f>
        <v/>
      </c>
      <c r="AI189" s="7" t="str">
        <f>IF(CT[[#This Row],[Customer Final Price]]&lt;&gt;"",CT[[#This Row],[Customer Final Price]]-CT[[#This Row],[Customer  Prov. Price]],"")</f>
        <v/>
      </c>
      <c r="AJ189" t="s">
        <v>8</v>
      </c>
      <c r="AK189" s="1" t="s">
        <v>159</v>
      </c>
      <c r="AL189" s="1"/>
      <c r="AM189" s="100" t="s">
        <v>134</v>
      </c>
    </row>
    <row r="190" spans="1:39" x14ac:dyDescent="0.25">
      <c r="A190" t="s">
        <v>9</v>
      </c>
      <c r="B190" s="102"/>
      <c r="C190" s="81"/>
      <c r="D190" s="1" t="s">
        <v>67</v>
      </c>
      <c r="F190" s="11"/>
      <c r="G190" s="3"/>
      <c r="H190" s="3"/>
      <c r="I190" s="1"/>
      <c r="J190" s="1"/>
      <c r="K190" s="1"/>
      <c r="L190" s="1"/>
      <c r="M190" s="14">
        <v>25</v>
      </c>
      <c r="N190" s="1"/>
      <c r="O190" s="7"/>
      <c r="P190" s="7">
        <f>CT[[#This Row],[Purchase Rate/MT (USD)]]*CT[[#This Row],[PC Qty (MT)]]</f>
        <v>0</v>
      </c>
      <c r="Q190" s="7">
        <f>CT[[#This Row],[Purchase Rate/MT (USD)]]*CT[[#This Row],[Container Qty]]</f>
        <v>0</v>
      </c>
      <c r="R190" s="7" t="str">
        <f>IF(CT[[#This Row],[BL Number]]&lt;&gt;0,(CT[[#This Row],[Supplier Prov. Price]]-CT[[#This Row],[Supplier Final Price]])*1.2,"")</f>
        <v/>
      </c>
      <c r="S190" s="101"/>
      <c r="T190" s="3"/>
      <c r="U190" s="7"/>
      <c r="V190" s="7"/>
      <c r="W190" s="24"/>
      <c r="X190" s="7">
        <f>IFERROR(CT[[#This Row],[Freight Charges]]+CT[[#This Row],[Inspection Cost/MT]]+CT[[#This Row],[DHL Charges PMT]],"")</f>
        <v>0</v>
      </c>
      <c r="Y190" s="7">
        <f>IFERROR(AF190-(O190+CT[[#This Row],[Cost Per MT]]),"")</f>
        <v>335</v>
      </c>
      <c r="Z190" s="7">
        <f>IFERROR(CT[[#This Row],[Margin/MT]]*CT[[#This Row],[Container Qty]],"")</f>
        <v>0</v>
      </c>
      <c r="AA190" s="7"/>
      <c r="AB190" t="s">
        <v>11</v>
      </c>
      <c r="AC190" s="1" t="s">
        <v>158</v>
      </c>
      <c r="AD190" s="3">
        <v>45861</v>
      </c>
      <c r="AE190" s="14">
        <f t="shared" si="32"/>
        <v>25</v>
      </c>
      <c r="AF190" s="7">
        <v>335</v>
      </c>
      <c r="AG190" s="7">
        <f>CT[[#This Row],[Sales Rate/MT (USD)]]*CT[[#This Row],[SC Qty (MT)]]</f>
        <v>8375</v>
      </c>
      <c r="AH190" s="7" t="str">
        <f>IF(CT[[#This Row],[Container Qty]]&lt;&gt;0,CT[[#This Row],[Sales Rate/MT (USD)]]*CT[[#This Row],[Container Qty]],"")</f>
        <v/>
      </c>
      <c r="AI190" s="7" t="str">
        <f>IF(CT[[#This Row],[Customer Final Price]]&lt;&gt;"",CT[[#This Row],[Customer Final Price]]-CT[[#This Row],[Customer  Prov. Price]],"")</f>
        <v/>
      </c>
      <c r="AJ190" t="s">
        <v>8</v>
      </c>
      <c r="AK190" s="1" t="s">
        <v>159</v>
      </c>
      <c r="AL190" s="1"/>
      <c r="AM190" s="100" t="s">
        <v>134</v>
      </c>
    </row>
    <row r="191" spans="1:39" x14ac:dyDescent="0.25">
      <c r="A191" t="s">
        <v>9</v>
      </c>
      <c r="B191" s="102"/>
      <c r="C191" s="81"/>
      <c r="D191" s="1" t="s">
        <v>67</v>
      </c>
      <c r="F191" s="11"/>
      <c r="G191" s="3"/>
      <c r="H191" s="3"/>
      <c r="I191" s="1"/>
      <c r="J191" s="1"/>
      <c r="K191" s="1"/>
      <c r="L191" s="1"/>
      <c r="M191" s="14">
        <v>25</v>
      </c>
      <c r="N191" s="1"/>
      <c r="O191" s="7"/>
      <c r="P191" s="7">
        <f>CT[[#This Row],[Purchase Rate/MT (USD)]]*CT[[#This Row],[PC Qty (MT)]]</f>
        <v>0</v>
      </c>
      <c r="Q191" s="7">
        <f>CT[[#This Row],[Purchase Rate/MT (USD)]]*CT[[#This Row],[Container Qty]]</f>
        <v>0</v>
      </c>
      <c r="R191" s="7" t="str">
        <f>IF(CT[[#This Row],[BL Number]]&lt;&gt;0,(CT[[#This Row],[Supplier Prov. Price]]-CT[[#This Row],[Supplier Final Price]])*1.2,"")</f>
        <v/>
      </c>
      <c r="S191" s="101"/>
      <c r="T191" s="3"/>
      <c r="U191" s="7"/>
      <c r="V191" s="7"/>
      <c r="W191" s="24"/>
      <c r="X191" s="7">
        <f>IFERROR(CT[[#This Row],[Freight Charges]]+CT[[#This Row],[Inspection Cost/MT]]+CT[[#This Row],[DHL Charges PMT]],"")</f>
        <v>0</v>
      </c>
      <c r="Y191" s="7">
        <f>IFERROR(AF191-(O191+CT[[#This Row],[Cost Per MT]]),"")</f>
        <v>335</v>
      </c>
      <c r="Z191" s="7">
        <f>IFERROR(CT[[#This Row],[Margin/MT]]*CT[[#This Row],[Container Qty]],"")</f>
        <v>0</v>
      </c>
      <c r="AA191" s="7"/>
      <c r="AB191" t="s">
        <v>11</v>
      </c>
      <c r="AC191" s="1" t="s">
        <v>158</v>
      </c>
      <c r="AD191" s="3">
        <v>45861</v>
      </c>
      <c r="AE191" s="14">
        <f t="shared" si="32"/>
        <v>25</v>
      </c>
      <c r="AF191" s="7">
        <v>335</v>
      </c>
      <c r="AG191" s="7">
        <f>CT[[#This Row],[Sales Rate/MT (USD)]]*CT[[#This Row],[SC Qty (MT)]]</f>
        <v>8375</v>
      </c>
      <c r="AH191" s="7" t="str">
        <f>IF(CT[[#This Row],[Container Qty]]&lt;&gt;0,CT[[#This Row],[Sales Rate/MT (USD)]]*CT[[#This Row],[Container Qty]],"")</f>
        <v/>
      </c>
      <c r="AI191" s="7" t="str">
        <f>IF(CT[[#This Row],[Customer Final Price]]&lt;&gt;"",CT[[#This Row],[Customer Final Price]]-CT[[#This Row],[Customer  Prov. Price]],"")</f>
        <v/>
      </c>
      <c r="AJ191" t="s">
        <v>8</v>
      </c>
      <c r="AK191" s="1" t="s">
        <v>159</v>
      </c>
      <c r="AL191" s="1"/>
      <c r="AM191" s="100" t="s">
        <v>134</v>
      </c>
    </row>
    <row r="192" spans="1:39" x14ac:dyDescent="0.25">
      <c r="A192" t="s">
        <v>9</v>
      </c>
      <c r="B192" s="102"/>
      <c r="C192" s="81"/>
      <c r="D192" s="1" t="s">
        <v>67</v>
      </c>
      <c r="F192" s="11"/>
      <c r="G192" s="3"/>
      <c r="H192" s="3"/>
      <c r="I192" s="1"/>
      <c r="J192" s="1"/>
      <c r="K192" s="1"/>
      <c r="L192" s="1"/>
      <c r="M192" s="14">
        <v>25</v>
      </c>
      <c r="N192" s="1"/>
      <c r="O192" s="7"/>
      <c r="P192" s="7">
        <f>CT[[#This Row],[Purchase Rate/MT (USD)]]*CT[[#This Row],[PC Qty (MT)]]</f>
        <v>0</v>
      </c>
      <c r="Q192" s="7">
        <f>CT[[#This Row],[Purchase Rate/MT (USD)]]*CT[[#This Row],[Container Qty]]</f>
        <v>0</v>
      </c>
      <c r="R192" s="7" t="str">
        <f>IF(CT[[#This Row],[BL Number]]&lt;&gt;0,(CT[[#This Row],[Supplier Prov. Price]]-CT[[#This Row],[Supplier Final Price]])*1.2,"")</f>
        <v/>
      </c>
      <c r="S192" s="101"/>
      <c r="T192" s="3"/>
      <c r="U192" s="7"/>
      <c r="V192" s="7"/>
      <c r="W192" s="24"/>
      <c r="X192" s="7">
        <f>IFERROR(CT[[#This Row],[Freight Charges]]+CT[[#This Row],[Inspection Cost/MT]]+CT[[#This Row],[DHL Charges PMT]],"")</f>
        <v>0</v>
      </c>
      <c r="Y192" s="7">
        <f>IFERROR(AF192-(O192+CT[[#This Row],[Cost Per MT]]),"")</f>
        <v>335</v>
      </c>
      <c r="Z192" s="7">
        <f>IFERROR(CT[[#This Row],[Margin/MT]]*CT[[#This Row],[Container Qty]],"")</f>
        <v>0</v>
      </c>
      <c r="AA192" s="7"/>
      <c r="AB192" t="s">
        <v>11</v>
      </c>
      <c r="AC192" s="1" t="s">
        <v>158</v>
      </c>
      <c r="AD192" s="3">
        <v>45861</v>
      </c>
      <c r="AE192" s="14">
        <f t="shared" si="32"/>
        <v>25</v>
      </c>
      <c r="AF192" s="7">
        <v>335</v>
      </c>
      <c r="AG192" s="7">
        <f>CT[[#This Row],[Sales Rate/MT (USD)]]*CT[[#This Row],[SC Qty (MT)]]</f>
        <v>8375</v>
      </c>
      <c r="AH192" s="7" t="str">
        <f>IF(CT[[#This Row],[Container Qty]]&lt;&gt;0,CT[[#This Row],[Sales Rate/MT (USD)]]*CT[[#This Row],[Container Qty]],"")</f>
        <v/>
      </c>
      <c r="AI192" s="7" t="str">
        <f>IF(CT[[#This Row],[Customer Final Price]]&lt;&gt;"",CT[[#This Row],[Customer Final Price]]-CT[[#This Row],[Customer  Prov. Price]],"")</f>
        <v/>
      </c>
      <c r="AJ192" t="s">
        <v>8</v>
      </c>
      <c r="AK192" s="1" t="s">
        <v>159</v>
      </c>
      <c r="AL192" s="1"/>
      <c r="AM192" s="100" t="s">
        <v>134</v>
      </c>
    </row>
    <row r="193" spans="1:39" x14ac:dyDescent="0.25">
      <c r="A193" t="s">
        <v>9</v>
      </c>
      <c r="B193" s="102"/>
      <c r="C193" s="81"/>
      <c r="D193" s="1" t="s">
        <v>67</v>
      </c>
      <c r="F193" s="11"/>
      <c r="G193" s="3"/>
      <c r="H193" s="3"/>
      <c r="I193" s="1"/>
      <c r="J193" s="1"/>
      <c r="K193" s="1"/>
      <c r="L193" s="1"/>
      <c r="M193" s="14">
        <v>25</v>
      </c>
      <c r="N193" s="1"/>
      <c r="O193" s="7"/>
      <c r="P193" s="7">
        <f>CT[[#This Row],[Purchase Rate/MT (USD)]]*CT[[#This Row],[PC Qty (MT)]]</f>
        <v>0</v>
      </c>
      <c r="Q193" s="7">
        <f>CT[[#This Row],[Purchase Rate/MT (USD)]]*CT[[#This Row],[Container Qty]]</f>
        <v>0</v>
      </c>
      <c r="R193" s="7" t="str">
        <f>IF(CT[[#This Row],[BL Number]]&lt;&gt;0,(CT[[#This Row],[Supplier Prov. Price]]-CT[[#This Row],[Supplier Final Price]])*1.2,"")</f>
        <v/>
      </c>
      <c r="S193" s="101"/>
      <c r="T193" s="3"/>
      <c r="U193" s="7"/>
      <c r="V193" s="7"/>
      <c r="W193" s="24"/>
      <c r="X193" s="7">
        <f>IFERROR(CT[[#This Row],[Freight Charges]]+CT[[#This Row],[Inspection Cost/MT]]+CT[[#This Row],[DHL Charges PMT]],"")</f>
        <v>0</v>
      </c>
      <c r="Y193" s="7">
        <f>IFERROR(AF193-(O193+CT[[#This Row],[Cost Per MT]]),"")</f>
        <v>335</v>
      </c>
      <c r="Z193" s="7">
        <f>IFERROR(CT[[#This Row],[Margin/MT]]*CT[[#This Row],[Container Qty]],"")</f>
        <v>0</v>
      </c>
      <c r="AA193" s="7"/>
      <c r="AB193" t="s">
        <v>11</v>
      </c>
      <c r="AC193" s="1" t="s">
        <v>158</v>
      </c>
      <c r="AD193" s="3">
        <v>45861</v>
      </c>
      <c r="AE193" s="14">
        <f t="shared" si="32"/>
        <v>25</v>
      </c>
      <c r="AF193" s="7">
        <v>335</v>
      </c>
      <c r="AG193" s="7">
        <f>CT[[#This Row],[Sales Rate/MT (USD)]]*CT[[#This Row],[SC Qty (MT)]]</f>
        <v>8375</v>
      </c>
      <c r="AH193" s="7" t="str">
        <f>IF(CT[[#This Row],[Container Qty]]&lt;&gt;0,CT[[#This Row],[Sales Rate/MT (USD)]]*CT[[#This Row],[Container Qty]],"")</f>
        <v/>
      </c>
      <c r="AI193" s="7" t="str">
        <f>IF(CT[[#This Row],[Customer Final Price]]&lt;&gt;"",CT[[#This Row],[Customer Final Price]]-CT[[#This Row],[Customer  Prov. Price]],"")</f>
        <v/>
      </c>
      <c r="AJ193" t="s">
        <v>8</v>
      </c>
      <c r="AK193" s="1" t="s">
        <v>159</v>
      </c>
      <c r="AL193" s="1"/>
      <c r="AM193" s="100" t="s">
        <v>134</v>
      </c>
    </row>
    <row r="194" spans="1:39" x14ac:dyDescent="0.25">
      <c r="A194" t="s">
        <v>9</v>
      </c>
      <c r="B194" s="102"/>
      <c r="C194" s="81"/>
      <c r="D194" s="1" t="s">
        <v>67</v>
      </c>
      <c r="F194" s="11"/>
      <c r="G194" s="3"/>
      <c r="H194" s="3"/>
      <c r="I194" s="1"/>
      <c r="J194" s="1"/>
      <c r="K194" s="1"/>
      <c r="L194" s="1"/>
      <c r="M194" s="14">
        <v>25</v>
      </c>
      <c r="N194" s="1"/>
      <c r="O194" s="7"/>
      <c r="P194" s="7">
        <f>CT[[#This Row],[Purchase Rate/MT (USD)]]*CT[[#This Row],[PC Qty (MT)]]</f>
        <v>0</v>
      </c>
      <c r="Q194" s="7">
        <f>CT[[#This Row],[Purchase Rate/MT (USD)]]*CT[[#This Row],[Container Qty]]</f>
        <v>0</v>
      </c>
      <c r="R194" s="7" t="str">
        <f>IF(CT[[#This Row],[BL Number]]&lt;&gt;0,(CT[[#This Row],[Supplier Prov. Price]]-CT[[#This Row],[Supplier Final Price]])*1.2,"")</f>
        <v/>
      </c>
      <c r="S194" s="101"/>
      <c r="T194" s="3"/>
      <c r="U194" s="7"/>
      <c r="V194" s="7"/>
      <c r="W194" s="24"/>
      <c r="X194" s="7">
        <f>IFERROR(CT[[#This Row],[Freight Charges]]+CT[[#This Row],[Inspection Cost/MT]]+CT[[#This Row],[DHL Charges PMT]],"")</f>
        <v>0</v>
      </c>
      <c r="Y194" s="7">
        <f>IFERROR(AF194-(O194+CT[[#This Row],[Cost Per MT]]),"")</f>
        <v>335</v>
      </c>
      <c r="Z194" s="7">
        <f>IFERROR(CT[[#This Row],[Margin/MT]]*CT[[#This Row],[Container Qty]],"")</f>
        <v>0</v>
      </c>
      <c r="AA194" s="7"/>
      <c r="AB194" t="s">
        <v>11</v>
      </c>
      <c r="AC194" s="1" t="s">
        <v>158</v>
      </c>
      <c r="AD194" s="3">
        <v>45861</v>
      </c>
      <c r="AE194" s="14">
        <f t="shared" si="32"/>
        <v>25</v>
      </c>
      <c r="AF194" s="7">
        <v>335</v>
      </c>
      <c r="AG194" s="7">
        <f>CT[[#This Row],[Sales Rate/MT (USD)]]*CT[[#This Row],[SC Qty (MT)]]</f>
        <v>8375</v>
      </c>
      <c r="AH194" s="7" t="str">
        <f>IF(CT[[#This Row],[Container Qty]]&lt;&gt;0,CT[[#This Row],[Sales Rate/MT (USD)]]*CT[[#This Row],[Container Qty]],"")</f>
        <v/>
      </c>
      <c r="AI194" s="7" t="str">
        <f>IF(CT[[#This Row],[Customer Final Price]]&lt;&gt;"",CT[[#This Row],[Customer Final Price]]-CT[[#This Row],[Customer  Prov. Price]],"")</f>
        <v/>
      </c>
      <c r="AJ194" t="s">
        <v>8</v>
      </c>
      <c r="AK194" s="1" t="s">
        <v>159</v>
      </c>
      <c r="AL194" s="1"/>
      <c r="AM194" s="100" t="s">
        <v>134</v>
      </c>
    </row>
    <row r="195" spans="1:39" x14ac:dyDescent="0.25">
      <c r="A195" t="s">
        <v>9</v>
      </c>
      <c r="B195" s="102"/>
      <c r="C195" s="81"/>
      <c r="D195" s="1" t="s">
        <v>67</v>
      </c>
      <c r="F195" s="11"/>
      <c r="G195" s="3"/>
      <c r="H195" s="3"/>
      <c r="I195" s="1"/>
      <c r="J195" s="1"/>
      <c r="K195" s="1"/>
      <c r="L195" s="1"/>
      <c r="M195" s="14">
        <v>25</v>
      </c>
      <c r="N195" s="1"/>
      <c r="O195" s="7"/>
      <c r="P195" s="7">
        <f>CT[[#This Row],[Purchase Rate/MT (USD)]]*CT[[#This Row],[PC Qty (MT)]]</f>
        <v>0</v>
      </c>
      <c r="Q195" s="7">
        <f>CT[[#This Row],[Purchase Rate/MT (USD)]]*CT[[#This Row],[Container Qty]]</f>
        <v>0</v>
      </c>
      <c r="R195" s="7" t="str">
        <f>IF(CT[[#This Row],[BL Number]]&lt;&gt;0,(CT[[#This Row],[Supplier Prov. Price]]-CT[[#This Row],[Supplier Final Price]])*1.2,"")</f>
        <v/>
      </c>
      <c r="S195" s="101"/>
      <c r="T195" s="3"/>
      <c r="U195" s="7"/>
      <c r="V195" s="7"/>
      <c r="W195" s="24"/>
      <c r="X195" s="7">
        <f>IFERROR(CT[[#This Row],[Freight Charges]]+CT[[#This Row],[Inspection Cost/MT]]+CT[[#This Row],[DHL Charges PMT]],"")</f>
        <v>0</v>
      </c>
      <c r="Y195" s="7">
        <f>IFERROR(AF195-(O195+CT[[#This Row],[Cost Per MT]]),"")</f>
        <v>335</v>
      </c>
      <c r="Z195" s="7">
        <f>IFERROR(CT[[#This Row],[Margin/MT]]*CT[[#This Row],[Container Qty]],"")</f>
        <v>0</v>
      </c>
      <c r="AA195" s="7"/>
      <c r="AB195" t="s">
        <v>11</v>
      </c>
      <c r="AC195" s="1" t="s">
        <v>158</v>
      </c>
      <c r="AD195" s="3">
        <v>45861</v>
      </c>
      <c r="AE195" s="14">
        <f t="shared" si="32"/>
        <v>25</v>
      </c>
      <c r="AF195" s="7">
        <v>335</v>
      </c>
      <c r="AG195" s="7">
        <f>CT[[#This Row],[Sales Rate/MT (USD)]]*CT[[#This Row],[SC Qty (MT)]]</f>
        <v>8375</v>
      </c>
      <c r="AH195" s="7" t="str">
        <f>IF(CT[[#This Row],[Container Qty]]&lt;&gt;0,CT[[#This Row],[Sales Rate/MT (USD)]]*CT[[#This Row],[Container Qty]],"")</f>
        <v/>
      </c>
      <c r="AI195" s="7" t="str">
        <f>IF(CT[[#This Row],[Customer Final Price]]&lt;&gt;"",CT[[#This Row],[Customer Final Price]]-CT[[#This Row],[Customer  Prov. Price]],"")</f>
        <v/>
      </c>
      <c r="AJ195" t="s">
        <v>8</v>
      </c>
      <c r="AK195" s="1" t="s">
        <v>159</v>
      </c>
      <c r="AL195" s="1"/>
      <c r="AM195" s="100" t="s">
        <v>134</v>
      </c>
    </row>
    <row r="196" spans="1:39" x14ac:dyDescent="0.25">
      <c r="A196" t="s">
        <v>9</v>
      </c>
      <c r="B196" s="102"/>
      <c r="C196" s="81"/>
      <c r="D196" s="1" t="s">
        <v>67</v>
      </c>
      <c r="F196" s="11"/>
      <c r="G196" s="3"/>
      <c r="H196" s="3"/>
      <c r="I196" s="1"/>
      <c r="J196" s="1"/>
      <c r="K196" s="1"/>
      <c r="L196" s="1"/>
      <c r="M196" s="14">
        <v>25</v>
      </c>
      <c r="N196" s="1"/>
      <c r="O196" s="7"/>
      <c r="P196" s="7">
        <f>CT[[#This Row],[Purchase Rate/MT (USD)]]*CT[[#This Row],[PC Qty (MT)]]</f>
        <v>0</v>
      </c>
      <c r="Q196" s="7">
        <f>CT[[#This Row],[Purchase Rate/MT (USD)]]*CT[[#This Row],[Container Qty]]</f>
        <v>0</v>
      </c>
      <c r="R196" s="7" t="str">
        <f>IF(CT[[#This Row],[BL Number]]&lt;&gt;0,(CT[[#This Row],[Supplier Prov. Price]]-CT[[#This Row],[Supplier Final Price]])*1.2,"")</f>
        <v/>
      </c>
      <c r="S196" s="101"/>
      <c r="T196" s="3"/>
      <c r="U196" s="7"/>
      <c r="V196" s="7"/>
      <c r="W196" s="24"/>
      <c r="X196" s="7">
        <f>IFERROR(CT[[#This Row],[Freight Charges]]+CT[[#This Row],[Inspection Cost/MT]]+CT[[#This Row],[DHL Charges PMT]],"")</f>
        <v>0</v>
      </c>
      <c r="Y196" s="7">
        <f>IFERROR(AF196-(O196+CT[[#This Row],[Cost Per MT]]),"")</f>
        <v>335</v>
      </c>
      <c r="Z196" s="7">
        <f>IFERROR(CT[[#This Row],[Margin/MT]]*CT[[#This Row],[Container Qty]],"")</f>
        <v>0</v>
      </c>
      <c r="AA196" s="7"/>
      <c r="AB196" t="s">
        <v>11</v>
      </c>
      <c r="AC196" s="1" t="s">
        <v>158</v>
      </c>
      <c r="AD196" s="3">
        <v>45861</v>
      </c>
      <c r="AE196" s="14">
        <f t="shared" si="32"/>
        <v>25</v>
      </c>
      <c r="AF196" s="7">
        <v>335</v>
      </c>
      <c r="AG196" s="7">
        <f>CT[[#This Row],[Sales Rate/MT (USD)]]*CT[[#This Row],[SC Qty (MT)]]</f>
        <v>8375</v>
      </c>
      <c r="AH196" s="7" t="str">
        <f>IF(CT[[#This Row],[Container Qty]]&lt;&gt;0,CT[[#This Row],[Sales Rate/MT (USD)]]*CT[[#This Row],[Container Qty]],"")</f>
        <v/>
      </c>
      <c r="AI196" s="7" t="str">
        <f>IF(CT[[#This Row],[Customer Final Price]]&lt;&gt;"",CT[[#This Row],[Customer Final Price]]-CT[[#This Row],[Customer  Prov. Price]],"")</f>
        <v/>
      </c>
      <c r="AJ196" t="s">
        <v>8</v>
      </c>
      <c r="AK196" s="1" t="s">
        <v>159</v>
      </c>
      <c r="AL196" s="1"/>
      <c r="AM196" s="100" t="s">
        <v>134</v>
      </c>
    </row>
    <row r="197" spans="1:39" x14ac:dyDescent="0.25">
      <c r="A197" t="s">
        <v>9</v>
      </c>
      <c r="B197" s="102"/>
      <c r="C197" s="81"/>
      <c r="D197" s="1" t="s">
        <v>67</v>
      </c>
      <c r="F197" s="11"/>
      <c r="G197" s="3"/>
      <c r="H197" s="3"/>
      <c r="I197" s="1"/>
      <c r="J197" s="1"/>
      <c r="K197" s="1"/>
      <c r="L197" s="1"/>
      <c r="M197" s="14">
        <v>25</v>
      </c>
      <c r="N197" s="1"/>
      <c r="O197" s="7"/>
      <c r="P197" s="7">
        <f>CT[[#This Row],[Purchase Rate/MT (USD)]]*CT[[#This Row],[PC Qty (MT)]]</f>
        <v>0</v>
      </c>
      <c r="Q197" s="7">
        <f>CT[[#This Row],[Purchase Rate/MT (USD)]]*CT[[#This Row],[Container Qty]]</f>
        <v>0</v>
      </c>
      <c r="R197" s="7" t="str">
        <f>IF(CT[[#This Row],[BL Number]]&lt;&gt;0,(CT[[#This Row],[Supplier Prov. Price]]-CT[[#This Row],[Supplier Final Price]])*1.2,"")</f>
        <v/>
      </c>
      <c r="S197" s="101"/>
      <c r="T197" s="3"/>
      <c r="U197" s="7"/>
      <c r="V197" s="7"/>
      <c r="W197" s="24"/>
      <c r="X197" s="7">
        <f>IFERROR(CT[[#This Row],[Freight Charges]]+CT[[#This Row],[Inspection Cost/MT]]+CT[[#This Row],[DHL Charges PMT]],"")</f>
        <v>0</v>
      </c>
      <c r="Y197" s="7">
        <f>IFERROR(AF197-(O197+CT[[#This Row],[Cost Per MT]]),"")</f>
        <v>335</v>
      </c>
      <c r="Z197" s="7">
        <f>IFERROR(CT[[#This Row],[Margin/MT]]*CT[[#This Row],[Container Qty]],"")</f>
        <v>0</v>
      </c>
      <c r="AA197" s="7"/>
      <c r="AB197" t="s">
        <v>11</v>
      </c>
      <c r="AC197" s="1" t="s">
        <v>158</v>
      </c>
      <c r="AD197" s="3">
        <v>45861</v>
      </c>
      <c r="AE197" s="14">
        <f t="shared" si="32"/>
        <v>25</v>
      </c>
      <c r="AF197" s="7">
        <v>335</v>
      </c>
      <c r="AG197" s="7">
        <f>CT[[#This Row],[Sales Rate/MT (USD)]]*CT[[#This Row],[SC Qty (MT)]]</f>
        <v>8375</v>
      </c>
      <c r="AH197" s="7" t="str">
        <f>IF(CT[[#This Row],[Container Qty]]&lt;&gt;0,CT[[#This Row],[Sales Rate/MT (USD)]]*CT[[#This Row],[Container Qty]],"")</f>
        <v/>
      </c>
      <c r="AI197" s="7" t="str">
        <f>IF(CT[[#This Row],[Customer Final Price]]&lt;&gt;"",CT[[#This Row],[Customer Final Price]]-CT[[#This Row],[Customer  Prov. Price]],"")</f>
        <v/>
      </c>
      <c r="AJ197" t="s">
        <v>8</v>
      </c>
      <c r="AK197" s="1" t="s">
        <v>159</v>
      </c>
      <c r="AL197" s="1"/>
      <c r="AM197" s="100" t="s">
        <v>134</v>
      </c>
    </row>
    <row r="198" spans="1:39" x14ac:dyDescent="0.25">
      <c r="A198" t="s">
        <v>9</v>
      </c>
      <c r="B198" s="102"/>
      <c r="C198" s="81"/>
      <c r="D198" s="1" t="s">
        <v>67</v>
      </c>
      <c r="F198" s="11"/>
      <c r="G198" s="3"/>
      <c r="H198" s="3"/>
      <c r="I198" s="1"/>
      <c r="J198" s="1"/>
      <c r="K198" s="1"/>
      <c r="L198" s="1"/>
      <c r="M198" s="14">
        <v>25</v>
      </c>
      <c r="N198" s="1"/>
      <c r="O198" s="7"/>
      <c r="P198" s="7">
        <f>CT[[#This Row],[Purchase Rate/MT (USD)]]*CT[[#This Row],[PC Qty (MT)]]</f>
        <v>0</v>
      </c>
      <c r="Q198" s="7">
        <f>CT[[#This Row],[Purchase Rate/MT (USD)]]*CT[[#This Row],[Container Qty]]</f>
        <v>0</v>
      </c>
      <c r="R198" s="7" t="str">
        <f>IF(CT[[#This Row],[BL Number]]&lt;&gt;0,(CT[[#This Row],[Supplier Prov. Price]]-CT[[#This Row],[Supplier Final Price]])*1.2,"")</f>
        <v/>
      </c>
      <c r="S198" s="101"/>
      <c r="T198" s="3"/>
      <c r="U198" s="7"/>
      <c r="V198" s="7"/>
      <c r="W198" s="24"/>
      <c r="X198" s="7">
        <f>IFERROR(CT[[#This Row],[Freight Charges]]+CT[[#This Row],[Inspection Cost/MT]]+CT[[#This Row],[DHL Charges PMT]],"")</f>
        <v>0</v>
      </c>
      <c r="Y198" s="7">
        <f>IFERROR(AF198-(O198+CT[[#This Row],[Cost Per MT]]),"")</f>
        <v>335</v>
      </c>
      <c r="Z198" s="7">
        <f>IFERROR(CT[[#This Row],[Margin/MT]]*CT[[#This Row],[Container Qty]],"")</f>
        <v>0</v>
      </c>
      <c r="AA198" s="7"/>
      <c r="AB198" t="s">
        <v>11</v>
      </c>
      <c r="AC198" s="1" t="s">
        <v>158</v>
      </c>
      <c r="AD198" s="3">
        <v>45861</v>
      </c>
      <c r="AE198" s="14">
        <f t="shared" si="32"/>
        <v>25</v>
      </c>
      <c r="AF198" s="7">
        <v>335</v>
      </c>
      <c r="AG198" s="7">
        <f>CT[[#This Row],[Sales Rate/MT (USD)]]*CT[[#This Row],[SC Qty (MT)]]</f>
        <v>8375</v>
      </c>
      <c r="AH198" s="7" t="str">
        <f>IF(CT[[#This Row],[Container Qty]]&lt;&gt;0,CT[[#This Row],[Sales Rate/MT (USD)]]*CT[[#This Row],[Container Qty]],"")</f>
        <v/>
      </c>
      <c r="AI198" s="7" t="str">
        <f>IF(CT[[#This Row],[Customer Final Price]]&lt;&gt;"",CT[[#This Row],[Customer Final Price]]-CT[[#This Row],[Customer  Prov. Price]],"")</f>
        <v/>
      </c>
      <c r="AJ198" t="s">
        <v>8</v>
      </c>
      <c r="AK198" s="1" t="s">
        <v>159</v>
      </c>
      <c r="AL198" s="1"/>
      <c r="AM198" s="100" t="s">
        <v>134</v>
      </c>
    </row>
    <row r="199" spans="1:39" x14ac:dyDescent="0.25">
      <c r="A199" t="s">
        <v>9</v>
      </c>
      <c r="B199" s="102"/>
      <c r="C199" s="81"/>
      <c r="D199" s="1" t="s">
        <v>67</v>
      </c>
      <c r="F199" s="11"/>
      <c r="G199" s="3"/>
      <c r="H199" s="3"/>
      <c r="I199" s="1"/>
      <c r="J199" s="1"/>
      <c r="K199" s="1"/>
      <c r="L199" s="1"/>
      <c r="M199" s="14">
        <v>25</v>
      </c>
      <c r="N199" s="1"/>
      <c r="O199" s="7"/>
      <c r="P199" s="7">
        <f>CT[[#This Row],[Purchase Rate/MT (USD)]]*CT[[#This Row],[PC Qty (MT)]]</f>
        <v>0</v>
      </c>
      <c r="Q199" s="7">
        <f>CT[[#This Row],[Purchase Rate/MT (USD)]]*CT[[#This Row],[Container Qty]]</f>
        <v>0</v>
      </c>
      <c r="R199" s="7" t="str">
        <f>IF(CT[[#This Row],[BL Number]]&lt;&gt;0,(CT[[#This Row],[Supplier Prov. Price]]-CT[[#This Row],[Supplier Final Price]])*1.2,"")</f>
        <v/>
      </c>
      <c r="S199" s="101"/>
      <c r="T199" s="3"/>
      <c r="U199" s="7"/>
      <c r="V199" s="7"/>
      <c r="W199" s="24"/>
      <c r="X199" s="7">
        <f>IFERROR(CT[[#This Row],[Freight Charges]]+CT[[#This Row],[Inspection Cost/MT]]+CT[[#This Row],[DHL Charges PMT]],"")</f>
        <v>0</v>
      </c>
      <c r="Y199" s="7">
        <f>IFERROR(AF199-(O199+CT[[#This Row],[Cost Per MT]]),"")</f>
        <v>335</v>
      </c>
      <c r="Z199" s="7">
        <f>IFERROR(CT[[#This Row],[Margin/MT]]*CT[[#This Row],[Container Qty]],"")</f>
        <v>0</v>
      </c>
      <c r="AA199" s="7"/>
      <c r="AB199" t="s">
        <v>11</v>
      </c>
      <c r="AC199" s="1" t="s">
        <v>158</v>
      </c>
      <c r="AD199" s="3">
        <v>45861</v>
      </c>
      <c r="AE199" s="14">
        <f t="shared" si="32"/>
        <v>25</v>
      </c>
      <c r="AF199" s="7">
        <v>335</v>
      </c>
      <c r="AG199" s="7">
        <f>CT[[#This Row],[Sales Rate/MT (USD)]]*CT[[#This Row],[SC Qty (MT)]]</f>
        <v>8375</v>
      </c>
      <c r="AH199" s="7" t="str">
        <f>IF(CT[[#This Row],[Container Qty]]&lt;&gt;0,CT[[#This Row],[Sales Rate/MT (USD)]]*CT[[#This Row],[Container Qty]],"")</f>
        <v/>
      </c>
      <c r="AI199" s="7" t="str">
        <f>IF(CT[[#This Row],[Customer Final Price]]&lt;&gt;"",CT[[#This Row],[Customer Final Price]]-CT[[#This Row],[Customer  Prov. Price]],"")</f>
        <v/>
      </c>
      <c r="AJ199" t="s">
        <v>8</v>
      </c>
      <c r="AK199" s="1" t="s">
        <v>159</v>
      </c>
      <c r="AL199" s="1"/>
      <c r="AM199" s="100" t="s">
        <v>134</v>
      </c>
    </row>
    <row r="200" spans="1:39" x14ac:dyDescent="0.25">
      <c r="A200" t="s">
        <v>9</v>
      </c>
      <c r="B200" s="102"/>
      <c r="C200" s="81"/>
      <c r="D200" s="1" t="s">
        <v>67</v>
      </c>
      <c r="F200" s="11"/>
      <c r="G200" s="3"/>
      <c r="H200" s="3"/>
      <c r="I200" s="1"/>
      <c r="J200" s="1"/>
      <c r="K200" s="1"/>
      <c r="L200" s="1"/>
      <c r="M200" s="14">
        <v>25</v>
      </c>
      <c r="N200" s="1"/>
      <c r="O200" s="7"/>
      <c r="P200" s="7">
        <f>CT[[#This Row],[Purchase Rate/MT (USD)]]*CT[[#This Row],[PC Qty (MT)]]</f>
        <v>0</v>
      </c>
      <c r="Q200" s="7">
        <f>CT[[#This Row],[Purchase Rate/MT (USD)]]*CT[[#This Row],[Container Qty]]</f>
        <v>0</v>
      </c>
      <c r="R200" s="7" t="str">
        <f>IF(CT[[#This Row],[BL Number]]&lt;&gt;0,(CT[[#This Row],[Supplier Prov. Price]]-CT[[#This Row],[Supplier Final Price]])*1.2,"")</f>
        <v/>
      </c>
      <c r="S200" s="101"/>
      <c r="T200" s="3"/>
      <c r="U200" s="7"/>
      <c r="V200" s="7"/>
      <c r="W200" s="24"/>
      <c r="X200" s="7">
        <f>IFERROR(CT[[#This Row],[Freight Charges]]+CT[[#This Row],[Inspection Cost/MT]]+CT[[#This Row],[DHL Charges PMT]],"")</f>
        <v>0</v>
      </c>
      <c r="Y200" s="7">
        <f>IFERROR(AF200-(O200+CT[[#This Row],[Cost Per MT]]),"")</f>
        <v>335</v>
      </c>
      <c r="Z200" s="7">
        <f>IFERROR(CT[[#This Row],[Margin/MT]]*CT[[#This Row],[Container Qty]],"")</f>
        <v>0</v>
      </c>
      <c r="AA200" s="7"/>
      <c r="AB200" t="s">
        <v>11</v>
      </c>
      <c r="AC200" s="1" t="s">
        <v>158</v>
      </c>
      <c r="AD200" s="3">
        <v>45861</v>
      </c>
      <c r="AE200" s="14">
        <f t="shared" si="32"/>
        <v>25</v>
      </c>
      <c r="AF200" s="7">
        <v>335</v>
      </c>
      <c r="AG200" s="7">
        <f>CT[[#This Row],[Sales Rate/MT (USD)]]*CT[[#This Row],[SC Qty (MT)]]</f>
        <v>8375</v>
      </c>
      <c r="AH200" s="7" t="str">
        <f>IF(CT[[#This Row],[Container Qty]]&lt;&gt;0,CT[[#This Row],[Sales Rate/MT (USD)]]*CT[[#This Row],[Container Qty]],"")</f>
        <v/>
      </c>
      <c r="AI200" s="7" t="str">
        <f>IF(CT[[#This Row],[Customer Final Price]]&lt;&gt;"",CT[[#This Row],[Customer Final Price]]-CT[[#This Row],[Customer  Prov. Price]],"")</f>
        <v/>
      </c>
      <c r="AJ200" t="s">
        <v>8</v>
      </c>
      <c r="AK200" s="1" t="s">
        <v>159</v>
      </c>
      <c r="AL200" s="1"/>
      <c r="AM200" s="100" t="s">
        <v>134</v>
      </c>
    </row>
    <row r="201" spans="1:39" x14ac:dyDescent="0.25">
      <c r="A201" t="s">
        <v>9</v>
      </c>
      <c r="B201" s="102"/>
      <c r="C201" s="81"/>
      <c r="D201" s="1" t="s">
        <v>67</v>
      </c>
      <c r="F201" s="11"/>
      <c r="G201" s="3"/>
      <c r="H201" s="3"/>
      <c r="I201" s="1"/>
      <c r="J201" s="1"/>
      <c r="K201" s="1"/>
      <c r="L201" s="1"/>
      <c r="M201" s="14">
        <v>25</v>
      </c>
      <c r="N201" s="1"/>
      <c r="O201" s="7"/>
      <c r="P201" s="7">
        <f>CT[[#This Row],[Purchase Rate/MT (USD)]]*CT[[#This Row],[PC Qty (MT)]]</f>
        <v>0</v>
      </c>
      <c r="Q201" s="7">
        <f>CT[[#This Row],[Purchase Rate/MT (USD)]]*CT[[#This Row],[Container Qty]]</f>
        <v>0</v>
      </c>
      <c r="R201" s="7" t="str">
        <f>IF(CT[[#This Row],[BL Number]]&lt;&gt;0,(CT[[#This Row],[Supplier Prov. Price]]-CT[[#This Row],[Supplier Final Price]])*1.2,"")</f>
        <v/>
      </c>
      <c r="S201" s="101"/>
      <c r="T201" s="3"/>
      <c r="U201" s="7"/>
      <c r="V201" s="7"/>
      <c r="W201" s="24"/>
      <c r="X201" s="7">
        <f>IFERROR(CT[[#This Row],[Freight Charges]]+CT[[#This Row],[Inspection Cost/MT]]+CT[[#This Row],[DHL Charges PMT]],"")</f>
        <v>0</v>
      </c>
      <c r="Y201" s="7">
        <f>IFERROR(AF201-(O201+CT[[#This Row],[Cost Per MT]]),"")</f>
        <v>335</v>
      </c>
      <c r="Z201" s="7">
        <f>IFERROR(CT[[#This Row],[Margin/MT]]*CT[[#This Row],[Container Qty]],"")</f>
        <v>0</v>
      </c>
      <c r="AA201" s="7"/>
      <c r="AB201" t="s">
        <v>11</v>
      </c>
      <c r="AC201" s="1" t="s">
        <v>158</v>
      </c>
      <c r="AD201" s="3">
        <v>45861</v>
      </c>
      <c r="AE201" s="14">
        <f t="shared" ref="AE201:AE264" si="33">7500/300</f>
        <v>25</v>
      </c>
      <c r="AF201" s="7">
        <v>335</v>
      </c>
      <c r="AG201" s="7">
        <f>CT[[#This Row],[Sales Rate/MT (USD)]]*CT[[#This Row],[SC Qty (MT)]]</f>
        <v>8375</v>
      </c>
      <c r="AH201" s="7" t="str">
        <f>IF(CT[[#This Row],[Container Qty]]&lt;&gt;0,CT[[#This Row],[Sales Rate/MT (USD)]]*CT[[#This Row],[Container Qty]],"")</f>
        <v/>
      </c>
      <c r="AI201" s="7" t="str">
        <f>IF(CT[[#This Row],[Customer Final Price]]&lt;&gt;"",CT[[#This Row],[Customer Final Price]]-CT[[#This Row],[Customer  Prov. Price]],"")</f>
        <v/>
      </c>
      <c r="AJ201" t="s">
        <v>8</v>
      </c>
      <c r="AK201" s="1" t="s">
        <v>159</v>
      </c>
      <c r="AL201" s="1"/>
      <c r="AM201" s="100" t="s">
        <v>134</v>
      </c>
    </row>
    <row r="202" spans="1:39" x14ac:dyDescent="0.25">
      <c r="A202" t="s">
        <v>9</v>
      </c>
      <c r="B202" s="102"/>
      <c r="C202" s="81"/>
      <c r="D202" s="1" t="s">
        <v>67</v>
      </c>
      <c r="F202" s="11"/>
      <c r="G202" s="3"/>
      <c r="H202" s="3"/>
      <c r="I202" s="1"/>
      <c r="J202" s="1"/>
      <c r="K202" s="1"/>
      <c r="L202" s="1"/>
      <c r="M202" s="14">
        <v>25</v>
      </c>
      <c r="N202" s="1"/>
      <c r="O202" s="7"/>
      <c r="P202" s="7">
        <f>CT[[#This Row],[Purchase Rate/MT (USD)]]*CT[[#This Row],[PC Qty (MT)]]</f>
        <v>0</v>
      </c>
      <c r="Q202" s="7">
        <f>CT[[#This Row],[Purchase Rate/MT (USD)]]*CT[[#This Row],[Container Qty]]</f>
        <v>0</v>
      </c>
      <c r="R202" s="7" t="str">
        <f>IF(CT[[#This Row],[BL Number]]&lt;&gt;0,(CT[[#This Row],[Supplier Prov. Price]]-CT[[#This Row],[Supplier Final Price]])*1.2,"")</f>
        <v/>
      </c>
      <c r="S202" s="101"/>
      <c r="T202" s="3"/>
      <c r="U202" s="7"/>
      <c r="V202" s="7"/>
      <c r="W202" s="24"/>
      <c r="X202" s="7">
        <f>IFERROR(CT[[#This Row],[Freight Charges]]+CT[[#This Row],[Inspection Cost/MT]]+CT[[#This Row],[DHL Charges PMT]],"")</f>
        <v>0</v>
      </c>
      <c r="Y202" s="7">
        <f>IFERROR(AF202-(O202+CT[[#This Row],[Cost Per MT]]),"")</f>
        <v>335</v>
      </c>
      <c r="Z202" s="7">
        <f>IFERROR(CT[[#This Row],[Margin/MT]]*CT[[#This Row],[Container Qty]],"")</f>
        <v>0</v>
      </c>
      <c r="AA202" s="7"/>
      <c r="AB202" t="s">
        <v>11</v>
      </c>
      <c r="AC202" s="1" t="s">
        <v>158</v>
      </c>
      <c r="AD202" s="3">
        <v>45861</v>
      </c>
      <c r="AE202" s="14">
        <f t="shared" si="33"/>
        <v>25</v>
      </c>
      <c r="AF202" s="7">
        <v>335</v>
      </c>
      <c r="AG202" s="7">
        <f>CT[[#This Row],[Sales Rate/MT (USD)]]*CT[[#This Row],[SC Qty (MT)]]</f>
        <v>8375</v>
      </c>
      <c r="AH202" s="7" t="str">
        <f>IF(CT[[#This Row],[Container Qty]]&lt;&gt;0,CT[[#This Row],[Sales Rate/MT (USD)]]*CT[[#This Row],[Container Qty]],"")</f>
        <v/>
      </c>
      <c r="AI202" s="7" t="str">
        <f>IF(CT[[#This Row],[Customer Final Price]]&lt;&gt;"",CT[[#This Row],[Customer Final Price]]-CT[[#This Row],[Customer  Prov. Price]],"")</f>
        <v/>
      </c>
      <c r="AJ202" t="s">
        <v>8</v>
      </c>
      <c r="AK202" s="1" t="s">
        <v>159</v>
      </c>
      <c r="AL202" s="1"/>
      <c r="AM202" s="100" t="s">
        <v>134</v>
      </c>
    </row>
    <row r="203" spans="1:39" x14ac:dyDescent="0.25">
      <c r="A203" t="s">
        <v>9</v>
      </c>
      <c r="B203" s="102"/>
      <c r="C203" s="81"/>
      <c r="D203" s="1" t="s">
        <v>67</v>
      </c>
      <c r="F203" s="11"/>
      <c r="G203" s="3"/>
      <c r="H203" s="3"/>
      <c r="I203" s="1"/>
      <c r="J203" s="1"/>
      <c r="K203" s="1"/>
      <c r="L203" s="1"/>
      <c r="M203" s="14">
        <v>25</v>
      </c>
      <c r="N203" s="1"/>
      <c r="O203" s="7"/>
      <c r="P203" s="7">
        <f>CT[[#This Row],[Purchase Rate/MT (USD)]]*CT[[#This Row],[PC Qty (MT)]]</f>
        <v>0</v>
      </c>
      <c r="Q203" s="7">
        <f>CT[[#This Row],[Purchase Rate/MT (USD)]]*CT[[#This Row],[Container Qty]]</f>
        <v>0</v>
      </c>
      <c r="R203" s="7" t="str">
        <f>IF(CT[[#This Row],[BL Number]]&lt;&gt;0,(CT[[#This Row],[Supplier Prov. Price]]-CT[[#This Row],[Supplier Final Price]])*1.2,"")</f>
        <v/>
      </c>
      <c r="S203" s="101"/>
      <c r="T203" s="3"/>
      <c r="U203" s="7"/>
      <c r="V203" s="7"/>
      <c r="W203" s="24"/>
      <c r="X203" s="7">
        <f>IFERROR(CT[[#This Row],[Freight Charges]]+CT[[#This Row],[Inspection Cost/MT]]+CT[[#This Row],[DHL Charges PMT]],"")</f>
        <v>0</v>
      </c>
      <c r="Y203" s="7">
        <f>IFERROR(AF203-(O203+CT[[#This Row],[Cost Per MT]]),"")</f>
        <v>335</v>
      </c>
      <c r="Z203" s="7">
        <f>IFERROR(CT[[#This Row],[Margin/MT]]*CT[[#This Row],[Container Qty]],"")</f>
        <v>0</v>
      </c>
      <c r="AA203" s="7"/>
      <c r="AB203" t="s">
        <v>11</v>
      </c>
      <c r="AC203" s="1" t="s">
        <v>158</v>
      </c>
      <c r="AD203" s="3">
        <v>45861</v>
      </c>
      <c r="AE203" s="14">
        <f t="shared" si="33"/>
        <v>25</v>
      </c>
      <c r="AF203" s="7">
        <v>335</v>
      </c>
      <c r="AG203" s="7">
        <f>CT[[#This Row],[Sales Rate/MT (USD)]]*CT[[#This Row],[SC Qty (MT)]]</f>
        <v>8375</v>
      </c>
      <c r="AH203" s="7" t="str">
        <f>IF(CT[[#This Row],[Container Qty]]&lt;&gt;0,CT[[#This Row],[Sales Rate/MT (USD)]]*CT[[#This Row],[Container Qty]],"")</f>
        <v/>
      </c>
      <c r="AI203" s="7" t="str">
        <f>IF(CT[[#This Row],[Customer Final Price]]&lt;&gt;"",CT[[#This Row],[Customer Final Price]]-CT[[#This Row],[Customer  Prov. Price]],"")</f>
        <v/>
      </c>
      <c r="AJ203" t="s">
        <v>8</v>
      </c>
      <c r="AK203" s="1" t="s">
        <v>159</v>
      </c>
      <c r="AL203" s="1"/>
      <c r="AM203" s="100" t="s">
        <v>134</v>
      </c>
    </row>
    <row r="204" spans="1:39" x14ac:dyDescent="0.25">
      <c r="A204" t="s">
        <v>9</v>
      </c>
      <c r="B204" s="102"/>
      <c r="C204" s="81"/>
      <c r="D204" s="1" t="s">
        <v>67</v>
      </c>
      <c r="F204" s="11"/>
      <c r="G204" s="3"/>
      <c r="H204" s="3"/>
      <c r="I204" s="1"/>
      <c r="J204" s="1"/>
      <c r="K204" s="1"/>
      <c r="L204" s="1"/>
      <c r="M204" s="14">
        <v>25</v>
      </c>
      <c r="N204" s="1"/>
      <c r="O204" s="7"/>
      <c r="P204" s="7">
        <f>CT[[#This Row],[Purchase Rate/MT (USD)]]*CT[[#This Row],[PC Qty (MT)]]</f>
        <v>0</v>
      </c>
      <c r="Q204" s="7">
        <f>CT[[#This Row],[Purchase Rate/MT (USD)]]*CT[[#This Row],[Container Qty]]</f>
        <v>0</v>
      </c>
      <c r="R204" s="7" t="str">
        <f>IF(CT[[#This Row],[BL Number]]&lt;&gt;0,(CT[[#This Row],[Supplier Prov. Price]]-CT[[#This Row],[Supplier Final Price]])*1.2,"")</f>
        <v/>
      </c>
      <c r="S204" s="101"/>
      <c r="T204" s="3"/>
      <c r="U204" s="7"/>
      <c r="V204" s="7"/>
      <c r="W204" s="24"/>
      <c r="X204" s="7">
        <f>IFERROR(CT[[#This Row],[Freight Charges]]+CT[[#This Row],[Inspection Cost/MT]]+CT[[#This Row],[DHL Charges PMT]],"")</f>
        <v>0</v>
      </c>
      <c r="Y204" s="7">
        <f>IFERROR(AF204-(O204+CT[[#This Row],[Cost Per MT]]),"")</f>
        <v>335</v>
      </c>
      <c r="Z204" s="7">
        <f>IFERROR(CT[[#This Row],[Margin/MT]]*CT[[#This Row],[Container Qty]],"")</f>
        <v>0</v>
      </c>
      <c r="AA204" s="7"/>
      <c r="AB204" t="s">
        <v>11</v>
      </c>
      <c r="AC204" s="1" t="s">
        <v>158</v>
      </c>
      <c r="AD204" s="3">
        <v>45861</v>
      </c>
      <c r="AE204" s="14">
        <f t="shared" si="33"/>
        <v>25</v>
      </c>
      <c r="AF204" s="7">
        <v>335</v>
      </c>
      <c r="AG204" s="7">
        <f>CT[[#This Row],[Sales Rate/MT (USD)]]*CT[[#This Row],[SC Qty (MT)]]</f>
        <v>8375</v>
      </c>
      <c r="AH204" s="7" t="str">
        <f>IF(CT[[#This Row],[Container Qty]]&lt;&gt;0,CT[[#This Row],[Sales Rate/MT (USD)]]*CT[[#This Row],[Container Qty]],"")</f>
        <v/>
      </c>
      <c r="AI204" s="7" t="str">
        <f>IF(CT[[#This Row],[Customer Final Price]]&lt;&gt;"",CT[[#This Row],[Customer Final Price]]-CT[[#This Row],[Customer  Prov. Price]],"")</f>
        <v/>
      </c>
      <c r="AJ204" t="s">
        <v>8</v>
      </c>
      <c r="AK204" s="1" t="s">
        <v>159</v>
      </c>
      <c r="AL204" s="1"/>
      <c r="AM204" s="100" t="s">
        <v>134</v>
      </c>
    </row>
    <row r="205" spans="1:39" x14ac:dyDescent="0.25">
      <c r="A205" t="s">
        <v>9</v>
      </c>
      <c r="B205" s="102"/>
      <c r="C205" s="81"/>
      <c r="D205" s="1" t="s">
        <v>67</v>
      </c>
      <c r="F205" s="11"/>
      <c r="G205" s="3"/>
      <c r="H205" s="3"/>
      <c r="I205" s="1"/>
      <c r="J205" s="1"/>
      <c r="K205" s="1"/>
      <c r="L205" s="1"/>
      <c r="M205" s="14">
        <v>25</v>
      </c>
      <c r="N205" s="1"/>
      <c r="O205" s="7"/>
      <c r="P205" s="7">
        <f>CT[[#This Row],[Purchase Rate/MT (USD)]]*CT[[#This Row],[PC Qty (MT)]]</f>
        <v>0</v>
      </c>
      <c r="Q205" s="7">
        <f>CT[[#This Row],[Purchase Rate/MT (USD)]]*CT[[#This Row],[Container Qty]]</f>
        <v>0</v>
      </c>
      <c r="R205" s="7" t="str">
        <f>IF(CT[[#This Row],[BL Number]]&lt;&gt;0,(CT[[#This Row],[Supplier Prov. Price]]-CT[[#This Row],[Supplier Final Price]])*1.2,"")</f>
        <v/>
      </c>
      <c r="S205" s="101"/>
      <c r="T205" s="3"/>
      <c r="U205" s="7"/>
      <c r="V205" s="7"/>
      <c r="W205" s="24"/>
      <c r="X205" s="7">
        <f>IFERROR(CT[[#This Row],[Freight Charges]]+CT[[#This Row],[Inspection Cost/MT]]+CT[[#This Row],[DHL Charges PMT]],"")</f>
        <v>0</v>
      </c>
      <c r="Y205" s="7">
        <f>IFERROR(AF205-(O205+CT[[#This Row],[Cost Per MT]]),"")</f>
        <v>335</v>
      </c>
      <c r="Z205" s="7">
        <f>IFERROR(CT[[#This Row],[Margin/MT]]*CT[[#This Row],[Container Qty]],"")</f>
        <v>0</v>
      </c>
      <c r="AA205" s="7"/>
      <c r="AB205" t="s">
        <v>11</v>
      </c>
      <c r="AC205" s="1" t="s">
        <v>158</v>
      </c>
      <c r="AD205" s="3">
        <v>45861</v>
      </c>
      <c r="AE205" s="14">
        <f t="shared" si="33"/>
        <v>25</v>
      </c>
      <c r="AF205" s="7">
        <v>335</v>
      </c>
      <c r="AG205" s="7">
        <f>CT[[#This Row],[Sales Rate/MT (USD)]]*CT[[#This Row],[SC Qty (MT)]]</f>
        <v>8375</v>
      </c>
      <c r="AH205" s="7" t="str">
        <f>IF(CT[[#This Row],[Container Qty]]&lt;&gt;0,CT[[#This Row],[Sales Rate/MT (USD)]]*CT[[#This Row],[Container Qty]],"")</f>
        <v/>
      </c>
      <c r="AI205" s="7" t="str">
        <f>IF(CT[[#This Row],[Customer Final Price]]&lt;&gt;"",CT[[#This Row],[Customer Final Price]]-CT[[#This Row],[Customer  Prov. Price]],"")</f>
        <v/>
      </c>
      <c r="AJ205" t="s">
        <v>8</v>
      </c>
      <c r="AK205" s="1" t="s">
        <v>159</v>
      </c>
      <c r="AL205" s="1"/>
      <c r="AM205" s="100" t="s">
        <v>134</v>
      </c>
    </row>
    <row r="206" spans="1:39" x14ac:dyDescent="0.25">
      <c r="A206" t="s">
        <v>9</v>
      </c>
      <c r="B206" s="102"/>
      <c r="C206" s="81"/>
      <c r="D206" s="1" t="s">
        <v>67</v>
      </c>
      <c r="F206" s="11"/>
      <c r="G206" s="3"/>
      <c r="H206" s="3"/>
      <c r="I206" s="1"/>
      <c r="J206" s="1"/>
      <c r="K206" s="1"/>
      <c r="L206" s="1"/>
      <c r="M206" s="14">
        <v>25</v>
      </c>
      <c r="N206" s="1"/>
      <c r="O206" s="7"/>
      <c r="P206" s="7">
        <f>CT[[#This Row],[Purchase Rate/MT (USD)]]*CT[[#This Row],[PC Qty (MT)]]</f>
        <v>0</v>
      </c>
      <c r="Q206" s="7">
        <f>CT[[#This Row],[Purchase Rate/MT (USD)]]*CT[[#This Row],[Container Qty]]</f>
        <v>0</v>
      </c>
      <c r="R206" s="7" t="str">
        <f>IF(CT[[#This Row],[BL Number]]&lt;&gt;0,(CT[[#This Row],[Supplier Prov. Price]]-CT[[#This Row],[Supplier Final Price]])*1.2,"")</f>
        <v/>
      </c>
      <c r="S206" s="101"/>
      <c r="T206" s="3"/>
      <c r="U206" s="7"/>
      <c r="V206" s="7"/>
      <c r="W206" s="24"/>
      <c r="X206" s="7">
        <f>IFERROR(CT[[#This Row],[Freight Charges]]+CT[[#This Row],[Inspection Cost/MT]]+CT[[#This Row],[DHL Charges PMT]],"")</f>
        <v>0</v>
      </c>
      <c r="Y206" s="7">
        <f>IFERROR(AF206-(O206+CT[[#This Row],[Cost Per MT]]),"")</f>
        <v>335</v>
      </c>
      <c r="Z206" s="7">
        <f>IFERROR(CT[[#This Row],[Margin/MT]]*CT[[#This Row],[Container Qty]],"")</f>
        <v>0</v>
      </c>
      <c r="AA206" s="7"/>
      <c r="AB206" t="s">
        <v>11</v>
      </c>
      <c r="AC206" s="1" t="s">
        <v>158</v>
      </c>
      <c r="AD206" s="3">
        <v>45861</v>
      </c>
      <c r="AE206" s="14">
        <f t="shared" si="33"/>
        <v>25</v>
      </c>
      <c r="AF206" s="7">
        <v>335</v>
      </c>
      <c r="AG206" s="7">
        <f>CT[[#This Row],[Sales Rate/MT (USD)]]*CT[[#This Row],[SC Qty (MT)]]</f>
        <v>8375</v>
      </c>
      <c r="AH206" s="7" t="str">
        <f>IF(CT[[#This Row],[Container Qty]]&lt;&gt;0,CT[[#This Row],[Sales Rate/MT (USD)]]*CT[[#This Row],[Container Qty]],"")</f>
        <v/>
      </c>
      <c r="AI206" s="7" t="str">
        <f>IF(CT[[#This Row],[Customer Final Price]]&lt;&gt;"",CT[[#This Row],[Customer Final Price]]-CT[[#This Row],[Customer  Prov. Price]],"")</f>
        <v/>
      </c>
      <c r="AJ206" t="s">
        <v>8</v>
      </c>
      <c r="AK206" s="1" t="s">
        <v>159</v>
      </c>
      <c r="AL206" s="1"/>
      <c r="AM206" s="100" t="s">
        <v>134</v>
      </c>
    </row>
    <row r="207" spans="1:39" x14ac:dyDescent="0.25">
      <c r="A207" t="s">
        <v>9</v>
      </c>
      <c r="B207" s="102"/>
      <c r="C207" s="81"/>
      <c r="D207" s="1" t="s">
        <v>67</v>
      </c>
      <c r="F207" s="11"/>
      <c r="G207" s="3"/>
      <c r="H207" s="3"/>
      <c r="I207" s="1"/>
      <c r="J207" s="1"/>
      <c r="K207" s="1"/>
      <c r="L207" s="1"/>
      <c r="M207" s="14">
        <v>25</v>
      </c>
      <c r="N207" s="1"/>
      <c r="O207" s="7"/>
      <c r="P207" s="7">
        <f>CT[[#This Row],[Purchase Rate/MT (USD)]]*CT[[#This Row],[PC Qty (MT)]]</f>
        <v>0</v>
      </c>
      <c r="Q207" s="7">
        <f>CT[[#This Row],[Purchase Rate/MT (USD)]]*CT[[#This Row],[Container Qty]]</f>
        <v>0</v>
      </c>
      <c r="R207" s="7" t="str">
        <f>IF(CT[[#This Row],[BL Number]]&lt;&gt;0,(CT[[#This Row],[Supplier Prov. Price]]-CT[[#This Row],[Supplier Final Price]])*1.2,"")</f>
        <v/>
      </c>
      <c r="S207" s="101"/>
      <c r="T207" s="3"/>
      <c r="U207" s="7"/>
      <c r="V207" s="7"/>
      <c r="W207" s="24"/>
      <c r="X207" s="7">
        <f>IFERROR(CT[[#This Row],[Freight Charges]]+CT[[#This Row],[Inspection Cost/MT]]+CT[[#This Row],[DHL Charges PMT]],"")</f>
        <v>0</v>
      </c>
      <c r="Y207" s="7">
        <f>IFERROR(AF207-(O207+CT[[#This Row],[Cost Per MT]]),"")</f>
        <v>335</v>
      </c>
      <c r="Z207" s="7">
        <f>IFERROR(CT[[#This Row],[Margin/MT]]*CT[[#This Row],[Container Qty]],"")</f>
        <v>0</v>
      </c>
      <c r="AA207" s="7"/>
      <c r="AB207" t="s">
        <v>11</v>
      </c>
      <c r="AC207" s="1" t="s">
        <v>158</v>
      </c>
      <c r="AD207" s="3">
        <v>45861</v>
      </c>
      <c r="AE207" s="14">
        <f t="shared" si="33"/>
        <v>25</v>
      </c>
      <c r="AF207" s="7">
        <v>335</v>
      </c>
      <c r="AG207" s="7">
        <f>CT[[#This Row],[Sales Rate/MT (USD)]]*CT[[#This Row],[SC Qty (MT)]]</f>
        <v>8375</v>
      </c>
      <c r="AH207" s="7" t="str">
        <f>IF(CT[[#This Row],[Container Qty]]&lt;&gt;0,CT[[#This Row],[Sales Rate/MT (USD)]]*CT[[#This Row],[Container Qty]],"")</f>
        <v/>
      </c>
      <c r="AI207" s="7" t="str">
        <f>IF(CT[[#This Row],[Customer Final Price]]&lt;&gt;"",CT[[#This Row],[Customer Final Price]]-CT[[#This Row],[Customer  Prov. Price]],"")</f>
        <v/>
      </c>
      <c r="AJ207" t="s">
        <v>8</v>
      </c>
      <c r="AK207" s="1" t="s">
        <v>159</v>
      </c>
      <c r="AL207" s="1"/>
      <c r="AM207" s="100" t="s">
        <v>134</v>
      </c>
    </row>
    <row r="208" spans="1:39" x14ac:dyDescent="0.25">
      <c r="A208" t="s">
        <v>9</v>
      </c>
      <c r="B208" s="102"/>
      <c r="C208" s="81"/>
      <c r="D208" s="1" t="s">
        <v>67</v>
      </c>
      <c r="F208" s="11"/>
      <c r="G208" s="3"/>
      <c r="H208" s="3"/>
      <c r="I208" s="1"/>
      <c r="J208" s="1"/>
      <c r="K208" s="1"/>
      <c r="L208" s="1"/>
      <c r="M208" s="14">
        <v>25</v>
      </c>
      <c r="N208" s="1"/>
      <c r="O208" s="7"/>
      <c r="P208" s="7">
        <f>CT[[#This Row],[Purchase Rate/MT (USD)]]*CT[[#This Row],[PC Qty (MT)]]</f>
        <v>0</v>
      </c>
      <c r="Q208" s="7">
        <f>CT[[#This Row],[Purchase Rate/MT (USD)]]*CT[[#This Row],[Container Qty]]</f>
        <v>0</v>
      </c>
      <c r="R208" s="7" t="str">
        <f>IF(CT[[#This Row],[BL Number]]&lt;&gt;0,(CT[[#This Row],[Supplier Prov. Price]]-CT[[#This Row],[Supplier Final Price]])*1.2,"")</f>
        <v/>
      </c>
      <c r="S208" s="101"/>
      <c r="T208" s="3"/>
      <c r="U208" s="7"/>
      <c r="V208" s="7"/>
      <c r="W208" s="24"/>
      <c r="X208" s="7">
        <f>IFERROR(CT[[#This Row],[Freight Charges]]+CT[[#This Row],[Inspection Cost/MT]]+CT[[#This Row],[DHL Charges PMT]],"")</f>
        <v>0</v>
      </c>
      <c r="Y208" s="7">
        <f>IFERROR(AF208-(O208+CT[[#This Row],[Cost Per MT]]),"")</f>
        <v>335</v>
      </c>
      <c r="Z208" s="7">
        <f>IFERROR(CT[[#This Row],[Margin/MT]]*CT[[#This Row],[Container Qty]],"")</f>
        <v>0</v>
      </c>
      <c r="AA208" s="7"/>
      <c r="AB208" t="s">
        <v>11</v>
      </c>
      <c r="AC208" s="1" t="s">
        <v>158</v>
      </c>
      <c r="AD208" s="3">
        <v>45861</v>
      </c>
      <c r="AE208" s="14">
        <f t="shared" si="33"/>
        <v>25</v>
      </c>
      <c r="AF208" s="7">
        <v>335</v>
      </c>
      <c r="AG208" s="7">
        <f>CT[[#This Row],[Sales Rate/MT (USD)]]*CT[[#This Row],[SC Qty (MT)]]</f>
        <v>8375</v>
      </c>
      <c r="AH208" s="7" t="str">
        <f>IF(CT[[#This Row],[Container Qty]]&lt;&gt;0,CT[[#This Row],[Sales Rate/MT (USD)]]*CT[[#This Row],[Container Qty]],"")</f>
        <v/>
      </c>
      <c r="AI208" s="7" t="str">
        <f>IF(CT[[#This Row],[Customer Final Price]]&lt;&gt;"",CT[[#This Row],[Customer Final Price]]-CT[[#This Row],[Customer  Prov. Price]],"")</f>
        <v/>
      </c>
      <c r="AJ208" t="s">
        <v>8</v>
      </c>
      <c r="AK208" s="1" t="s">
        <v>159</v>
      </c>
      <c r="AL208" s="1"/>
      <c r="AM208" s="100" t="s">
        <v>134</v>
      </c>
    </row>
    <row r="209" spans="1:39" x14ac:dyDescent="0.25">
      <c r="A209" t="s">
        <v>9</v>
      </c>
      <c r="B209" s="102"/>
      <c r="C209" s="81"/>
      <c r="D209" s="1" t="s">
        <v>67</v>
      </c>
      <c r="F209" s="11"/>
      <c r="G209" s="3"/>
      <c r="H209" s="3"/>
      <c r="I209" s="1"/>
      <c r="J209" s="1"/>
      <c r="K209" s="1"/>
      <c r="L209" s="1"/>
      <c r="M209" s="14">
        <v>25</v>
      </c>
      <c r="N209" s="1"/>
      <c r="O209" s="7"/>
      <c r="P209" s="7">
        <f>CT[[#This Row],[Purchase Rate/MT (USD)]]*CT[[#This Row],[PC Qty (MT)]]</f>
        <v>0</v>
      </c>
      <c r="Q209" s="7">
        <f>CT[[#This Row],[Purchase Rate/MT (USD)]]*CT[[#This Row],[Container Qty]]</f>
        <v>0</v>
      </c>
      <c r="R209" s="7" t="str">
        <f>IF(CT[[#This Row],[BL Number]]&lt;&gt;0,(CT[[#This Row],[Supplier Prov. Price]]-CT[[#This Row],[Supplier Final Price]])*1.2,"")</f>
        <v/>
      </c>
      <c r="S209" s="101"/>
      <c r="T209" s="3"/>
      <c r="U209" s="7"/>
      <c r="V209" s="7"/>
      <c r="W209" s="24"/>
      <c r="X209" s="7">
        <f>IFERROR(CT[[#This Row],[Freight Charges]]+CT[[#This Row],[Inspection Cost/MT]]+CT[[#This Row],[DHL Charges PMT]],"")</f>
        <v>0</v>
      </c>
      <c r="Y209" s="7">
        <f>IFERROR(AF209-(O209+CT[[#This Row],[Cost Per MT]]),"")</f>
        <v>335</v>
      </c>
      <c r="Z209" s="7">
        <f>IFERROR(CT[[#This Row],[Margin/MT]]*CT[[#This Row],[Container Qty]],"")</f>
        <v>0</v>
      </c>
      <c r="AA209" s="7"/>
      <c r="AB209" t="s">
        <v>11</v>
      </c>
      <c r="AC209" s="1" t="s">
        <v>158</v>
      </c>
      <c r="AD209" s="3">
        <v>45861</v>
      </c>
      <c r="AE209" s="14">
        <f t="shared" si="33"/>
        <v>25</v>
      </c>
      <c r="AF209" s="7">
        <v>335</v>
      </c>
      <c r="AG209" s="7">
        <f>CT[[#This Row],[Sales Rate/MT (USD)]]*CT[[#This Row],[SC Qty (MT)]]</f>
        <v>8375</v>
      </c>
      <c r="AH209" s="7" t="str">
        <f>IF(CT[[#This Row],[Container Qty]]&lt;&gt;0,CT[[#This Row],[Sales Rate/MT (USD)]]*CT[[#This Row],[Container Qty]],"")</f>
        <v/>
      </c>
      <c r="AI209" s="7" t="str">
        <f>IF(CT[[#This Row],[Customer Final Price]]&lt;&gt;"",CT[[#This Row],[Customer Final Price]]-CT[[#This Row],[Customer  Prov. Price]],"")</f>
        <v/>
      </c>
      <c r="AJ209" t="s">
        <v>8</v>
      </c>
      <c r="AK209" s="1" t="s">
        <v>159</v>
      </c>
      <c r="AL209" s="1"/>
      <c r="AM209" s="100" t="s">
        <v>134</v>
      </c>
    </row>
    <row r="210" spans="1:39" x14ac:dyDescent="0.25">
      <c r="A210" t="s">
        <v>9</v>
      </c>
      <c r="B210" s="102"/>
      <c r="C210" s="81"/>
      <c r="D210" s="1" t="s">
        <v>67</v>
      </c>
      <c r="F210" s="11"/>
      <c r="G210" s="3"/>
      <c r="H210" s="3"/>
      <c r="I210" s="1"/>
      <c r="J210" s="1"/>
      <c r="K210" s="1"/>
      <c r="L210" s="1"/>
      <c r="M210" s="14">
        <v>25</v>
      </c>
      <c r="N210" s="1"/>
      <c r="O210" s="7"/>
      <c r="P210" s="7">
        <f>CT[[#This Row],[Purchase Rate/MT (USD)]]*CT[[#This Row],[PC Qty (MT)]]</f>
        <v>0</v>
      </c>
      <c r="Q210" s="7">
        <f>CT[[#This Row],[Purchase Rate/MT (USD)]]*CT[[#This Row],[Container Qty]]</f>
        <v>0</v>
      </c>
      <c r="R210" s="7" t="str">
        <f>IF(CT[[#This Row],[BL Number]]&lt;&gt;0,(CT[[#This Row],[Supplier Prov. Price]]-CT[[#This Row],[Supplier Final Price]])*1.2,"")</f>
        <v/>
      </c>
      <c r="S210" s="101"/>
      <c r="T210" s="3"/>
      <c r="U210" s="7"/>
      <c r="V210" s="7"/>
      <c r="W210" s="24"/>
      <c r="X210" s="7">
        <f>IFERROR(CT[[#This Row],[Freight Charges]]+CT[[#This Row],[Inspection Cost/MT]]+CT[[#This Row],[DHL Charges PMT]],"")</f>
        <v>0</v>
      </c>
      <c r="Y210" s="7">
        <f>IFERROR(AF210-(O210+CT[[#This Row],[Cost Per MT]]),"")</f>
        <v>335</v>
      </c>
      <c r="Z210" s="7">
        <f>IFERROR(CT[[#This Row],[Margin/MT]]*CT[[#This Row],[Container Qty]],"")</f>
        <v>0</v>
      </c>
      <c r="AA210" s="7"/>
      <c r="AB210" t="s">
        <v>11</v>
      </c>
      <c r="AC210" s="1" t="s">
        <v>158</v>
      </c>
      <c r="AD210" s="3">
        <v>45861</v>
      </c>
      <c r="AE210" s="14">
        <f t="shared" si="33"/>
        <v>25</v>
      </c>
      <c r="AF210" s="7">
        <v>335</v>
      </c>
      <c r="AG210" s="7">
        <f>CT[[#This Row],[Sales Rate/MT (USD)]]*CT[[#This Row],[SC Qty (MT)]]</f>
        <v>8375</v>
      </c>
      <c r="AH210" s="7" t="str">
        <f>IF(CT[[#This Row],[Container Qty]]&lt;&gt;0,CT[[#This Row],[Sales Rate/MT (USD)]]*CT[[#This Row],[Container Qty]],"")</f>
        <v/>
      </c>
      <c r="AI210" s="7" t="str">
        <f>IF(CT[[#This Row],[Customer Final Price]]&lt;&gt;"",CT[[#This Row],[Customer Final Price]]-CT[[#This Row],[Customer  Prov. Price]],"")</f>
        <v/>
      </c>
      <c r="AJ210" t="s">
        <v>8</v>
      </c>
      <c r="AK210" s="1" t="s">
        <v>159</v>
      </c>
      <c r="AL210" s="1"/>
      <c r="AM210" s="100" t="s">
        <v>134</v>
      </c>
    </row>
    <row r="211" spans="1:39" x14ac:dyDescent="0.25">
      <c r="A211" t="s">
        <v>9</v>
      </c>
      <c r="B211" s="102"/>
      <c r="C211" s="81"/>
      <c r="D211" s="1" t="s">
        <v>67</v>
      </c>
      <c r="F211" s="11"/>
      <c r="G211" s="3"/>
      <c r="H211" s="3"/>
      <c r="I211" s="1"/>
      <c r="J211" s="1"/>
      <c r="K211" s="1"/>
      <c r="L211" s="1"/>
      <c r="M211" s="14">
        <v>25</v>
      </c>
      <c r="N211" s="1"/>
      <c r="O211" s="7"/>
      <c r="P211" s="7">
        <f>CT[[#This Row],[Purchase Rate/MT (USD)]]*CT[[#This Row],[PC Qty (MT)]]</f>
        <v>0</v>
      </c>
      <c r="Q211" s="7">
        <f>CT[[#This Row],[Purchase Rate/MT (USD)]]*CT[[#This Row],[Container Qty]]</f>
        <v>0</v>
      </c>
      <c r="R211" s="7" t="str">
        <f>IF(CT[[#This Row],[BL Number]]&lt;&gt;0,(CT[[#This Row],[Supplier Prov. Price]]-CT[[#This Row],[Supplier Final Price]])*1.2,"")</f>
        <v/>
      </c>
      <c r="S211" s="101"/>
      <c r="T211" s="3"/>
      <c r="U211" s="7"/>
      <c r="V211" s="7"/>
      <c r="W211" s="24"/>
      <c r="X211" s="7">
        <f>IFERROR(CT[[#This Row],[Freight Charges]]+CT[[#This Row],[Inspection Cost/MT]]+CT[[#This Row],[DHL Charges PMT]],"")</f>
        <v>0</v>
      </c>
      <c r="Y211" s="7">
        <f>IFERROR(AF211-(O211+CT[[#This Row],[Cost Per MT]]),"")</f>
        <v>335</v>
      </c>
      <c r="Z211" s="7">
        <f>IFERROR(CT[[#This Row],[Margin/MT]]*CT[[#This Row],[Container Qty]],"")</f>
        <v>0</v>
      </c>
      <c r="AA211" s="7"/>
      <c r="AB211" t="s">
        <v>11</v>
      </c>
      <c r="AC211" s="1" t="s">
        <v>158</v>
      </c>
      <c r="AD211" s="3">
        <v>45861</v>
      </c>
      <c r="AE211" s="14">
        <f t="shared" si="33"/>
        <v>25</v>
      </c>
      <c r="AF211" s="7">
        <v>335</v>
      </c>
      <c r="AG211" s="7">
        <f>CT[[#This Row],[Sales Rate/MT (USD)]]*CT[[#This Row],[SC Qty (MT)]]</f>
        <v>8375</v>
      </c>
      <c r="AH211" s="7" t="str">
        <f>IF(CT[[#This Row],[Container Qty]]&lt;&gt;0,CT[[#This Row],[Sales Rate/MT (USD)]]*CT[[#This Row],[Container Qty]],"")</f>
        <v/>
      </c>
      <c r="AI211" s="7" t="str">
        <f>IF(CT[[#This Row],[Customer Final Price]]&lt;&gt;"",CT[[#This Row],[Customer Final Price]]-CT[[#This Row],[Customer  Prov. Price]],"")</f>
        <v/>
      </c>
      <c r="AJ211" t="s">
        <v>8</v>
      </c>
      <c r="AK211" s="1" t="s">
        <v>159</v>
      </c>
      <c r="AL211" s="1"/>
      <c r="AM211" s="100" t="s">
        <v>134</v>
      </c>
    </row>
    <row r="212" spans="1:39" x14ac:dyDescent="0.25">
      <c r="A212" t="s">
        <v>9</v>
      </c>
      <c r="B212" s="102"/>
      <c r="C212" s="81"/>
      <c r="D212" s="1" t="s">
        <v>67</v>
      </c>
      <c r="F212" s="11"/>
      <c r="G212" s="3"/>
      <c r="H212" s="3"/>
      <c r="I212" s="1"/>
      <c r="J212" s="1"/>
      <c r="K212" s="1"/>
      <c r="L212" s="1"/>
      <c r="M212" s="14">
        <v>25</v>
      </c>
      <c r="N212" s="1"/>
      <c r="O212" s="7"/>
      <c r="P212" s="7">
        <f>CT[[#This Row],[Purchase Rate/MT (USD)]]*CT[[#This Row],[PC Qty (MT)]]</f>
        <v>0</v>
      </c>
      <c r="Q212" s="7">
        <f>CT[[#This Row],[Purchase Rate/MT (USD)]]*CT[[#This Row],[Container Qty]]</f>
        <v>0</v>
      </c>
      <c r="R212" s="7" t="str">
        <f>IF(CT[[#This Row],[BL Number]]&lt;&gt;0,(CT[[#This Row],[Supplier Prov. Price]]-CT[[#This Row],[Supplier Final Price]])*1.2,"")</f>
        <v/>
      </c>
      <c r="S212" s="101"/>
      <c r="T212" s="3"/>
      <c r="U212" s="7"/>
      <c r="V212" s="7"/>
      <c r="W212" s="24"/>
      <c r="X212" s="7">
        <f>IFERROR(CT[[#This Row],[Freight Charges]]+CT[[#This Row],[Inspection Cost/MT]]+CT[[#This Row],[DHL Charges PMT]],"")</f>
        <v>0</v>
      </c>
      <c r="Y212" s="7">
        <f>IFERROR(AF212-(O212+CT[[#This Row],[Cost Per MT]]),"")</f>
        <v>335</v>
      </c>
      <c r="Z212" s="7">
        <f>IFERROR(CT[[#This Row],[Margin/MT]]*CT[[#This Row],[Container Qty]],"")</f>
        <v>0</v>
      </c>
      <c r="AA212" s="7"/>
      <c r="AB212" t="s">
        <v>11</v>
      </c>
      <c r="AC212" s="1" t="s">
        <v>158</v>
      </c>
      <c r="AD212" s="3">
        <v>45861</v>
      </c>
      <c r="AE212" s="14">
        <f t="shared" si="33"/>
        <v>25</v>
      </c>
      <c r="AF212" s="7">
        <v>335</v>
      </c>
      <c r="AG212" s="7">
        <f>CT[[#This Row],[Sales Rate/MT (USD)]]*CT[[#This Row],[SC Qty (MT)]]</f>
        <v>8375</v>
      </c>
      <c r="AH212" s="7" t="str">
        <f>IF(CT[[#This Row],[Container Qty]]&lt;&gt;0,CT[[#This Row],[Sales Rate/MT (USD)]]*CT[[#This Row],[Container Qty]],"")</f>
        <v/>
      </c>
      <c r="AI212" s="7" t="str">
        <f>IF(CT[[#This Row],[Customer Final Price]]&lt;&gt;"",CT[[#This Row],[Customer Final Price]]-CT[[#This Row],[Customer  Prov. Price]],"")</f>
        <v/>
      </c>
      <c r="AJ212" t="s">
        <v>8</v>
      </c>
      <c r="AK212" s="1" t="s">
        <v>159</v>
      </c>
      <c r="AL212" s="1"/>
      <c r="AM212" s="100" t="s">
        <v>134</v>
      </c>
    </row>
    <row r="213" spans="1:39" x14ac:dyDescent="0.25">
      <c r="A213" t="s">
        <v>9</v>
      </c>
      <c r="B213" s="102"/>
      <c r="C213" s="81"/>
      <c r="D213" s="1" t="s">
        <v>67</v>
      </c>
      <c r="F213" s="11"/>
      <c r="G213" s="3"/>
      <c r="H213" s="3"/>
      <c r="I213" s="1"/>
      <c r="J213" s="1"/>
      <c r="K213" s="1"/>
      <c r="L213" s="1"/>
      <c r="M213" s="14">
        <v>25</v>
      </c>
      <c r="N213" s="1"/>
      <c r="O213" s="7"/>
      <c r="P213" s="7">
        <f>CT[[#This Row],[Purchase Rate/MT (USD)]]*CT[[#This Row],[PC Qty (MT)]]</f>
        <v>0</v>
      </c>
      <c r="Q213" s="7">
        <f>CT[[#This Row],[Purchase Rate/MT (USD)]]*CT[[#This Row],[Container Qty]]</f>
        <v>0</v>
      </c>
      <c r="R213" s="7" t="str">
        <f>IF(CT[[#This Row],[BL Number]]&lt;&gt;0,(CT[[#This Row],[Supplier Prov. Price]]-CT[[#This Row],[Supplier Final Price]])*1.2,"")</f>
        <v/>
      </c>
      <c r="S213" s="101"/>
      <c r="T213" s="3"/>
      <c r="U213" s="7"/>
      <c r="V213" s="7"/>
      <c r="W213" s="24"/>
      <c r="X213" s="7">
        <f>IFERROR(CT[[#This Row],[Freight Charges]]+CT[[#This Row],[Inspection Cost/MT]]+CT[[#This Row],[DHL Charges PMT]],"")</f>
        <v>0</v>
      </c>
      <c r="Y213" s="7">
        <f>IFERROR(AF213-(O213+CT[[#This Row],[Cost Per MT]]),"")</f>
        <v>335</v>
      </c>
      <c r="Z213" s="7">
        <f>IFERROR(CT[[#This Row],[Margin/MT]]*CT[[#This Row],[Container Qty]],"")</f>
        <v>0</v>
      </c>
      <c r="AA213" s="7"/>
      <c r="AB213" t="s">
        <v>11</v>
      </c>
      <c r="AC213" s="1" t="s">
        <v>158</v>
      </c>
      <c r="AD213" s="3">
        <v>45861</v>
      </c>
      <c r="AE213" s="14">
        <f t="shared" si="33"/>
        <v>25</v>
      </c>
      <c r="AF213" s="7">
        <v>335</v>
      </c>
      <c r="AG213" s="7">
        <f>CT[[#This Row],[Sales Rate/MT (USD)]]*CT[[#This Row],[SC Qty (MT)]]</f>
        <v>8375</v>
      </c>
      <c r="AH213" s="7" t="str">
        <f>IF(CT[[#This Row],[Container Qty]]&lt;&gt;0,CT[[#This Row],[Sales Rate/MT (USD)]]*CT[[#This Row],[Container Qty]],"")</f>
        <v/>
      </c>
      <c r="AI213" s="7" t="str">
        <f>IF(CT[[#This Row],[Customer Final Price]]&lt;&gt;"",CT[[#This Row],[Customer Final Price]]-CT[[#This Row],[Customer  Prov. Price]],"")</f>
        <v/>
      </c>
      <c r="AJ213" t="s">
        <v>8</v>
      </c>
      <c r="AK213" s="1" t="s">
        <v>159</v>
      </c>
      <c r="AL213" s="1"/>
      <c r="AM213" s="100" t="s">
        <v>134</v>
      </c>
    </row>
    <row r="214" spans="1:39" x14ac:dyDescent="0.25">
      <c r="A214" t="s">
        <v>9</v>
      </c>
      <c r="B214" s="102"/>
      <c r="C214" s="81"/>
      <c r="D214" s="1" t="s">
        <v>67</v>
      </c>
      <c r="F214" s="11"/>
      <c r="G214" s="3"/>
      <c r="H214" s="3"/>
      <c r="I214" s="1"/>
      <c r="J214" s="1"/>
      <c r="K214" s="1"/>
      <c r="L214" s="1"/>
      <c r="M214" s="14">
        <v>25</v>
      </c>
      <c r="N214" s="1"/>
      <c r="O214" s="7"/>
      <c r="P214" s="7">
        <f>CT[[#This Row],[Purchase Rate/MT (USD)]]*CT[[#This Row],[PC Qty (MT)]]</f>
        <v>0</v>
      </c>
      <c r="Q214" s="7">
        <f>CT[[#This Row],[Purchase Rate/MT (USD)]]*CT[[#This Row],[Container Qty]]</f>
        <v>0</v>
      </c>
      <c r="R214" s="7" t="str">
        <f>IF(CT[[#This Row],[BL Number]]&lt;&gt;0,(CT[[#This Row],[Supplier Prov. Price]]-CT[[#This Row],[Supplier Final Price]])*1.2,"")</f>
        <v/>
      </c>
      <c r="S214" s="101"/>
      <c r="T214" s="3"/>
      <c r="U214" s="7"/>
      <c r="V214" s="7"/>
      <c r="W214" s="24"/>
      <c r="X214" s="7">
        <f>IFERROR(CT[[#This Row],[Freight Charges]]+CT[[#This Row],[Inspection Cost/MT]]+CT[[#This Row],[DHL Charges PMT]],"")</f>
        <v>0</v>
      </c>
      <c r="Y214" s="7">
        <f>IFERROR(AF214-(O214+CT[[#This Row],[Cost Per MT]]),"")</f>
        <v>335</v>
      </c>
      <c r="Z214" s="7">
        <f>IFERROR(CT[[#This Row],[Margin/MT]]*CT[[#This Row],[Container Qty]],"")</f>
        <v>0</v>
      </c>
      <c r="AA214" s="7"/>
      <c r="AB214" t="s">
        <v>11</v>
      </c>
      <c r="AC214" s="1" t="s">
        <v>158</v>
      </c>
      <c r="AD214" s="3">
        <v>45861</v>
      </c>
      <c r="AE214" s="14">
        <f t="shared" si="33"/>
        <v>25</v>
      </c>
      <c r="AF214" s="7">
        <v>335</v>
      </c>
      <c r="AG214" s="7">
        <f>CT[[#This Row],[Sales Rate/MT (USD)]]*CT[[#This Row],[SC Qty (MT)]]</f>
        <v>8375</v>
      </c>
      <c r="AH214" s="7" t="str">
        <f>IF(CT[[#This Row],[Container Qty]]&lt;&gt;0,CT[[#This Row],[Sales Rate/MT (USD)]]*CT[[#This Row],[Container Qty]],"")</f>
        <v/>
      </c>
      <c r="AI214" s="7" t="str">
        <f>IF(CT[[#This Row],[Customer Final Price]]&lt;&gt;"",CT[[#This Row],[Customer Final Price]]-CT[[#This Row],[Customer  Prov. Price]],"")</f>
        <v/>
      </c>
      <c r="AJ214" t="s">
        <v>8</v>
      </c>
      <c r="AK214" s="1" t="s">
        <v>159</v>
      </c>
      <c r="AL214" s="1"/>
      <c r="AM214" s="100" t="s">
        <v>134</v>
      </c>
    </row>
    <row r="215" spans="1:39" x14ac:dyDescent="0.25">
      <c r="A215" t="s">
        <v>9</v>
      </c>
      <c r="B215" s="102"/>
      <c r="C215" s="81"/>
      <c r="D215" s="1" t="s">
        <v>67</v>
      </c>
      <c r="F215" s="11"/>
      <c r="G215" s="3"/>
      <c r="H215" s="3"/>
      <c r="I215" s="1"/>
      <c r="J215" s="1"/>
      <c r="K215" s="1"/>
      <c r="L215" s="1"/>
      <c r="M215" s="14">
        <v>25</v>
      </c>
      <c r="N215" s="1"/>
      <c r="O215" s="7"/>
      <c r="P215" s="7">
        <f>CT[[#This Row],[Purchase Rate/MT (USD)]]*CT[[#This Row],[PC Qty (MT)]]</f>
        <v>0</v>
      </c>
      <c r="Q215" s="7">
        <f>CT[[#This Row],[Purchase Rate/MT (USD)]]*CT[[#This Row],[Container Qty]]</f>
        <v>0</v>
      </c>
      <c r="R215" s="7" t="str">
        <f>IF(CT[[#This Row],[BL Number]]&lt;&gt;0,(CT[[#This Row],[Supplier Prov. Price]]-CT[[#This Row],[Supplier Final Price]])*1.2,"")</f>
        <v/>
      </c>
      <c r="S215" s="101"/>
      <c r="T215" s="3"/>
      <c r="U215" s="7"/>
      <c r="V215" s="7"/>
      <c r="W215" s="24"/>
      <c r="X215" s="7">
        <f>IFERROR(CT[[#This Row],[Freight Charges]]+CT[[#This Row],[Inspection Cost/MT]]+CT[[#This Row],[DHL Charges PMT]],"")</f>
        <v>0</v>
      </c>
      <c r="Y215" s="7">
        <f>IFERROR(AF215-(O215+CT[[#This Row],[Cost Per MT]]),"")</f>
        <v>335</v>
      </c>
      <c r="Z215" s="7">
        <f>IFERROR(CT[[#This Row],[Margin/MT]]*CT[[#This Row],[Container Qty]],"")</f>
        <v>0</v>
      </c>
      <c r="AA215" s="7"/>
      <c r="AB215" t="s">
        <v>11</v>
      </c>
      <c r="AC215" s="1" t="s">
        <v>158</v>
      </c>
      <c r="AD215" s="3">
        <v>45861</v>
      </c>
      <c r="AE215" s="14">
        <f t="shared" si="33"/>
        <v>25</v>
      </c>
      <c r="AF215" s="7">
        <v>335</v>
      </c>
      <c r="AG215" s="7">
        <f>CT[[#This Row],[Sales Rate/MT (USD)]]*CT[[#This Row],[SC Qty (MT)]]</f>
        <v>8375</v>
      </c>
      <c r="AH215" s="7" t="str">
        <f>IF(CT[[#This Row],[Container Qty]]&lt;&gt;0,CT[[#This Row],[Sales Rate/MT (USD)]]*CT[[#This Row],[Container Qty]],"")</f>
        <v/>
      </c>
      <c r="AI215" s="7" t="str">
        <f>IF(CT[[#This Row],[Customer Final Price]]&lt;&gt;"",CT[[#This Row],[Customer Final Price]]-CT[[#This Row],[Customer  Prov. Price]],"")</f>
        <v/>
      </c>
      <c r="AJ215" t="s">
        <v>8</v>
      </c>
      <c r="AK215" s="1" t="s">
        <v>159</v>
      </c>
      <c r="AL215" s="1"/>
      <c r="AM215" s="100" t="s">
        <v>134</v>
      </c>
    </row>
    <row r="216" spans="1:39" x14ac:dyDescent="0.25">
      <c r="A216" t="s">
        <v>9</v>
      </c>
      <c r="B216" s="102"/>
      <c r="C216" s="81"/>
      <c r="D216" s="1" t="s">
        <v>67</v>
      </c>
      <c r="F216" s="11"/>
      <c r="G216" s="3"/>
      <c r="H216" s="3"/>
      <c r="I216" s="1"/>
      <c r="J216" s="1"/>
      <c r="K216" s="1"/>
      <c r="L216" s="1"/>
      <c r="M216" s="14">
        <v>25</v>
      </c>
      <c r="N216" s="1"/>
      <c r="O216" s="7"/>
      <c r="P216" s="7">
        <f>CT[[#This Row],[Purchase Rate/MT (USD)]]*CT[[#This Row],[PC Qty (MT)]]</f>
        <v>0</v>
      </c>
      <c r="Q216" s="7">
        <f>CT[[#This Row],[Purchase Rate/MT (USD)]]*CT[[#This Row],[Container Qty]]</f>
        <v>0</v>
      </c>
      <c r="R216" s="7" t="str">
        <f>IF(CT[[#This Row],[BL Number]]&lt;&gt;0,(CT[[#This Row],[Supplier Prov. Price]]-CT[[#This Row],[Supplier Final Price]])*1.2,"")</f>
        <v/>
      </c>
      <c r="S216" s="101"/>
      <c r="T216" s="3"/>
      <c r="U216" s="7"/>
      <c r="V216" s="7"/>
      <c r="W216" s="24"/>
      <c r="X216" s="7">
        <f>IFERROR(CT[[#This Row],[Freight Charges]]+CT[[#This Row],[Inspection Cost/MT]]+CT[[#This Row],[DHL Charges PMT]],"")</f>
        <v>0</v>
      </c>
      <c r="Y216" s="7">
        <f>IFERROR(AF216-(O216+CT[[#This Row],[Cost Per MT]]),"")</f>
        <v>335</v>
      </c>
      <c r="Z216" s="7">
        <f>IFERROR(CT[[#This Row],[Margin/MT]]*CT[[#This Row],[Container Qty]],"")</f>
        <v>0</v>
      </c>
      <c r="AA216" s="7"/>
      <c r="AB216" t="s">
        <v>11</v>
      </c>
      <c r="AC216" s="1" t="s">
        <v>158</v>
      </c>
      <c r="AD216" s="3">
        <v>45861</v>
      </c>
      <c r="AE216" s="14">
        <f t="shared" si="33"/>
        <v>25</v>
      </c>
      <c r="AF216" s="7">
        <v>335</v>
      </c>
      <c r="AG216" s="7">
        <f>CT[[#This Row],[Sales Rate/MT (USD)]]*CT[[#This Row],[SC Qty (MT)]]</f>
        <v>8375</v>
      </c>
      <c r="AH216" s="7" t="str">
        <f>IF(CT[[#This Row],[Container Qty]]&lt;&gt;0,CT[[#This Row],[Sales Rate/MT (USD)]]*CT[[#This Row],[Container Qty]],"")</f>
        <v/>
      </c>
      <c r="AI216" s="7" t="str">
        <f>IF(CT[[#This Row],[Customer Final Price]]&lt;&gt;"",CT[[#This Row],[Customer Final Price]]-CT[[#This Row],[Customer  Prov. Price]],"")</f>
        <v/>
      </c>
      <c r="AJ216" t="s">
        <v>8</v>
      </c>
      <c r="AK216" s="1" t="s">
        <v>159</v>
      </c>
      <c r="AL216" s="1"/>
      <c r="AM216" s="100" t="s">
        <v>134</v>
      </c>
    </row>
    <row r="217" spans="1:39" x14ac:dyDescent="0.25">
      <c r="A217" t="s">
        <v>9</v>
      </c>
      <c r="B217" s="102"/>
      <c r="C217" s="81"/>
      <c r="D217" s="1" t="s">
        <v>67</v>
      </c>
      <c r="F217" s="11"/>
      <c r="G217" s="3"/>
      <c r="H217" s="3"/>
      <c r="I217" s="1"/>
      <c r="J217" s="1"/>
      <c r="K217" s="1"/>
      <c r="L217" s="1"/>
      <c r="M217" s="14">
        <v>25</v>
      </c>
      <c r="N217" s="1"/>
      <c r="O217" s="7"/>
      <c r="P217" s="7">
        <f>CT[[#This Row],[Purchase Rate/MT (USD)]]*CT[[#This Row],[PC Qty (MT)]]</f>
        <v>0</v>
      </c>
      <c r="Q217" s="7">
        <f>CT[[#This Row],[Purchase Rate/MT (USD)]]*CT[[#This Row],[Container Qty]]</f>
        <v>0</v>
      </c>
      <c r="R217" s="7" t="str">
        <f>IF(CT[[#This Row],[BL Number]]&lt;&gt;0,(CT[[#This Row],[Supplier Prov. Price]]-CT[[#This Row],[Supplier Final Price]])*1.2,"")</f>
        <v/>
      </c>
      <c r="S217" s="101"/>
      <c r="T217" s="3"/>
      <c r="U217" s="7"/>
      <c r="V217" s="7"/>
      <c r="W217" s="24"/>
      <c r="X217" s="7">
        <f>IFERROR(CT[[#This Row],[Freight Charges]]+CT[[#This Row],[Inspection Cost/MT]]+CT[[#This Row],[DHL Charges PMT]],"")</f>
        <v>0</v>
      </c>
      <c r="Y217" s="7">
        <f>IFERROR(AF217-(O217+CT[[#This Row],[Cost Per MT]]),"")</f>
        <v>335</v>
      </c>
      <c r="Z217" s="7">
        <f>IFERROR(CT[[#This Row],[Margin/MT]]*CT[[#This Row],[Container Qty]],"")</f>
        <v>0</v>
      </c>
      <c r="AA217" s="7"/>
      <c r="AB217" t="s">
        <v>11</v>
      </c>
      <c r="AC217" s="1" t="s">
        <v>158</v>
      </c>
      <c r="AD217" s="3">
        <v>45861</v>
      </c>
      <c r="AE217" s="14">
        <f t="shared" si="33"/>
        <v>25</v>
      </c>
      <c r="AF217" s="7">
        <v>335</v>
      </c>
      <c r="AG217" s="7">
        <f>CT[[#This Row],[Sales Rate/MT (USD)]]*CT[[#This Row],[SC Qty (MT)]]</f>
        <v>8375</v>
      </c>
      <c r="AH217" s="7" t="str">
        <f>IF(CT[[#This Row],[Container Qty]]&lt;&gt;0,CT[[#This Row],[Sales Rate/MT (USD)]]*CT[[#This Row],[Container Qty]],"")</f>
        <v/>
      </c>
      <c r="AI217" s="7" t="str">
        <f>IF(CT[[#This Row],[Customer Final Price]]&lt;&gt;"",CT[[#This Row],[Customer Final Price]]-CT[[#This Row],[Customer  Prov. Price]],"")</f>
        <v/>
      </c>
      <c r="AJ217" t="s">
        <v>8</v>
      </c>
      <c r="AK217" s="1" t="s">
        <v>159</v>
      </c>
      <c r="AL217" s="1"/>
      <c r="AM217" s="100" t="s">
        <v>134</v>
      </c>
    </row>
    <row r="218" spans="1:39" x14ac:dyDescent="0.25">
      <c r="A218" t="s">
        <v>9</v>
      </c>
      <c r="B218" s="102"/>
      <c r="C218" s="81"/>
      <c r="D218" s="1" t="s">
        <v>67</v>
      </c>
      <c r="F218" s="11"/>
      <c r="G218" s="3"/>
      <c r="H218" s="3"/>
      <c r="I218" s="1"/>
      <c r="J218" s="1"/>
      <c r="K218" s="1"/>
      <c r="L218" s="1"/>
      <c r="M218" s="14">
        <v>25</v>
      </c>
      <c r="N218" s="1"/>
      <c r="O218" s="7"/>
      <c r="P218" s="7">
        <f>CT[[#This Row],[Purchase Rate/MT (USD)]]*CT[[#This Row],[PC Qty (MT)]]</f>
        <v>0</v>
      </c>
      <c r="Q218" s="7">
        <f>CT[[#This Row],[Purchase Rate/MT (USD)]]*CT[[#This Row],[Container Qty]]</f>
        <v>0</v>
      </c>
      <c r="R218" s="7" t="str">
        <f>IF(CT[[#This Row],[BL Number]]&lt;&gt;0,(CT[[#This Row],[Supplier Prov. Price]]-CT[[#This Row],[Supplier Final Price]])*1.2,"")</f>
        <v/>
      </c>
      <c r="S218" s="101"/>
      <c r="T218" s="3"/>
      <c r="U218" s="7"/>
      <c r="V218" s="7"/>
      <c r="W218" s="24"/>
      <c r="X218" s="7">
        <f>IFERROR(CT[[#This Row],[Freight Charges]]+CT[[#This Row],[Inspection Cost/MT]]+CT[[#This Row],[DHL Charges PMT]],"")</f>
        <v>0</v>
      </c>
      <c r="Y218" s="7">
        <f>IFERROR(AF218-(O218+CT[[#This Row],[Cost Per MT]]),"")</f>
        <v>335</v>
      </c>
      <c r="Z218" s="7">
        <f>IFERROR(CT[[#This Row],[Margin/MT]]*CT[[#This Row],[Container Qty]],"")</f>
        <v>0</v>
      </c>
      <c r="AA218" s="7"/>
      <c r="AB218" t="s">
        <v>11</v>
      </c>
      <c r="AC218" s="1" t="s">
        <v>158</v>
      </c>
      <c r="AD218" s="3">
        <v>45861</v>
      </c>
      <c r="AE218" s="14">
        <f t="shared" si="33"/>
        <v>25</v>
      </c>
      <c r="AF218" s="7">
        <v>335</v>
      </c>
      <c r="AG218" s="7">
        <f>CT[[#This Row],[Sales Rate/MT (USD)]]*CT[[#This Row],[SC Qty (MT)]]</f>
        <v>8375</v>
      </c>
      <c r="AH218" s="7" t="str">
        <f>IF(CT[[#This Row],[Container Qty]]&lt;&gt;0,CT[[#This Row],[Sales Rate/MT (USD)]]*CT[[#This Row],[Container Qty]],"")</f>
        <v/>
      </c>
      <c r="AI218" s="7" t="str">
        <f>IF(CT[[#This Row],[Customer Final Price]]&lt;&gt;"",CT[[#This Row],[Customer Final Price]]-CT[[#This Row],[Customer  Prov. Price]],"")</f>
        <v/>
      </c>
      <c r="AJ218" t="s">
        <v>8</v>
      </c>
      <c r="AK218" s="1" t="s">
        <v>159</v>
      </c>
      <c r="AL218" s="1"/>
      <c r="AM218" s="100" t="s">
        <v>134</v>
      </c>
    </row>
    <row r="219" spans="1:39" x14ac:dyDescent="0.25">
      <c r="A219" t="s">
        <v>9</v>
      </c>
      <c r="B219" s="102"/>
      <c r="C219" s="81"/>
      <c r="D219" s="1" t="s">
        <v>67</v>
      </c>
      <c r="F219" s="11"/>
      <c r="G219" s="3"/>
      <c r="H219" s="3"/>
      <c r="I219" s="1"/>
      <c r="J219" s="1"/>
      <c r="K219" s="1"/>
      <c r="L219" s="1"/>
      <c r="M219" s="14">
        <v>25</v>
      </c>
      <c r="N219" s="1"/>
      <c r="O219" s="7"/>
      <c r="P219" s="7">
        <f>CT[[#This Row],[Purchase Rate/MT (USD)]]*CT[[#This Row],[PC Qty (MT)]]</f>
        <v>0</v>
      </c>
      <c r="Q219" s="7">
        <f>CT[[#This Row],[Purchase Rate/MT (USD)]]*CT[[#This Row],[Container Qty]]</f>
        <v>0</v>
      </c>
      <c r="R219" s="7" t="str">
        <f>IF(CT[[#This Row],[BL Number]]&lt;&gt;0,(CT[[#This Row],[Supplier Prov. Price]]-CT[[#This Row],[Supplier Final Price]])*1.2,"")</f>
        <v/>
      </c>
      <c r="S219" s="101"/>
      <c r="T219" s="3"/>
      <c r="U219" s="7"/>
      <c r="V219" s="7"/>
      <c r="W219" s="24"/>
      <c r="X219" s="7">
        <f>IFERROR(CT[[#This Row],[Freight Charges]]+CT[[#This Row],[Inspection Cost/MT]]+CT[[#This Row],[DHL Charges PMT]],"")</f>
        <v>0</v>
      </c>
      <c r="Y219" s="7">
        <f>IFERROR(AF219-(O219+CT[[#This Row],[Cost Per MT]]),"")</f>
        <v>335</v>
      </c>
      <c r="Z219" s="7">
        <f>IFERROR(CT[[#This Row],[Margin/MT]]*CT[[#This Row],[Container Qty]],"")</f>
        <v>0</v>
      </c>
      <c r="AA219" s="7"/>
      <c r="AB219" t="s">
        <v>11</v>
      </c>
      <c r="AC219" s="1" t="s">
        <v>158</v>
      </c>
      <c r="AD219" s="3">
        <v>45861</v>
      </c>
      <c r="AE219" s="14">
        <f t="shared" si="33"/>
        <v>25</v>
      </c>
      <c r="AF219" s="7">
        <v>335</v>
      </c>
      <c r="AG219" s="7">
        <f>CT[[#This Row],[Sales Rate/MT (USD)]]*CT[[#This Row],[SC Qty (MT)]]</f>
        <v>8375</v>
      </c>
      <c r="AH219" s="7" t="str">
        <f>IF(CT[[#This Row],[Container Qty]]&lt;&gt;0,CT[[#This Row],[Sales Rate/MT (USD)]]*CT[[#This Row],[Container Qty]],"")</f>
        <v/>
      </c>
      <c r="AI219" s="7" t="str">
        <f>IF(CT[[#This Row],[Customer Final Price]]&lt;&gt;"",CT[[#This Row],[Customer Final Price]]-CT[[#This Row],[Customer  Prov. Price]],"")</f>
        <v/>
      </c>
      <c r="AJ219" t="s">
        <v>8</v>
      </c>
      <c r="AK219" s="1" t="s">
        <v>159</v>
      </c>
      <c r="AL219" s="1"/>
      <c r="AM219" s="100" t="s">
        <v>134</v>
      </c>
    </row>
    <row r="220" spans="1:39" x14ac:dyDescent="0.25">
      <c r="A220" t="s">
        <v>9</v>
      </c>
      <c r="B220" s="102"/>
      <c r="C220" s="81"/>
      <c r="D220" s="1" t="s">
        <v>67</v>
      </c>
      <c r="F220" s="11"/>
      <c r="G220" s="3"/>
      <c r="H220" s="3"/>
      <c r="I220" s="1"/>
      <c r="J220" s="1"/>
      <c r="K220" s="1"/>
      <c r="L220" s="1"/>
      <c r="M220" s="14">
        <v>25</v>
      </c>
      <c r="N220" s="1"/>
      <c r="O220" s="7"/>
      <c r="P220" s="7">
        <f>CT[[#This Row],[Purchase Rate/MT (USD)]]*CT[[#This Row],[PC Qty (MT)]]</f>
        <v>0</v>
      </c>
      <c r="Q220" s="7">
        <f>CT[[#This Row],[Purchase Rate/MT (USD)]]*CT[[#This Row],[Container Qty]]</f>
        <v>0</v>
      </c>
      <c r="R220" s="7" t="str">
        <f>IF(CT[[#This Row],[BL Number]]&lt;&gt;0,(CT[[#This Row],[Supplier Prov. Price]]-CT[[#This Row],[Supplier Final Price]])*1.2,"")</f>
        <v/>
      </c>
      <c r="S220" s="101"/>
      <c r="T220" s="3"/>
      <c r="U220" s="7"/>
      <c r="V220" s="7"/>
      <c r="W220" s="24"/>
      <c r="X220" s="7">
        <f>IFERROR(CT[[#This Row],[Freight Charges]]+CT[[#This Row],[Inspection Cost/MT]]+CT[[#This Row],[DHL Charges PMT]],"")</f>
        <v>0</v>
      </c>
      <c r="Y220" s="7">
        <f>IFERROR(AF220-(O220+CT[[#This Row],[Cost Per MT]]),"")</f>
        <v>335</v>
      </c>
      <c r="Z220" s="7">
        <f>IFERROR(CT[[#This Row],[Margin/MT]]*CT[[#This Row],[Container Qty]],"")</f>
        <v>0</v>
      </c>
      <c r="AA220" s="7"/>
      <c r="AB220" t="s">
        <v>11</v>
      </c>
      <c r="AC220" s="1" t="s">
        <v>158</v>
      </c>
      <c r="AD220" s="3">
        <v>45861</v>
      </c>
      <c r="AE220" s="14">
        <f t="shared" si="33"/>
        <v>25</v>
      </c>
      <c r="AF220" s="7">
        <v>335</v>
      </c>
      <c r="AG220" s="7">
        <f>CT[[#This Row],[Sales Rate/MT (USD)]]*CT[[#This Row],[SC Qty (MT)]]</f>
        <v>8375</v>
      </c>
      <c r="AH220" s="7" t="str">
        <f>IF(CT[[#This Row],[Container Qty]]&lt;&gt;0,CT[[#This Row],[Sales Rate/MT (USD)]]*CT[[#This Row],[Container Qty]],"")</f>
        <v/>
      </c>
      <c r="AI220" s="7" t="str">
        <f>IF(CT[[#This Row],[Customer Final Price]]&lt;&gt;"",CT[[#This Row],[Customer Final Price]]-CT[[#This Row],[Customer  Prov. Price]],"")</f>
        <v/>
      </c>
      <c r="AJ220" t="s">
        <v>8</v>
      </c>
      <c r="AK220" s="1" t="s">
        <v>159</v>
      </c>
      <c r="AL220" s="1"/>
      <c r="AM220" s="100" t="s">
        <v>134</v>
      </c>
    </row>
    <row r="221" spans="1:39" x14ac:dyDescent="0.25">
      <c r="A221" t="s">
        <v>9</v>
      </c>
      <c r="B221" s="102"/>
      <c r="C221" s="81"/>
      <c r="D221" s="1" t="s">
        <v>67</v>
      </c>
      <c r="F221" s="11"/>
      <c r="G221" s="3"/>
      <c r="H221" s="3"/>
      <c r="I221" s="1"/>
      <c r="J221" s="1"/>
      <c r="K221" s="1"/>
      <c r="L221" s="1"/>
      <c r="M221" s="14">
        <v>25</v>
      </c>
      <c r="N221" s="1"/>
      <c r="O221" s="7"/>
      <c r="P221" s="7">
        <f>CT[[#This Row],[Purchase Rate/MT (USD)]]*CT[[#This Row],[PC Qty (MT)]]</f>
        <v>0</v>
      </c>
      <c r="Q221" s="7">
        <f>CT[[#This Row],[Purchase Rate/MT (USD)]]*CT[[#This Row],[Container Qty]]</f>
        <v>0</v>
      </c>
      <c r="R221" s="7" t="str">
        <f>IF(CT[[#This Row],[BL Number]]&lt;&gt;0,(CT[[#This Row],[Supplier Prov. Price]]-CT[[#This Row],[Supplier Final Price]])*1.2,"")</f>
        <v/>
      </c>
      <c r="S221" s="101"/>
      <c r="T221" s="3"/>
      <c r="U221" s="7"/>
      <c r="V221" s="7"/>
      <c r="W221" s="24"/>
      <c r="X221" s="7">
        <f>IFERROR(CT[[#This Row],[Freight Charges]]+CT[[#This Row],[Inspection Cost/MT]]+CT[[#This Row],[DHL Charges PMT]],"")</f>
        <v>0</v>
      </c>
      <c r="Y221" s="7">
        <f>IFERROR(AF221-(O221+CT[[#This Row],[Cost Per MT]]),"")</f>
        <v>335</v>
      </c>
      <c r="Z221" s="7">
        <f>IFERROR(CT[[#This Row],[Margin/MT]]*CT[[#This Row],[Container Qty]],"")</f>
        <v>0</v>
      </c>
      <c r="AA221" s="7"/>
      <c r="AB221" t="s">
        <v>11</v>
      </c>
      <c r="AC221" s="1" t="s">
        <v>158</v>
      </c>
      <c r="AD221" s="3">
        <v>45861</v>
      </c>
      <c r="AE221" s="14">
        <f t="shared" si="33"/>
        <v>25</v>
      </c>
      <c r="AF221" s="7">
        <v>335</v>
      </c>
      <c r="AG221" s="7">
        <f>CT[[#This Row],[Sales Rate/MT (USD)]]*CT[[#This Row],[SC Qty (MT)]]</f>
        <v>8375</v>
      </c>
      <c r="AH221" s="7" t="str">
        <f>IF(CT[[#This Row],[Container Qty]]&lt;&gt;0,CT[[#This Row],[Sales Rate/MT (USD)]]*CT[[#This Row],[Container Qty]],"")</f>
        <v/>
      </c>
      <c r="AI221" s="7" t="str">
        <f>IF(CT[[#This Row],[Customer Final Price]]&lt;&gt;"",CT[[#This Row],[Customer Final Price]]-CT[[#This Row],[Customer  Prov. Price]],"")</f>
        <v/>
      </c>
      <c r="AJ221" t="s">
        <v>8</v>
      </c>
      <c r="AK221" s="1" t="s">
        <v>159</v>
      </c>
      <c r="AL221" s="1"/>
      <c r="AM221" s="100" t="s">
        <v>134</v>
      </c>
    </row>
    <row r="222" spans="1:39" x14ac:dyDescent="0.25">
      <c r="A222" t="s">
        <v>9</v>
      </c>
      <c r="B222" s="102"/>
      <c r="C222" s="81"/>
      <c r="D222" s="1" t="s">
        <v>67</v>
      </c>
      <c r="F222" s="11"/>
      <c r="G222" s="3"/>
      <c r="H222" s="3"/>
      <c r="I222" s="1"/>
      <c r="J222" s="1"/>
      <c r="K222" s="1"/>
      <c r="L222" s="1"/>
      <c r="M222" s="14">
        <v>25</v>
      </c>
      <c r="N222" s="1"/>
      <c r="O222" s="7"/>
      <c r="P222" s="7">
        <f>CT[[#This Row],[Purchase Rate/MT (USD)]]*CT[[#This Row],[PC Qty (MT)]]</f>
        <v>0</v>
      </c>
      <c r="Q222" s="7">
        <f>CT[[#This Row],[Purchase Rate/MT (USD)]]*CT[[#This Row],[Container Qty]]</f>
        <v>0</v>
      </c>
      <c r="R222" s="7" t="str">
        <f>IF(CT[[#This Row],[BL Number]]&lt;&gt;0,(CT[[#This Row],[Supplier Prov. Price]]-CT[[#This Row],[Supplier Final Price]])*1.2,"")</f>
        <v/>
      </c>
      <c r="S222" s="101"/>
      <c r="T222" s="3"/>
      <c r="U222" s="7"/>
      <c r="V222" s="7"/>
      <c r="W222" s="24"/>
      <c r="X222" s="7">
        <f>IFERROR(CT[[#This Row],[Freight Charges]]+CT[[#This Row],[Inspection Cost/MT]]+CT[[#This Row],[DHL Charges PMT]],"")</f>
        <v>0</v>
      </c>
      <c r="Y222" s="7">
        <f>IFERROR(AF222-(O222+CT[[#This Row],[Cost Per MT]]),"")</f>
        <v>335</v>
      </c>
      <c r="Z222" s="7">
        <f>IFERROR(CT[[#This Row],[Margin/MT]]*CT[[#This Row],[Container Qty]],"")</f>
        <v>0</v>
      </c>
      <c r="AA222" s="7"/>
      <c r="AB222" t="s">
        <v>11</v>
      </c>
      <c r="AC222" s="1" t="s">
        <v>158</v>
      </c>
      <c r="AD222" s="3">
        <v>45861</v>
      </c>
      <c r="AE222" s="14">
        <f t="shared" si="33"/>
        <v>25</v>
      </c>
      <c r="AF222" s="7">
        <v>335</v>
      </c>
      <c r="AG222" s="7">
        <f>CT[[#This Row],[Sales Rate/MT (USD)]]*CT[[#This Row],[SC Qty (MT)]]</f>
        <v>8375</v>
      </c>
      <c r="AH222" s="7" t="str">
        <f>IF(CT[[#This Row],[Container Qty]]&lt;&gt;0,CT[[#This Row],[Sales Rate/MT (USD)]]*CT[[#This Row],[Container Qty]],"")</f>
        <v/>
      </c>
      <c r="AI222" s="7" t="str">
        <f>IF(CT[[#This Row],[Customer Final Price]]&lt;&gt;"",CT[[#This Row],[Customer Final Price]]-CT[[#This Row],[Customer  Prov. Price]],"")</f>
        <v/>
      </c>
      <c r="AJ222" t="s">
        <v>8</v>
      </c>
      <c r="AK222" s="1" t="s">
        <v>159</v>
      </c>
      <c r="AL222" s="1"/>
      <c r="AM222" s="100" t="s">
        <v>134</v>
      </c>
    </row>
    <row r="223" spans="1:39" x14ac:dyDescent="0.25">
      <c r="A223" t="s">
        <v>9</v>
      </c>
      <c r="B223" s="102"/>
      <c r="C223" s="81"/>
      <c r="D223" s="1" t="s">
        <v>67</v>
      </c>
      <c r="F223" s="11"/>
      <c r="G223" s="3"/>
      <c r="H223" s="3"/>
      <c r="I223" s="1"/>
      <c r="J223" s="1"/>
      <c r="K223" s="1"/>
      <c r="L223" s="1"/>
      <c r="M223" s="14">
        <v>25</v>
      </c>
      <c r="N223" s="1"/>
      <c r="O223" s="7"/>
      <c r="P223" s="7">
        <f>CT[[#This Row],[Purchase Rate/MT (USD)]]*CT[[#This Row],[PC Qty (MT)]]</f>
        <v>0</v>
      </c>
      <c r="Q223" s="7">
        <f>CT[[#This Row],[Purchase Rate/MT (USD)]]*CT[[#This Row],[Container Qty]]</f>
        <v>0</v>
      </c>
      <c r="R223" s="7" t="str">
        <f>IF(CT[[#This Row],[BL Number]]&lt;&gt;0,(CT[[#This Row],[Supplier Prov. Price]]-CT[[#This Row],[Supplier Final Price]])*1.2,"")</f>
        <v/>
      </c>
      <c r="S223" s="101"/>
      <c r="T223" s="3"/>
      <c r="U223" s="7"/>
      <c r="V223" s="7"/>
      <c r="W223" s="24"/>
      <c r="X223" s="7">
        <f>IFERROR(CT[[#This Row],[Freight Charges]]+CT[[#This Row],[Inspection Cost/MT]]+CT[[#This Row],[DHL Charges PMT]],"")</f>
        <v>0</v>
      </c>
      <c r="Y223" s="7">
        <f>IFERROR(AF223-(O223+CT[[#This Row],[Cost Per MT]]),"")</f>
        <v>335</v>
      </c>
      <c r="Z223" s="7">
        <f>IFERROR(CT[[#This Row],[Margin/MT]]*CT[[#This Row],[Container Qty]],"")</f>
        <v>0</v>
      </c>
      <c r="AA223" s="7"/>
      <c r="AB223" t="s">
        <v>11</v>
      </c>
      <c r="AC223" s="1" t="s">
        <v>158</v>
      </c>
      <c r="AD223" s="3">
        <v>45861</v>
      </c>
      <c r="AE223" s="14">
        <f t="shared" si="33"/>
        <v>25</v>
      </c>
      <c r="AF223" s="7">
        <v>335</v>
      </c>
      <c r="AG223" s="7">
        <f>CT[[#This Row],[Sales Rate/MT (USD)]]*CT[[#This Row],[SC Qty (MT)]]</f>
        <v>8375</v>
      </c>
      <c r="AH223" s="7" t="str">
        <f>IF(CT[[#This Row],[Container Qty]]&lt;&gt;0,CT[[#This Row],[Sales Rate/MT (USD)]]*CT[[#This Row],[Container Qty]],"")</f>
        <v/>
      </c>
      <c r="AI223" s="7" t="str">
        <f>IF(CT[[#This Row],[Customer Final Price]]&lt;&gt;"",CT[[#This Row],[Customer Final Price]]-CT[[#This Row],[Customer  Prov. Price]],"")</f>
        <v/>
      </c>
      <c r="AJ223" t="s">
        <v>8</v>
      </c>
      <c r="AK223" s="1" t="s">
        <v>159</v>
      </c>
      <c r="AL223" s="1"/>
      <c r="AM223" s="100" t="s">
        <v>134</v>
      </c>
    </row>
    <row r="224" spans="1:39" x14ac:dyDescent="0.25">
      <c r="A224" t="s">
        <v>9</v>
      </c>
      <c r="B224" s="102"/>
      <c r="C224" s="81"/>
      <c r="D224" s="1" t="s">
        <v>67</v>
      </c>
      <c r="F224" s="11"/>
      <c r="G224" s="3"/>
      <c r="H224" s="3"/>
      <c r="I224" s="1"/>
      <c r="J224" s="1"/>
      <c r="K224" s="1"/>
      <c r="L224" s="1"/>
      <c r="M224" s="14">
        <v>25</v>
      </c>
      <c r="N224" s="1"/>
      <c r="O224" s="7"/>
      <c r="P224" s="7">
        <f>CT[[#This Row],[Purchase Rate/MT (USD)]]*CT[[#This Row],[PC Qty (MT)]]</f>
        <v>0</v>
      </c>
      <c r="Q224" s="7">
        <f>CT[[#This Row],[Purchase Rate/MT (USD)]]*CT[[#This Row],[Container Qty]]</f>
        <v>0</v>
      </c>
      <c r="R224" s="7" t="str">
        <f>IF(CT[[#This Row],[BL Number]]&lt;&gt;0,(CT[[#This Row],[Supplier Prov. Price]]-CT[[#This Row],[Supplier Final Price]])*1.2,"")</f>
        <v/>
      </c>
      <c r="S224" s="101"/>
      <c r="T224" s="3"/>
      <c r="U224" s="7"/>
      <c r="V224" s="7"/>
      <c r="W224" s="24"/>
      <c r="X224" s="7">
        <f>IFERROR(CT[[#This Row],[Freight Charges]]+CT[[#This Row],[Inspection Cost/MT]]+CT[[#This Row],[DHL Charges PMT]],"")</f>
        <v>0</v>
      </c>
      <c r="Y224" s="7">
        <f>IFERROR(AF224-(O224+CT[[#This Row],[Cost Per MT]]),"")</f>
        <v>335</v>
      </c>
      <c r="Z224" s="7">
        <f>IFERROR(CT[[#This Row],[Margin/MT]]*CT[[#This Row],[Container Qty]],"")</f>
        <v>0</v>
      </c>
      <c r="AA224" s="7"/>
      <c r="AB224" t="s">
        <v>11</v>
      </c>
      <c r="AC224" s="1" t="s">
        <v>158</v>
      </c>
      <c r="AD224" s="3">
        <v>45861</v>
      </c>
      <c r="AE224" s="14">
        <f t="shared" si="33"/>
        <v>25</v>
      </c>
      <c r="AF224" s="7">
        <v>335</v>
      </c>
      <c r="AG224" s="7">
        <f>CT[[#This Row],[Sales Rate/MT (USD)]]*CT[[#This Row],[SC Qty (MT)]]</f>
        <v>8375</v>
      </c>
      <c r="AH224" s="7" t="str">
        <f>IF(CT[[#This Row],[Container Qty]]&lt;&gt;0,CT[[#This Row],[Sales Rate/MT (USD)]]*CT[[#This Row],[Container Qty]],"")</f>
        <v/>
      </c>
      <c r="AI224" s="7" t="str">
        <f>IF(CT[[#This Row],[Customer Final Price]]&lt;&gt;"",CT[[#This Row],[Customer Final Price]]-CT[[#This Row],[Customer  Prov. Price]],"")</f>
        <v/>
      </c>
      <c r="AJ224" t="s">
        <v>8</v>
      </c>
      <c r="AK224" s="1" t="s">
        <v>159</v>
      </c>
      <c r="AL224" s="1"/>
      <c r="AM224" s="100" t="s">
        <v>134</v>
      </c>
    </row>
    <row r="225" spans="1:39" x14ac:dyDescent="0.25">
      <c r="A225" t="s">
        <v>9</v>
      </c>
      <c r="B225" s="102"/>
      <c r="C225" s="81"/>
      <c r="D225" s="1" t="s">
        <v>67</v>
      </c>
      <c r="F225" s="11"/>
      <c r="G225" s="3"/>
      <c r="H225" s="3"/>
      <c r="I225" s="1"/>
      <c r="J225" s="1"/>
      <c r="K225" s="1"/>
      <c r="L225" s="1"/>
      <c r="M225" s="14">
        <v>25</v>
      </c>
      <c r="N225" s="1"/>
      <c r="O225" s="7"/>
      <c r="P225" s="7">
        <f>CT[[#This Row],[Purchase Rate/MT (USD)]]*CT[[#This Row],[PC Qty (MT)]]</f>
        <v>0</v>
      </c>
      <c r="Q225" s="7">
        <f>CT[[#This Row],[Purchase Rate/MT (USD)]]*CT[[#This Row],[Container Qty]]</f>
        <v>0</v>
      </c>
      <c r="R225" s="7" t="str">
        <f>IF(CT[[#This Row],[BL Number]]&lt;&gt;0,(CT[[#This Row],[Supplier Prov. Price]]-CT[[#This Row],[Supplier Final Price]])*1.2,"")</f>
        <v/>
      </c>
      <c r="S225" s="101"/>
      <c r="T225" s="3"/>
      <c r="U225" s="7"/>
      <c r="V225" s="7"/>
      <c r="W225" s="24"/>
      <c r="X225" s="7">
        <f>IFERROR(CT[[#This Row],[Freight Charges]]+CT[[#This Row],[Inspection Cost/MT]]+CT[[#This Row],[DHL Charges PMT]],"")</f>
        <v>0</v>
      </c>
      <c r="Y225" s="7">
        <f>IFERROR(AF225-(O225+CT[[#This Row],[Cost Per MT]]),"")</f>
        <v>335</v>
      </c>
      <c r="Z225" s="7">
        <f>IFERROR(CT[[#This Row],[Margin/MT]]*CT[[#This Row],[Container Qty]],"")</f>
        <v>0</v>
      </c>
      <c r="AA225" s="7"/>
      <c r="AB225" t="s">
        <v>11</v>
      </c>
      <c r="AC225" s="1" t="s">
        <v>158</v>
      </c>
      <c r="AD225" s="3">
        <v>45861</v>
      </c>
      <c r="AE225" s="14">
        <f t="shared" si="33"/>
        <v>25</v>
      </c>
      <c r="AF225" s="7">
        <v>335</v>
      </c>
      <c r="AG225" s="7">
        <f>CT[[#This Row],[Sales Rate/MT (USD)]]*CT[[#This Row],[SC Qty (MT)]]</f>
        <v>8375</v>
      </c>
      <c r="AH225" s="7" t="str">
        <f>IF(CT[[#This Row],[Container Qty]]&lt;&gt;0,CT[[#This Row],[Sales Rate/MT (USD)]]*CT[[#This Row],[Container Qty]],"")</f>
        <v/>
      </c>
      <c r="AI225" s="7" t="str">
        <f>IF(CT[[#This Row],[Customer Final Price]]&lt;&gt;"",CT[[#This Row],[Customer Final Price]]-CT[[#This Row],[Customer  Prov. Price]],"")</f>
        <v/>
      </c>
      <c r="AJ225" t="s">
        <v>8</v>
      </c>
      <c r="AK225" s="1" t="s">
        <v>159</v>
      </c>
      <c r="AL225" s="1"/>
      <c r="AM225" s="100" t="s">
        <v>134</v>
      </c>
    </row>
    <row r="226" spans="1:39" x14ac:dyDescent="0.25">
      <c r="A226" t="s">
        <v>9</v>
      </c>
      <c r="B226" s="102"/>
      <c r="C226" s="81"/>
      <c r="D226" s="1" t="s">
        <v>67</v>
      </c>
      <c r="F226" s="11"/>
      <c r="G226" s="3"/>
      <c r="H226" s="3"/>
      <c r="I226" s="1"/>
      <c r="J226" s="1"/>
      <c r="K226" s="1"/>
      <c r="L226" s="1"/>
      <c r="M226" s="14">
        <v>25</v>
      </c>
      <c r="N226" s="1"/>
      <c r="O226" s="7"/>
      <c r="P226" s="7">
        <f>CT[[#This Row],[Purchase Rate/MT (USD)]]*CT[[#This Row],[PC Qty (MT)]]</f>
        <v>0</v>
      </c>
      <c r="Q226" s="7">
        <f>CT[[#This Row],[Purchase Rate/MT (USD)]]*CT[[#This Row],[Container Qty]]</f>
        <v>0</v>
      </c>
      <c r="R226" s="7" t="str">
        <f>IF(CT[[#This Row],[BL Number]]&lt;&gt;0,(CT[[#This Row],[Supplier Prov. Price]]-CT[[#This Row],[Supplier Final Price]])*1.2,"")</f>
        <v/>
      </c>
      <c r="S226" s="101"/>
      <c r="T226" s="3"/>
      <c r="U226" s="7"/>
      <c r="V226" s="7"/>
      <c r="W226" s="24"/>
      <c r="X226" s="7">
        <f>IFERROR(CT[[#This Row],[Freight Charges]]+CT[[#This Row],[Inspection Cost/MT]]+CT[[#This Row],[DHL Charges PMT]],"")</f>
        <v>0</v>
      </c>
      <c r="Y226" s="7">
        <f>IFERROR(AF226-(O226+CT[[#This Row],[Cost Per MT]]),"")</f>
        <v>335</v>
      </c>
      <c r="Z226" s="7">
        <f>IFERROR(CT[[#This Row],[Margin/MT]]*CT[[#This Row],[Container Qty]],"")</f>
        <v>0</v>
      </c>
      <c r="AA226" s="7"/>
      <c r="AB226" t="s">
        <v>11</v>
      </c>
      <c r="AC226" s="1" t="s">
        <v>158</v>
      </c>
      <c r="AD226" s="3">
        <v>45861</v>
      </c>
      <c r="AE226" s="14">
        <f t="shared" si="33"/>
        <v>25</v>
      </c>
      <c r="AF226" s="7">
        <v>335</v>
      </c>
      <c r="AG226" s="7">
        <f>CT[[#This Row],[Sales Rate/MT (USD)]]*CT[[#This Row],[SC Qty (MT)]]</f>
        <v>8375</v>
      </c>
      <c r="AH226" s="7" t="str">
        <f>IF(CT[[#This Row],[Container Qty]]&lt;&gt;0,CT[[#This Row],[Sales Rate/MT (USD)]]*CT[[#This Row],[Container Qty]],"")</f>
        <v/>
      </c>
      <c r="AI226" s="7" t="str">
        <f>IF(CT[[#This Row],[Customer Final Price]]&lt;&gt;"",CT[[#This Row],[Customer Final Price]]-CT[[#This Row],[Customer  Prov. Price]],"")</f>
        <v/>
      </c>
      <c r="AJ226" t="s">
        <v>8</v>
      </c>
      <c r="AK226" s="1" t="s">
        <v>159</v>
      </c>
      <c r="AL226" s="1"/>
      <c r="AM226" s="100" t="s">
        <v>134</v>
      </c>
    </row>
    <row r="227" spans="1:39" x14ac:dyDescent="0.25">
      <c r="A227" t="s">
        <v>9</v>
      </c>
      <c r="B227" s="102"/>
      <c r="C227" s="81"/>
      <c r="D227" s="1" t="s">
        <v>67</v>
      </c>
      <c r="F227" s="11"/>
      <c r="G227" s="3"/>
      <c r="H227" s="3"/>
      <c r="I227" s="1"/>
      <c r="J227" s="1"/>
      <c r="K227" s="1"/>
      <c r="L227" s="1"/>
      <c r="M227" s="14">
        <v>25</v>
      </c>
      <c r="N227" s="1"/>
      <c r="O227" s="7"/>
      <c r="P227" s="7">
        <f>CT[[#This Row],[Purchase Rate/MT (USD)]]*CT[[#This Row],[PC Qty (MT)]]</f>
        <v>0</v>
      </c>
      <c r="Q227" s="7">
        <f>CT[[#This Row],[Purchase Rate/MT (USD)]]*CT[[#This Row],[Container Qty]]</f>
        <v>0</v>
      </c>
      <c r="R227" s="7" t="str">
        <f>IF(CT[[#This Row],[BL Number]]&lt;&gt;0,(CT[[#This Row],[Supplier Prov. Price]]-CT[[#This Row],[Supplier Final Price]])*1.2,"")</f>
        <v/>
      </c>
      <c r="S227" s="101"/>
      <c r="T227" s="3"/>
      <c r="U227" s="7"/>
      <c r="V227" s="7"/>
      <c r="W227" s="24"/>
      <c r="X227" s="7">
        <f>IFERROR(CT[[#This Row],[Freight Charges]]+CT[[#This Row],[Inspection Cost/MT]]+CT[[#This Row],[DHL Charges PMT]],"")</f>
        <v>0</v>
      </c>
      <c r="Y227" s="7">
        <f>IFERROR(AF227-(O227+CT[[#This Row],[Cost Per MT]]),"")</f>
        <v>335</v>
      </c>
      <c r="Z227" s="7">
        <f>IFERROR(CT[[#This Row],[Margin/MT]]*CT[[#This Row],[Container Qty]],"")</f>
        <v>0</v>
      </c>
      <c r="AA227" s="7"/>
      <c r="AB227" t="s">
        <v>11</v>
      </c>
      <c r="AC227" s="1" t="s">
        <v>158</v>
      </c>
      <c r="AD227" s="3">
        <v>45861</v>
      </c>
      <c r="AE227" s="14">
        <f t="shared" si="33"/>
        <v>25</v>
      </c>
      <c r="AF227" s="7">
        <v>335</v>
      </c>
      <c r="AG227" s="7">
        <f>CT[[#This Row],[Sales Rate/MT (USD)]]*CT[[#This Row],[SC Qty (MT)]]</f>
        <v>8375</v>
      </c>
      <c r="AH227" s="7" t="str">
        <f>IF(CT[[#This Row],[Container Qty]]&lt;&gt;0,CT[[#This Row],[Sales Rate/MT (USD)]]*CT[[#This Row],[Container Qty]],"")</f>
        <v/>
      </c>
      <c r="AI227" s="7" t="str">
        <f>IF(CT[[#This Row],[Customer Final Price]]&lt;&gt;"",CT[[#This Row],[Customer Final Price]]-CT[[#This Row],[Customer  Prov. Price]],"")</f>
        <v/>
      </c>
      <c r="AJ227" t="s">
        <v>8</v>
      </c>
      <c r="AK227" s="1" t="s">
        <v>159</v>
      </c>
      <c r="AL227" s="1"/>
      <c r="AM227" s="100" t="s">
        <v>134</v>
      </c>
    </row>
    <row r="228" spans="1:39" x14ac:dyDescent="0.25">
      <c r="A228" t="s">
        <v>9</v>
      </c>
      <c r="B228" s="102"/>
      <c r="C228" s="81"/>
      <c r="D228" s="1" t="s">
        <v>67</v>
      </c>
      <c r="F228" s="11"/>
      <c r="G228" s="3"/>
      <c r="H228" s="3"/>
      <c r="I228" s="1"/>
      <c r="J228" s="1"/>
      <c r="K228" s="1"/>
      <c r="L228" s="1"/>
      <c r="M228" s="14">
        <v>25</v>
      </c>
      <c r="N228" s="1"/>
      <c r="O228" s="7"/>
      <c r="P228" s="7">
        <f>CT[[#This Row],[Purchase Rate/MT (USD)]]*CT[[#This Row],[PC Qty (MT)]]</f>
        <v>0</v>
      </c>
      <c r="Q228" s="7">
        <f>CT[[#This Row],[Purchase Rate/MT (USD)]]*CT[[#This Row],[Container Qty]]</f>
        <v>0</v>
      </c>
      <c r="R228" s="7" t="str">
        <f>IF(CT[[#This Row],[BL Number]]&lt;&gt;0,(CT[[#This Row],[Supplier Prov. Price]]-CT[[#This Row],[Supplier Final Price]])*1.2,"")</f>
        <v/>
      </c>
      <c r="S228" s="101"/>
      <c r="T228" s="3"/>
      <c r="U228" s="7"/>
      <c r="V228" s="7"/>
      <c r="W228" s="24"/>
      <c r="X228" s="7">
        <f>IFERROR(CT[[#This Row],[Freight Charges]]+CT[[#This Row],[Inspection Cost/MT]]+CT[[#This Row],[DHL Charges PMT]],"")</f>
        <v>0</v>
      </c>
      <c r="Y228" s="7">
        <f>IFERROR(AF228-(O228+CT[[#This Row],[Cost Per MT]]),"")</f>
        <v>335</v>
      </c>
      <c r="Z228" s="7">
        <f>IFERROR(CT[[#This Row],[Margin/MT]]*CT[[#This Row],[Container Qty]],"")</f>
        <v>0</v>
      </c>
      <c r="AA228" s="7"/>
      <c r="AB228" t="s">
        <v>11</v>
      </c>
      <c r="AC228" s="1" t="s">
        <v>158</v>
      </c>
      <c r="AD228" s="3">
        <v>45861</v>
      </c>
      <c r="AE228" s="14">
        <f t="shared" si="33"/>
        <v>25</v>
      </c>
      <c r="AF228" s="7">
        <v>335</v>
      </c>
      <c r="AG228" s="7">
        <f>CT[[#This Row],[Sales Rate/MT (USD)]]*CT[[#This Row],[SC Qty (MT)]]</f>
        <v>8375</v>
      </c>
      <c r="AH228" s="7" t="str">
        <f>IF(CT[[#This Row],[Container Qty]]&lt;&gt;0,CT[[#This Row],[Sales Rate/MT (USD)]]*CT[[#This Row],[Container Qty]],"")</f>
        <v/>
      </c>
      <c r="AI228" s="7" t="str">
        <f>IF(CT[[#This Row],[Customer Final Price]]&lt;&gt;"",CT[[#This Row],[Customer Final Price]]-CT[[#This Row],[Customer  Prov. Price]],"")</f>
        <v/>
      </c>
      <c r="AJ228" t="s">
        <v>8</v>
      </c>
      <c r="AK228" s="1" t="s">
        <v>159</v>
      </c>
      <c r="AL228" s="1"/>
      <c r="AM228" s="100" t="s">
        <v>134</v>
      </c>
    </row>
    <row r="229" spans="1:39" x14ac:dyDescent="0.25">
      <c r="A229" t="s">
        <v>9</v>
      </c>
      <c r="B229" s="102"/>
      <c r="C229" s="81"/>
      <c r="D229" s="1" t="s">
        <v>67</v>
      </c>
      <c r="F229" s="11"/>
      <c r="G229" s="3"/>
      <c r="H229" s="3"/>
      <c r="I229" s="1"/>
      <c r="J229" s="1"/>
      <c r="K229" s="1"/>
      <c r="L229" s="1"/>
      <c r="M229" s="14">
        <v>25</v>
      </c>
      <c r="N229" s="1"/>
      <c r="O229" s="7"/>
      <c r="P229" s="7">
        <f>CT[[#This Row],[Purchase Rate/MT (USD)]]*CT[[#This Row],[PC Qty (MT)]]</f>
        <v>0</v>
      </c>
      <c r="Q229" s="7">
        <f>CT[[#This Row],[Purchase Rate/MT (USD)]]*CT[[#This Row],[Container Qty]]</f>
        <v>0</v>
      </c>
      <c r="R229" s="7" t="str">
        <f>IF(CT[[#This Row],[BL Number]]&lt;&gt;0,(CT[[#This Row],[Supplier Prov. Price]]-CT[[#This Row],[Supplier Final Price]])*1.2,"")</f>
        <v/>
      </c>
      <c r="S229" s="101"/>
      <c r="T229" s="3"/>
      <c r="U229" s="7"/>
      <c r="V229" s="7"/>
      <c r="W229" s="24"/>
      <c r="X229" s="7">
        <f>IFERROR(CT[[#This Row],[Freight Charges]]+CT[[#This Row],[Inspection Cost/MT]]+CT[[#This Row],[DHL Charges PMT]],"")</f>
        <v>0</v>
      </c>
      <c r="Y229" s="7">
        <f>IFERROR(AF229-(O229+CT[[#This Row],[Cost Per MT]]),"")</f>
        <v>335</v>
      </c>
      <c r="Z229" s="7">
        <f>IFERROR(CT[[#This Row],[Margin/MT]]*CT[[#This Row],[Container Qty]],"")</f>
        <v>0</v>
      </c>
      <c r="AA229" s="7"/>
      <c r="AB229" t="s">
        <v>11</v>
      </c>
      <c r="AC229" s="1" t="s">
        <v>158</v>
      </c>
      <c r="AD229" s="3">
        <v>45861</v>
      </c>
      <c r="AE229" s="14">
        <f t="shared" si="33"/>
        <v>25</v>
      </c>
      <c r="AF229" s="7">
        <v>335</v>
      </c>
      <c r="AG229" s="7">
        <f>CT[[#This Row],[Sales Rate/MT (USD)]]*CT[[#This Row],[SC Qty (MT)]]</f>
        <v>8375</v>
      </c>
      <c r="AH229" s="7" t="str">
        <f>IF(CT[[#This Row],[Container Qty]]&lt;&gt;0,CT[[#This Row],[Sales Rate/MT (USD)]]*CT[[#This Row],[Container Qty]],"")</f>
        <v/>
      </c>
      <c r="AI229" s="7" t="str">
        <f>IF(CT[[#This Row],[Customer Final Price]]&lt;&gt;"",CT[[#This Row],[Customer Final Price]]-CT[[#This Row],[Customer  Prov. Price]],"")</f>
        <v/>
      </c>
      <c r="AJ229" t="s">
        <v>8</v>
      </c>
      <c r="AK229" s="1" t="s">
        <v>159</v>
      </c>
      <c r="AL229" s="1"/>
      <c r="AM229" s="100" t="s">
        <v>134</v>
      </c>
    </row>
    <row r="230" spans="1:39" x14ac:dyDescent="0.25">
      <c r="A230" t="s">
        <v>9</v>
      </c>
      <c r="B230" s="102"/>
      <c r="C230" s="81"/>
      <c r="D230" s="1" t="s">
        <v>67</v>
      </c>
      <c r="F230" s="11"/>
      <c r="G230" s="3"/>
      <c r="H230" s="3"/>
      <c r="I230" s="1"/>
      <c r="J230" s="1"/>
      <c r="K230" s="1"/>
      <c r="L230" s="1"/>
      <c r="M230" s="14">
        <v>25</v>
      </c>
      <c r="N230" s="1"/>
      <c r="O230" s="7"/>
      <c r="P230" s="7">
        <f>CT[[#This Row],[Purchase Rate/MT (USD)]]*CT[[#This Row],[PC Qty (MT)]]</f>
        <v>0</v>
      </c>
      <c r="Q230" s="7">
        <f>CT[[#This Row],[Purchase Rate/MT (USD)]]*CT[[#This Row],[Container Qty]]</f>
        <v>0</v>
      </c>
      <c r="R230" s="7" t="str">
        <f>IF(CT[[#This Row],[BL Number]]&lt;&gt;0,(CT[[#This Row],[Supplier Prov. Price]]-CT[[#This Row],[Supplier Final Price]])*1.2,"")</f>
        <v/>
      </c>
      <c r="S230" s="101"/>
      <c r="T230" s="3"/>
      <c r="U230" s="7"/>
      <c r="V230" s="7"/>
      <c r="W230" s="24"/>
      <c r="X230" s="7">
        <f>IFERROR(CT[[#This Row],[Freight Charges]]+CT[[#This Row],[Inspection Cost/MT]]+CT[[#This Row],[DHL Charges PMT]],"")</f>
        <v>0</v>
      </c>
      <c r="Y230" s="7">
        <f>IFERROR(AF230-(O230+CT[[#This Row],[Cost Per MT]]),"")</f>
        <v>335</v>
      </c>
      <c r="Z230" s="7">
        <f>IFERROR(CT[[#This Row],[Margin/MT]]*CT[[#This Row],[Container Qty]],"")</f>
        <v>0</v>
      </c>
      <c r="AA230" s="7"/>
      <c r="AB230" t="s">
        <v>11</v>
      </c>
      <c r="AC230" s="1" t="s">
        <v>158</v>
      </c>
      <c r="AD230" s="3">
        <v>45861</v>
      </c>
      <c r="AE230" s="14">
        <f t="shared" si="33"/>
        <v>25</v>
      </c>
      <c r="AF230" s="7">
        <v>335</v>
      </c>
      <c r="AG230" s="7">
        <f>CT[[#This Row],[Sales Rate/MT (USD)]]*CT[[#This Row],[SC Qty (MT)]]</f>
        <v>8375</v>
      </c>
      <c r="AH230" s="7" t="str">
        <f>IF(CT[[#This Row],[Container Qty]]&lt;&gt;0,CT[[#This Row],[Sales Rate/MT (USD)]]*CT[[#This Row],[Container Qty]],"")</f>
        <v/>
      </c>
      <c r="AI230" s="7" t="str">
        <f>IF(CT[[#This Row],[Customer Final Price]]&lt;&gt;"",CT[[#This Row],[Customer Final Price]]-CT[[#This Row],[Customer  Prov. Price]],"")</f>
        <v/>
      </c>
      <c r="AJ230" t="s">
        <v>8</v>
      </c>
      <c r="AK230" s="1" t="s">
        <v>159</v>
      </c>
      <c r="AL230" s="1"/>
      <c r="AM230" s="100" t="s">
        <v>134</v>
      </c>
    </row>
    <row r="231" spans="1:39" x14ac:dyDescent="0.25">
      <c r="A231" t="s">
        <v>9</v>
      </c>
      <c r="B231" s="102"/>
      <c r="C231" s="81"/>
      <c r="D231" s="1" t="s">
        <v>67</v>
      </c>
      <c r="F231" s="11"/>
      <c r="G231" s="3"/>
      <c r="H231" s="3"/>
      <c r="I231" s="1"/>
      <c r="J231" s="1"/>
      <c r="K231" s="1"/>
      <c r="L231" s="1"/>
      <c r="M231" s="14">
        <v>25</v>
      </c>
      <c r="N231" s="1"/>
      <c r="O231" s="7"/>
      <c r="P231" s="7">
        <f>CT[[#This Row],[Purchase Rate/MT (USD)]]*CT[[#This Row],[PC Qty (MT)]]</f>
        <v>0</v>
      </c>
      <c r="Q231" s="7">
        <f>CT[[#This Row],[Purchase Rate/MT (USD)]]*CT[[#This Row],[Container Qty]]</f>
        <v>0</v>
      </c>
      <c r="R231" s="7" t="str">
        <f>IF(CT[[#This Row],[BL Number]]&lt;&gt;0,(CT[[#This Row],[Supplier Prov. Price]]-CT[[#This Row],[Supplier Final Price]])*1.2,"")</f>
        <v/>
      </c>
      <c r="S231" s="101"/>
      <c r="T231" s="3"/>
      <c r="U231" s="7"/>
      <c r="V231" s="7"/>
      <c r="W231" s="24"/>
      <c r="X231" s="7">
        <f>IFERROR(CT[[#This Row],[Freight Charges]]+CT[[#This Row],[Inspection Cost/MT]]+CT[[#This Row],[DHL Charges PMT]],"")</f>
        <v>0</v>
      </c>
      <c r="Y231" s="7">
        <f>IFERROR(AF231-(O231+CT[[#This Row],[Cost Per MT]]),"")</f>
        <v>335</v>
      </c>
      <c r="Z231" s="7">
        <f>IFERROR(CT[[#This Row],[Margin/MT]]*CT[[#This Row],[Container Qty]],"")</f>
        <v>0</v>
      </c>
      <c r="AA231" s="7"/>
      <c r="AB231" t="s">
        <v>11</v>
      </c>
      <c r="AC231" s="1" t="s">
        <v>158</v>
      </c>
      <c r="AD231" s="3">
        <v>45861</v>
      </c>
      <c r="AE231" s="14">
        <f t="shared" si="33"/>
        <v>25</v>
      </c>
      <c r="AF231" s="7">
        <v>335</v>
      </c>
      <c r="AG231" s="7">
        <f>CT[[#This Row],[Sales Rate/MT (USD)]]*CT[[#This Row],[SC Qty (MT)]]</f>
        <v>8375</v>
      </c>
      <c r="AH231" s="7" t="str">
        <f>IF(CT[[#This Row],[Container Qty]]&lt;&gt;0,CT[[#This Row],[Sales Rate/MT (USD)]]*CT[[#This Row],[Container Qty]],"")</f>
        <v/>
      </c>
      <c r="AI231" s="7" t="str">
        <f>IF(CT[[#This Row],[Customer Final Price]]&lt;&gt;"",CT[[#This Row],[Customer Final Price]]-CT[[#This Row],[Customer  Prov. Price]],"")</f>
        <v/>
      </c>
      <c r="AJ231" t="s">
        <v>8</v>
      </c>
      <c r="AK231" s="1" t="s">
        <v>159</v>
      </c>
      <c r="AL231" s="1"/>
      <c r="AM231" s="100" t="s">
        <v>134</v>
      </c>
    </row>
    <row r="232" spans="1:39" x14ac:dyDescent="0.25">
      <c r="A232" t="s">
        <v>9</v>
      </c>
      <c r="B232" s="102"/>
      <c r="C232" s="81"/>
      <c r="D232" s="1" t="s">
        <v>67</v>
      </c>
      <c r="F232" s="11"/>
      <c r="G232" s="3"/>
      <c r="H232" s="3"/>
      <c r="I232" s="1"/>
      <c r="J232" s="1"/>
      <c r="K232" s="1"/>
      <c r="L232" s="1"/>
      <c r="M232" s="14">
        <v>25</v>
      </c>
      <c r="N232" s="1"/>
      <c r="O232" s="7"/>
      <c r="P232" s="7">
        <f>CT[[#This Row],[Purchase Rate/MT (USD)]]*CT[[#This Row],[PC Qty (MT)]]</f>
        <v>0</v>
      </c>
      <c r="Q232" s="7">
        <f>CT[[#This Row],[Purchase Rate/MT (USD)]]*CT[[#This Row],[Container Qty]]</f>
        <v>0</v>
      </c>
      <c r="R232" s="7" t="str">
        <f>IF(CT[[#This Row],[BL Number]]&lt;&gt;0,(CT[[#This Row],[Supplier Prov. Price]]-CT[[#This Row],[Supplier Final Price]])*1.2,"")</f>
        <v/>
      </c>
      <c r="S232" s="101"/>
      <c r="T232" s="3"/>
      <c r="U232" s="7"/>
      <c r="V232" s="7"/>
      <c r="W232" s="24"/>
      <c r="X232" s="7">
        <f>IFERROR(CT[[#This Row],[Freight Charges]]+CT[[#This Row],[Inspection Cost/MT]]+CT[[#This Row],[DHL Charges PMT]],"")</f>
        <v>0</v>
      </c>
      <c r="Y232" s="7">
        <f>IFERROR(AF232-(O232+CT[[#This Row],[Cost Per MT]]),"")</f>
        <v>335</v>
      </c>
      <c r="Z232" s="7">
        <f>IFERROR(CT[[#This Row],[Margin/MT]]*CT[[#This Row],[Container Qty]],"")</f>
        <v>0</v>
      </c>
      <c r="AA232" s="7"/>
      <c r="AB232" t="s">
        <v>11</v>
      </c>
      <c r="AC232" s="1" t="s">
        <v>158</v>
      </c>
      <c r="AD232" s="3">
        <v>45861</v>
      </c>
      <c r="AE232" s="14">
        <f t="shared" si="33"/>
        <v>25</v>
      </c>
      <c r="AF232" s="7">
        <v>335</v>
      </c>
      <c r="AG232" s="7">
        <f>CT[[#This Row],[Sales Rate/MT (USD)]]*CT[[#This Row],[SC Qty (MT)]]</f>
        <v>8375</v>
      </c>
      <c r="AH232" s="7" t="str">
        <f>IF(CT[[#This Row],[Container Qty]]&lt;&gt;0,CT[[#This Row],[Sales Rate/MT (USD)]]*CT[[#This Row],[Container Qty]],"")</f>
        <v/>
      </c>
      <c r="AI232" s="7" t="str">
        <f>IF(CT[[#This Row],[Customer Final Price]]&lt;&gt;"",CT[[#This Row],[Customer Final Price]]-CT[[#This Row],[Customer  Prov. Price]],"")</f>
        <v/>
      </c>
      <c r="AJ232" t="s">
        <v>8</v>
      </c>
      <c r="AK232" s="1" t="s">
        <v>159</v>
      </c>
      <c r="AL232" s="1"/>
      <c r="AM232" s="100" t="s">
        <v>134</v>
      </c>
    </row>
    <row r="233" spans="1:39" x14ac:dyDescent="0.25">
      <c r="A233" t="s">
        <v>9</v>
      </c>
      <c r="B233" s="102"/>
      <c r="C233" s="81"/>
      <c r="D233" s="1" t="s">
        <v>67</v>
      </c>
      <c r="F233" s="11"/>
      <c r="G233" s="3"/>
      <c r="H233" s="3"/>
      <c r="I233" s="1"/>
      <c r="J233" s="1"/>
      <c r="K233" s="1"/>
      <c r="L233" s="1"/>
      <c r="M233" s="14">
        <v>25</v>
      </c>
      <c r="N233" s="1"/>
      <c r="O233" s="7"/>
      <c r="P233" s="7">
        <f>CT[[#This Row],[Purchase Rate/MT (USD)]]*CT[[#This Row],[PC Qty (MT)]]</f>
        <v>0</v>
      </c>
      <c r="Q233" s="7">
        <f>CT[[#This Row],[Purchase Rate/MT (USD)]]*CT[[#This Row],[Container Qty]]</f>
        <v>0</v>
      </c>
      <c r="R233" s="7" t="str">
        <f>IF(CT[[#This Row],[BL Number]]&lt;&gt;0,(CT[[#This Row],[Supplier Prov. Price]]-CT[[#This Row],[Supplier Final Price]])*1.2,"")</f>
        <v/>
      </c>
      <c r="S233" s="101"/>
      <c r="T233" s="3"/>
      <c r="U233" s="7"/>
      <c r="V233" s="7"/>
      <c r="W233" s="24"/>
      <c r="X233" s="7">
        <f>IFERROR(CT[[#This Row],[Freight Charges]]+CT[[#This Row],[Inspection Cost/MT]]+CT[[#This Row],[DHL Charges PMT]],"")</f>
        <v>0</v>
      </c>
      <c r="Y233" s="7">
        <f>IFERROR(AF233-(O233+CT[[#This Row],[Cost Per MT]]),"")</f>
        <v>335</v>
      </c>
      <c r="Z233" s="7">
        <f>IFERROR(CT[[#This Row],[Margin/MT]]*CT[[#This Row],[Container Qty]],"")</f>
        <v>0</v>
      </c>
      <c r="AA233" s="7"/>
      <c r="AB233" t="s">
        <v>11</v>
      </c>
      <c r="AC233" s="1" t="s">
        <v>158</v>
      </c>
      <c r="AD233" s="3">
        <v>45861</v>
      </c>
      <c r="AE233" s="14">
        <f t="shared" si="33"/>
        <v>25</v>
      </c>
      <c r="AF233" s="7">
        <v>335</v>
      </c>
      <c r="AG233" s="7">
        <f>CT[[#This Row],[Sales Rate/MT (USD)]]*CT[[#This Row],[SC Qty (MT)]]</f>
        <v>8375</v>
      </c>
      <c r="AH233" s="7" t="str">
        <f>IF(CT[[#This Row],[Container Qty]]&lt;&gt;0,CT[[#This Row],[Sales Rate/MT (USD)]]*CT[[#This Row],[Container Qty]],"")</f>
        <v/>
      </c>
      <c r="AI233" s="7" t="str">
        <f>IF(CT[[#This Row],[Customer Final Price]]&lt;&gt;"",CT[[#This Row],[Customer Final Price]]-CT[[#This Row],[Customer  Prov. Price]],"")</f>
        <v/>
      </c>
      <c r="AJ233" t="s">
        <v>8</v>
      </c>
      <c r="AK233" s="1" t="s">
        <v>159</v>
      </c>
      <c r="AL233" s="1"/>
      <c r="AM233" s="100" t="s">
        <v>134</v>
      </c>
    </row>
    <row r="234" spans="1:39" x14ac:dyDescent="0.25">
      <c r="A234" t="s">
        <v>9</v>
      </c>
      <c r="B234" s="102"/>
      <c r="C234" s="81"/>
      <c r="D234" s="1" t="s">
        <v>67</v>
      </c>
      <c r="F234" s="11"/>
      <c r="G234" s="3"/>
      <c r="H234" s="3"/>
      <c r="I234" s="1"/>
      <c r="J234" s="1"/>
      <c r="K234" s="1"/>
      <c r="L234" s="1"/>
      <c r="M234" s="14">
        <v>25</v>
      </c>
      <c r="N234" s="1"/>
      <c r="O234" s="7"/>
      <c r="P234" s="7">
        <f>CT[[#This Row],[Purchase Rate/MT (USD)]]*CT[[#This Row],[PC Qty (MT)]]</f>
        <v>0</v>
      </c>
      <c r="Q234" s="7">
        <f>CT[[#This Row],[Purchase Rate/MT (USD)]]*CT[[#This Row],[Container Qty]]</f>
        <v>0</v>
      </c>
      <c r="R234" s="7" t="str">
        <f>IF(CT[[#This Row],[BL Number]]&lt;&gt;0,(CT[[#This Row],[Supplier Prov. Price]]-CT[[#This Row],[Supplier Final Price]])*1.2,"")</f>
        <v/>
      </c>
      <c r="S234" s="101"/>
      <c r="T234" s="3"/>
      <c r="U234" s="7"/>
      <c r="V234" s="7"/>
      <c r="W234" s="24"/>
      <c r="X234" s="7">
        <f>IFERROR(CT[[#This Row],[Freight Charges]]+CT[[#This Row],[Inspection Cost/MT]]+CT[[#This Row],[DHL Charges PMT]],"")</f>
        <v>0</v>
      </c>
      <c r="Y234" s="7">
        <f>IFERROR(AF234-(O234+CT[[#This Row],[Cost Per MT]]),"")</f>
        <v>335</v>
      </c>
      <c r="Z234" s="7">
        <f>IFERROR(CT[[#This Row],[Margin/MT]]*CT[[#This Row],[Container Qty]],"")</f>
        <v>0</v>
      </c>
      <c r="AA234" s="7"/>
      <c r="AB234" t="s">
        <v>11</v>
      </c>
      <c r="AC234" s="1" t="s">
        <v>158</v>
      </c>
      <c r="AD234" s="3">
        <v>45861</v>
      </c>
      <c r="AE234" s="14">
        <f t="shared" si="33"/>
        <v>25</v>
      </c>
      <c r="AF234" s="7">
        <v>335</v>
      </c>
      <c r="AG234" s="7">
        <f>CT[[#This Row],[Sales Rate/MT (USD)]]*CT[[#This Row],[SC Qty (MT)]]</f>
        <v>8375</v>
      </c>
      <c r="AH234" s="7" t="str">
        <f>IF(CT[[#This Row],[Container Qty]]&lt;&gt;0,CT[[#This Row],[Sales Rate/MT (USD)]]*CT[[#This Row],[Container Qty]],"")</f>
        <v/>
      </c>
      <c r="AI234" s="7" t="str">
        <f>IF(CT[[#This Row],[Customer Final Price]]&lt;&gt;"",CT[[#This Row],[Customer Final Price]]-CT[[#This Row],[Customer  Prov. Price]],"")</f>
        <v/>
      </c>
      <c r="AJ234" t="s">
        <v>8</v>
      </c>
      <c r="AK234" s="1" t="s">
        <v>159</v>
      </c>
      <c r="AL234" s="1"/>
      <c r="AM234" s="100" t="s">
        <v>134</v>
      </c>
    </row>
    <row r="235" spans="1:39" x14ac:dyDescent="0.25">
      <c r="A235" t="s">
        <v>9</v>
      </c>
      <c r="B235" s="102"/>
      <c r="C235" s="81"/>
      <c r="D235" s="1" t="s">
        <v>67</v>
      </c>
      <c r="F235" s="11"/>
      <c r="G235" s="3"/>
      <c r="H235" s="3"/>
      <c r="I235" s="1"/>
      <c r="J235" s="1"/>
      <c r="K235" s="1"/>
      <c r="L235" s="1"/>
      <c r="M235" s="14">
        <v>25</v>
      </c>
      <c r="N235" s="1"/>
      <c r="O235" s="7"/>
      <c r="P235" s="7">
        <f>CT[[#This Row],[Purchase Rate/MT (USD)]]*CT[[#This Row],[PC Qty (MT)]]</f>
        <v>0</v>
      </c>
      <c r="Q235" s="7">
        <f>CT[[#This Row],[Purchase Rate/MT (USD)]]*CT[[#This Row],[Container Qty]]</f>
        <v>0</v>
      </c>
      <c r="R235" s="7" t="str">
        <f>IF(CT[[#This Row],[BL Number]]&lt;&gt;0,(CT[[#This Row],[Supplier Prov. Price]]-CT[[#This Row],[Supplier Final Price]])*1.2,"")</f>
        <v/>
      </c>
      <c r="S235" s="101"/>
      <c r="T235" s="3"/>
      <c r="U235" s="7"/>
      <c r="V235" s="7"/>
      <c r="W235" s="24"/>
      <c r="X235" s="7">
        <f>IFERROR(CT[[#This Row],[Freight Charges]]+CT[[#This Row],[Inspection Cost/MT]]+CT[[#This Row],[DHL Charges PMT]],"")</f>
        <v>0</v>
      </c>
      <c r="Y235" s="7">
        <f>IFERROR(AF235-(O235+CT[[#This Row],[Cost Per MT]]),"")</f>
        <v>335</v>
      </c>
      <c r="Z235" s="7">
        <f>IFERROR(CT[[#This Row],[Margin/MT]]*CT[[#This Row],[Container Qty]],"")</f>
        <v>0</v>
      </c>
      <c r="AA235" s="7"/>
      <c r="AB235" t="s">
        <v>11</v>
      </c>
      <c r="AC235" s="1" t="s">
        <v>158</v>
      </c>
      <c r="AD235" s="3">
        <v>45861</v>
      </c>
      <c r="AE235" s="14">
        <f t="shared" si="33"/>
        <v>25</v>
      </c>
      <c r="AF235" s="7">
        <v>335</v>
      </c>
      <c r="AG235" s="7">
        <f>CT[[#This Row],[Sales Rate/MT (USD)]]*CT[[#This Row],[SC Qty (MT)]]</f>
        <v>8375</v>
      </c>
      <c r="AH235" s="7" t="str">
        <f>IF(CT[[#This Row],[Container Qty]]&lt;&gt;0,CT[[#This Row],[Sales Rate/MT (USD)]]*CT[[#This Row],[Container Qty]],"")</f>
        <v/>
      </c>
      <c r="AI235" s="7" t="str">
        <f>IF(CT[[#This Row],[Customer Final Price]]&lt;&gt;"",CT[[#This Row],[Customer Final Price]]-CT[[#This Row],[Customer  Prov. Price]],"")</f>
        <v/>
      </c>
      <c r="AJ235" t="s">
        <v>8</v>
      </c>
      <c r="AK235" s="1" t="s">
        <v>159</v>
      </c>
      <c r="AL235" s="1"/>
      <c r="AM235" s="100" t="s">
        <v>134</v>
      </c>
    </row>
    <row r="236" spans="1:39" x14ac:dyDescent="0.25">
      <c r="A236" t="s">
        <v>9</v>
      </c>
      <c r="B236" s="102"/>
      <c r="C236" s="81"/>
      <c r="D236" s="1" t="s">
        <v>67</v>
      </c>
      <c r="F236" s="11"/>
      <c r="G236" s="3"/>
      <c r="H236" s="3"/>
      <c r="I236" s="1"/>
      <c r="J236" s="1"/>
      <c r="K236" s="1"/>
      <c r="L236" s="1"/>
      <c r="M236" s="14">
        <v>25</v>
      </c>
      <c r="N236" s="1"/>
      <c r="O236" s="7"/>
      <c r="P236" s="7">
        <f>CT[[#This Row],[Purchase Rate/MT (USD)]]*CT[[#This Row],[PC Qty (MT)]]</f>
        <v>0</v>
      </c>
      <c r="Q236" s="7">
        <f>CT[[#This Row],[Purchase Rate/MT (USD)]]*CT[[#This Row],[Container Qty]]</f>
        <v>0</v>
      </c>
      <c r="R236" s="7" t="str">
        <f>IF(CT[[#This Row],[BL Number]]&lt;&gt;0,(CT[[#This Row],[Supplier Prov. Price]]-CT[[#This Row],[Supplier Final Price]])*1.2,"")</f>
        <v/>
      </c>
      <c r="S236" s="101"/>
      <c r="T236" s="3"/>
      <c r="U236" s="7"/>
      <c r="V236" s="7"/>
      <c r="W236" s="24"/>
      <c r="X236" s="7">
        <f>IFERROR(CT[[#This Row],[Freight Charges]]+CT[[#This Row],[Inspection Cost/MT]]+CT[[#This Row],[DHL Charges PMT]],"")</f>
        <v>0</v>
      </c>
      <c r="Y236" s="7">
        <f>IFERROR(AF236-(O236+CT[[#This Row],[Cost Per MT]]),"")</f>
        <v>335</v>
      </c>
      <c r="Z236" s="7">
        <f>IFERROR(CT[[#This Row],[Margin/MT]]*CT[[#This Row],[Container Qty]],"")</f>
        <v>0</v>
      </c>
      <c r="AA236" s="7"/>
      <c r="AB236" t="s">
        <v>11</v>
      </c>
      <c r="AC236" s="1" t="s">
        <v>158</v>
      </c>
      <c r="AD236" s="3">
        <v>45861</v>
      </c>
      <c r="AE236" s="14">
        <f t="shared" si="33"/>
        <v>25</v>
      </c>
      <c r="AF236" s="7">
        <v>335</v>
      </c>
      <c r="AG236" s="7">
        <f>CT[[#This Row],[Sales Rate/MT (USD)]]*CT[[#This Row],[SC Qty (MT)]]</f>
        <v>8375</v>
      </c>
      <c r="AH236" s="7" t="str">
        <f>IF(CT[[#This Row],[Container Qty]]&lt;&gt;0,CT[[#This Row],[Sales Rate/MT (USD)]]*CT[[#This Row],[Container Qty]],"")</f>
        <v/>
      </c>
      <c r="AI236" s="7" t="str">
        <f>IF(CT[[#This Row],[Customer Final Price]]&lt;&gt;"",CT[[#This Row],[Customer Final Price]]-CT[[#This Row],[Customer  Prov. Price]],"")</f>
        <v/>
      </c>
      <c r="AJ236" t="s">
        <v>8</v>
      </c>
      <c r="AK236" s="1" t="s">
        <v>159</v>
      </c>
      <c r="AL236" s="1"/>
      <c r="AM236" s="100" t="s">
        <v>134</v>
      </c>
    </row>
    <row r="237" spans="1:39" x14ac:dyDescent="0.25">
      <c r="A237" t="s">
        <v>9</v>
      </c>
      <c r="B237" s="102"/>
      <c r="C237" s="81"/>
      <c r="D237" s="1" t="s">
        <v>67</v>
      </c>
      <c r="F237" s="11"/>
      <c r="G237" s="3"/>
      <c r="H237" s="3"/>
      <c r="I237" s="1"/>
      <c r="J237" s="1"/>
      <c r="K237" s="1"/>
      <c r="L237" s="1"/>
      <c r="M237" s="14">
        <v>25</v>
      </c>
      <c r="N237" s="1"/>
      <c r="O237" s="7"/>
      <c r="P237" s="7">
        <f>CT[[#This Row],[Purchase Rate/MT (USD)]]*CT[[#This Row],[PC Qty (MT)]]</f>
        <v>0</v>
      </c>
      <c r="Q237" s="7">
        <f>CT[[#This Row],[Purchase Rate/MT (USD)]]*CT[[#This Row],[Container Qty]]</f>
        <v>0</v>
      </c>
      <c r="R237" s="7" t="str">
        <f>IF(CT[[#This Row],[BL Number]]&lt;&gt;0,(CT[[#This Row],[Supplier Prov. Price]]-CT[[#This Row],[Supplier Final Price]])*1.2,"")</f>
        <v/>
      </c>
      <c r="S237" s="101"/>
      <c r="T237" s="3"/>
      <c r="U237" s="7"/>
      <c r="V237" s="7"/>
      <c r="W237" s="24"/>
      <c r="X237" s="7">
        <f>IFERROR(CT[[#This Row],[Freight Charges]]+CT[[#This Row],[Inspection Cost/MT]]+CT[[#This Row],[DHL Charges PMT]],"")</f>
        <v>0</v>
      </c>
      <c r="Y237" s="7">
        <f>IFERROR(AF237-(O237+CT[[#This Row],[Cost Per MT]]),"")</f>
        <v>335</v>
      </c>
      <c r="Z237" s="7">
        <f>IFERROR(CT[[#This Row],[Margin/MT]]*CT[[#This Row],[Container Qty]],"")</f>
        <v>0</v>
      </c>
      <c r="AA237" s="7"/>
      <c r="AB237" t="s">
        <v>11</v>
      </c>
      <c r="AC237" s="1" t="s">
        <v>158</v>
      </c>
      <c r="AD237" s="3">
        <v>45861</v>
      </c>
      <c r="AE237" s="14">
        <f t="shared" si="33"/>
        <v>25</v>
      </c>
      <c r="AF237" s="7">
        <v>335</v>
      </c>
      <c r="AG237" s="7">
        <f>CT[[#This Row],[Sales Rate/MT (USD)]]*CT[[#This Row],[SC Qty (MT)]]</f>
        <v>8375</v>
      </c>
      <c r="AH237" s="7" t="str">
        <f>IF(CT[[#This Row],[Container Qty]]&lt;&gt;0,CT[[#This Row],[Sales Rate/MT (USD)]]*CT[[#This Row],[Container Qty]],"")</f>
        <v/>
      </c>
      <c r="AI237" s="7" t="str">
        <f>IF(CT[[#This Row],[Customer Final Price]]&lt;&gt;"",CT[[#This Row],[Customer Final Price]]-CT[[#This Row],[Customer  Prov. Price]],"")</f>
        <v/>
      </c>
      <c r="AJ237" t="s">
        <v>8</v>
      </c>
      <c r="AK237" s="1" t="s">
        <v>159</v>
      </c>
      <c r="AL237" s="1"/>
      <c r="AM237" s="100" t="s">
        <v>134</v>
      </c>
    </row>
    <row r="238" spans="1:39" x14ac:dyDescent="0.25">
      <c r="A238" t="s">
        <v>9</v>
      </c>
      <c r="B238" s="102"/>
      <c r="C238" s="81"/>
      <c r="D238" s="1" t="s">
        <v>67</v>
      </c>
      <c r="F238" s="11"/>
      <c r="G238" s="3"/>
      <c r="H238" s="3"/>
      <c r="I238" s="1"/>
      <c r="J238" s="1"/>
      <c r="K238" s="1"/>
      <c r="L238" s="1"/>
      <c r="M238" s="14">
        <v>25</v>
      </c>
      <c r="N238" s="1"/>
      <c r="O238" s="7"/>
      <c r="P238" s="7">
        <f>CT[[#This Row],[Purchase Rate/MT (USD)]]*CT[[#This Row],[PC Qty (MT)]]</f>
        <v>0</v>
      </c>
      <c r="Q238" s="7">
        <f>CT[[#This Row],[Purchase Rate/MT (USD)]]*CT[[#This Row],[Container Qty]]</f>
        <v>0</v>
      </c>
      <c r="R238" s="7" t="str">
        <f>IF(CT[[#This Row],[BL Number]]&lt;&gt;0,(CT[[#This Row],[Supplier Prov. Price]]-CT[[#This Row],[Supplier Final Price]])*1.2,"")</f>
        <v/>
      </c>
      <c r="S238" s="101"/>
      <c r="T238" s="3"/>
      <c r="U238" s="7"/>
      <c r="V238" s="7"/>
      <c r="W238" s="24"/>
      <c r="X238" s="7">
        <f>IFERROR(CT[[#This Row],[Freight Charges]]+CT[[#This Row],[Inspection Cost/MT]]+CT[[#This Row],[DHL Charges PMT]],"")</f>
        <v>0</v>
      </c>
      <c r="Y238" s="7">
        <f>IFERROR(AF238-(O238+CT[[#This Row],[Cost Per MT]]),"")</f>
        <v>335</v>
      </c>
      <c r="Z238" s="7">
        <f>IFERROR(CT[[#This Row],[Margin/MT]]*CT[[#This Row],[Container Qty]],"")</f>
        <v>0</v>
      </c>
      <c r="AA238" s="7"/>
      <c r="AB238" t="s">
        <v>11</v>
      </c>
      <c r="AC238" s="1" t="s">
        <v>158</v>
      </c>
      <c r="AD238" s="3">
        <v>45861</v>
      </c>
      <c r="AE238" s="14">
        <f t="shared" si="33"/>
        <v>25</v>
      </c>
      <c r="AF238" s="7">
        <v>335</v>
      </c>
      <c r="AG238" s="7">
        <f>CT[[#This Row],[Sales Rate/MT (USD)]]*CT[[#This Row],[SC Qty (MT)]]</f>
        <v>8375</v>
      </c>
      <c r="AH238" s="7" t="str">
        <f>IF(CT[[#This Row],[Container Qty]]&lt;&gt;0,CT[[#This Row],[Sales Rate/MT (USD)]]*CT[[#This Row],[Container Qty]],"")</f>
        <v/>
      </c>
      <c r="AI238" s="7" t="str">
        <f>IF(CT[[#This Row],[Customer Final Price]]&lt;&gt;"",CT[[#This Row],[Customer Final Price]]-CT[[#This Row],[Customer  Prov. Price]],"")</f>
        <v/>
      </c>
      <c r="AJ238" t="s">
        <v>8</v>
      </c>
      <c r="AK238" s="1" t="s">
        <v>159</v>
      </c>
      <c r="AL238" s="1"/>
      <c r="AM238" s="100" t="s">
        <v>134</v>
      </c>
    </row>
    <row r="239" spans="1:39" x14ac:dyDescent="0.25">
      <c r="A239" t="s">
        <v>9</v>
      </c>
      <c r="B239" s="102"/>
      <c r="C239" s="81"/>
      <c r="D239" s="1" t="s">
        <v>67</v>
      </c>
      <c r="F239" s="11"/>
      <c r="G239" s="3"/>
      <c r="H239" s="3"/>
      <c r="I239" s="1"/>
      <c r="J239" s="1"/>
      <c r="K239" s="1"/>
      <c r="L239" s="1"/>
      <c r="M239" s="14">
        <v>25</v>
      </c>
      <c r="N239" s="1"/>
      <c r="O239" s="7"/>
      <c r="P239" s="7">
        <f>CT[[#This Row],[Purchase Rate/MT (USD)]]*CT[[#This Row],[PC Qty (MT)]]</f>
        <v>0</v>
      </c>
      <c r="Q239" s="7">
        <f>CT[[#This Row],[Purchase Rate/MT (USD)]]*CT[[#This Row],[Container Qty]]</f>
        <v>0</v>
      </c>
      <c r="R239" s="7" t="str">
        <f>IF(CT[[#This Row],[BL Number]]&lt;&gt;0,(CT[[#This Row],[Supplier Prov. Price]]-CT[[#This Row],[Supplier Final Price]])*1.2,"")</f>
        <v/>
      </c>
      <c r="S239" s="101"/>
      <c r="T239" s="3"/>
      <c r="U239" s="7"/>
      <c r="V239" s="7"/>
      <c r="W239" s="24"/>
      <c r="X239" s="7">
        <f>IFERROR(CT[[#This Row],[Freight Charges]]+CT[[#This Row],[Inspection Cost/MT]]+CT[[#This Row],[DHL Charges PMT]],"")</f>
        <v>0</v>
      </c>
      <c r="Y239" s="7">
        <f>IFERROR(AF239-(O239+CT[[#This Row],[Cost Per MT]]),"")</f>
        <v>335</v>
      </c>
      <c r="Z239" s="7">
        <f>IFERROR(CT[[#This Row],[Margin/MT]]*CT[[#This Row],[Container Qty]],"")</f>
        <v>0</v>
      </c>
      <c r="AA239" s="7"/>
      <c r="AB239" t="s">
        <v>11</v>
      </c>
      <c r="AC239" s="1" t="s">
        <v>158</v>
      </c>
      <c r="AD239" s="3">
        <v>45861</v>
      </c>
      <c r="AE239" s="14">
        <f t="shared" si="33"/>
        <v>25</v>
      </c>
      <c r="AF239" s="7">
        <v>335</v>
      </c>
      <c r="AG239" s="7">
        <f>CT[[#This Row],[Sales Rate/MT (USD)]]*CT[[#This Row],[SC Qty (MT)]]</f>
        <v>8375</v>
      </c>
      <c r="AH239" s="7" t="str">
        <f>IF(CT[[#This Row],[Container Qty]]&lt;&gt;0,CT[[#This Row],[Sales Rate/MT (USD)]]*CT[[#This Row],[Container Qty]],"")</f>
        <v/>
      </c>
      <c r="AI239" s="7" t="str">
        <f>IF(CT[[#This Row],[Customer Final Price]]&lt;&gt;"",CT[[#This Row],[Customer Final Price]]-CT[[#This Row],[Customer  Prov. Price]],"")</f>
        <v/>
      </c>
      <c r="AJ239" t="s">
        <v>8</v>
      </c>
      <c r="AK239" s="1" t="s">
        <v>159</v>
      </c>
      <c r="AL239" s="1"/>
      <c r="AM239" s="100" t="s">
        <v>134</v>
      </c>
    </row>
    <row r="240" spans="1:39" x14ac:dyDescent="0.25">
      <c r="A240" t="s">
        <v>9</v>
      </c>
      <c r="B240" s="102"/>
      <c r="C240" s="81"/>
      <c r="D240" s="1" t="s">
        <v>67</v>
      </c>
      <c r="F240" s="11"/>
      <c r="G240" s="3"/>
      <c r="H240" s="3"/>
      <c r="I240" s="1"/>
      <c r="J240" s="1"/>
      <c r="K240" s="1"/>
      <c r="L240" s="1"/>
      <c r="M240" s="14">
        <v>25</v>
      </c>
      <c r="N240" s="1"/>
      <c r="O240" s="7"/>
      <c r="P240" s="7">
        <f>CT[[#This Row],[Purchase Rate/MT (USD)]]*CT[[#This Row],[PC Qty (MT)]]</f>
        <v>0</v>
      </c>
      <c r="Q240" s="7">
        <f>CT[[#This Row],[Purchase Rate/MT (USD)]]*CT[[#This Row],[Container Qty]]</f>
        <v>0</v>
      </c>
      <c r="R240" s="7" t="str">
        <f>IF(CT[[#This Row],[BL Number]]&lt;&gt;0,(CT[[#This Row],[Supplier Prov. Price]]-CT[[#This Row],[Supplier Final Price]])*1.2,"")</f>
        <v/>
      </c>
      <c r="S240" s="101"/>
      <c r="T240" s="3"/>
      <c r="U240" s="7"/>
      <c r="V240" s="7"/>
      <c r="W240" s="24"/>
      <c r="X240" s="7">
        <f>IFERROR(CT[[#This Row],[Freight Charges]]+CT[[#This Row],[Inspection Cost/MT]]+CT[[#This Row],[DHL Charges PMT]],"")</f>
        <v>0</v>
      </c>
      <c r="Y240" s="7">
        <f>IFERROR(AF240-(O240+CT[[#This Row],[Cost Per MT]]),"")</f>
        <v>335</v>
      </c>
      <c r="Z240" s="7">
        <f>IFERROR(CT[[#This Row],[Margin/MT]]*CT[[#This Row],[Container Qty]],"")</f>
        <v>0</v>
      </c>
      <c r="AA240" s="7"/>
      <c r="AB240" t="s">
        <v>11</v>
      </c>
      <c r="AC240" s="1" t="s">
        <v>158</v>
      </c>
      <c r="AD240" s="3">
        <v>45861</v>
      </c>
      <c r="AE240" s="14">
        <f t="shared" si="33"/>
        <v>25</v>
      </c>
      <c r="AF240" s="7">
        <v>335</v>
      </c>
      <c r="AG240" s="7">
        <f>CT[[#This Row],[Sales Rate/MT (USD)]]*CT[[#This Row],[SC Qty (MT)]]</f>
        <v>8375</v>
      </c>
      <c r="AH240" s="7" t="str">
        <f>IF(CT[[#This Row],[Container Qty]]&lt;&gt;0,CT[[#This Row],[Sales Rate/MT (USD)]]*CT[[#This Row],[Container Qty]],"")</f>
        <v/>
      </c>
      <c r="AI240" s="7" t="str">
        <f>IF(CT[[#This Row],[Customer Final Price]]&lt;&gt;"",CT[[#This Row],[Customer Final Price]]-CT[[#This Row],[Customer  Prov. Price]],"")</f>
        <v/>
      </c>
      <c r="AJ240" t="s">
        <v>8</v>
      </c>
      <c r="AK240" s="1" t="s">
        <v>159</v>
      </c>
      <c r="AL240" s="1"/>
      <c r="AM240" s="100" t="s">
        <v>134</v>
      </c>
    </row>
    <row r="241" spans="1:39" x14ac:dyDescent="0.25">
      <c r="A241" t="s">
        <v>9</v>
      </c>
      <c r="B241" s="102"/>
      <c r="C241" s="81"/>
      <c r="D241" s="1" t="s">
        <v>67</v>
      </c>
      <c r="F241" s="11"/>
      <c r="G241" s="3"/>
      <c r="H241" s="3"/>
      <c r="I241" s="1"/>
      <c r="J241" s="1"/>
      <c r="K241" s="1"/>
      <c r="L241" s="1"/>
      <c r="M241" s="14">
        <v>25</v>
      </c>
      <c r="N241" s="1"/>
      <c r="O241" s="7"/>
      <c r="P241" s="7">
        <f>CT[[#This Row],[Purchase Rate/MT (USD)]]*CT[[#This Row],[PC Qty (MT)]]</f>
        <v>0</v>
      </c>
      <c r="Q241" s="7">
        <f>CT[[#This Row],[Purchase Rate/MT (USD)]]*CT[[#This Row],[Container Qty]]</f>
        <v>0</v>
      </c>
      <c r="R241" s="7" t="str">
        <f>IF(CT[[#This Row],[BL Number]]&lt;&gt;0,(CT[[#This Row],[Supplier Prov. Price]]-CT[[#This Row],[Supplier Final Price]])*1.2,"")</f>
        <v/>
      </c>
      <c r="S241" s="101"/>
      <c r="T241" s="3"/>
      <c r="U241" s="7"/>
      <c r="V241" s="7"/>
      <c r="W241" s="24"/>
      <c r="X241" s="7">
        <f>IFERROR(CT[[#This Row],[Freight Charges]]+CT[[#This Row],[Inspection Cost/MT]]+CT[[#This Row],[DHL Charges PMT]],"")</f>
        <v>0</v>
      </c>
      <c r="Y241" s="7">
        <f>IFERROR(AF241-(O241+CT[[#This Row],[Cost Per MT]]),"")</f>
        <v>335</v>
      </c>
      <c r="Z241" s="7">
        <f>IFERROR(CT[[#This Row],[Margin/MT]]*CT[[#This Row],[Container Qty]],"")</f>
        <v>0</v>
      </c>
      <c r="AA241" s="7"/>
      <c r="AB241" t="s">
        <v>11</v>
      </c>
      <c r="AC241" s="1" t="s">
        <v>158</v>
      </c>
      <c r="AD241" s="3">
        <v>45861</v>
      </c>
      <c r="AE241" s="14">
        <f t="shared" si="33"/>
        <v>25</v>
      </c>
      <c r="AF241" s="7">
        <v>335</v>
      </c>
      <c r="AG241" s="7">
        <f>CT[[#This Row],[Sales Rate/MT (USD)]]*CT[[#This Row],[SC Qty (MT)]]</f>
        <v>8375</v>
      </c>
      <c r="AH241" s="7" t="str">
        <f>IF(CT[[#This Row],[Container Qty]]&lt;&gt;0,CT[[#This Row],[Sales Rate/MT (USD)]]*CT[[#This Row],[Container Qty]],"")</f>
        <v/>
      </c>
      <c r="AI241" s="7" t="str">
        <f>IF(CT[[#This Row],[Customer Final Price]]&lt;&gt;"",CT[[#This Row],[Customer Final Price]]-CT[[#This Row],[Customer  Prov. Price]],"")</f>
        <v/>
      </c>
      <c r="AJ241" t="s">
        <v>8</v>
      </c>
      <c r="AK241" s="1" t="s">
        <v>159</v>
      </c>
      <c r="AL241" s="1"/>
      <c r="AM241" s="100" t="s">
        <v>134</v>
      </c>
    </row>
    <row r="242" spans="1:39" x14ac:dyDescent="0.25">
      <c r="A242" t="s">
        <v>9</v>
      </c>
      <c r="B242" s="102"/>
      <c r="C242" s="81"/>
      <c r="D242" s="1" t="s">
        <v>67</v>
      </c>
      <c r="F242" s="11"/>
      <c r="G242" s="3"/>
      <c r="H242" s="3"/>
      <c r="I242" s="1"/>
      <c r="J242" s="1"/>
      <c r="K242" s="1"/>
      <c r="L242" s="1"/>
      <c r="M242" s="14">
        <v>25</v>
      </c>
      <c r="N242" s="1"/>
      <c r="O242" s="7"/>
      <c r="P242" s="7">
        <f>CT[[#This Row],[Purchase Rate/MT (USD)]]*CT[[#This Row],[PC Qty (MT)]]</f>
        <v>0</v>
      </c>
      <c r="Q242" s="7">
        <f>CT[[#This Row],[Purchase Rate/MT (USD)]]*CT[[#This Row],[Container Qty]]</f>
        <v>0</v>
      </c>
      <c r="R242" s="7" t="str">
        <f>IF(CT[[#This Row],[BL Number]]&lt;&gt;0,(CT[[#This Row],[Supplier Prov. Price]]-CT[[#This Row],[Supplier Final Price]])*1.2,"")</f>
        <v/>
      </c>
      <c r="S242" s="101"/>
      <c r="T242" s="3"/>
      <c r="U242" s="7"/>
      <c r="V242" s="7"/>
      <c r="W242" s="24"/>
      <c r="X242" s="7">
        <f>IFERROR(CT[[#This Row],[Freight Charges]]+CT[[#This Row],[Inspection Cost/MT]]+CT[[#This Row],[DHL Charges PMT]],"")</f>
        <v>0</v>
      </c>
      <c r="Y242" s="7">
        <f>IFERROR(AF242-(O242+CT[[#This Row],[Cost Per MT]]),"")</f>
        <v>335</v>
      </c>
      <c r="Z242" s="7">
        <f>IFERROR(CT[[#This Row],[Margin/MT]]*CT[[#This Row],[Container Qty]],"")</f>
        <v>0</v>
      </c>
      <c r="AA242" s="7"/>
      <c r="AB242" t="s">
        <v>11</v>
      </c>
      <c r="AC242" s="1" t="s">
        <v>158</v>
      </c>
      <c r="AD242" s="3">
        <v>45861</v>
      </c>
      <c r="AE242" s="14">
        <f t="shared" si="33"/>
        <v>25</v>
      </c>
      <c r="AF242" s="7">
        <v>335</v>
      </c>
      <c r="AG242" s="7">
        <f>CT[[#This Row],[Sales Rate/MT (USD)]]*CT[[#This Row],[SC Qty (MT)]]</f>
        <v>8375</v>
      </c>
      <c r="AH242" s="7" t="str">
        <f>IF(CT[[#This Row],[Container Qty]]&lt;&gt;0,CT[[#This Row],[Sales Rate/MT (USD)]]*CT[[#This Row],[Container Qty]],"")</f>
        <v/>
      </c>
      <c r="AI242" s="7" t="str">
        <f>IF(CT[[#This Row],[Customer Final Price]]&lt;&gt;"",CT[[#This Row],[Customer Final Price]]-CT[[#This Row],[Customer  Prov. Price]],"")</f>
        <v/>
      </c>
      <c r="AJ242" t="s">
        <v>8</v>
      </c>
      <c r="AK242" s="1" t="s">
        <v>159</v>
      </c>
      <c r="AL242" s="1"/>
      <c r="AM242" s="100" t="s">
        <v>134</v>
      </c>
    </row>
    <row r="243" spans="1:39" x14ac:dyDescent="0.25">
      <c r="A243" t="s">
        <v>9</v>
      </c>
      <c r="B243" s="102"/>
      <c r="C243" s="81"/>
      <c r="D243" s="1" t="s">
        <v>67</v>
      </c>
      <c r="F243" s="11"/>
      <c r="G243" s="3"/>
      <c r="H243" s="3"/>
      <c r="I243" s="1"/>
      <c r="J243" s="1"/>
      <c r="K243" s="1"/>
      <c r="L243" s="1"/>
      <c r="M243" s="14">
        <v>25</v>
      </c>
      <c r="N243" s="1"/>
      <c r="O243" s="7"/>
      <c r="P243" s="7">
        <f>CT[[#This Row],[Purchase Rate/MT (USD)]]*CT[[#This Row],[PC Qty (MT)]]</f>
        <v>0</v>
      </c>
      <c r="Q243" s="7">
        <f>CT[[#This Row],[Purchase Rate/MT (USD)]]*CT[[#This Row],[Container Qty]]</f>
        <v>0</v>
      </c>
      <c r="R243" s="7" t="str">
        <f>IF(CT[[#This Row],[BL Number]]&lt;&gt;0,(CT[[#This Row],[Supplier Prov. Price]]-CT[[#This Row],[Supplier Final Price]])*1.2,"")</f>
        <v/>
      </c>
      <c r="S243" s="101"/>
      <c r="T243" s="3"/>
      <c r="U243" s="7"/>
      <c r="V243" s="7"/>
      <c r="W243" s="24"/>
      <c r="X243" s="7">
        <f>IFERROR(CT[[#This Row],[Freight Charges]]+CT[[#This Row],[Inspection Cost/MT]]+CT[[#This Row],[DHL Charges PMT]],"")</f>
        <v>0</v>
      </c>
      <c r="Y243" s="7">
        <f>IFERROR(AF243-(O243+CT[[#This Row],[Cost Per MT]]),"")</f>
        <v>335</v>
      </c>
      <c r="Z243" s="7">
        <f>IFERROR(CT[[#This Row],[Margin/MT]]*CT[[#This Row],[Container Qty]],"")</f>
        <v>0</v>
      </c>
      <c r="AA243" s="7"/>
      <c r="AB243" t="s">
        <v>11</v>
      </c>
      <c r="AC243" s="1" t="s">
        <v>158</v>
      </c>
      <c r="AD243" s="3">
        <v>45861</v>
      </c>
      <c r="AE243" s="14">
        <f t="shared" si="33"/>
        <v>25</v>
      </c>
      <c r="AF243" s="7">
        <v>335</v>
      </c>
      <c r="AG243" s="7">
        <f>CT[[#This Row],[Sales Rate/MT (USD)]]*CT[[#This Row],[SC Qty (MT)]]</f>
        <v>8375</v>
      </c>
      <c r="AH243" s="7" t="str">
        <f>IF(CT[[#This Row],[Container Qty]]&lt;&gt;0,CT[[#This Row],[Sales Rate/MT (USD)]]*CT[[#This Row],[Container Qty]],"")</f>
        <v/>
      </c>
      <c r="AI243" s="7" t="str">
        <f>IF(CT[[#This Row],[Customer Final Price]]&lt;&gt;"",CT[[#This Row],[Customer Final Price]]-CT[[#This Row],[Customer  Prov. Price]],"")</f>
        <v/>
      </c>
      <c r="AJ243" t="s">
        <v>8</v>
      </c>
      <c r="AK243" s="1" t="s">
        <v>159</v>
      </c>
      <c r="AL243" s="1"/>
      <c r="AM243" s="100" t="s">
        <v>134</v>
      </c>
    </row>
    <row r="244" spans="1:39" x14ac:dyDescent="0.25">
      <c r="A244" t="s">
        <v>9</v>
      </c>
      <c r="B244" s="102"/>
      <c r="C244" s="81"/>
      <c r="D244" s="1" t="s">
        <v>67</v>
      </c>
      <c r="F244" s="11"/>
      <c r="G244" s="3"/>
      <c r="H244" s="3"/>
      <c r="I244" s="1"/>
      <c r="J244" s="1"/>
      <c r="K244" s="1"/>
      <c r="L244" s="1"/>
      <c r="M244" s="14">
        <v>25</v>
      </c>
      <c r="N244" s="1"/>
      <c r="O244" s="7"/>
      <c r="P244" s="7">
        <f>CT[[#This Row],[Purchase Rate/MT (USD)]]*CT[[#This Row],[PC Qty (MT)]]</f>
        <v>0</v>
      </c>
      <c r="Q244" s="7">
        <f>CT[[#This Row],[Purchase Rate/MT (USD)]]*CT[[#This Row],[Container Qty]]</f>
        <v>0</v>
      </c>
      <c r="R244" s="7" t="str">
        <f>IF(CT[[#This Row],[BL Number]]&lt;&gt;0,(CT[[#This Row],[Supplier Prov. Price]]-CT[[#This Row],[Supplier Final Price]])*1.2,"")</f>
        <v/>
      </c>
      <c r="S244" s="101"/>
      <c r="T244" s="3"/>
      <c r="U244" s="7"/>
      <c r="V244" s="7"/>
      <c r="W244" s="24"/>
      <c r="X244" s="7">
        <f>IFERROR(CT[[#This Row],[Freight Charges]]+CT[[#This Row],[Inspection Cost/MT]]+CT[[#This Row],[DHL Charges PMT]],"")</f>
        <v>0</v>
      </c>
      <c r="Y244" s="7">
        <f>IFERROR(AF244-(O244+CT[[#This Row],[Cost Per MT]]),"")</f>
        <v>335</v>
      </c>
      <c r="Z244" s="7">
        <f>IFERROR(CT[[#This Row],[Margin/MT]]*CT[[#This Row],[Container Qty]],"")</f>
        <v>0</v>
      </c>
      <c r="AA244" s="7"/>
      <c r="AB244" t="s">
        <v>11</v>
      </c>
      <c r="AC244" s="1" t="s">
        <v>158</v>
      </c>
      <c r="AD244" s="3">
        <v>45861</v>
      </c>
      <c r="AE244" s="14">
        <f t="shared" si="33"/>
        <v>25</v>
      </c>
      <c r="AF244" s="7">
        <v>335</v>
      </c>
      <c r="AG244" s="7">
        <f>CT[[#This Row],[Sales Rate/MT (USD)]]*CT[[#This Row],[SC Qty (MT)]]</f>
        <v>8375</v>
      </c>
      <c r="AH244" s="7" t="str">
        <f>IF(CT[[#This Row],[Container Qty]]&lt;&gt;0,CT[[#This Row],[Sales Rate/MT (USD)]]*CT[[#This Row],[Container Qty]],"")</f>
        <v/>
      </c>
      <c r="AI244" s="7" t="str">
        <f>IF(CT[[#This Row],[Customer Final Price]]&lt;&gt;"",CT[[#This Row],[Customer Final Price]]-CT[[#This Row],[Customer  Prov. Price]],"")</f>
        <v/>
      </c>
      <c r="AJ244" t="s">
        <v>8</v>
      </c>
      <c r="AK244" s="1" t="s">
        <v>159</v>
      </c>
      <c r="AL244" s="1"/>
      <c r="AM244" s="100" t="s">
        <v>134</v>
      </c>
    </row>
    <row r="245" spans="1:39" x14ac:dyDescent="0.25">
      <c r="A245" t="s">
        <v>9</v>
      </c>
      <c r="B245" s="102"/>
      <c r="C245" s="81"/>
      <c r="D245" s="1" t="s">
        <v>67</v>
      </c>
      <c r="F245" s="11"/>
      <c r="G245" s="3"/>
      <c r="H245" s="3"/>
      <c r="I245" s="1"/>
      <c r="J245" s="1"/>
      <c r="K245" s="1"/>
      <c r="L245" s="1"/>
      <c r="M245" s="14">
        <v>25</v>
      </c>
      <c r="N245" s="1"/>
      <c r="O245" s="7"/>
      <c r="P245" s="7">
        <f>CT[[#This Row],[Purchase Rate/MT (USD)]]*CT[[#This Row],[PC Qty (MT)]]</f>
        <v>0</v>
      </c>
      <c r="Q245" s="7">
        <f>CT[[#This Row],[Purchase Rate/MT (USD)]]*CT[[#This Row],[Container Qty]]</f>
        <v>0</v>
      </c>
      <c r="R245" s="7" t="str">
        <f>IF(CT[[#This Row],[BL Number]]&lt;&gt;0,(CT[[#This Row],[Supplier Prov. Price]]-CT[[#This Row],[Supplier Final Price]])*1.2,"")</f>
        <v/>
      </c>
      <c r="S245" s="101"/>
      <c r="T245" s="3"/>
      <c r="U245" s="7"/>
      <c r="V245" s="7"/>
      <c r="W245" s="24"/>
      <c r="X245" s="7">
        <f>IFERROR(CT[[#This Row],[Freight Charges]]+CT[[#This Row],[Inspection Cost/MT]]+CT[[#This Row],[DHL Charges PMT]],"")</f>
        <v>0</v>
      </c>
      <c r="Y245" s="7">
        <f>IFERROR(AF245-(O245+CT[[#This Row],[Cost Per MT]]),"")</f>
        <v>335</v>
      </c>
      <c r="Z245" s="7">
        <f>IFERROR(CT[[#This Row],[Margin/MT]]*CT[[#This Row],[Container Qty]],"")</f>
        <v>0</v>
      </c>
      <c r="AA245" s="7"/>
      <c r="AB245" t="s">
        <v>11</v>
      </c>
      <c r="AC245" s="1" t="s">
        <v>158</v>
      </c>
      <c r="AD245" s="3">
        <v>45861</v>
      </c>
      <c r="AE245" s="14">
        <f t="shared" si="33"/>
        <v>25</v>
      </c>
      <c r="AF245" s="7">
        <v>335</v>
      </c>
      <c r="AG245" s="7">
        <f>CT[[#This Row],[Sales Rate/MT (USD)]]*CT[[#This Row],[SC Qty (MT)]]</f>
        <v>8375</v>
      </c>
      <c r="AH245" s="7" t="str">
        <f>IF(CT[[#This Row],[Container Qty]]&lt;&gt;0,CT[[#This Row],[Sales Rate/MT (USD)]]*CT[[#This Row],[Container Qty]],"")</f>
        <v/>
      </c>
      <c r="AI245" s="7" t="str">
        <f>IF(CT[[#This Row],[Customer Final Price]]&lt;&gt;"",CT[[#This Row],[Customer Final Price]]-CT[[#This Row],[Customer  Prov. Price]],"")</f>
        <v/>
      </c>
      <c r="AJ245" t="s">
        <v>8</v>
      </c>
      <c r="AK245" s="1" t="s">
        <v>159</v>
      </c>
      <c r="AL245" s="1"/>
      <c r="AM245" s="100" t="s">
        <v>134</v>
      </c>
    </row>
    <row r="246" spans="1:39" x14ac:dyDescent="0.25">
      <c r="A246" t="s">
        <v>9</v>
      </c>
      <c r="B246" s="102"/>
      <c r="C246" s="81"/>
      <c r="D246" s="1" t="s">
        <v>67</v>
      </c>
      <c r="F246" s="11"/>
      <c r="G246" s="3"/>
      <c r="H246" s="3"/>
      <c r="I246" s="1"/>
      <c r="J246" s="1"/>
      <c r="K246" s="1"/>
      <c r="L246" s="1"/>
      <c r="M246" s="14">
        <v>25</v>
      </c>
      <c r="N246" s="1"/>
      <c r="O246" s="7"/>
      <c r="P246" s="7">
        <f>CT[[#This Row],[Purchase Rate/MT (USD)]]*CT[[#This Row],[PC Qty (MT)]]</f>
        <v>0</v>
      </c>
      <c r="Q246" s="7">
        <f>CT[[#This Row],[Purchase Rate/MT (USD)]]*CT[[#This Row],[Container Qty]]</f>
        <v>0</v>
      </c>
      <c r="R246" s="7" t="str">
        <f>IF(CT[[#This Row],[BL Number]]&lt;&gt;0,(CT[[#This Row],[Supplier Prov. Price]]-CT[[#This Row],[Supplier Final Price]])*1.2,"")</f>
        <v/>
      </c>
      <c r="S246" s="101"/>
      <c r="T246" s="3"/>
      <c r="U246" s="7"/>
      <c r="V246" s="7"/>
      <c r="W246" s="24"/>
      <c r="X246" s="7">
        <f>IFERROR(CT[[#This Row],[Freight Charges]]+CT[[#This Row],[Inspection Cost/MT]]+CT[[#This Row],[DHL Charges PMT]],"")</f>
        <v>0</v>
      </c>
      <c r="Y246" s="7">
        <f>IFERROR(AF246-(O246+CT[[#This Row],[Cost Per MT]]),"")</f>
        <v>335</v>
      </c>
      <c r="Z246" s="7">
        <f>IFERROR(CT[[#This Row],[Margin/MT]]*CT[[#This Row],[Container Qty]],"")</f>
        <v>0</v>
      </c>
      <c r="AA246" s="7"/>
      <c r="AB246" t="s">
        <v>11</v>
      </c>
      <c r="AC246" s="1" t="s">
        <v>158</v>
      </c>
      <c r="AD246" s="3">
        <v>45861</v>
      </c>
      <c r="AE246" s="14">
        <f t="shared" si="33"/>
        <v>25</v>
      </c>
      <c r="AF246" s="7">
        <v>335</v>
      </c>
      <c r="AG246" s="7">
        <f>CT[[#This Row],[Sales Rate/MT (USD)]]*CT[[#This Row],[SC Qty (MT)]]</f>
        <v>8375</v>
      </c>
      <c r="AH246" s="7" t="str">
        <f>IF(CT[[#This Row],[Container Qty]]&lt;&gt;0,CT[[#This Row],[Sales Rate/MT (USD)]]*CT[[#This Row],[Container Qty]],"")</f>
        <v/>
      </c>
      <c r="AI246" s="7" t="str">
        <f>IF(CT[[#This Row],[Customer Final Price]]&lt;&gt;"",CT[[#This Row],[Customer Final Price]]-CT[[#This Row],[Customer  Prov. Price]],"")</f>
        <v/>
      </c>
      <c r="AJ246" t="s">
        <v>8</v>
      </c>
      <c r="AK246" s="1" t="s">
        <v>159</v>
      </c>
      <c r="AL246" s="1"/>
      <c r="AM246" s="100" t="s">
        <v>134</v>
      </c>
    </row>
    <row r="247" spans="1:39" x14ac:dyDescent="0.25">
      <c r="A247" t="s">
        <v>9</v>
      </c>
      <c r="B247" s="102"/>
      <c r="C247" s="81"/>
      <c r="D247" s="1" t="s">
        <v>67</v>
      </c>
      <c r="F247" s="11"/>
      <c r="G247" s="3"/>
      <c r="H247" s="3"/>
      <c r="I247" s="1"/>
      <c r="J247" s="1"/>
      <c r="K247" s="1"/>
      <c r="L247" s="1"/>
      <c r="M247" s="14">
        <v>25</v>
      </c>
      <c r="N247" s="1"/>
      <c r="O247" s="7"/>
      <c r="P247" s="7">
        <f>CT[[#This Row],[Purchase Rate/MT (USD)]]*CT[[#This Row],[PC Qty (MT)]]</f>
        <v>0</v>
      </c>
      <c r="Q247" s="7">
        <f>CT[[#This Row],[Purchase Rate/MT (USD)]]*CT[[#This Row],[Container Qty]]</f>
        <v>0</v>
      </c>
      <c r="R247" s="7" t="str">
        <f>IF(CT[[#This Row],[BL Number]]&lt;&gt;0,(CT[[#This Row],[Supplier Prov. Price]]-CT[[#This Row],[Supplier Final Price]])*1.2,"")</f>
        <v/>
      </c>
      <c r="S247" s="101"/>
      <c r="T247" s="3"/>
      <c r="U247" s="7"/>
      <c r="V247" s="7"/>
      <c r="W247" s="24"/>
      <c r="X247" s="7">
        <f>IFERROR(CT[[#This Row],[Freight Charges]]+CT[[#This Row],[Inspection Cost/MT]]+CT[[#This Row],[DHL Charges PMT]],"")</f>
        <v>0</v>
      </c>
      <c r="Y247" s="7">
        <f>IFERROR(AF247-(O247+CT[[#This Row],[Cost Per MT]]),"")</f>
        <v>335</v>
      </c>
      <c r="Z247" s="7">
        <f>IFERROR(CT[[#This Row],[Margin/MT]]*CT[[#This Row],[Container Qty]],"")</f>
        <v>0</v>
      </c>
      <c r="AA247" s="7"/>
      <c r="AB247" t="s">
        <v>11</v>
      </c>
      <c r="AC247" s="1" t="s">
        <v>158</v>
      </c>
      <c r="AD247" s="3">
        <v>45861</v>
      </c>
      <c r="AE247" s="14">
        <f t="shared" si="33"/>
        <v>25</v>
      </c>
      <c r="AF247" s="7">
        <v>335</v>
      </c>
      <c r="AG247" s="7">
        <f>CT[[#This Row],[Sales Rate/MT (USD)]]*CT[[#This Row],[SC Qty (MT)]]</f>
        <v>8375</v>
      </c>
      <c r="AH247" s="7" t="str">
        <f>IF(CT[[#This Row],[Container Qty]]&lt;&gt;0,CT[[#This Row],[Sales Rate/MT (USD)]]*CT[[#This Row],[Container Qty]],"")</f>
        <v/>
      </c>
      <c r="AI247" s="7" t="str">
        <f>IF(CT[[#This Row],[Customer Final Price]]&lt;&gt;"",CT[[#This Row],[Customer Final Price]]-CT[[#This Row],[Customer  Prov. Price]],"")</f>
        <v/>
      </c>
      <c r="AJ247" t="s">
        <v>8</v>
      </c>
      <c r="AK247" s="1" t="s">
        <v>159</v>
      </c>
      <c r="AL247" s="1"/>
      <c r="AM247" s="100" t="s">
        <v>134</v>
      </c>
    </row>
    <row r="248" spans="1:39" x14ac:dyDescent="0.25">
      <c r="A248" t="s">
        <v>9</v>
      </c>
      <c r="B248" s="102"/>
      <c r="C248" s="81"/>
      <c r="D248" s="1" t="s">
        <v>67</v>
      </c>
      <c r="F248" s="11"/>
      <c r="G248" s="3"/>
      <c r="H248" s="3"/>
      <c r="I248" s="1"/>
      <c r="J248" s="1"/>
      <c r="K248" s="1"/>
      <c r="L248" s="1"/>
      <c r="M248" s="14">
        <v>25</v>
      </c>
      <c r="N248" s="1"/>
      <c r="O248" s="7"/>
      <c r="P248" s="7">
        <f>CT[[#This Row],[Purchase Rate/MT (USD)]]*CT[[#This Row],[PC Qty (MT)]]</f>
        <v>0</v>
      </c>
      <c r="Q248" s="7">
        <f>CT[[#This Row],[Purchase Rate/MT (USD)]]*CT[[#This Row],[Container Qty]]</f>
        <v>0</v>
      </c>
      <c r="R248" s="7" t="str">
        <f>IF(CT[[#This Row],[BL Number]]&lt;&gt;0,(CT[[#This Row],[Supplier Prov. Price]]-CT[[#This Row],[Supplier Final Price]])*1.2,"")</f>
        <v/>
      </c>
      <c r="S248" s="101"/>
      <c r="T248" s="3"/>
      <c r="U248" s="7"/>
      <c r="V248" s="7"/>
      <c r="W248" s="24"/>
      <c r="X248" s="7">
        <f>IFERROR(CT[[#This Row],[Freight Charges]]+CT[[#This Row],[Inspection Cost/MT]]+CT[[#This Row],[DHL Charges PMT]],"")</f>
        <v>0</v>
      </c>
      <c r="Y248" s="7">
        <f>IFERROR(AF248-(O248+CT[[#This Row],[Cost Per MT]]),"")</f>
        <v>335</v>
      </c>
      <c r="Z248" s="7">
        <f>IFERROR(CT[[#This Row],[Margin/MT]]*CT[[#This Row],[Container Qty]],"")</f>
        <v>0</v>
      </c>
      <c r="AA248" s="7"/>
      <c r="AB248" t="s">
        <v>11</v>
      </c>
      <c r="AC248" s="1" t="s">
        <v>158</v>
      </c>
      <c r="AD248" s="3">
        <v>45861</v>
      </c>
      <c r="AE248" s="14">
        <f t="shared" si="33"/>
        <v>25</v>
      </c>
      <c r="AF248" s="7">
        <v>335</v>
      </c>
      <c r="AG248" s="7">
        <f>CT[[#This Row],[Sales Rate/MT (USD)]]*CT[[#This Row],[SC Qty (MT)]]</f>
        <v>8375</v>
      </c>
      <c r="AH248" s="7" t="str">
        <f>IF(CT[[#This Row],[Container Qty]]&lt;&gt;0,CT[[#This Row],[Sales Rate/MT (USD)]]*CT[[#This Row],[Container Qty]],"")</f>
        <v/>
      </c>
      <c r="AI248" s="7" t="str">
        <f>IF(CT[[#This Row],[Customer Final Price]]&lt;&gt;"",CT[[#This Row],[Customer Final Price]]-CT[[#This Row],[Customer  Prov. Price]],"")</f>
        <v/>
      </c>
      <c r="AJ248" t="s">
        <v>8</v>
      </c>
      <c r="AK248" s="1" t="s">
        <v>159</v>
      </c>
      <c r="AL248" s="1"/>
      <c r="AM248" s="100" t="s">
        <v>134</v>
      </c>
    </row>
    <row r="249" spans="1:39" x14ac:dyDescent="0.25">
      <c r="A249" t="s">
        <v>9</v>
      </c>
      <c r="B249" s="102"/>
      <c r="C249" s="81"/>
      <c r="D249" s="1" t="s">
        <v>67</v>
      </c>
      <c r="F249" s="11"/>
      <c r="G249" s="3"/>
      <c r="H249" s="3"/>
      <c r="I249" s="1"/>
      <c r="J249" s="1"/>
      <c r="K249" s="1"/>
      <c r="L249" s="1"/>
      <c r="M249" s="14">
        <v>25</v>
      </c>
      <c r="N249" s="1"/>
      <c r="O249" s="7"/>
      <c r="P249" s="7">
        <f>CT[[#This Row],[Purchase Rate/MT (USD)]]*CT[[#This Row],[PC Qty (MT)]]</f>
        <v>0</v>
      </c>
      <c r="Q249" s="7">
        <f>CT[[#This Row],[Purchase Rate/MT (USD)]]*CT[[#This Row],[Container Qty]]</f>
        <v>0</v>
      </c>
      <c r="R249" s="7" t="str">
        <f>IF(CT[[#This Row],[BL Number]]&lt;&gt;0,(CT[[#This Row],[Supplier Prov. Price]]-CT[[#This Row],[Supplier Final Price]])*1.2,"")</f>
        <v/>
      </c>
      <c r="S249" s="101"/>
      <c r="T249" s="3"/>
      <c r="U249" s="7"/>
      <c r="V249" s="7"/>
      <c r="W249" s="24"/>
      <c r="X249" s="7">
        <f>IFERROR(CT[[#This Row],[Freight Charges]]+CT[[#This Row],[Inspection Cost/MT]]+CT[[#This Row],[DHL Charges PMT]],"")</f>
        <v>0</v>
      </c>
      <c r="Y249" s="7">
        <f>IFERROR(AF249-(O249+CT[[#This Row],[Cost Per MT]]),"")</f>
        <v>335</v>
      </c>
      <c r="Z249" s="7">
        <f>IFERROR(CT[[#This Row],[Margin/MT]]*CT[[#This Row],[Container Qty]],"")</f>
        <v>0</v>
      </c>
      <c r="AA249" s="7"/>
      <c r="AB249" t="s">
        <v>11</v>
      </c>
      <c r="AC249" s="1" t="s">
        <v>158</v>
      </c>
      <c r="AD249" s="3">
        <v>45861</v>
      </c>
      <c r="AE249" s="14">
        <f t="shared" si="33"/>
        <v>25</v>
      </c>
      <c r="AF249" s="7">
        <v>335</v>
      </c>
      <c r="AG249" s="7">
        <f>CT[[#This Row],[Sales Rate/MT (USD)]]*CT[[#This Row],[SC Qty (MT)]]</f>
        <v>8375</v>
      </c>
      <c r="AH249" s="7" t="str">
        <f>IF(CT[[#This Row],[Container Qty]]&lt;&gt;0,CT[[#This Row],[Sales Rate/MT (USD)]]*CT[[#This Row],[Container Qty]],"")</f>
        <v/>
      </c>
      <c r="AI249" s="7" t="str">
        <f>IF(CT[[#This Row],[Customer Final Price]]&lt;&gt;"",CT[[#This Row],[Customer Final Price]]-CT[[#This Row],[Customer  Prov. Price]],"")</f>
        <v/>
      </c>
      <c r="AJ249" t="s">
        <v>8</v>
      </c>
      <c r="AK249" s="1" t="s">
        <v>159</v>
      </c>
      <c r="AL249" s="1"/>
      <c r="AM249" s="100" t="s">
        <v>134</v>
      </c>
    </row>
    <row r="250" spans="1:39" x14ac:dyDescent="0.25">
      <c r="A250" t="s">
        <v>9</v>
      </c>
      <c r="B250" s="102"/>
      <c r="C250" s="81"/>
      <c r="D250" s="1" t="s">
        <v>67</v>
      </c>
      <c r="F250" s="11"/>
      <c r="G250" s="3"/>
      <c r="H250" s="3"/>
      <c r="I250" s="1"/>
      <c r="J250" s="1"/>
      <c r="K250" s="1"/>
      <c r="L250" s="1"/>
      <c r="M250" s="14">
        <v>25</v>
      </c>
      <c r="N250" s="1"/>
      <c r="O250" s="7"/>
      <c r="P250" s="7">
        <f>CT[[#This Row],[Purchase Rate/MT (USD)]]*CT[[#This Row],[PC Qty (MT)]]</f>
        <v>0</v>
      </c>
      <c r="Q250" s="7">
        <f>CT[[#This Row],[Purchase Rate/MT (USD)]]*CT[[#This Row],[Container Qty]]</f>
        <v>0</v>
      </c>
      <c r="R250" s="7" t="str">
        <f>IF(CT[[#This Row],[BL Number]]&lt;&gt;0,(CT[[#This Row],[Supplier Prov. Price]]-CT[[#This Row],[Supplier Final Price]])*1.2,"")</f>
        <v/>
      </c>
      <c r="S250" s="101"/>
      <c r="T250" s="3"/>
      <c r="U250" s="7"/>
      <c r="V250" s="7"/>
      <c r="W250" s="24"/>
      <c r="X250" s="7">
        <f>IFERROR(CT[[#This Row],[Freight Charges]]+CT[[#This Row],[Inspection Cost/MT]]+CT[[#This Row],[DHL Charges PMT]],"")</f>
        <v>0</v>
      </c>
      <c r="Y250" s="7">
        <f>IFERROR(AF250-(O250+CT[[#This Row],[Cost Per MT]]),"")</f>
        <v>335</v>
      </c>
      <c r="Z250" s="7">
        <f>IFERROR(CT[[#This Row],[Margin/MT]]*CT[[#This Row],[Container Qty]],"")</f>
        <v>0</v>
      </c>
      <c r="AA250" s="7"/>
      <c r="AB250" t="s">
        <v>11</v>
      </c>
      <c r="AC250" s="1" t="s">
        <v>158</v>
      </c>
      <c r="AD250" s="3">
        <v>45861</v>
      </c>
      <c r="AE250" s="14">
        <f t="shared" si="33"/>
        <v>25</v>
      </c>
      <c r="AF250" s="7">
        <v>335</v>
      </c>
      <c r="AG250" s="7">
        <f>CT[[#This Row],[Sales Rate/MT (USD)]]*CT[[#This Row],[SC Qty (MT)]]</f>
        <v>8375</v>
      </c>
      <c r="AH250" s="7" t="str">
        <f>IF(CT[[#This Row],[Container Qty]]&lt;&gt;0,CT[[#This Row],[Sales Rate/MT (USD)]]*CT[[#This Row],[Container Qty]],"")</f>
        <v/>
      </c>
      <c r="AI250" s="7" t="str">
        <f>IF(CT[[#This Row],[Customer Final Price]]&lt;&gt;"",CT[[#This Row],[Customer Final Price]]-CT[[#This Row],[Customer  Prov. Price]],"")</f>
        <v/>
      </c>
      <c r="AJ250" t="s">
        <v>8</v>
      </c>
      <c r="AK250" s="1" t="s">
        <v>159</v>
      </c>
      <c r="AL250" s="1"/>
      <c r="AM250" s="100" t="s">
        <v>134</v>
      </c>
    </row>
    <row r="251" spans="1:39" x14ac:dyDescent="0.25">
      <c r="A251" t="s">
        <v>9</v>
      </c>
      <c r="B251" s="102"/>
      <c r="C251" s="81"/>
      <c r="D251" s="1" t="s">
        <v>67</v>
      </c>
      <c r="F251" s="11"/>
      <c r="G251" s="3"/>
      <c r="H251" s="3"/>
      <c r="I251" s="1"/>
      <c r="J251" s="1"/>
      <c r="K251" s="1"/>
      <c r="L251" s="1"/>
      <c r="M251" s="14">
        <v>25</v>
      </c>
      <c r="N251" s="1"/>
      <c r="O251" s="7"/>
      <c r="P251" s="7">
        <f>CT[[#This Row],[Purchase Rate/MT (USD)]]*CT[[#This Row],[PC Qty (MT)]]</f>
        <v>0</v>
      </c>
      <c r="Q251" s="7">
        <f>CT[[#This Row],[Purchase Rate/MT (USD)]]*CT[[#This Row],[Container Qty]]</f>
        <v>0</v>
      </c>
      <c r="R251" s="7" t="str">
        <f>IF(CT[[#This Row],[BL Number]]&lt;&gt;0,(CT[[#This Row],[Supplier Prov. Price]]-CT[[#This Row],[Supplier Final Price]])*1.2,"")</f>
        <v/>
      </c>
      <c r="S251" s="101"/>
      <c r="T251" s="3"/>
      <c r="U251" s="7"/>
      <c r="V251" s="7"/>
      <c r="W251" s="24"/>
      <c r="X251" s="7">
        <f>IFERROR(CT[[#This Row],[Freight Charges]]+CT[[#This Row],[Inspection Cost/MT]]+CT[[#This Row],[DHL Charges PMT]],"")</f>
        <v>0</v>
      </c>
      <c r="Y251" s="7">
        <f>IFERROR(AF251-(O251+CT[[#This Row],[Cost Per MT]]),"")</f>
        <v>335</v>
      </c>
      <c r="Z251" s="7">
        <f>IFERROR(CT[[#This Row],[Margin/MT]]*CT[[#This Row],[Container Qty]],"")</f>
        <v>0</v>
      </c>
      <c r="AA251" s="7"/>
      <c r="AB251" t="s">
        <v>11</v>
      </c>
      <c r="AC251" s="1" t="s">
        <v>158</v>
      </c>
      <c r="AD251" s="3">
        <v>45861</v>
      </c>
      <c r="AE251" s="14">
        <f t="shared" si="33"/>
        <v>25</v>
      </c>
      <c r="AF251" s="7">
        <v>335</v>
      </c>
      <c r="AG251" s="7">
        <f>CT[[#This Row],[Sales Rate/MT (USD)]]*CT[[#This Row],[SC Qty (MT)]]</f>
        <v>8375</v>
      </c>
      <c r="AH251" s="7" t="str">
        <f>IF(CT[[#This Row],[Container Qty]]&lt;&gt;0,CT[[#This Row],[Sales Rate/MT (USD)]]*CT[[#This Row],[Container Qty]],"")</f>
        <v/>
      </c>
      <c r="AI251" s="7" t="str">
        <f>IF(CT[[#This Row],[Customer Final Price]]&lt;&gt;"",CT[[#This Row],[Customer Final Price]]-CT[[#This Row],[Customer  Prov. Price]],"")</f>
        <v/>
      </c>
      <c r="AJ251" t="s">
        <v>8</v>
      </c>
      <c r="AK251" s="1" t="s">
        <v>159</v>
      </c>
      <c r="AL251" s="1"/>
      <c r="AM251" s="100" t="s">
        <v>134</v>
      </c>
    </row>
    <row r="252" spans="1:39" x14ac:dyDescent="0.25">
      <c r="A252" t="s">
        <v>9</v>
      </c>
      <c r="B252" s="102"/>
      <c r="C252" s="81"/>
      <c r="D252" s="1" t="s">
        <v>67</v>
      </c>
      <c r="F252" s="11"/>
      <c r="G252" s="3"/>
      <c r="H252" s="3"/>
      <c r="I252" s="1"/>
      <c r="J252" s="1"/>
      <c r="K252" s="1"/>
      <c r="L252" s="1"/>
      <c r="M252" s="14">
        <v>25</v>
      </c>
      <c r="N252" s="1"/>
      <c r="O252" s="7"/>
      <c r="P252" s="7">
        <f>CT[[#This Row],[Purchase Rate/MT (USD)]]*CT[[#This Row],[PC Qty (MT)]]</f>
        <v>0</v>
      </c>
      <c r="Q252" s="7">
        <f>CT[[#This Row],[Purchase Rate/MT (USD)]]*CT[[#This Row],[Container Qty]]</f>
        <v>0</v>
      </c>
      <c r="R252" s="7" t="str">
        <f>IF(CT[[#This Row],[BL Number]]&lt;&gt;0,(CT[[#This Row],[Supplier Prov. Price]]-CT[[#This Row],[Supplier Final Price]])*1.2,"")</f>
        <v/>
      </c>
      <c r="S252" s="101"/>
      <c r="T252" s="3"/>
      <c r="U252" s="7"/>
      <c r="V252" s="7"/>
      <c r="W252" s="24"/>
      <c r="X252" s="7">
        <f>IFERROR(CT[[#This Row],[Freight Charges]]+CT[[#This Row],[Inspection Cost/MT]]+CT[[#This Row],[DHL Charges PMT]],"")</f>
        <v>0</v>
      </c>
      <c r="Y252" s="7">
        <f>IFERROR(AF252-(O252+CT[[#This Row],[Cost Per MT]]),"")</f>
        <v>335</v>
      </c>
      <c r="Z252" s="7">
        <f>IFERROR(CT[[#This Row],[Margin/MT]]*CT[[#This Row],[Container Qty]],"")</f>
        <v>0</v>
      </c>
      <c r="AA252" s="7"/>
      <c r="AB252" t="s">
        <v>11</v>
      </c>
      <c r="AC252" s="1" t="s">
        <v>158</v>
      </c>
      <c r="AD252" s="3">
        <v>45861</v>
      </c>
      <c r="AE252" s="14">
        <f t="shared" si="33"/>
        <v>25</v>
      </c>
      <c r="AF252" s="7">
        <v>335</v>
      </c>
      <c r="AG252" s="7">
        <f>CT[[#This Row],[Sales Rate/MT (USD)]]*CT[[#This Row],[SC Qty (MT)]]</f>
        <v>8375</v>
      </c>
      <c r="AH252" s="7" t="str">
        <f>IF(CT[[#This Row],[Container Qty]]&lt;&gt;0,CT[[#This Row],[Sales Rate/MT (USD)]]*CT[[#This Row],[Container Qty]],"")</f>
        <v/>
      </c>
      <c r="AI252" s="7" t="str">
        <f>IF(CT[[#This Row],[Customer Final Price]]&lt;&gt;"",CT[[#This Row],[Customer Final Price]]-CT[[#This Row],[Customer  Prov. Price]],"")</f>
        <v/>
      </c>
      <c r="AJ252" t="s">
        <v>8</v>
      </c>
      <c r="AK252" s="1" t="s">
        <v>159</v>
      </c>
      <c r="AL252" s="1"/>
      <c r="AM252" s="100" t="s">
        <v>134</v>
      </c>
    </row>
    <row r="253" spans="1:39" x14ac:dyDescent="0.25">
      <c r="A253" t="s">
        <v>9</v>
      </c>
      <c r="B253" s="102"/>
      <c r="C253" s="81"/>
      <c r="D253" s="1" t="s">
        <v>67</v>
      </c>
      <c r="F253" s="11"/>
      <c r="G253" s="3"/>
      <c r="H253" s="3"/>
      <c r="I253" s="1"/>
      <c r="J253" s="1"/>
      <c r="K253" s="1"/>
      <c r="L253" s="1"/>
      <c r="M253" s="14">
        <v>25</v>
      </c>
      <c r="N253" s="1"/>
      <c r="O253" s="7"/>
      <c r="P253" s="7">
        <f>CT[[#This Row],[Purchase Rate/MT (USD)]]*CT[[#This Row],[PC Qty (MT)]]</f>
        <v>0</v>
      </c>
      <c r="Q253" s="7">
        <f>CT[[#This Row],[Purchase Rate/MT (USD)]]*CT[[#This Row],[Container Qty]]</f>
        <v>0</v>
      </c>
      <c r="R253" s="7" t="str">
        <f>IF(CT[[#This Row],[BL Number]]&lt;&gt;0,(CT[[#This Row],[Supplier Prov. Price]]-CT[[#This Row],[Supplier Final Price]])*1.2,"")</f>
        <v/>
      </c>
      <c r="S253" s="101"/>
      <c r="T253" s="3"/>
      <c r="U253" s="7"/>
      <c r="V253" s="7"/>
      <c r="W253" s="24"/>
      <c r="X253" s="7">
        <f>IFERROR(CT[[#This Row],[Freight Charges]]+CT[[#This Row],[Inspection Cost/MT]]+CT[[#This Row],[DHL Charges PMT]],"")</f>
        <v>0</v>
      </c>
      <c r="Y253" s="7">
        <f>IFERROR(AF253-(O253+CT[[#This Row],[Cost Per MT]]),"")</f>
        <v>335</v>
      </c>
      <c r="Z253" s="7">
        <f>IFERROR(CT[[#This Row],[Margin/MT]]*CT[[#This Row],[Container Qty]],"")</f>
        <v>0</v>
      </c>
      <c r="AA253" s="7"/>
      <c r="AB253" t="s">
        <v>11</v>
      </c>
      <c r="AC253" s="1" t="s">
        <v>158</v>
      </c>
      <c r="AD253" s="3">
        <v>45861</v>
      </c>
      <c r="AE253" s="14">
        <f t="shared" si="33"/>
        <v>25</v>
      </c>
      <c r="AF253" s="7">
        <v>335</v>
      </c>
      <c r="AG253" s="7">
        <f>CT[[#This Row],[Sales Rate/MT (USD)]]*CT[[#This Row],[SC Qty (MT)]]</f>
        <v>8375</v>
      </c>
      <c r="AH253" s="7" t="str">
        <f>IF(CT[[#This Row],[Container Qty]]&lt;&gt;0,CT[[#This Row],[Sales Rate/MT (USD)]]*CT[[#This Row],[Container Qty]],"")</f>
        <v/>
      </c>
      <c r="AI253" s="7" t="str">
        <f>IF(CT[[#This Row],[Customer Final Price]]&lt;&gt;"",CT[[#This Row],[Customer Final Price]]-CT[[#This Row],[Customer  Prov. Price]],"")</f>
        <v/>
      </c>
      <c r="AJ253" t="s">
        <v>8</v>
      </c>
      <c r="AK253" s="1" t="s">
        <v>159</v>
      </c>
      <c r="AL253" s="1"/>
      <c r="AM253" s="100" t="s">
        <v>134</v>
      </c>
    </row>
    <row r="254" spans="1:39" x14ac:dyDescent="0.25">
      <c r="A254" t="s">
        <v>9</v>
      </c>
      <c r="B254" s="102"/>
      <c r="C254" s="81"/>
      <c r="D254" s="1" t="s">
        <v>67</v>
      </c>
      <c r="F254" s="11"/>
      <c r="G254" s="3"/>
      <c r="H254" s="3"/>
      <c r="I254" s="1"/>
      <c r="J254" s="1"/>
      <c r="K254" s="1"/>
      <c r="L254" s="1"/>
      <c r="M254" s="14">
        <v>25</v>
      </c>
      <c r="N254" s="1"/>
      <c r="O254" s="7"/>
      <c r="P254" s="7">
        <f>CT[[#This Row],[Purchase Rate/MT (USD)]]*CT[[#This Row],[PC Qty (MT)]]</f>
        <v>0</v>
      </c>
      <c r="Q254" s="7">
        <f>CT[[#This Row],[Purchase Rate/MT (USD)]]*CT[[#This Row],[Container Qty]]</f>
        <v>0</v>
      </c>
      <c r="R254" s="7" t="str">
        <f>IF(CT[[#This Row],[BL Number]]&lt;&gt;0,(CT[[#This Row],[Supplier Prov. Price]]-CT[[#This Row],[Supplier Final Price]])*1.2,"")</f>
        <v/>
      </c>
      <c r="S254" s="101"/>
      <c r="T254" s="3"/>
      <c r="U254" s="7"/>
      <c r="V254" s="7"/>
      <c r="W254" s="24"/>
      <c r="X254" s="7">
        <f>IFERROR(CT[[#This Row],[Freight Charges]]+CT[[#This Row],[Inspection Cost/MT]]+CT[[#This Row],[DHL Charges PMT]],"")</f>
        <v>0</v>
      </c>
      <c r="Y254" s="7">
        <f>IFERROR(AF254-(O254+CT[[#This Row],[Cost Per MT]]),"")</f>
        <v>335</v>
      </c>
      <c r="Z254" s="7">
        <f>IFERROR(CT[[#This Row],[Margin/MT]]*CT[[#This Row],[Container Qty]],"")</f>
        <v>0</v>
      </c>
      <c r="AA254" s="7"/>
      <c r="AB254" t="s">
        <v>11</v>
      </c>
      <c r="AC254" s="1" t="s">
        <v>158</v>
      </c>
      <c r="AD254" s="3">
        <v>45861</v>
      </c>
      <c r="AE254" s="14">
        <f t="shared" si="33"/>
        <v>25</v>
      </c>
      <c r="AF254" s="7">
        <v>335</v>
      </c>
      <c r="AG254" s="7">
        <f>CT[[#This Row],[Sales Rate/MT (USD)]]*CT[[#This Row],[SC Qty (MT)]]</f>
        <v>8375</v>
      </c>
      <c r="AH254" s="7" t="str">
        <f>IF(CT[[#This Row],[Container Qty]]&lt;&gt;0,CT[[#This Row],[Sales Rate/MT (USD)]]*CT[[#This Row],[Container Qty]],"")</f>
        <v/>
      </c>
      <c r="AI254" s="7" t="str">
        <f>IF(CT[[#This Row],[Customer Final Price]]&lt;&gt;"",CT[[#This Row],[Customer Final Price]]-CT[[#This Row],[Customer  Prov. Price]],"")</f>
        <v/>
      </c>
      <c r="AJ254" t="s">
        <v>8</v>
      </c>
      <c r="AK254" s="1" t="s">
        <v>159</v>
      </c>
      <c r="AL254" s="1"/>
      <c r="AM254" s="100" t="s">
        <v>134</v>
      </c>
    </row>
    <row r="255" spans="1:39" x14ac:dyDescent="0.25">
      <c r="A255" t="s">
        <v>9</v>
      </c>
      <c r="B255" s="102"/>
      <c r="C255" s="81"/>
      <c r="D255" s="1" t="s">
        <v>67</v>
      </c>
      <c r="F255" s="11"/>
      <c r="G255" s="3"/>
      <c r="H255" s="3"/>
      <c r="I255" s="1"/>
      <c r="J255" s="1"/>
      <c r="K255" s="1"/>
      <c r="L255" s="1"/>
      <c r="M255" s="14">
        <v>25</v>
      </c>
      <c r="N255" s="1"/>
      <c r="O255" s="7"/>
      <c r="P255" s="7">
        <f>CT[[#This Row],[Purchase Rate/MT (USD)]]*CT[[#This Row],[PC Qty (MT)]]</f>
        <v>0</v>
      </c>
      <c r="Q255" s="7">
        <f>CT[[#This Row],[Purchase Rate/MT (USD)]]*CT[[#This Row],[Container Qty]]</f>
        <v>0</v>
      </c>
      <c r="R255" s="7" t="str">
        <f>IF(CT[[#This Row],[BL Number]]&lt;&gt;0,(CT[[#This Row],[Supplier Prov. Price]]-CT[[#This Row],[Supplier Final Price]])*1.2,"")</f>
        <v/>
      </c>
      <c r="S255" s="101"/>
      <c r="T255" s="3"/>
      <c r="U255" s="7"/>
      <c r="V255" s="7"/>
      <c r="W255" s="24"/>
      <c r="X255" s="7">
        <f>IFERROR(CT[[#This Row],[Freight Charges]]+CT[[#This Row],[Inspection Cost/MT]]+CT[[#This Row],[DHL Charges PMT]],"")</f>
        <v>0</v>
      </c>
      <c r="Y255" s="7">
        <f>IFERROR(AF255-(O255+CT[[#This Row],[Cost Per MT]]),"")</f>
        <v>335</v>
      </c>
      <c r="Z255" s="7">
        <f>IFERROR(CT[[#This Row],[Margin/MT]]*CT[[#This Row],[Container Qty]],"")</f>
        <v>0</v>
      </c>
      <c r="AA255" s="7"/>
      <c r="AB255" t="s">
        <v>11</v>
      </c>
      <c r="AC255" s="1" t="s">
        <v>158</v>
      </c>
      <c r="AD255" s="3">
        <v>45861</v>
      </c>
      <c r="AE255" s="14">
        <f t="shared" si="33"/>
        <v>25</v>
      </c>
      <c r="AF255" s="7">
        <v>335</v>
      </c>
      <c r="AG255" s="7">
        <f>CT[[#This Row],[Sales Rate/MT (USD)]]*CT[[#This Row],[SC Qty (MT)]]</f>
        <v>8375</v>
      </c>
      <c r="AH255" s="7" t="str">
        <f>IF(CT[[#This Row],[Container Qty]]&lt;&gt;0,CT[[#This Row],[Sales Rate/MT (USD)]]*CT[[#This Row],[Container Qty]],"")</f>
        <v/>
      </c>
      <c r="AI255" s="7" t="str">
        <f>IF(CT[[#This Row],[Customer Final Price]]&lt;&gt;"",CT[[#This Row],[Customer Final Price]]-CT[[#This Row],[Customer  Prov. Price]],"")</f>
        <v/>
      </c>
      <c r="AJ255" t="s">
        <v>8</v>
      </c>
      <c r="AK255" s="1" t="s">
        <v>159</v>
      </c>
      <c r="AL255" s="1"/>
      <c r="AM255" s="100" t="s">
        <v>134</v>
      </c>
    </row>
    <row r="256" spans="1:39" x14ac:dyDescent="0.25">
      <c r="A256" t="s">
        <v>9</v>
      </c>
      <c r="B256" s="102"/>
      <c r="C256" s="81"/>
      <c r="D256" s="1" t="s">
        <v>67</v>
      </c>
      <c r="F256" s="11"/>
      <c r="G256" s="3"/>
      <c r="H256" s="3"/>
      <c r="I256" s="1"/>
      <c r="J256" s="1"/>
      <c r="K256" s="1"/>
      <c r="L256" s="1"/>
      <c r="M256" s="14">
        <v>25</v>
      </c>
      <c r="N256" s="1"/>
      <c r="O256" s="7"/>
      <c r="P256" s="7">
        <f>CT[[#This Row],[Purchase Rate/MT (USD)]]*CT[[#This Row],[PC Qty (MT)]]</f>
        <v>0</v>
      </c>
      <c r="Q256" s="7">
        <f>CT[[#This Row],[Purchase Rate/MT (USD)]]*CT[[#This Row],[Container Qty]]</f>
        <v>0</v>
      </c>
      <c r="R256" s="7" t="str">
        <f>IF(CT[[#This Row],[BL Number]]&lt;&gt;0,(CT[[#This Row],[Supplier Prov. Price]]-CT[[#This Row],[Supplier Final Price]])*1.2,"")</f>
        <v/>
      </c>
      <c r="S256" s="101"/>
      <c r="T256" s="3"/>
      <c r="U256" s="7"/>
      <c r="V256" s="7"/>
      <c r="W256" s="24"/>
      <c r="X256" s="7">
        <f>IFERROR(CT[[#This Row],[Freight Charges]]+CT[[#This Row],[Inspection Cost/MT]]+CT[[#This Row],[DHL Charges PMT]],"")</f>
        <v>0</v>
      </c>
      <c r="Y256" s="7">
        <f>IFERROR(AF256-(O256+CT[[#This Row],[Cost Per MT]]),"")</f>
        <v>335</v>
      </c>
      <c r="Z256" s="7">
        <f>IFERROR(CT[[#This Row],[Margin/MT]]*CT[[#This Row],[Container Qty]],"")</f>
        <v>0</v>
      </c>
      <c r="AA256" s="7"/>
      <c r="AB256" t="s">
        <v>11</v>
      </c>
      <c r="AC256" s="1" t="s">
        <v>158</v>
      </c>
      <c r="AD256" s="3">
        <v>45861</v>
      </c>
      <c r="AE256" s="14">
        <f t="shared" si="33"/>
        <v>25</v>
      </c>
      <c r="AF256" s="7">
        <v>335</v>
      </c>
      <c r="AG256" s="7">
        <f>CT[[#This Row],[Sales Rate/MT (USD)]]*CT[[#This Row],[SC Qty (MT)]]</f>
        <v>8375</v>
      </c>
      <c r="AH256" s="7" t="str">
        <f>IF(CT[[#This Row],[Container Qty]]&lt;&gt;0,CT[[#This Row],[Sales Rate/MT (USD)]]*CT[[#This Row],[Container Qty]],"")</f>
        <v/>
      </c>
      <c r="AI256" s="7" t="str">
        <f>IF(CT[[#This Row],[Customer Final Price]]&lt;&gt;"",CT[[#This Row],[Customer Final Price]]-CT[[#This Row],[Customer  Prov. Price]],"")</f>
        <v/>
      </c>
      <c r="AJ256" t="s">
        <v>8</v>
      </c>
      <c r="AK256" s="1" t="s">
        <v>159</v>
      </c>
      <c r="AL256" s="1"/>
      <c r="AM256" s="100" t="s">
        <v>134</v>
      </c>
    </row>
    <row r="257" spans="1:39" x14ac:dyDescent="0.25">
      <c r="A257" t="s">
        <v>9</v>
      </c>
      <c r="B257" s="102"/>
      <c r="C257" s="81"/>
      <c r="D257" s="1" t="s">
        <v>67</v>
      </c>
      <c r="F257" s="11"/>
      <c r="G257" s="3"/>
      <c r="H257" s="3"/>
      <c r="I257" s="1"/>
      <c r="J257" s="1"/>
      <c r="K257" s="1"/>
      <c r="L257" s="1"/>
      <c r="M257" s="14">
        <v>25</v>
      </c>
      <c r="N257" s="1"/>
      <c r="O257" s="7"/>
      <c r="P257" s="7">
        <f>CT[[#This Row],[Purchase Rate/MT (USD)]]*CT[[#This Row],[PC Qty (MT)]]</f>
        <v>0</v>
      </c>
      <c r="Q257" s="7">
        <f>CT[[#This Row],[Purchase Rate/MT (USD)]]*CT[[#This Row],[Container Qty]]</f>
        <v>0</v>
      </c>
      <c r="R257" s="7" t="str">
        <f>IF(CT[[#This Row],[BL Number]]&lt;&gt;0,(CT[[#This Row],[Supplier Prov. Price]]-CT[[#This Row],[Supplier Final Price]])*1.2,"")</f>
        <v/>
      </c>
      <c r="S257" s="101"/>
      <c r="T257" s="3"/>
      <c r="U257" s="7"/>
      <c r="V257" s="7"/>
      <c r="W257" s="24"/>
      <c r="X257" s="7">
        <f>IFERROR(CT[[#This Row],[Freight Charges]]+CT[[#This Row],[Inspection Cost/MT]]+CT[[#This Row],[DHL Charges PMT]],"")</f>
        <v>0</v>
      </c>
      <c r="Y257" s="7">
        <f>IFERROR(AF257-(O257+CT[[#This Row],[Cost Per MT]]),"")</f>
        <v>335</v>
      </c>
      <c r="Z257" s="7">
        <f>IFERROR(CT[[#This Row],[Margin/MT]]*CT[[#This Row],[Container Qty]],"")</f>
        <v>0</v>
      </c>
      <c r="AA257" s="7"/>
      <c r="AB257" t="s">
        <v>11</v>
      </c>
      <c r="AC257" s="1" t="s">
        <v>158</v>
      </c>
      <c r="AD257" s="3">
        <v>45861</v>
      </c>
      <c r="AE257" s="14">
        <f t="shared" si="33"/>
        <v>25</v>
      </c>
      <c r="AF257" s="7">
        <v>335</v>
      </c>
      <c r="AG257" s="7">
        <f>CT[[#This Row],[Sales Rate/MT (USD)]]*CT[[#This Row],[SC Qty (MT)]]</f>
        <v>8375</v>
      </c>
      <c r="AH257" s="7" t="str">
        <f>IF(CT[[#This Row],[Container Qty]]&lt;&gt;0,CT[[#This Row],[Sales Rate/MT (USD)]]*CT[[#This Row],[Container Qty]],"")</f>
        <v/>
      </c>
      <c r="AI257" s="7" t="str">
        <f>IF(CT[[#This Row],[Customer Final Price]]&lt;&gt;"",CT[[#This Row],[Customer Final Price]]-CT[[#This Row],[Customer  Prov. Price]],"")</f>
        <v/>
      </c>
      <c r="AJ257" t="s">
        <v>8</v>
      </c>
      <c r="AK257" s="1" t="s">
        <v>159</v>
      </c>
      <c r="AL257" s="1"/>
      <c r="AM257" s="100" t="s">
        <v>134</v>
      </c>
    </row>
    <row r="258" spans="1:39" x14ac:dyDescent="0.25">
      <c r="A258" t="s">
        <v>9</v>
      </c>
      <c r="B258" s="102"/>
      <c r="C258" s="81"/>
      <c r="D258" s="1" t="s">
        <v>67</v>
      </c>
      <c r="F258" s="11"/>
      <c r="G258" s="3"/>
      <c r="H258" s="3"/>
      <c r="I258" s="1"/>
      <c r="J258" s="1"/>
      <c r="K258" s="1"/>
      <c r="L258" s="1"/>
      <c r="M258" s="14">
        <v>25</v>
      </c>
      <c r="N258" s="1"/>
      <c r="O258" s="7"/>
      <c r="P258" s="7">
        <f>CT[[#This Row],[Purchase Rate/MT (USD)]]*CT[[#This Row],[PC Qty (MT)]]</f>
        <v>0</v>
      </c>
      <c r="Q258" s="7">
        <f>CT[[#This Row],[Purchase Rate/MT (USD)]]*CT[[#This Row],[Container Qty]]</f>
        <v>0</v>
      </c>
      <c r="R258" s="7" t="str">
        <f>IF(CT[[#This Row],[BL Number]]&lt;&gt;0,(CT[[#This Row],[Supplier Prov. Price]]-CT[[#This Row],[Supplier Final Price]])*1.2,"")</f>
        <v/>
      </c>
      <c r="S258" s="101"/>
      <c r="T258" s="3"/>
      <c r="U258" s="7"/>
      <c r="V258" s="7"/>
      <c r="W258" s="24"/>
      <c r="X258" s="7">
        <f>IFERROR(CT[[#This Row],[Freight Charges]]+CT[[#This Row],[Inspection Cost/MT]]+CT[[#This Row],[DHL Charges PMT]],"")</f>
        <v>0</v>
      </c>
      <c r="Y258" s="7">
        <f>IFERROR(AF258-(O258+CT[[#This Row],[Cost Per MT]]),"")</f>
        <v>335</v>
      </c>
      <c r="Z258" s="7">
        <f>IFERROR(CT[[#This Row],[Margin/MT]]*CT[[#This Row],[Container Qty]],"")</f>
        <v>0</v>
      </c>
      <c r="AA258" s="7"/>
      <c r="AB258" t="s">
        <v>11</v>
      </c>
      <c r="AC258" s="1" t="s">
        <v>158</v>
      </c>
      <c r="AD258" s="3">
        <v>45861</v>
      </c>
      <c r="AE258" s="14">
        <f t="shared" si="33"/>
        <v>25</v>
      </c>
      <c r="AF258" s="7">
        <v>335</v>
      </c>
      <c r="AG258" s="7">
        <f>CT[[#This Row],[Sales Rate/MT (USD)]]*CT[[#This Row],[SC Qty (MT)]]</f>
        <v>8375</v>
      </c>
      <c r="AH258" s="7" t="str">
        <f>IF(CT[[#This Row],[Container Qty]]&lt;&gt;0,CT[[#This Row],[Sales Rate/MT (USD)]]*CT[[#This Row],[Container Qty]],"")</f>
        <v/>
      </c>
      <c r="AI258" s="7" t="str">
        <f>IF(CT[[#This Row],[Customer Final Price]]&lt;&gt;"",CT[[#This Row],[Customer Final Price]]-CT[[#This Row],[Customer  Prov. Price]],"")</f>
        <v/>
      </c>
      <c r="AJ258" t="s">
        <v>8</v>
      </c>
      <c r="AK258" s="1" t="s">
        <v>159</v>
      </c>
      <c r="AL258" s="1"/>
      <c r="AM258" s="100" t="s">
        <v>134</v>
      </c>
    </row>
    <row r="259" spans="1:39" x14ac:dyDescent="0.25">
      <c r="A259" t="s">
        <v>9</v>
      </c>
      <c r="B259" s="102"/>
      <c r="C259" s="81"/>
      <c r="D259" s="1" t="s">
        <v>67</v>
      </c>
      <c r="F259" s="11"/>
      <c r="G259" s="3"/>
      <c r="H259" s="3"/>
      <c r="I259" s="1"/>
      <c r="J259" s="1"/>
      <c r="K259" s="1"/>
      <c r="L259" s="1"/>
      <c r="M259" s="14">
        <v>25</v>
      </c>
      <c r="N259" s="1"/>
      <c r="O259" s="7"/>
      <c r="P259" s="7">
        <f>CT[[#This Row],[Purchase Rate/MT (USD)]]*CT[[#This Row],[PC Qty (MT)]]</f>
        <v>0</v>
      </c>
      <c r="Q259" s="7">
        <f>CT[[#This Row],[Purchase Rate/MT (USD)]]*CT[[#This Row],[Container Qty]]</f>
        <v>0</v>
      </c>
      <c r="R259" s="7" t="str">
        <f>IF(CT[[#This Row],[BL Number]]&lt;&gt;0,(CT[[#This Row],[Supplier Prov. Price]]-CT[[#This Row],[Supplier Final Price]])*1.2,"")</f>
        <v/>
      </c>
      <c r="S259" s="101"/>
      <c r="T259" s="3"/>
      <c r="U259" s="7"/>
      <c r="V259" s="7"/>
      <c r="W259" s="24"/>
      <c r="X259" s="7">
        <f>IFERROR(CT[[#This Row],[Freight Charges]]+CT[[#This Row],[Inspection Cost/MT]]+CT[[#This Row],[DHL Charges PMT]],"")</f>
        <v>0</v>
      </c>
      <c r="Y259" s="7">
        <f>IFERROR(AF259-(O259+CT[[#This Row],[Cost Per MT]]),"")</f>
        <v>335</v>
      </c>
      <c r="Z259" s="7">
        <f>IFERROR(CT[[#This Row],[Margin/MT]]*CT[[#This Row],[Container Qty]],"")</f>
        <v>0</v>
      </c>
      <c r="AA259" s="7"/>
      <c r="AB259" t="s">
        <v>11</v>
      </c>
      <c r="AC259" s="1" t="s">
        <v>158</v>
      </c>
      <c r="AD259" s="3">
        <v>45861</v>
      </c>
      <c r="AE259" s="14">
        <f t="shared" si="33"/>
        <v>25</v>
      </c>
      <c r="AF259" s="7">
        <v>335</v>
      </c>
      <c r="AG259" s="7">
        <f>CT[[#This Row],[Sales Rate/MT (USD)]]*CT[[#This Row],[SC Qty (MT)]]</f>
        <v>8375</v>
      </c>
      <c r="AH259" s="7" t="str">
        <f>IF(CT[[#This Row],[Container Qty]]&lt;&gt;0,CT[[#This Row],[Sales Rate/MT (USD)]]*CT[[#This Row],[Container Qty]],"")</f>
        <v/>
      </c>
      <c r="AI259" s="7" t="str">
        <f>IF(CT[[#This Row],[Customer Final Price]]&lt;&gt;"",CT[[#This Row],[Customer Final Price]]-CT[[#This Row],[Customer  Prov. Price]],"")</f>
        <v/>
      </c>
      <c r="AJ259" t="s">
        <v>8</v>
      </c>
      <c r="AK259" s="1" t="s">
        <v>159</v>
      </c>
      <c r="AL259" s="1"/>
      <c r="AM259" s="100" t="s">
        <v>134</v>
      </c>
    </row>
    <row r="260" spans="1:39" x14ac:dyDescent="0.25">
      <c r="A260" t="s">
        <v>9</v>
      </c>
      <c r="B260" s="102"/>
      <c r="C260" s="81"/>
      <c r="D260" s="1" t="s">
        <v>67</v>
      </c>
      <c r="F260" s="11"/>
      <c r="G260" s="3"/>
      <c r="H260" s="3"/>
      <c r="I260" s="1"/>
      <c r="J260" s="1"/>
      <c r="K260" s="1"/>
      <c r="L260" s="1"/>
      <c r="M260" s="14">
        <v>25</v>
      </c>
      <c r="N260" s="1"/>
      <c r="O260" s="7"/>
      <c r="P260" s="7">
        <f>CT[[#This Row],[Purchase Rate/MT (USD)]]*CT[[#This Row],[PC Qty (MT)]]</f>
        <v>0</v>
      </c>
      <c r="Q260" s="7">
        <f>CT[[#This Row],[Purchase Rate/MT (USD)]]*CT[[#This Row],[Container Qty]]</f>
        <v>0</v>
      </c>
      <c r="R260" s="7" t="str">
        <f>IF(CT[[#This Row],[BL Number]]&lt;&gt;0,(CT[[#This Row],[Supplier Prov. Price]]-CT[[#This Row],[Supplier Final Price]])*1.2,"")</f>
        <v/>
      </c>
      <c r="S260" s="101"/>
      <c r="T260" s="3"/>
      <c r="U260" s="7"/>
      <c r="V260" s="7"/>
      <c r="W260" s="24"/>
      <c r="X260" s="7">
        <f>IFERROR(CT[[#This Row],[Freight Charges]]+CT[[#This Row],[Inspection Cost/MT]]+CT[[#This Row],[DHL Charges PMT]],"")</f>
        <v>0</v>
      </c>
      <c r="Y260" s="7">
        <f>IFERROR(AF260-(O260+CT[[#This Row],[Cost Per MT]]),"")</f>
        <v>335</v>
      </c>
      <c r="Z260" s="7">
        <f>IFERROR(CT[[#This Row],[Margin/MT]]*CT[[#This Row],[Container Qty]],"")</f>
        <v>0</v>
      </c>
      <c r="AA260" s="7"/>
      <c r="AB260" t="s">
        <v>11</v>
      </c>
      <c r="AC260" s="1" t="s">
        <v>158</v>
      </c>
      <c r="AD260" s="3">
        <v>45861</v>
      </c>
      <c r="AE260" s="14">
        <f t="shared" si="33"/>
        <v>25</v>
      </c>
      <c r="AF260" s="7">
        <v>335</v>
      </c>
      <c r="AG260" s="7">
        <f>CT[[#This Row],[Sales Rate/MT (USD)]]*CT[[#This Row],[SC Qty (MT)]]</f>
        <v>8375</v>
      </c>
      <c r="AH260" s="7" t="str">
        <f>IF(CT[[#This Row],[Container Qty]]&lt;&gt;0,CT[[#This Row],[Sales Rate/MT (USD)]]*CT[[#This Row],[Container Qty]],"")</f>
        <v/>
      </c>
      <c r="AI260" s="7" t="str">
        <f>IF(CT[[#This Row],[Customer Final Price]]&lt;&gt;"",CT[[#This Row],[Customer Final Price]]-CT[[#This Row],[Customer  Prov. Price]],"")</f>
        <v/>
      </c>
      <c r="AJ260" t="s">
        <v>8</v>
      </c>
      <c r="AK260" s="1" t="s">
        <v>159</v>
      </c>
      <c r="AL260" s="1"/>
      <c r="AM260" s="100" t="s">
        <v>134</v>
      </c>
    </row>
    <row r="261" spans="1:39" x14ac:dyDescent="0.25">
      <c r="A261" t="s">
        <v>9</v>
      </c>
      <c r="B261" s="102"/>
      <c r="C261" s="81"/>
      <c r="D261" s="1" t="s">
        <v>67</v>
      </c>
      <c r="F261" s="11"/>
      <c r="G261" s="3"/>
      <c r="H261" s="3"/>
      <c r="I261" s="1"/>
      <c r="J261" s="1"/>
      <c r="K261" s="1"/>
      <c r="L261" s="1"/>
      <c r="M261" s="14">
        <v>25</v>
      </c>
      <c r="N261" s="1"/>
      <c r="O261" s="7"/>
      <c r="P261" s="7">
        <f>CT[[#This Row],[Purchase Rate/MT (USD)]]*CT[[#This Row],[PC Qty (MT)]]</f>
        <v>0</v>
      </c>
      <c r="Q261" s="7">
        <f>CT[[#This Row],[Purchase Rate/MT (USD)]]*CT[[#This Row],[Container Qty]]</f>
        <v>0</v>
      </c>
      <c r="R261" s="7" t="str">
        <f>IF(CT[[#This Row],[BL Number]]&lt;&gt;0,(CT[[#This Row],[Supplier Prov. Price]]-CT[[#This Row],[Supplier Final Price]])*1.2,"")</f>
        <v/>
      </c>
      <c r="S261" s="101"/>
      <c r="T261" s="3"/>
      <c r="U261" s="7"/>
      <c r="V261" s="7"/>
      <c r="W261" s="24"/>
      <c r="X261" s="7">
        <f>IFERROR(CT[[#This Row],[Freight Charges]]+CT[[#This Row],[Inspection Cost/MT]]+CT[[#This Row],[DHL Charges PMT]],"")</f>
        <v>0</v>
      </c>
      <c r="Y261" s="7">
        <f>IFERROR(AF261-(O261+CT[[#This Row],[Cost Per MT]]),"")</f>
        <v>335</v>
      </c>
      <c r="Z261" s="7">
        <f>IFERROR(CT[[#This Row],[Margin/MT]]*CT[[#This Row],[Container Qty]],"")</f>
        <v>0</v>
      </c>
      <c r="AA261" s="7"/>
      <c r="AB261" t="s">
        <v>11</v>
      </c>
      <c r="AC261" s="1" t="s">
        <v>158</v>
      </c>
      <c r="AD261" s="3">
        <v>45861</v>
      </c>
      <c r="AE261" s="14">
        <f t="shared" si="33"/>
        <v>25</v>
      </c>
      <c r="AF261" s="7">
        <v>335</v>
      </c>
      <c r="AG261" s="7">
        <f>CT[[#This Row],[Sales Rate/MT (USD)]]*CT[[#This Row],[SC Qty (MT)]]</f>
        <v>8375</v>
      </c>
      <c r="AH261" s="7" t="str">
        <f>IF(CT[[#This Row],[Container Qty]]&lt;&gt;0,CT[[#This Row],[Sales Rate/MT (USD)]]*CT[[#This Row],[Container Qty]],"")</f>
        <v/>
      </c>
      <c r="AI261" s="7" t="str">
        <f>IF(CT[[#This Row],[Customer Final Price]]&lt;&gt;"",CT[[#This Row],[Customer Final Price]]-CT[[#This Row],[Customer  Prov. Price]],"")</f>
        <v/>
      </c>
      <c r="AJ261" t="s">
        <v>8</v>
      </c>
      <c r="AK261" s="1" t="s">
        <v>159</v>
      </c>
      <c r="AL261" s="1"/>
      <c r="AM261" s="100" t="s">
        <v>134</v>
      </c>
    </row>
    <row r="262" spans="1:39" x14ac:dyDescent="0.25">
      <c r="A262" t="s">
        <v>9</v>
      </c>
      <c r="B262" s="102"/>
      <c r="C262" s="81"/>
      <c r="D262" s="1" t="s">
        <v>67</v>
      </c>
      <c r="F262" s="11"/>
      <c r="G262" s="3"/>
      <c r="H262" s="3"/>
      <c r="I262" s="1"/>
      <c r="J262" s="1"/>
      <c r="K262" s="1"/>
      <c r="L262" s="1"/>
      <c r="M262" s="14">
        <v>25</v>
      </c>
      <c r="N262" s="1"/>
      <c r="O262" s="7"/>
      <c r="P262" s="7">
        <f>CT[[#This Row],[Purchase Rate/MT (USD)]]*CT[[#This Row],[PC Qty (MT)]]</f>
        <v>0</v>
      </c>
      <c r="Q262" s="7">
        <f>CT[[#This Row],[Purchase Rate/MT (USD)]]*CT[[#This Row],[Container Qty]]</f>
        <v>0</v>
      </c>
      <c r="R262" s="7" t="str">
        <f>IF(CT[[#This Row],[BL Number]]&lt;&gt;0,(CT[[#This Row],[Supplier Prov. Price]]-CT[[#This Row],[Supplier Final Price]])*1.2,"")</f>
        <v/>
      </c>
      <c r="S262" s="101"/>
      <c r="T262" s="3"/>
      <c r="U262" s="7"/>
      <c r="V262" s="7"/>
      <c r="W262" s="24"/>
      <c r="X262" s="7">
        <f>IFERROR(CT[[#This Row],[Freight Charges]]+CT[[#This Row],[Inspection Cost/MT]]+CT[[#This Row],[DHL Charges PMT]],"")</f>
        <v>0</v>
      </c>
      <c r="Y262" s="7">
        <f>IFERROR(AF262-(O262+CT[[#This Row],[Cost Per MT]]),"")</f>
        <v>335</v>
      </c>
      <c r="Z262" s="7">
        <f>IFERROR(CT[[#This Row],[Margin/MT]]*CT[[#This Row],[Container Qty]],"")</f>
        <v>0</v>
      </c>
      <c r="AA262" s="7"/>
      <c r="AB262" t="s">
        <v>11</v>
      </c>
      <c r="AC262" s="1" t="s">
        <v>158</v>
      </c>
      <c r="AD262" s="3">
        <v>45861</v>
      </c>
      <c r="AE262" s="14">
        <f t="shared" si="33"/>
        <v>25</v>
      </c>
      <c r="AF262" s="7">
        <v>335</v>
      </c>
      <c r="AG262" s="7">
        <f>CT[[#This Row],[Sales Rate/MT (USD)]]*CT[[#This Row],[SC Qty (MT)]]</f>
        <v>8375</v>
      </c>
      <c r="AH262" s="7" t="str">
        <f>IF(CT[[#This Row],[Container Qty]]&lt;&gt;0,CT[[#This Row],[Sales Rate/MT (USD)]]*CT[[#This Row],[Container Qty]],"")</f>
        <v/>
      </c>
      <c r="AI262" s="7" t="str">
        <f>IF(CT[[#This Row],[Customer Final Price]]&lt;&gt;"",CT[[#This Row],[Customer Final Price]]-CT[[#This Row],[Customer  Prov. Price]],"")</f>
        <v/>
      </c>
      <c r="AJ262" t="s">
        <v>8</v>
      </c>
      <c r="AK262" s="1" t="s">
        <v>159</v>
      </c>
      <c r="AL262" s="1"/>
      <c r="AM262" s="100" t="s">
        <v>134</v>
      </c>
    </row>
    <row r="263" spans="1:39" x14ac:dyDescent="0.25">
      <c r="A263" t="s">
        <v>9</v>
      </c>
      <c r="B263" s="102"/>
      <c r="C263" s="81"/>
      <c r="D263" s="1" t="s">
        <v>67</v>
      </c>
      <c r="F263" s="11"/>
      <c r="G263" s="3"/>
      <c r="H263" s="3"/>
      <c r="I263" s="1"/>
      <c r="J263" s="1"/>
      <c r="K263" s="1"/>
      <c r="L263" s="1"/>
      <c r="M263" s="14">
        <v>25</v>
      </c>
      <c r="N263" s="1"/>
      <c r="O263" s="7"/>
      <c r="P263" s="7">
        <f>CT[[#This Row],[Purchase Rate/MT (USD)]]*CT[[#This Row],[PC Qty (MT)]]</f>
        <v>0</v>
      </c>
      <c r="Q263" s="7">
        <f>CT[[#This Row],[Purchase Rate/MT (USD)]]*CT[[#This Row],[Container Qty]]</f>
        <v>0</v>
      </c>
      <c r="R263" s="7" t="str">
        <f>IF(CT[[#This Row],[BL Number]]&lt;&gt;0,(CT[[#This Row],[Supplier Prov. Price]]-CT[[#This Row],[Supplier Final Price]])*1.2,"")</f>
        <v/>
      </c>
      <c r="S263" s="101"/>
      <c r="T263" s="3"/>
      <c r="U263" s="7"/>
      <c r="V263" s="7"/>
      <c r="W263" s="24"/>
      <c r="X263" s="7">
        <f>IFERROR(CT[[#This Row],[Freight Charges]]+CT[[#This Row],[Inspection Cost/MT]]+CT[[#This Row],[DHL Charges PMT]],"")</f>
        <v>0</v>
      </c>
      <c r="Y263" s="7">
        <f>IFERROR(AF263-(O263+CT[[#This Row],[Cost Per MT]]),"")</f>
        <v>335</v>
      </c>
      <c r="Z263" s="7">
        <f>IFERROR(CT[[#This Row],[Margin/MT]]*CT[[#This Row],[Container Qty]],"")</f>
        <v>0</v>
      </c>
      <c r="AA263" s="7"/>
      <c r="AB263" t="s">
        <v>11</v>
      </c>
      <c r="AC263" s="1" t="s">
        <v>158</v>
      </c>
      <c r="AD263" s="3">
        <v>45861</v>
      </c>
      <c r="AE263" s="14">
        <f t="shared" si="33"/>
        <v>25</v>
      </c>
      <c r="AF263" s="7">
        <v>335</v>
      </c>
      <c r="AG263" s="7">
        <f>CT[[#This Row],[Sales Rate/MT (USD)]]*CT[[#This Row],[SC Qty (MT)]]</f>
        <v>8375</v>
      </c>
      <c r="AH263" s="7" t="str">
        <f>IF(CT[[#This Row],[Container Qty]]&lt;&gt;0,CT[[#This Row],[Sales Rate/MT (USD)]]*CT[[#This Row],[Container Qty]],"")</f>
        <v/>
      </c>
      <c r="AI263" s="7" t="str">
        <f>IF(CT[[#This Row],[Customer Final Price]]&lt;&gt;"",CT[[#This Row],[Customer Final Price]]-CT[[#This Row],[Customer  Prov. Price]],"")</f>
        <v/>
      </c>
      <c r="AJ263" t="s">
        <v>8</v>
      </c>
      <c r="AK263" s="1" t="s">
        <v>159</v>
      </c>
      <c r="AL263" s="1"/>
      <c r="AM263" s="100" t="s">
        <v>134</v>
      </c>
    </row>
    <row r="264" spans="1:39" x14ac:dyDescent="0.25">
      <c r="A264" t="s">
        <v>9</v>
      </c>
      <c r="B264" s="102"/>
      <c r="C264" s="81"/>
      <c r="D264" s="1" t="s">
        <v>67</v>
      </c>
      <c r="F264" s="11"/>
      <c r="G264" s="3"/>
      <c r="H264" s="3"/>
      <c r="I264" s="1"/>
      <c r="J264" s="1"/>
      <c r="K264" s="1"/>
      <c r="L264" s="1"/>
      <c r="M264" s="14">
        <v>25</v>
      </c>
      <c r="N264" s="1"/>
      <c r="O264" s="7"/>
      <c r="P264" s="7">
        <f>CT[[#This Row],[Purchase Rate/MT (USD)]]*CT[[#This Row],[PC Qty (MT)]]</f>
        <v>0</v>
      </c>
      <c r="Q264" s="7">
        <f>CT[[#This Row],[Purchase Rate/MT (USD)]]*CT[[#This Row],[Container Qty]]</f>
        <v>0</v>
      </c>
      <c r="R264" s="7" t="str">
        <f>IF(CT[[#This Row],[BL Number]]&lt;&gt;0,(CT[[#This Row],[Supplier Prov. Price]]-CT[[#This Row],[Supplier Final Price]])*1.2,"")</f>
        <v/>
      </c>
      <c r="S264" s="101"/>
      <c r="T264" s="3"/>
      <c r="U264" s="7"/>
      <c r="V264" s="7"/>
      <c r="W264" s="24"/>
      <c r="X264" s="7">
        <f>IFERROR(CT[[#This Row],[Freight Charges]]+CT[[#This Row],[Inspection Cost/MT]]+CT[[#This Row],[DHL Charges PMT]],"")</f>
        <v>0</v>
      </c>
      <c r="Y264" s="7">
        <f>IFERROR(AF264-(O264+CT[[#This Row],[Cost Per MT]]),"")</f>
        <v>335</v>
      </c>
      <c r="Z264" s="7">
        <f>IFERROR(CT[[#This Row],[Margin/MT]]*CT[[#This Row],[Container Qty]],"")</f>
        <v>0</v>
      </c>
      <c r="AA264" s="7"/>
      <c r="AB264" t="s">
        <v>11</v>
      </c>
      <c r="AC264" s="1" t="s">
        <v>158</v>
      </c>
      <c r="AD264" s="3">
        <v>45861</v>
      </c>
      <c r="AE264" s="14">
        <f t="shared" si="33"/>
        <v>25</v>
      </c>
      <c r="AF264" s="7">
        <v>335</v>
      </c>
      <c r="AG264" s="7">
        <f>CT[[#This Row],[Sales Rate/MT (USD)]]*CT[[#This Row],[SC Qty (MT)]]</f>
        <v>8375</v>
      </c>
      <c r="AH264" s="7" t="str">
        <f>IF(CT[[#This Row],[Container Qty]]&lt;&gt;0,CT[[#This Row],[Sales Rate/MT (USD)]]*CT[[#This Row],[Container Qty]],"")</f>
        <v/>
      </c>
      <c r="AI264" s="7" t="str">
        <f>IF(CT[[#This Row],[Customer Final Price]]&lt;&gt;"",CT[[#This Row],[Customer Final Price]]-CT[[#This Row],[Customer  Prov. Price]],"")</f>
        <v/>
      </c>
      <c r="AJ264" t="s">
        <v>8</v>
      </c>
      <c r="AK264" s="1" t="s">
        <v>159</v>
      </c>
      <c r="AL264" s="1"/>
      <c r="AM264" s="100" t="s">
        <v>134</v>
      </c>
    </row>
    <row r="265" spans="1:39" x14ac:dyDescent="0.25">
      <c r="A265" t="s">
        <v>9</v>
      </c>
      <c r="B265" s="102"/>
      <c r="C265" s="81"/>
      <c r="D265" s="1" t="s">
        <v>67</v>
      </c>
      <c r="F265" s="11"/>
      <c r="G265" s="3"/>
      <c r="H265" s="3"/>
      <c r="I265" s="1"/>
      <c r="J265" s="1"/>
      <c r="K265" s="1"/>
      <c r="L265" s="1"/>
      <c r="M265" s="14">
        <v>25</v>
      </c>
      <c r="N265" s="1"/>
      <c r="O265" s="7"/>
      <c r="P265" s="7">
        <f>CT[[#This Row],[Purchase Rate/MT (USD)]]*CT[[#This Row],[PC Qty (MT)]]</f>
        <v>0</v>
      </c>
      <c r="Q265" s="7">
        <f>CT[[#This Row],[Purchase Rate/MT (USD)]]*CT[[#This Row],[Container Qty]]</f>
        <v>0</v>
      </c>
      <c r="R265" s="7" t="str">
        <f>IF(CT[[#This Row],[BL Number]]&lt;&gt;0,(CT[[#This Row],[Supplier Prov. Price]]-CT[[#This Row],[Supplier Final Price]])*1.2,"")</f>
        <v/>
      </c>
      <c r="S265" s="101"/>
      <c r="T265" s="3"/>
      <c r="U265" s="7"/>
      <c r="V265" s="7"/>
      <c r="W265" s="24"/>
      <c r="X265" s="7">
        <f>IFERROR(CT[[#This Row],[Freight Charges]]+CT[[#This Row],[Inspection Cost/MT]]+CT[[#This Row],[DHL Charges PMT]],"")</f>
        <v>0</v>
      </c>
      <c r="Y265" s="7">
        <f>IFERROR(AF265-(O265+CT[[#This Row],[Cost Per MT]]),"")</f>
        <v>335</v>
      </c>
      <c r="Z265" s="7">
        <f>IFERROR(CT[[#This Row],[Margin/MT]]*CT[[#This Row],[Container Qty]],"")</f>
        <v>0</v>
      </c>
      <c r="AA265" s="7"/>
      <c r="AB265" t="s">
        <v>11</v>
      </c>
      <c r="AC265" s="1" t="s">
        <v>158</v>
      </c>
      <c r="AD265" s="3">
        <v>45861</v>
      </c>
      <c r="AE265" s="14">
        <f t="shared" ref="AE265:AE328" si="34">7500/300</f>
        <v>25</v>
      </c>
      <c r="AF265" s="7">
        <v>335</v>
      </c>
      <c r="AG265" s="7">
        <f>CT[[#This Row],[Sales Rate/MT (USD)]]*CT[[#This Row],[SC Qty (MT)]]</f>
        <v>8375</v>
      </c>
      <c r="AH265" s="7" t="str">
        <f>IF(CT[[#This Row],[Container Qty]]&lt;&gt;0,CT[[#This Row],[Sales Rate/MT (USD)]]*CT[[#This Row],[Container Qty]],"")</f>
        <v/>
      </c>
      <c r="AI265" s="7" t="str">
        <f>IF(CT[[#This Row],[Customer Final Price]]&lt;&gt;"",CT[[#This Row],[Customer Final Price]]-CT[[#This Row],[Customer  Prov. Price]],"")</f>
        <v/>
      </c>
      <c r="AJ265" t="s">
        <v>8</v>
      </c>
      <c r="AK265" s="1" t="s">
        <v>159</v>
      </c>
      <c r="AL265" s="1"/>
      <c r="AM265" s="100" t="s">
        <v>134</v>
      </c>
    </row>
    <row r="266" spans="1:39" x14ac:dyDescent="0.25">
      <c r="A266" t="s">
        <v>9</v>
      </c>
      <c r="B266" s="102"/>
      <c r="C266" s="81"/>
      <c r="D266" s="1" t="s">
        <v>67</v>
      </c>
      <c r="F266" s="11"/>
      <c r="G266" s="3"/>
      <c r="H266" s="3"/>
      <c r="I266" s="1"/>
      <c r="J266" s="1"/>
      <c r="K266" s="1"/>
      <c r="L266" s="1"/>
      <c r="M266" s="14">
        <v>25</v>
      </c>
      <c r="N266" s="1"/>
      <c r="O266" s="7"/>
      <c r="P266" s="7">
        <f>CT[[#This Row],[Purchase Rate/MT (USD)]]*CT[[#This Row],[PC Qty (MT)]]</f>
        <v>0</v>
      </c>
      <c r="Q266" s="7">
        <f>CT[[#This Row],[Purchase Rate/MT (USD)]]*CT[[#This Row],[Container Qty]]</f>
        <v>0</v>
      </c>
      <c r="R266" s="7" t="str">
        <f>IF(CT[[#This Row],[BL Number]]&lt;&gt;0,(CT[[#This Row],[Supplier Prov. Price]]-CT[[#This Row],[Supplier Final Price]])*1.2,"")</f>
        <v/>
      </c>
      <c r="S266" s="101"/>
      <c r="T266" s="3"/>
      <c r="U266" s="7"/>
      <c r="V266" s="7"/>
      <c r="W266" s="24"/>
      <c r="X266" s="7">
        <f>IFERROR(CT[[#This Row],[Freight Charges]]+CT[[#This Row],[Inspection Cost/MT]]+CT[[#This Row],[DHL Charges PMT]],"")</f>
        <v>0</v>
      </c>
      <c r="Y266" s="7">
        <f>IFERROR(AF266-(O266+CT[[#This Row],[Cost Per MT]]),"")</f>
        <v>335</v>
      </c>
      <c r="Z266" s="7">
        <f>IFERROR(CT[[#This Row],[Margin/MT]]*CT[[#This Row],[Container Qty]],"")</f>
        <v>0</v>
      </c>
      <c r="AA266" s="7"/>
      <c r="AB266" t="s">
        <v>11</v>
      </c>
      <c r="AC266" s="1" t="s">
        <v>158</v>
      </c>
      <c r="AD266" s="3">
        <v>45861</v>
      </c>
      <c r="AE266" s="14">
        <f t="shared" si="34"/>
        <v>25</v>
      </c>
      <c r="AF266" s="7">
        <v>335</v>
      </c>
      <c r="AG266" s="7">
        <f>CT[[#This Row],[Sales Rate/MT (USD)]]*CT[[#This Row],[SC Qty (MT)]]</f>
        <v>8375</v>
      </c>
      <c r="AH266" s="7" t="str">
        <f>IF(CT[[#This Row],[Container Qty]]&lt;&gt;0,CT[[#This Row],[Sales Rate/MT (USD)]]*CT[[#This Row],[Container Qty]],"")</f>
        <v/>
      </c>
      <c r="AI266" s="7" t="str">
        <f>IF(CT[[#This Row],[Customer Final Price]]&lt;&gt;"",CT[[#This Row],[Customer Final Price]]-CT[[#This Row],[Customer  Prov. Price]],"")</f>
        <v/>
      </c>
      <c r="AJ266" t="s">
        <v>8</v>
      </c>
      <c r="AK266" s="1" t="s">
        <v>159</v>
      </c>
      <c r="AL266" s="1"/>
      <c r="AM266" s="100" t="s">
        <v>134</v>
      </c>
    </row>
    <row r="267" spans="1:39" x14ac:dyDescent="0.25">
      <c r="A267" t="s">
        <v>9</v>
      </c>
      <c r="B267" s="102"/>
      <c r="C267" s="81"/>
      <c r="D267" s="1" t="s">
        <v>67</v>
      </c>
      <c r="F267" s="11"/>
      <c r="G267" s="3"/>
      <c r="H267" s="3"/>
      <c r="I267" s="1"/>
      <c r="J267" s="1"/>
      <c r="K267" s="1"/>
      <c r="L267" s="1"/>
      <c r="M267" s="14">
        <v>25</v>
      </c>
      <c r="N267" s="1"/>
      <c r="O267" s="7"/>
      <c r="P267" s="7">
        <f>CT[[#This Row],[Purchase Rate/MT (USD)]]*CT[[#This Row],[PC Qty (MT)]]</f>
        <v>0</v>
      </c>
      <c r="Q267" s="7">
        <f>CT[[#This Row],[Purchase Rate/MT (USD)]]*CT[[#This Row],[Container Qty]]</f>
        <v>0</v>
      </c>
      <c r="R267" s="7" t="str">
        <f>IF(CT[[#This Row],[BL Number]]&lt;&gt;0,(CT[[#This Row],[Supplier Prov. Price]]-CT[[#This Row],[Supplier Final Price]])*1.2,"")</f>
        <v/>
      </c>
      <c r="S267" s="101"/>
      <c r="T267" s="3"/>
      <c r="U267" s="7"/>
      <c r="V267" s="7"/>
      <c r="W267" s="24"/>
      <c r="X267" s="7">
        <f>IFERROR(CT[[#This Row],[Freight Charges]]+CT[[#This Row],[Inspection Cost/MT]]+CT[[#This Row],[DHL Charges PMT]],"")</f>
        <v>0</v>
      </c>
      <c r="Y267" s="7">
        <f>IFERROR(AF267-(O267+CT[[#This Row],[Cost Per MT]]),"")</f>
        <v>335</v>
      </c>
      <c r="Z267" s="7">
        <f>IFERROR(CT[[#This Row],[Margin/MT]]*CT[[#This Row],[Container Qty]],"")</f>
        <v>0</v>
      </c>
      <c r="AA267" s="7"/>
      <c r="AB267" t="s">
        <v>11</v>
      </c>
      <c r="AC267" s="1" t="s">
        <v>158</v>
      </c>
      <c r="AD267" s="3">
        <v>45861</v>
      </c>
      <c r="AE267" s="14">
        <f t="shared" si="34"/>
        <v>25</v>
      </c>
      <c r="AF267" s="7">
        <v>335</v>
      </c>
      <c r="AG267" s="7">
        <f>CT[[#This Row],[Sales Rate/MT (USD)]]*CT[[#This Row],[SC Qty (MT)]]</f>
        <v>8375</v>
      </c>
      <c r="AH267" s="7" t="str">
        <f>IF(CT[[#This Row],[Container Qty]]&lt;&gt;0,CT[[#This Row],[Sales Rate/MT (USD)]]*CT[[#This Row],[Container Qty]],"")</f>
        <v/>
      </c>
      <c r="AI267" s="7" t="str">
        <f>IF(CT[[#This Row],[Customer Final Price]]&lt;&gt;"",CT[[#This Row],[Customer Final Price]]-CT[[#This Row],[Customer  Prov. Price]],"")</f>
        <v/>
      </c>
      <c r="AJ267" t="s">
        <v>8</v>
      </c>
      <c r="AK267" s="1" t="s">
        <v>159</v>
      </c>
      <c r="AL267" s="1"/>
      <c r="AM267" s="100" t="s">
        <v>134</v>
      </c>
    </row>
    <row r="268" spans="1:39" x14ac:dyDescent="0.25">
      <c r="A268" t="s">
        <v>9</v>
      </c>
      <c r="B268" s="102"/>
      <c r="C268" s="81"/>
      <c r="D268" s="1" t="s">
        <v>67</v>
      </c>
      <c r="F268" s="11"/>
      <c r="G268" s="3"/>
      <c r="H268" s="3"/>
      <c r="I268" s="1"/>
      <c r="J268" s="1"/>
      <c r="K268" s="1"/>
      <c r="L268" s="1"/>
      <c r="M268" s="14">
        <v>25</v>
      </c>
      <c r="N268" s="1"/>
      <c r="O268" s="7"/>
      <c r="P268" s="7">
        <f>CT[[#This Row],[Purchase Rate/MT (USD)]]*CT[[#This Row],[PC Qty (MT)]]</f>
        <v>0</v>
      </c>
      <c r="Q268" s="7">
        <f>CT[[#This Row],[Purchase Rate/MT (USD)]]*CT[[#This Row],[Container Qty]]</f>
        <v>0</v>
      </c>
      <c r="R268" s="7" t="str">
        <f>IF(CT[[#This Row],[BL Number]]&lt;&gt;0,(CT[[#This Row],[Supplier Prov. Price]]-CT[[#This Row],[Supplier Final Price]])*1.2,"")</f>
        <v/>
      </c>
      <c r="S268" s="101"/>
      <c r="T268" s="3"/>
      <c r="U268" s="7"/>
      <c r="V268" s="7"/>
      <c r="W268" s="24"/>
      <c r="X268" s="7">
        <f>IFERROR(CT[[#This Row],[Freight Charges]]+CT[[#This Row],[Inspection Cost/MT]]+CT[[#This Row],[DHL Charges PMT]],"")</f>
        <v>0</v>
      </c>
      <c r="Y268" s="7">
        <f>IFERROR(AF268-(O268+CT[[#This Row],[Cost Per MT]]),"")</f>
        <v>335</v>
      </c>
      <c r="Z268" s="7">
        <f>IFERROR(CT[[#This Row],[Margin/MT]]*CT[[#This Row],[Container Qty]],"")</f>
        <v>0</v>
      </c>
      <c r="AA268" s="7"/>
      <c r="AB268" t="s">
        <v>11</v>
      </c>
      <c r="AC268" s="1" t="s">
        <v>158</v>
      </c>
      <c r="AD268" s="3">
        <v>45861</v>
      </c>
      <c r="AE268" s="14">
        <f t="shared" si="34"/>
        <v>25</v>
      </c>
      <c r="AF268" s="7">
        <v>335</v>
      </c>
      <c r="AG268" s="7">
        <f>CT[[#This Row],[Sales Rate/MT (USD)]]*CT[[#This Row],[SC Qty (MT)]]</f>
        <v>8375</v>
      </c>
      <c r="AH268" s="7" t="str">
        <f>IF(CT[[#This Row],[Container Qty]]&lt;&gt;0,CT[[#This Row],[Sales Rate/MT (USD)]]*CT[[#This Row],[Container Qty]],"")</f>
        <v/>
      </c>
      <c r="AI268" s="7" t="str">
        <f>IF(CT[[#This Row],[Customer Final Price]]&lt;&gt;"",CT[[#This Row],[Customer Final Price]]-CT[[#This Row],[Customer  Prov. Price]],"")</f>
        <v/>
      </c>
      <c r="AJ268" t="s">
        <v>8</v>
      </c>
      <c r="AK268" s="1" t="s">
        <v>159</v>
      </c>
      <c r="AL268" s="1"/>
      <c r="AM268" s="100" t="s">
        <v>134</v>
      </c>
    </row>
    <row r="269" spans="1:39" x14ac:dyDescent="0.25">
      <c r="A269" t="s">
        <v>9</v>
      </c>
      <c r="B269" s="102"/>
      <c r="C269" s="81"/>
      <c r="D269" s="1" t="s">
        <v>67</v>
      </c>
      <c r="F269" s="11"/>
      <c r="G269" s="3"/>
      <c r="H269" s="3"/>
      <c r="I269" s="1"/>
      <c r="J269" s="1"/>
      <c r="K269" s="1"/>
      <c r="L269" s="1"/>
      <c r="M269" s="14">
        <v>25</v>
      </c>
      <c r="N269" s="1"/>
      <c r="O269" s="7"/>
      <c r="P269" s="7">
        <f>CT[[#This Row],[Purchase Rate/MT (USD)]]*CT[[#This Row],[PC Qty (MT)]]</f>
        <v>0</v>
      </c>
      <c r="Q269" s="7">
        <f>CT[[#This Row],[Purchase Rate/MT (USD)]]*CT[[#This Row],[Container Qty]]</f>
        <v>0</v>
      </c>
      <c r="R269" s="7" t="str">
        <f>IF(CT[[#This Row],[BL Number]]&lt;&gt;0,(CT[[#This Row],[Supplier Prov. Price]]-CT[[#This Row],[Supplier Final Price]])*1.2,"")</f>
        <v/>
      </c>
      <c r="S269" s="101"/>
      <c r="T269" s="3"/>
      <c r="U269" s="7"/>
      <c r="V269" s="7"/>
      <c r="W269" s="24"/>
      <c r="X269" s="7">
        <f>IFERROR(CT[[#This Row],[Freight Charges]]+CT[[#This Row],[Inspection Cost/MT]]+CT[[#This Row],[DHL Charges PMT]],"")</f>
        <v>0</v>
      </c>
      <c r="Y269" s="7">
        <f>IFERROR(AF269-(O269+CT[[#This Row],[Cost Per MT]]),"")</f>
        <v>335</v>
      </c>
      <c r="Z269" s="7">
        <f>IFERROR(CT[[#This Row],[Margin/MT]]*CT[[#This Row],[Container Qty]],"")</f>
        <v>0</v>
      </c>
      <c r="AA269" s="7"/>
      <c r="AB269" t="s">
        <v>11</v>
      </c>
      <c r="AC269" s="1" t="s">
        <v>158</v>
      </c>
      <c r="AD269" s="3">
        <v>45861</v>
      </c>
      <c r="AE269" s="14">
        <f t="shared" si="34"/>
        <v>25</v>
      </c>
      <c r="AF269" s="7">
        <v>335</v>
      </c>
      <c r="AG269" s="7">
        <f>CT[[#This Row],[Sales Rate/MT (USD)]]*CT[[#This Row],[SC Qty (MT)]]</f>
        <v>8375</v>
      </c>
      <c r="AH269" s="7" t="str">
        <f>IF(CT[[#This Row],[Container Qty]]&lt;&gt;0,CT[[#This Row],[Sales Rate/MT (USD)]]*CT[[#This Row],[Container Qty]],"")</f>
        <v/>
      </c>
      <c r="AI269" s="7" t="str">
        <f>IF(CT[[#This Row],[Customer Final Price]]&lt;&gt;"",CT[[#This Row],[Customer Final Price]]-CT[[#This Row],[Customer  Prov. Price]],"")</f>
        <v/>
      </c>
      <c r="AJ269" t="s">
        <v>8</v>
      </c>
      <c r="AK269" s="1" t="s">
        <v>159</v>
      </c>
      <c r="AL269" s="1"/>
      <c r="AM269" s="100" t="s">
        <v>134</v>
      </c>
    </row>
    <row r="270" spans="1:39" x14ac:dyDescent="0.25">
      <c r="A270" t="s">
        <v>9</v>
      </c>
      <c r="B270" s="102"/>
      <c r="C270" s="81"/>
      <c r="D270" s="1" t="s">
        <v>67</v>
      </c>
      <c r="F270" s="11"/>
      <c r="G270" s="3"/>
      <c r="H270" s="3"/>
      <c r="I270" s="1"/>
      <c r="J270" s="1"/>
      <c r="K270" s="1"/>
      <c r="L270" s="1"/>
      <c r="M270" s="14">
        <v>25</v>
      </c>
      <c r="N270" s="1"/>
      <c r="O270" s="7"/>
      <c r="P270" s="7">
        <f>CT[[#This Row],[Purchase Rate/MT (USD)]]*CT[[#This Row],[PC Qty (MT)]]</f>
        <v>0</v>
      </c>
      <c r="Q270" s="7">
        <f>CT[[#This Row],[Purchase Rate/MT (USD)]]*CT[[#This Row],[Container Qty]]</f>
        <v>0</v>
      </c>
      <c r="R270" s="7" t="str">
        <f>IF(CT[[#This Row],[BL Number]]&lt;&gt;0,(CT[[#This Row],[Supplier Prov. Price]]-CT[[#This Row],[Supplier Final Price]])*1.2,"")</f>
        <v/>
      </c>
      <c r="S270" s="101"/>
      <c r="T270" s="3"/>
      <c r="U270" s="7"/>
      <c r="V270" s="7"/>
      <c r="W270" s="24"/>
      <c r="X270" s="7">
        <f>IFERROR(CT[[#This Row],[Freight Charges]]+CT[[#This Row],[Inspection Cost/MT]]+CT[[#This Row],[DHL Charges PMT]],"")</f>
        <v>0</v>
      </c>
      <c r="Y270" s="7">
        <f>IFERROR(AF270-(O270+CT[[#This Row],[Cost Per MT]]),"")</f>
        <v>335</v>
      </c>
      <c r="Z270" s="7">
        <f>IFERROR(CT[[#This Row],[Margin/MT]]*CT[[#This Row],[Container Qty]],"")</f>
        <v>0</v>
      </c>
      <c r="AA270" s="7"/>
      <c r="AB270" t="s">
        <v>11</v>
      </c>
      <c r="AC270" s="1" t="s">
        <v>158</v>
      </c>
      <c r="AD270" s="3">
        <v>45861</v>
      </c>
      <c r="AE270" s="14">
        <f t="shared" si="34"/>
        <v>25</v>
      </c>
      <c r="AF270" s="7">
        <v>335</v>
      </c>
      <c r="AG270" s="7">
        <f>CT[[#This Row],[Sales Rate/MT (USD)]]*CT[[#This Row],[SC Qty (MT)]]</f>
        <v>8375</v>
      </c>
      <c r="AH270" s="7" t="str">
        <f>IF(CT[[#This Row],[Container Qty]]&lt;&gt;0,CT[[#This Row],[Sales Rate/MT (USD)]]*CT[[#This Row],[Container Qty]],"")</f>
        <v/>
      </c>
      <c r="AI270" s="7" t="str">
        <f>IF(CT[[#This Row],[Customer Final Price]]&lt;&gt;"",CT[[#This Row],[Customer Final Price]]-CT[[#This Row],[Customer  Prov. Price]],"")</f>
        <v/>
      </c>
      <c r="AJ270" t="s">
        <v>8</v>
      </c>
      <c r="AK270" s="1" t="s">
        <v>159</v>
      </c>
      <c r="AL270" s="1"/>
      <c r="AM270" s="100" t="s">
        <v>134</v>
      </c>
    </row>
    <row r="271" spans="1:39" x14ac:dyDescent="0.25">
      <c r="A271" t="s">
        <v>9</v>
      </c>
      <c r="B271" s="102"/>
      <c r="C271" s="81"/>
      <c r="D271" s="1" t="s">
        <v>67</v>
      </c>
      <c r="F271" s="11"/>
      <c r="G271" s="3"/>
      <c r="H271" s="3"/>
      <c r="I271" s="1"/>
      <c r="J271" s="1"/>
      <c r="K271" s="1"/>
      <c r="L271" s="1"/>
      <c r="M271" s="14">
        <v>25</v>
      </c>
      <c r="N271" s="1"/>
      <c r="O271" s="7"/>
      <c r="P271" s="7">
        <f>CT[[#This Row],[Purchase Rate/MT (USD)]]*CT[[#This Row],[PC Qty (MT)]]</f>
        <v>0</v>
      </c>
      <c r="Q271" s="7">
        <f>CT[[#This Row],[Purchase Rate/MT (USD)]]*CT[[#This Row],[Container Qty]]</f>
        <v>0</v>
      </c>
      <c r="R271" s="7" t="str">
        <f>IF(CT[[#This Row],[BL Number]]&lt;&gt;0,(CT[[#This Row],[Supplier Prov. Price]]-CT[[#This Row],[Supplier Final Price]])*1.2,"")</f>
        <v/>
      </c>
      <c r="S271" s="101"/>
      <c r="T271" s="3"/>
      <c r="U271" s="7"/>
      <c r="V271" s="7"/>
      <c r="W271" s="24"/>
      <c r="X271" s="7">
        <f>IFERROR(CT[[#This Row],[Freight Charges]]+CT[[#This Row],[Inspection Cost/MT]]+CT[[#This Row],[DHL Charges PMT]],"")</f>
        <v>0</v>
      </c>
      <c r="Y271" s="7">
        <f>IFERROR(AF271-(O271+CT[[#This Row],[Cost Per MT]]),"")</f>
        <v>335</v>
      </c>
      <c r="Z271" s="7">
        <f>IFERROR(CT[[#This Row],[Margin/MT]]*CT[[#This Row],[Container Qty]],"")</f>
        <v>0</v>
      </c>
      <c r="AA271" s="7"/>
      <c r="AB271" t="s">
        <v>11</v>
      </c>
      <c r="AC271" s="1" t="s">
        <v>158</v>
      </c>
      <c r="AD271" s="3">
        <v>45861</v>
      </c>
      <c r="AE271" s="14">
        <f t="shared" si="34"/>
        <v>25</v>
      </c>
      <c r="AF271" s="7">
        <v>335</v>
      </c>
      <c r="AG271" s="7">
        <f>CT[[#This Row],[Sales Rate/MT (USD)]]*CT[[#This Row],[SC Qty (MT)]]</f>
        <v>8375</v>
      </c>
      <c r="AH271" s="7" t="str">
        <f>IF(CT[[#This Row],[Container Qty]]&lt;&gt;0,CT[[#This Row],[Sales Rate/MT (USD)]]*CT[[#This Row],[Container Qty]],"")</f>
        <v/>
      </c>
      <c r="AI271" s="7" t="str">
        <f>IF(CT[[#This Row],[Customer Final Price]]&lt;&gt;"",CT[[#This Row],[Customer Final Price]]-CT[[#This Row],[Customer  Prov. Price]],"")</f>
        <v/>
      </c>
      <c r="AJ271" t="s">
        <v>8</v>
      </c>
      <c r="AK271" s="1" t="s">
        <v>159</v>
      </c>
      <c r="AL271" s="1"/>
      <c r="AM271" s="100" t="s">
        <v>134</v>
      </c>
    </row>
    <row r="272" spans="1:39" x14ac:dyDescent="0.25">
      <c r="A272" t="s">
        <v>9</v>
      </c>
      <c r="B272" s="102"/>
      <c r="C272" s="81"/>
      <c r="D272" s="1" t="s">
        <v>67</v>
      </c>
      <c r="F272" s="11"/>
      <c r="G272" s="3"/>
      <c r="H272" s="3"/>
      <c r="I272" s="1"/>
      <c r="J272" s="1"/>
      <c r="K272" s="1"/>
      <c r="L272" s="1"/>
      <c r="M272" s="14">
        <v>25</v>
      </c>
      <c r="N272" s="1"/>
      <c r="O272" s="7"/>
      <c r="P272" s="7">
        <f>CT[[#This Row],[Purchase Rate/MT (USD)]]*CT[[#This Row],[PC Qty (MT)]]</f>
        <v>0</v>
      </c>
      <c r="Q272" s="7">
        <f>CT[[#This Row],[Purchase Rate/MT (USD)]]*CT[[#This Row],[Container Qty]]</f>
        <v>0</v>
      </c>
      <c r="R272" s="7" t="str">
        <f>IF(CT[[#This Row],[BL Number]]&lt;&gt;0,(CT[[#This Row],[Supplier Prov. Price]]-CT[[#This Row],[Supplier Final Price]])*1.2,"")</f>
        <v/>
      </c>
      <c r="S272" s="101"/>
      <c r="T272" s="3"/>
      <c r="U272" s="7"/>
      <c r="V272" s="7"/>
      <c r="W272" s="24"/>
      <c r="X272" s="7">
        <f>IFERROR(CT[[#This Row],[Freight Charges]]+CT[[#This Row],[Inspection Cost/MT]]+CT[[#This Row],[DHL Charges PMT]],"")</f>
        <v>0</v>
      </c>
      <c r="Y272" s="7">
        <f>IFERROR(AF272-(O272+CT[[#This Row],[Cost Per MT]]),"")</f>
        <v>335</v>
      </c>
      <c r="Z272" s="7">
        <f>IFERROR(CT[[#This Row],[Margin/MT]]*CT[[#This Row],[Container Qty]],"")</f>
        <v>0</v>
      </c>
      <c r="AA272" s="7"/>
      <c r="AB272" t="s">
        <v>11</v>
      </c>
      <c r="AC272" s="1" t="s">
        <v>158</v>
      </c>
      <c r="AD272" s="3">
        <v>45861</v>
      </c>
      <c r="AE272" s="14">
        <f t="shared" si="34"/>
        <v>25</v>
      </c>
      <c r="AF272" s="7">
        <v>335</v>
      </c>
      <c r="AG272" s="7">
        <f>CT[[#This Row],[Sales Rate/MT (USD)]]*CT[[#This Row],[SC Qty (MT)]]</f>
        <v>8375</v>
      </c>
      <c r="AH272" s="7" t="str">
        <f>IF(CT[[#This Row],[Container Qty]]&lt;&gt;0,CT[[#This Row],[Sales Rate/MT (USD)]]*CT[[#This Row],[Container Qty]],"")</f>
        <v/>
      </c>
      <c r="AI272" s="7" t="str">
        <f>IF(CT[[#This Row],[Customer Final Price]]&lt;&gt;"",CT[[#This Row],[Customer Final Price]]-CT[[#This Row],[Customer  Prov. Price]],"")</f>
        <v/>
      </c>
      <c r="AJ272" t="s">
        <v>8</v>
      </c>
      <c r="AK272" s="1" t="s">
        <v>159</v>
      </c>
      <c r="AL272" s="1"/>
      <c r="AM272" s="100" t="s">
        <v>134</v>
      </c>
    </row>
    <row r="273" spans="1:39" x14ac:dyDescent="0.25">
      <c r="A273" t="s">
        <v>9</v>
      </c>
      <c r="B273" s="102"/>
      <c r="C273" s="81"/>
      <c r="D273" s="1" t="s">
        <v>67</v>
      </c>
      <c r="F273" s="11"/>
      <c r="G273" s="3"/>
      <c r="H273" s="3"/>
      <c r="I273" s="1"/>
      <c r="J273" s="1"/>
      <c r="K273" s="1"/>
      <c r="L273" s="1"/>
      <c r="M273" s="14">
        <v>25</v>
      </c>
      <c r="N273" s="1"/>
      <c r="O273" s="7"/>
      <c r="P273" s="7">
        <f>CT[[#This Row],[Purchase Rate/MT (USD)]]*CT[[#This Row],[PC Qty (MT)]]</f>
        <v>0</v>
      </c>
      <c r="Q273" s="7">
        <f>CT[[#This Row],[Purchase Rate/MT (USD)]]*CT[[#This Row],[Container Qty]]</f>
        <v>0</v>
      </c>
      <c r="R273" s="7" t="str">
        <f>IF(CT[[#This Row],[BL Number]]&lt;&gt;0,(CT[[#This Row],[Supplier Prov. Price]]-CT[[#This Row],[Supplier Final Price]])*1.2,"")</f>
        <v/>
      </c>
      <c r="S273" s="101"/>
      <c r="T273" s="3"/>
      <c r="U273" s="7"/>
      <c r="V273" s="7"/>
      <c r="W273" s="24"/>
      <c r="X273" s="7">
        <f>IFERROR(CT[[#This Row],[Freight Charges]]+CT[[#This Row],[Inspection Cost/MT]]+CT[[#This Row],[DHL Charges PMT]],"")</f>
        <v>0</v>
      </c>
      <c r="Y273" s="7">
        <f>IFERROR(AF273-(O273+CT[[#This Row],[Cost Per MT]]),"")</f>
        <v>335</v>
      </c>
      <c r="Z273" s="7">
        <f>IFERROR(CT[[#This Row],[Margin/MT]]*CT[[#This Row],[Container Qty]],"")</f>
        <v>0</v>
      </c>
      <c r="AA273" s="7"/>
      <c r="AB273" t="s">
        <v>11</v>
      </c>
      <c r="AC273" s="1" t="s">
        <v>158</v>
      </c>
      <c r="AD273" s="3">
        <v>45861</v>
      </c>
      <c r="AE273" s="14">
        <f t="shared" si="34"/>
        <v>25</v>
      </c>
      <c r="AF273" s="7">
        <v>335</v>
      </c>
      <c r="AG273" s="7">
        <f>CT[[#This Row],[Sales Rate/MT (USD)]]*CT[[#This Row],[SC Qty (MT)]]</f>
        <v>8375</v>
      </c>
      <c r="AH273" s="7" t="str">
        <f>IF(CT[[#This Row],[Container Qty]]&lt;&gt;0,CT[[#This Row],[Sales Rate/MT (USD)]]*CT[[#This Row],[Container Qty]],"")</f>
        <v/>
      </c>
      <c r="AI273" s="7" t="str">
        <f>IF(CT[[#This Row],[Customer Final Price]]&lt;&gt;"",CT[[#This Row],[Customer Final Price]]-CT[[#This Row],[Customer  Prov. Price]],"")</f>
        <v/>
      </c>
      <c r="AJ273" t="s">
        <v>8</v>
      </c>
      <c r="AK273" s="1" t="s">
        <v>159</v>
      </c>
      <c r="AL273" s="1"/>
      <c r="AM273" s="100" t="s">
        <v>134</v>
      </c>
    </row>
    <row r="274" spans="1:39" x14ac:dyDescent="0.25">
      <c r="A274" t="s">
        <v>9</v>
      </c>
      <c r="B274" s="102"/>
      <c r="C274" s="81"/>
      <c r="D274" s="1" t="s">
        <v>67</v>
      </c>
      <c r="F274" s="11"/>
      <c r="G274" s="3"/>
      <c r="H274" s="3"/>
      <c r="I274" s="1"/>
      <c r="J274" s="1"/>
      <c r="K274" s="1"/>
      <c r="L274" s="1"/>
      <c r="M274" s="14">
        <v>25</v>
      </c>
      <c r="N274" s="1"/>
      <c r="O274" s="7"/>
      <c r="P274" s="7">
        <f>CT[[#This Row],[Purchase Rate/MT (USD)]]*CT[[#This Row],[PC Qty (MT)]]</f>
        <v>0</v>
      </c>
      <c r="Q274" s="7">
        <f>CT[[#This Row],[Purchase Rate/MT (USD)]]*CT[[#This Row],[Container Qty]]</f>
        <v>0</v>
      </c>
      <c r="R274" s="7" t="str">
        <f>IF(CT[[#This Row],[BL Number]]&lt;&gt;0,(CT[[#This Row],[Supplier Prov. Price]]-CT[[#This Row],[Supplier Final Price]])*1.2,"")</f>
        <v/>
      </c>
      <c r="S274" s="101"/>
      <c r="T274" s="3"/>
      <c r="U274" s="7"/>
      <c r="V274" s="7"/>
      <c r="W274" s="24"/>
      <c r="X274" s="7">
        <f>IFERROR(CT[[#This Row],[Freight Charges]]+CT[[#This Row],[Inspection Cost/MT]]+CT[[#This Row],[DHL Charges PMT]],"")</f>
        <v>0</v>
      </c>
      <c r="Y274" s="7">
        <f>IFERROR(AF274-(O274+CT[[#This Row],[Cost Per MT]]),"")</f>
        <v>335</v>
      </c>
      <c r="Z274" s="7">
        <f>IFERROR(CT[[#This Row],[Margin/MT]]*CT[[#This Row],[Container Qty]],"")</f>
        <v>0</v>
      </c>
      <c r="AA274" s="7"/>
      <c r="AB274" t="s">
        <v>11</v>
      </c>
      <c r="AC274" s="1" t="s">
        <v>158</v>
      </c>
      <c r="AD274" s="3">
        <v>45861</v>
      </c>
      <c r="AE274" s="14">
        <f t="shared" si="34"/>
        <v>25</v>
      </c>
      <c r="AF274" s="7">
        <v>335</v>
      </c>
      <c r="AG274" s="7">
        <f>CT[[#This Row],[Sales Rate/MT (USD)]]*CT[[#This Row],[SC Qty (MT)]]</f>
        <v>8375</v>
      </c>
      <c r="AH274" s="7" t="str">
        <f>IF(CT[[#This Row],[Container Qty]]&lt;&gt;0,CT[[#This Row],[Sales Rate/MT (USD)]]*CT[[#This Row],[Container Qty]],"")</f>
        <v/>
      </c>
      <c r="AI274" s="7" t="str">
        <f>IF(CT[[#This Row],[Customer Final Price]]&lt;&gt;"",CT[[#This Row],[Customer Final Price]]-CT[[#This Row],[Customer  Prov. Price]],"")</f>
        <v/>
      </c>
      <c r="AJ274" t="s">
        <v>8</v>
      </c>
      <c r="AK274" s="1" t="s">
        <v>159</v>
      </c>
      <c r="AL274" s="1"/>
      <c r="AM274" s="100" t="s">
        <v>134</v>
      </c>
    </row>
    <row r="275" spans="1:39" x14ac:dyDescent="0.25">
      <c r="A275" t="s">
        <v>9</v>
      </c>
      <c r="B275" s="102"/>
      <c r="C275" s="81"/>
      <c r="D275" s="1" t="s">
        <v>67</v>
      </c>
      <c r="F275" s="11"/>
      <c r="G275" s="3"/>
      <c r="H275" s="3"/>
      <c r="I275" s="1"/>
      <c r="J275" s="1"/>
      <c r="K275" s="1"/>
      <c r="L275" s="1"/>
      <c r="M275" s="14">
        <v>25</v>
      </c>
      <c r="N275" s="1"/>
      <c r="O275" s="7"/>
      <c r="P275" s="7">
        <f>CT[[#This Row],[Purchase Rate/MT (USD)]]*CT[[#This Row],[PC Qty (MT)]]</f>
        <v>0</v>
      </c>
      <c r="Q275" s="7">
        <f>CT[[#This Row],[Purchase Rate/MT (USD)]]*CT[[#This Row],[Container Qty]]</f>
        <v>0</v>
      </c>
      <c r="R275" s="7" t="str">
        <f>IF(CT[[#This Row],[BL Number]]&lt;&gt;0,(CT[[#This Row],[Supplier Prov. Price]]-CT[[#This Row],[Supplier Final Price]])*1.2,"")</f>
        <v/>
      </c>
      <c r="S275" s="101"/>
      <c r="T275" s="3"/>
      <c r="U275" s="7"/>
      <c r="V275" s="7"/>
      <c r="W275" s="24"/>
      <c r="X275" s="7">
        <f>IFERROR(CT[[#This Row],[Freight Charges]]+CT[[#This Row],[Inspection Cost/MT]]+CT[[#This Row],[DHL Charges PMT]],"")</f>
        <v>0</v>
      </c>
      <c r="Y275" s="7">
        <f>IFERROR(AF275-(O275+CT[[#This Row],[Cost Per MT]]),"")</f>
        <v>335</v>
      </c>
      <c r="Z275" s="7">
        <f>IFERROR(CT[[#This Row],[Margin/MT]]*CT[[#This Row],[Container Qty]],"")</f>
        <v>0</v>
      </c>
      <c r="AA275" s="7"/>
      <c r="AB275" t="s">
        <v>11</v>
      </c>
      <c r="AC275" s="1" t="s">
        <v>158</v>
      </c>
      <c r="AD275" s="3">
        <v>45861</v>
      </c>
      <c r="AE275" s="14">
        <f t="shared" si="34"/>
        <v>25</v>
      </c>
      <c r="AF275" s="7">
        <v>335</v>
      </c>
      <c r="AG275" s="7">
        <f>CT[[#This Row],[Sales Rate/MT (USD)]]*CT[[#This Row],[SC Qty (MT)]]</f>
        <v>8375</v>
      </c>
      <c r="AH275" s="7" t="str">
        <f>IF(CT[[#This Row],[Container Qty]]&lt;&gt;0,CT[[#This Row],[Sales Rate/MT (USD)]]*CT[[#This Row],[Container Qty]],"")</f>
        <v/>
      </c>
      <c r="AI275" s="7" t="str">
        <f>IF(CT[[#This Row],[Customer Final Price]]&lt;&gt;"",CT[[#This Row],[Customer Final Price]]-CT[[#This Row],[Customer  Prov. Price]],"")</f>
        <v/>
      </c>
      <c r="AJ275" t="s">
        <v>8</v>
      </c>
      <c r="AK275" s="1" t="s">
        <v>159</v>
      </c>
      <c r="AL275" s="1"/>
      <c r="AM275" s="100" t="s">
        <v>134</v>
      </c>
    </row>
    <row r="276" spans="1:39" x14ac:dyDescent="0.25">
      <c r="A276" t="s">
        <v>9</v>
      </c>
      <c r="B276" s="102"/>
      <c r="C276" s="81"/>
      <c r="D276" s="1" t="s">
        <v>67</v>
      </c>
      <c r="F276" s="11"/>
      <c r="G276" s="3"/>
      <c r="H276" s="3"/>
      <c r="I276" s="1"/>
      <c r="J276" s="1"/>
      <c r="K276" s="1"/>
      <c r="L276" s="1"/>
      <c r="M276" s="14">
        <v>25</v>
      </c>
      <c r="N276" s="1"/>
      <c r="O276" s="7"/>
      <c r="P276" s="7">
        <f>CT[[#This Row],[Purchase Rate/MT (USD)]]*CT[[#This Row],[PC Qty (MT)]]</f>
        <v>0</v>
      </c>
      <c r="Q276" s="7">
        <f>CT[[#This Row],[Purchase Rate/MT (USD)]]*CT[[#This Row],[Container Qty]]</f>
        <v>0</v>
      </c>
      <c r="R276" s="7" t="str">
        <f>IF(CT[[#This Row],[BL Number]]&lt;&gt;0,(CT[[#This Row],[Supplier Prov. Price]]-CT[[#This Row],[Supplier Final Price]])*1.2,"")</f>
        <v/>
      </c>
      <c r="S276" s="101"/>
      <c r="T276" s="3"/>
      <c r="U276" s="7"/>
      <c r="V276" s="7"/>
      <c r="W276" s="24"/>
      <c r="X276" s="7">
        <f>IFERROR(CT[[#This Row],[Freight Charges]]+CT[[#This Row],[Inspection Cost/MT]]+CT[[#This Row],[DHL Charges PMT]],"")</f>
        <v>0</v>
      </c>
      <c r="Y276" s="7">
        <f>IFERROR(AF276-(O276+CT[[#This Row],[Cost Per MT]]),"")</f>
        <v>335</v>
      </c>
      <c r="Z276" s="7">
        <f>IFERROR(CT[[#This Row],[Margin/MT]]*CT[[#This Row],[Container Qty]],"")</f>
        <v>0</v>
      </c>
      <c r="AA276" s="7"/>
      <c r="AB276" t="s">
        <v>11</v>
      </c>
      <c r="AC276" s="1" t="s">
        <v>158</v>
      </c>
      <c r="AD276" s="3">
        <v>45861</v>
      </c>
      <c r="AE276" s="14">
        <f t="shared" si="34"/>
        <v>25</v>
      </c>
      <c r="AF276" s="7">
        <v>335</v>
      </c>
      <c r="AG276" s="7">
        <f>CT[[#This Row],[Sales Rate/MT (USD)]]*CT[[#This Row],[SC Qty (MT)]]</f>
        <v>8375</v>
      </c>
      <c r="AH276" s="7" t="str">
        <f>IF(CT[[#This Row],[Container Qty]]&lt;&gt;0,CT[[#This Row],[Sales Rate/MT (USD)]]*CT[[#This Row],[Container Qty]],"")</f>
        <v/>
      </c>
      <c r="AI276" s="7" t="str">
        <f>IF(CT[[#This Row],[Customer Final Price]]&lt;&gt;"",CT[[#This Row],[Customer Final Price]]-CT[[#This Row],[Customer  Prov. Price]],"")</f>
        <v/>
      </c>
      <c r="AJ276" t="s">
        <v>8</v>
      </c>
      <c r="AK276" s="1" t="s">
        <v>159</v>
      </c>
      <c r="AL276" s="1"/>
      <c r="AM276" s="100" t="s">
        <v>134</v>
      </c>
    </row>
    <row r="277" spans="1:39" x14ac:dyDescent="0.25">
      <c r="A277" t="s">
        <v>9</v>
      </c>
      <c r="B277" s="102"/>
      <c r="C277" s="81"/>
      <c r="D277" s="1" t="s">
        <v>67</v>
      </c>
      <c r="F277" s="11"/>
      <c r="G277" s="3"/>
      <c r="H277" s="3"/>
      <c r="I277" s="1"/>
      <c r="J277" s="1"/>
      <c r="K277" s="1"/>
      <c r="L277" s="1"/>
      <c r="M277" s="14">
        <v>25</v>
      </c>
      <c r="N277" s="1"/>
      <c r="O277" s="7"/>
      <c r="P277" s="7">
        <f>CT[[#This Row],[Purchase Rate/MT (USD)]]*CT[[#This Row],[PC Qty (MT)]]</f>
        <v>0</v>
      </c>
      <c r="Q277" s="7">
        <f>CT[[#This Row],[Purchase Rate/MT (USD)]]*CT[[#This Row],[Container Qty]]</f>
        <v>0</v>
      </c>
      <c r="R277" s="7" t="str">
        <f>IF(CT[[#This Row],[BL Number]]&lt;&gt;0,(CT[[#This Row],[Supplier Prov. Price]]-CT[[#This Row],[Supplier Final Price]])*1.2,"")</f>
        <v/>
      </c>
      <c r="S277" s="101"/>
      <c r="T277" s="3"/>
      <c r="U277" s="7"/>
      <c r="V277" s="7"/>
      <c r="W277" s="24"/>
      <c r="X277" s="7">
        <f>IFERROR(CT[[#This Row],[Freight Charges]]+CT[[#This Row],[Inspection Cost/MT]]+CT[[#This Row],[DHL Charges PMT]],"")</f>
        <v>0</v>
      </c>
      <c r="Y277" s="7">
        <f>IFERROR(AF277-(O277+CT[[#This Row],[Cost Per MT]]),"")</f>
        <v>335</v>
      </c>
      <c r="Z277" s="7">
        <f>IFERROR(CT[[#This Row],[Margin/MT]]*CT[[#This Row],[Container Qty]],"")</f>
        <v>0</v>
      </c>
      <c r="AA277" s="7"/>
      <c r="AB277" t="s">
        <v>11</v>
      </c>
      <c r="AC277" s="1" t="s">
        <v>158</v>
      </c>
      <c r="AD277" s="3">
        <v>45861</v>
      </c>
      <c r="AE277" s="14">
        <f t="shared" si="34"/>
        <v>25</v>
      </c>
      <c r="AF277" s="7">
        <v>335</v>
      </c>
      <c r="AG277" s="7">
        <f>CT[[#This Row],[Sales Rate/MT (USD)]]*CT[[#This Row],[SC Qty (MT)]]</f>
        <v>8375</v>
      </c>
      <c r="AH277" s="7" t="str">
        <f>IF(CT[[#This Row],[Container Qty]]&lt;&gt;0,CT[[#This Row],[Sales Rate/MT (USD)]]*CT[[#This Row],[Container Qty]],"")</f>
        <v/>
      </c>
      <c r="AI277" s="7" t="str">
        <f>IF(CT[[#This Row],[Customer Final Price]]&lt;&gt;"",CT[[#This Row],[Customer Final Price]]-CT[[#This Row],[Customer  Prov. Price]],"")</f>
        <v/>
      </c>
      <c r="AJ277" t="s">
        <v>8</v>
      </c>
      <c r="AK277" s="1" t="s">
        <v>159</v>
      </c>
      <c r="AL277" s="1"/>
      <c r="AM277" s="100" t="s">
        <v>134</v>
      </c>
    </row>
    <row r="278" spans="1:39" x14ac:dyDescent="0.25">
      <c r="A278" t="s">
        <v>9</v>
      </c>
      <c r="B278" s="102"/>
      <c r="C278" s="81"/>
      <c r="D278" s="1" t="s">
        <v>67</v>
      </c>
      <c r="F278" s="11"/>
      <c r="G278" s="3"/>
      <c r="H278" s="3"/>
      <c r="I278" s="1"/>
      <c r="J278" s="1"/>
      <c r="K278" s="1"/>
      <c r="L278" s="1"/>
      <c r="M278" s="14">
        <v>25</v>
      </c>
      <c r="N278" s="1"/>
      <c r="O278" s="7"/>
      <c r="P278" s="7">
        <f>CT[[#This Row],[Purchase Rate/MT (USD)]]*CT[[#This Row],[PC Qty (MT)]]</f>
        <v>0</v>
      </c>
      <c r="Q278" s="7">
        <f>CT[[#This Row],[Purchase Rate/MT (USD)]]*CT[[#This Row],[Container Qty]]</f>
        <v>0</v>
      </c>
      <c r="R278" s="7" t="str">
        <f>IF(CT[[#This Row],[BL Number]]&lt;&gt;0,(CT[[#This Row],[Supplier Prov. Price]]-CT[[#This Row],[Supplier Final Price]])*1.2,"")</f>
        <v/>
      </c>
      <c r="S278" s="101"/>
      <c r="T278" s="3"/>
      <c r="U278" s="7"/>
      <c r="V278" s="7"/>
      <c r="W278" s="24"/>
      <c r="X278" s="7">
        <f>IFERROR(CT[[#This Row],[Freight Charges]]+CT[[#This Row],[Inspection Cost/MT]]+CT[[#This Row],[DHL Charges PMT]],"")</f>
        <v>0</v>
      </c>
      <c r="Y278" s="7">
        <f>IFERROR(AF278-(O278+CT[[#This Row],[Cost Per MT]]),"")</f>
        <v>335</v>
      </c>
      <c r="Z278" s="7">
        <f>IFERROR(CT[[#This Row],[Margin/MT]]*CT[[#This Row],[Container Qty]],"")</f>
        <v>0</v>
      </c>
      <c r="AA278" s="7"/>
      <c r="AB278" t="s">
        <v>11</v>
      </c>
      <c r="AC278" s="1" t="s">
        <v>158</v>
      </c>
      <c r="AD278" s="3">
        <v>45861</v>
      </c>
      <c r="AE278" s="14">
        <f t="shared" si="34"/>
        <v>25</v>
      </c>
      <c r="AF278" s="7">
        <v>335</v>
      </c>
      <c r="AG278" s="7">
        <f>CT[[#This Row],[Sales Rate/MT (USD)]]*CT[[#This Row],[SC Qty (MT)]]</f>
        <v>8375</v>
      </c>
      <c r="AH278" s="7" t="str">
        <f>IF(CT[[#This Row],[Container Qty]]&lt;&gt;0,CT[[#This Row],[Sales Rate/MT (USD)]]*CT[[#This Row],[Container Qty]],"")</f>
        <v/>
      </c>
      <c r="AI278" s="7" t="str">
        <f>IF(CT[[#This Row],[Customer Final Price]]&lt;&gt;"",CT[[#This Row],[Customer Final Price]]-CT[[#This Row],[Customer  Prov. Price]],"")</f>
        <v/>
      </c>
      <c r="AJ278" t="s">
        <v>8</v>
      </c>
      <c r="AK278" s="1" t="s">
        <v>159</v>
      </c>
      <c r="AL278" s="1"/>
      <c r="AM278" s="100" t="s">
        <v>134</v>
      </c>
    </row>
    <row r="279" spans="1:39" x14ac:dyDescent="0.25">
      <c r="A279" t="s">
        <v>9</v>
      </c>
      <c r="B279" s="102"/>
      <c r="C279" s="81"/>
      <c r="D279" s="1" t="s">
        <v>67</v>
      </c>
      <c r="F279" s="11"/>
      <c r="G279" s="3"/>
      <c r="H279" s="3"/>
      <c r="I279" s="1"/>
      <c r="J279" s="1"/>
      <c r="K279" s="1"/>
      <c r="L279" s="1"/>
      <c r="M279" s="14">
        <v>25</v>
      </c>
      <c r="N279" s="1"/>
      <c r="O279" s="7"/>
      <c r="P279" s="7">
        <f>CT[[#This Row],[Purchase Rate/MT (USD)]]*CT[[#This Row],[PC Qty (MT)]]</f>
        <v>0</v>
      </c>
      <c r="Q279" s="7">
        <f>CT[[#This Row],[Purchase Rate/MT (USD)]]*CT[[#This Row],[Container Qty]]</f>
        <v>0</v>
      </c>
      <c r="R279" s="7" t="str">
        <f>IF(CT[[#This Row],[BL Number]]&lt;&gt;0,(CT[[#This Row],[Supplier Prov. Price]]-CT[[#This Row],[Supplier Final Price]])*1.2,"")</f>
        <v/>
      </c>
      <c r="S279" s="101"/>
      <c r="T279" s="3"/>
      <c r="U279" s="7"/>
      <c r="V279" s="7"/>
      <c r="W279" s="24"/>
      <c r="X279" s="7">
        <f>IFERROR(CT[[#This Row],[Freight Charges]]+CT[[#This Row],[Inspection Cost/MT]]+CT[[#This Row],[DHL Charges PMT]],"")</f>
        <v>0</v>
      </c>
      <c r="Y279" s="7">
        <f>IFERROR(AF279-(O279+CT[[#This Row],[Cost Per MT]]),"")</f>
        <v>335</v>
      </c>
      <c r="Z279" s="7">
        <f>IFERROR(CT[[#This Row],[Margin/MT]]*CT[[#This Row],[Container Qty]],"")</f>
        <v>0</v>
      </c>
      <c r="AA279" s="7"/>
      <c r="AB279" t="s">
        <v>11</v>
      </c>
      <c r="AC279" s="1" t="s">
        <v>158</v>
      </c>
      <c r="AD279" s="3">
        <v>45861</v>
      </c>
      <c r="AE279" s="14">
        <f t="shared" si="34"/>
        <v>25</v>
      </c>
      <c r="AF279" s="7">
        <v>335</v>
      </c>
      <c r="AG279" s="7">
        <f>CT[[#This Row],[Sales Rate/MT (USD)]]*CT[[#This Row],[SC Qty (MT)]]</f>
        <v>8375</v>
      </c>
      <c r="AH279" s="7" t="str">
        <f>IF(CT[[#This Row],[Container Qty]]&lt;&gt;0,CT[[#This Row],[Sales Rate/MT (USD)]]*CT[[#This Row],[Container Qty]],"")</f>
        <v/>
      </c>
      <c r="AI279" s="7" t="str">
        <f>IF(CT[[#This Row],[Customer Final Price]]&lt;&gt;"",CT[[#This Row],[Customer Final Price]]-CT[[#This Row],[Customer  Prov. Price]],"")</f>
        <v/>
      </c>
      <c r="AJ279" t="s">
        <v>8</v>
      </c>
      <c r="AK279" s="1" t="s">
        <v>159</v>
      </c>
      <c r="AL279" s="1"/>
      <c r="AM279" s="100" t="s">
        <v>134</v>
      </c>
    </row>
    <row r="280" spans="1:39" x14ac:dyDescent="0.25">
      <c r="A280" t="s">
        <v>9</v>
      </c>
      <c r="B280" s="102"/>
      <c r="C280" s="81"/>
      <c r="D280" s="1" t="s">
        <v>67</v>
      </c>
      <c r="F280" s="11"/>
      <c r="G280" s="3"/>
      <c r="H280" s="3"/>
      <c r="I280" s="1"/>
      <c r="J280" s="1"/>
      <c r="K280" s="1"/>
      <c r="L280" s="1"/>
      <c r="M280" s="14">
        <v>25</v>
      </c>
      <c r="N280" s="1"/>
      <c r="O280" s="7"/>
      <c r="P280" s="7">
        <f>CT[[#This Row],[Purchase Rate/MT (USD)]]*CT[[#This Row],[PC Qty (MT)]]</f>
        <v>0</v>
      </c>
      <c r="Q280" s="7">
        <f>CT[[#This Row],[Purchase Rate/MT (USD)]]*CT[[#This Row],[Container Qty]]</f>
        <v>0</v>
      </c>
      <c r="R280" s="7" t="str">
        <f>IF(CT[[#This Row],[BL Number]]&lt;&gt;0,(CT[[#This Row],[Supplier Prov. Price]]-CT[[#This Row],[Supplier Final Price]])*1.2,"")</f>
        <v/>
      </c>
      <c r="S280" s="101"/>
      <c r="T280" s="3"/>
      <c r="U280" s="7"/>
      <c r="V280" s="7"/>
      <c r="W280" s="24"/>
      <c r="X280" s="7">
        <f>IFERROR(CT[[#This Row],[Freight Charges]]+CT[[#This Row],[Inspection Cost/MT]]+CT[[#This Row],[DHL Charges PMT]],"")</f>
        <v>0</v>
      </c>
      <c r="Y280" s="7">
        <f>IFERROR(AF280-(O280+CT[[#This Row],[Cost Per MT]]),"")</f>
        <v>335</v>
      </c>
      <c r="Z280" s="7">
        <f>IFERROR(CT[[#This Row],[Margin/MT]]*CT[[#This Row],[Container Qty]],"")</f>
        <v>0</v>
      </c>
      <c r="AA280" s="7"/>
      <c r="AB280" t="s">
        <v>11</v>
      </c>
      <c r="AC280" s="1" t="s">
        <v>158</v>
      </c>
      <c r="AD280" s="3">
        <v>45861</v>
      </c>
      <c r="AE280" s="14">
        <f t="shared" si="34"/>
        <v>25</v>
      </c>
      <c r="AF280" s="7">
        <v>335</v>
      </c>
      <c r="AG280" s="7">
        <f>CT[[#This Row],[Sales Rate/MT (USD)]]*CT[[#This Row],[SC Qty (MT)]]</f>
        <v>8375</v>
      </c>
      <c r="AH280" s="7" t="str">
        <f>IF(CT[[#This Row],[Container Qty]]&lt;&gt;0,CT[[#This Row],[Sales Rate/MT (USD)]]*CT[[#This Row],[Container Qty]],"")</f>
        <v/>
      </c>
      <c r="AI280" s="7" t="str">
        <f>IF(CT[[#This Row],[Customer Final Price]]&lt;&gt;"",CT[[#This Row],[Customer Final Price]]-CT[[#This Row],[Customer  Prov. Price]],"")</f>
        <v/>
      </c>
      <c r="AJ280" t="s">
        <v>8</v>
      </c>
      <c r="AK280" s="1" t="s">
        <v>159</v>
      </c>
      <c r="AL280" s="1"/>
      <c r="AM280" s="100" t="s">
        <v>134</v>
      </c>
    </row>
    <row r="281" spans="1:39" x14ac:dyDescent="0.25">
      <c r="A281" t="s">
        <v>9</v>
      </c>
      <c r="B281" s="102"/>
      <c r="C281" s="81"/>
      <c r="D281" s="1" t="s">
        <v>67</v>
      </c>
      <c r="F281" s="11"/>
      <c r="G281" s="3"/>
      <c r="H281" s="3"/>
      <c r="I281" s="1"/>
      <c r="J281" s="1"/>
      <c r="K281" s="1"/>
      <c r="L281" s="1"/>
      <c r="M281" s="14">
        <v>25</v>
      </c>
      <c r="N281" s="1"/>
      <c r="O281" s="7"/>
      <c r="P281" s="7">
        <f>CT[[#This Row],[Purchase Rate/MT (USD)]]*CT[[#This Row],[PC Qty (MT)]]</f>
        <v>0</v>
      </c>
      <c r="Q281" s="7">
        <f>CT[[#This Row],[Purchase Rate/MT (USD)]]*CT[[#This Row],[Container Qty]]</f>
        <v>0</v>
      </c>
      <c r="R281" s="7" t="str">
        <f>IF(CT[[#This Row],[BL Number]]&lt;&gt;0,(CT[[#This Row],[Supplier Prov. Price]]-CT[[#This Row],[Supplier Final Price]])*1.2,"")</f>
        <v/>
      </c>
      <c r="S281" s="101"/>
      <c r="T281" s="3"/>
      <c r="U281" s="7"/>
      <c r="V281" s="7"/>
      <c r="W281" s="24"/>
      <c r="X281" s="7">
        <f>IFERROR(CT[[#This Row],[Freight Charges]]+CT[[#This Row],[Inspection Cost/MT]]+CT[[#This Row],[DHL Charges PMT]],"")</f>
        <v>0</v>
      </c>
      <c r="Y281" s="7">
        <f>IFERROR(AF281-(O281+CT[[#This Row],[Cost Per MT]]),"")</f>
        <v>335</v>
      </c>
      <c r="Z281" s="7">
        <f>IFERROR(CT[[#This Row],[Margin/MT]]*CT[[#This Row],[Container Qty]],"")</f>
        <v>0</v>
      </c>
      <c r="AA281" s="7"/>
      <c r="AB281" t="s">
        <v>11</v>
      </c>
      <c r="AC281" s="1" t="s">
        <v>158</v>
      </c>
      <c r="AD281" s="3">
        <v>45861</v>
      </c>
      <c r="AE281" s="14">
        <f t="shared" si="34"/>
        <v>25</v>
      </c>
      <c r="AF281" s="7">
        <v>335</v>
      </c>
      <c r="AG281" s="7">
        <f>CT[[#This Row],[Sales Rate/MT (USD)]]*CT[[#This Row],[SC Qty (MT)]]</f>
        <v>8375</v>
      </c>
      <c r="AH281" s="7" t="str">
        <f>IF(CT[[#This Row],[Container Qty]]&lt;&gt;0,CT[[#This Row],[Sales Rate/MT (USD)]]*CT[[#This Row],[Container Qty]],"")</f>
        <v/>
      </c>
      <c r="AI281" s="7" t="str">
        <f>IF(CT[[#This Row],[Customer Final Price]]&lt;&gt;"",CT[[#This Row],[Customer Final Price]]-CT[[#This Row],[Customer  Prov. Price]],"")</f>
        <v/>
      </c>
      <c r="AJ281" t="s">
        <v>8</v>
      </c>
      <c r="AK281" s="1" t="s">
        <v>159</v>
      </c>
      <c r="AL281" s="1"/>
      <c r="AM281" s="100" t="s">
        <v>134</v>
      </c>
    </row>
    <row r="282" spans="1:39" x14ac:dyDescent="0.25">
      <c r="A282" t="s">
        <v>9</v>
      </c>
      <c r="B282" s="102"/>
      <c r="C282" s="81"/>
      <c r="D282" s="1" t="s">
        <v>67</v>
      </c>
      <c r="F282" s="11"/>
      <c r="G282" s="3"/>
      <c r="H282" s="3"/>
      <c r="I282" s="1"/>
      <c r="J282" s="1"/>
      <c r="K282" s="1"/>
      <c r="L282" s="1"/>
      <c r="M282" s="14">
        <v>25</v>
      </c>
      <c r="N282" s="1"/>
      <c r="O282" s="7"/>
      <c r="P282" s="7">
        <f>CT[[#This Row],[Purchase Rate/MT (USD)]]*CT[[#This Row],[PC Qty (MT)]]</f>
        <v>0</v>
      </c>
      <c r="Q282" s="7">
        <f>CT[[#This Row],[Purchase Rate/MT (USD)]]*CT[[#This Row],[Container Qty]]</f>
        <v>0</v>
      </c>
      <c r="R282" s="7" t="str">
        <f>IF(CT[[#This Row],[BL Number]]&lt;&gt;0,(CT[[#This Row],[Supplier Prov. Price]]-CT[[#This Row],[Supplier Final Price]])*1.2,"")</f>
        <v/>
      </c>
      <c r="S282" s="101"/>
      <c r="T282" s="3"/>
      <c r="U282" s="7"/>
      <c r="V282" s="7"/>
      <c r="W282" s="24"/>
      <c r="X282" s="7">
        <f>IFERROR(CT[[#This Row],[Freight Charges]]+CT[[#This Row],[Inspection Cost/MT]]+CT[[#This Row],[DHL Charges PMT]],"")</f>
        <v>0</v>
      </c>
      <c r="Y282" s="7">
        <f>IFERROR(AF282-(O282+CT[[#This Row],[Cost Per MT]]),"")</f>
        <v>335</v>
      </c>
      <c r="Z282" s="7">
        <f>IFERROR(CT[[#This Row],[Margin/MT]]*CT[[#This Row],[Container Qty]],"")</f>
        <v>0</v>
      </c>
      <c r="AA282" s="7"/>
      <c r="AB282" t="s">
        <v>11</v>
      </c>
      <c r="AC282" s="1" t="s">
        <v>158</v>
      </c>
      <c r="AD282" s="3">
        <v>45861</v>
      </c>
      <c r="AE282" s="14">
        <f t="shared" si="34"/>
        <v>25</v>
      </c>
      <c r="AF282" s="7">
        <v>335</v>
      </c>
      <c r="AG282" s="7">
        <f>CT[[#This Row],[Sales Rate/MT (USD)]]*CT[[#This Row],[SC Qty (MT)]]</f>
        <v>8375</v>
      </c>
      <c r="AH282" s="7" t="str">
        <f>IF(CT[[#This Row],[Container Qty]]&lt;&gt;0,CT[[#This Row],[Sales Rate/MT (USD)]]*CT[[#This Row],[Container Qty]],"")</f>
        <v/>
      </c>
      <c r="AI282" s="7" t="str">
        <f>IF(CT[[#This Row],[Customer Final Price]]&lt;&gt;"",CT[[#This Row],[Customer Final Price]]-CT[[#This Row],[Customer  Prov. Price]],"")</f>
        <v/>
      </c>
      <c r="AJ282" t="s">
        <v>8</v>
      </c>
      <c r="AK282" s="1" t="s">
        <v>159</v>
      </c>
      <c r="AL282" s="1"/>
      <c r="AM282" s="100" t="s">
        <v>134</v>
      </c>
    </row>
    <row r="283" spans="1:39" x14ac:dyDescent="0.25">
      <c r="A283" t="s">
        <v>9</v>
      </c>
      <c r="B283" s="102"/>
      <c r="C283" s="81"/>
      <c r="D283" s="1" t="s">
        <v>67</v>
      </c>
      <c r="F283" s="11"/>
      <c r="G283" s="3"/>
      <c r="H283" s="3"/>
      <c r="I283" s="1"/>
      <c r="J283" s="1"/>
      <c r="K283" s="1"/>
      <c r="L283" s="1"/>
      <c r="M283" s="14">
        <v>25</v>
      </c>
      <c r="N283" s="1"/>
      <c r="O283" s="7"/>
      <c r="P283" s="7">
        <f>CT[[#This Row],[Purchase Rate/MT (USD)]]*CT[[#This Row],[PC Qty (MT)]]</f>
        <v>0</v>
      </c>
      <c r="Q283" s="7">
        <f>CT[[#This Row],[Purchase Rate/MT (USD)]]*CT[[#This Row],[Container Qty]]</f>
        <v>0</v>
      </c>
      <c r="R283" s="7" t="str">
        <f>IF(CT[[#This Row],[BL Number]]&lt;&gt;0,(CT[[#This Row],[Supplier Prov. Price]]-CT[[#This Row],[Supplier Final Price]])*1.2,"")</f>
        <v/>
      </c>
      <c r="S283" s="101"/>
      <c r="T283" s="3"/>
      <c r="U283" s="7"/>
      <c r="V283" s="7"/>
      <c r="W283" s="24"/>
      <c r="X283" s="7">
        <f>IFERROR(CT[[#This Row],[Freight Charges]]+CT[[#This Row],[Inspection Cost/MT]]+CT[[#This Row],[DHL Charges PMT]],"")</f>
        <v>0</v>
      </c>
      <c r="Y283" s="7">
        <f>IFERROR(AF283-(O283+CT[[#This Row],[Cost Per MT]]),"")</f>
        <v>335</v>
      </c>
      <c r="Z283" s="7">
        <f>IFERROR(CT[[#This Row],[Margin/MT]]*CT[[#This Row],[Container Qty]],"")</f>
        <v>0</v>
      </c>
      <c r="AA283" s="7"/>
      <c r="AB283" t="s">
        <v>11</v>
      </c>
      <c r="AC283" s="1" t="s">
        <v>158</v>
      </c>
      <c r="AD283" s="3">
        <v>45861</v>
      </c>
      <c r="AE283" s="14">
        <f t="shared" si="34"/>
        <v>25</v>
      </c>
      <c r="AF283" s="7">
        <v>335</v>
      </c>
      <c r="AG283" s="7">
        <f>CT[[#This Row],[Sales Rate/MT (USD)]]*CT[[#This Row],[SC Qty (MT)]]</f>
        <v>8375</v>
      </c>
      <c r="AH283" s="7" t="str">
        <f>IF(CT[[#This Row],[Container Qty]]&lt;&gt;0,CT[[#This Row],[Sales Rate/MT (USD)]]*CT[[#This Row],[Container Qty]],"")</f>
        <v/>
      </c>
      <c r="AI283" s="7" t="str">
        <f>IF(CT[[#This Row],[Customer Final Price]]&lt;&gt;"",CT[[#This Row],[Customer Final Price]]-CT[[#This Row],[Customer  Prov. Price]],"")</f>
        <v/>
      </c>
      <c r="AJ283" t="s">
        <v>8</v>
      </c>
      <c r="AK283" s="1" t="s">
        <v>159</v>
      </c>
      <c r="AL283" s="1"/>
      <c r="AM283" s="100" t="s">
        <v>134</v>
      </c>
    </row>
    <row r="284" spans="1:39" x14ac:dyDescent="0.25">
      <c r="A284" t="s">
        <v>9</v>
      </c>
      <c r="B284" s="102"/>
      <c r="C284" s="81"/>
      <c r="D284" s="1" t="s">
        <v>67</v>
      </c>
      <c r="F284" s="11"/>
      <c r="G284" s="3"/>
      <c r="H284" s="3"/>
      <c r="I284" s="1"/>
      <c r="J284" s="1"/>
      <c r="K284" s="1"/>
      <c r="L284" s="1"/>
      <c r="M284" s="14">
        <v>25</v>
      </c>
      <c r="N284" s="1"/>
      <c r="O284" s="7"/>
      <c r="P284" s="7">
        <f>CT[[#This Row],[Purchase Rate/MT (USD)]]*CT[[#This Row],[PC Qty (MT)]]</f>
        <v>0</v>
      </c>
      <c r="Q284" s="7">
        <f>CT[[#This Row],[Purchase Rate/MT (USD)]]*CT[[#This Row],[Container Qty]]</f>
        <v>0</v>
      </c>
      <c r="R284" s="7" t="str">
        <f>IF(CT[[#This Row],[BL Number]]&lt;&gt;0,(CT[[#This Row],[Supplier Prov. Price]]-CT[[#This Row],[Supplier Final Price]])*1.2,"")</f>
        <v/>
      </c>
      <c r="S284" s="101"/>
      <c r="T284" s="3"/>
      <c r="U284" s="7"/>
      <c r="V284" s="7"/>
      <c r="W284" s="24"/>
      <c r="X284" s="7">
        <f>IFERROR(CT[[#This Row],[Freight Charges]]+CT[[#This Row],[Inspection Cost/MT]]+CT[[#This Row],[DHL Charges PMT]],"")</f>
        <v>0</v>
      </c>
      <c r="Y284" s="7">
        <f>IFERROR(AF284-(O284+CT[[#This Row],[Cost Per MT]]),"")</f>
        <v>335</v>
      </c>
      <c r="Z284" s="7">
        <f>IFERROR(CT[[#This Row],[Margin/MT]]*CT[[#This Row],[Container Qty]],"")</f>
        <v>0</v>
      </c>
      <c r="AA284" s="7"/>
      <c r="AB284" t="s">
        <v>11</v>
      </c>
      <c r="AC284" s="1" t="s">
        <v>158</v>
      </c>
      <c r="AD284" s="3">
        <v>45861</v>
      </c>
      <c r="AE284" s="14">
        <f t="shared" si="34"/>
        <v>25</v>
      </c>
      <c r="AF284" s="7">
        <v>335</v>
      </c>
      <c r="AG284" s="7">
        <f>CT[[#This Row],[Sales Rate/MT (USD)]]*CT[[#This Row],[SC Qty (MT)]]</f>
        <v>8375</v>
      </c>
      <c r="AH284" s="7" t="str">
        <f>IF(CT[[#This Row],[Container Qty]]&lt;&gt;0,CT[[#This Row],[Sales Rate/MT (USD)]]*CT[[#This Row],[Container Qty]],"")</f>
        <v/>
      </c>
      <c r="AI284" s="7" t="str">
        <f>IF(CT[[#This Row],[Customer Final Price]]&lt;&gt;"",CT[[#This Row],[Customer Final Price]]-CT[[#This Row],[Customer  Prov. Price]],"")</f>
        <v/>
      </c>
      <c r="AJ284" t="s">
        <v>8</v>
      </c>
      <c r="AK284" s="1" t="s">
        <v>159</v>
      </c>
      <c r="AL284" s="1"/>
      <c r="AM284" s="100" t="s">
        <v>134</v>
      </c>
    </row>
    <row r="285" spans="1:39" x14ac:dyDescent="0.25">
      <c r="A285" t="s">
        <v>9</v>
      </c>
      <c r="B285" s="102"/>
      <c r="C285" s="81"/>
      <c r="D285" s="1" t="s">
        <v>67</v>
      </c>
      <c r="F285" s="11"/>
      <c r="G285" s="3"/>
      <c r="H285" s="3"/>
      <c r="I285" s="1"/>
      <c r="J285" s="1"/>
      <c r="K285" s="1"/>
      <c r="L285" s="1"/>
      <c r="M285" s="14">
        <v>25</v>
      </c>
      <c r="N285" s="1"/>
      <c r="O285" s="7"/>
      <c r="P285" s="7">
        <f>CT[[#This Row],[Purchase Rate/MT (USD)]]*CT[[#This Row],[PC Qty (MT)]]</f>
        <v>0</v>
      </c>
      <c r="Q285" s="7">
        <f>CT[[#This Row],[Purchase Rate/MT (USD)]]*CT[[#This Row],[Container Qty]]</f>
        <v>0</v>
      </c>
      <c r="R285" s="7" t="str">
        <f>IF(CT[[#This Row],[BL Number]]&lt;&gt;0,(CT[[#This Row],[Supplier Prov. Price]]-CT[[#This Row],[Supplier Final Price]])*1.2,"")</f>
        <v/>
      </c>
      <c r="S285" s="101"/>
      <c r="T285" s="3"/>
      <c r="U285" s="7"/>
      <c r="V285" s="7"/>
      <c r="W285" s="24"/>
      <c r="X285" s="7">
        <f>IFERROR(CT[[#This Row],[Freight Charges]]+CT[[#This Row],[Inspection Cost/MT]]+CT[[#This Row],[DHL Charges PMT]],"")</f>
        <v>0</v>
      </c>
      <c r="Y285" s="7">
        <f>IFERROR(AF285-(O285+CT[[#This Row],[Cost Per MT]]),"")</f>
        <v>335</v>
      </c>
      <c r="Z285" s="7">
        <f>IFERROR(CT[[#This Row],[Margin/MT]]*CT[[#This Row],[Container Qty]],"")</f>
        <v>0</v>
      </c>
      <c r="AA285" s="7"/>
      <c r="AB285" t="s">
        <v>11</v>
      </c>
      <c r="AC285" s="1" t="s">
        <v>158</v>
      </c>
      <c r="AD285" s="3">
        <v>45861</v>
      </c>
      <c r="AE285" s="14">
        <f t="shared" si="34"/>
        <v>25</v>
      </c>
      <c r="AF285" s="7">
        <v>335</v>
      </c>
      <c r="AG285" s="7">
        <f>CT[[#This Row],[Sales Rate/MT (USD)]]*CT[[#This Row],[SC Qty (MT)]]</f>
        <v>8375</v>
      </c>
      <c r="AH285" s="7" t="str">
        <f>IF(CT[[#This Row],[Container Qty]]&lt;&gt;0,CT[[#This Row],[Sales Rate/MT (USD)]]*CT[[#This Row],[Container Qty]],"")</f>
        <v/>
      </c>
      <c r="AI285" s="7" t="str">
        <f>IF(CT[[#This Row],[Customer Final Price]]&lt;&gt;"",CT[[#This Row],[Customer Final Price]]-CT[[#This Row],[Customer  Prov. Price]],"")</f>
        <v/>
      </c>
      <c r="AJ285" t="s">
        <v>8</v>
      </c>
      <c r="AK285" s="1" t="s">
        <v>159</v>
      </c>
      <c r="AL285" s="1"/>
      <c r="AM285" s="100" t="s">
        <v>134</v>
      </c>
    </row>
    <row r="286" spans="1:39" x14ac:dyDescent="0.25">
      <c r="A286" t="s">
        <v>9</v>
      </c>
      <c r="B286" s="102"/>
      <c r="C286" s="81"/>
      <c r="D286" s="1" t="s">
        <v>67</v>
      </c>
      <c r="F286" s="11"/>
      <c r="G286" s="3"/>
      <c r="H286" s="3"/>
      <c r="I286" s="1"/>
      <c r="J286" s="1"/>
      <c r="K286" s="1"/>
      <c r="L286" s="1"/>
      <c r="M286" s="14">
        <v>25</v>
      </c>
      <c r="N286" s="1"/>
      <c r="O286" s="7"/>
      <c r="P286" s="7">
        <f>CT[[#This Row],[Purchase Rate/MT (USD)]]*CT[[#This Row],[PC Qty (MT)]]</f>
        <v>0</v>
      </c>
      <c r="Q286" s="7">
        <f>CT[[#This Row],[Purchase Rate/MT (USD)]]*CT[[#This Row],[Container Qty]]</f>
        <v>0</v>
      </c>
      <c r="R286" s="7" t="str">
        <f>IF(CT[[#This Row],[BL Number]]&lt;&gt;0,(CT[[#This Row],[Supplier Prov. Price]]-CT[[#This Row],[Supplier Final Price]])*1.2,"")</f>
        <v/>
      </c>
      <c r="S286" s="101"/>
      <c r="T286" s="3"/>
      <c r="U286" s="7"/>
      <c r="V286" s="7"/>
      <c r="W286" s="24"/>
      <c r="X286" s="7">
        <f>IFERROR(CT[[#This Row],[Freight Charges]]+CT[[#This Row],[Inspection Cost/MT]]+CT[[#This Row],[DHL Charges PMT]],"")</f>
        <v>0</v>
      </c>
      <c r="Y286" s="7">
        <f>IFERROR(AF286-(O286+CT[[#This Row],[Cost Per MT]]),"")</f>
        <v>335</v>
      </c>
      <c r="Z286" s="7">
        <f>IFERROR(CT[[#This Row],[Margin/MT]]*CT[[#This Row],[Container Qty]],"")</f>
        <v>0</v>
      </c>
      <c r="AA286" s="7"/>
      <c r="AB286" t="s">
        <v>11</v>
      </c>
      <c r="AC286" s="1" t="s">
        <v>158</v>
      </c>
      <c r="AD286" s="3">
        <v>45861</v>
      </c>
      <c r="AE286" s="14">
        <f t="shared" si="34"/>
        <v>25</v>
      </c>
      <c r="AF286" s="7">
        <v>335</v>
      </c>
      <c r="AG286" s="7">
        <f>CT[[#This Row],[Sales Rate/MT (USD)]]*CT[[#This Row],[SC Qty (MT)]]</f>
        <v>8375</v>
      </c>
      <c r="AH286" s="7" t="str">
        <f>IF(CT[[#This Row],[Container Qty]]&lt;&gt;0,CT[[#This Row],[Sales Rate/MT (USD)]]*CT[[#This Row],[Container Qty]],"")</f>
        <v/>
      </c>
      <c r="AI286" s="7" t="str">
        <f>IF(CT[[#This Row],[Customer Final Price]]&lt;&gt;"",CT[[#This Row],[Customer Final Price]]-CT[[#This Row],[Customer  Prov. Price]],"")</f>
        <v/>
      </c>
      <c r="AJ286" t="s">
        <v>8</v>
      </c>
      <c r="AK286" s="1" t="s">
        <v>159</v>
      </c>
      <c r="AL286" s="1"/>
      <c r="AM286" s="100" t="s">
        <v>134</v>
      </c>
    </row>
    <row r="287" spans="1:39" x14ac:dyDescent="0.25">
      <c r="A287" t="s">
        <v>9</v>
      </c>
      <c r="B287" s="102"/>
      <c r="C287" s="81"/>
      <c r="D287" s="1" t="s">
        <v>67</v>
      </c>
      <c r="F287" s="11"/>
      <c r="G287" s="3"/>
      <c r="H287" s="3"/>
      <c r="I287" s="1"/>
      <c r="J287" s="1"/>
      <c r="K287" s="1"/>
      <c r="L287" s="1"/>
      <c r="M287" s="14">
        <v>25</v>
      </c>
      <c r="N287" s="1"/>
      <c r="O287" s="7"/>
      <c r="P287" s="7">
        <f>CT[[#This Row],[Purchase Rate/MT (USD)]]*CT[[#This Row],[PC Qty (MT)]]</f>
        <v>0</v>
      </c>
      <c r="Q287" s="7">
        <f>CT[[#This Row],[Purchase Rate/MT (USD)]]*CT[[#This Row],[Container Qty]]</f>
        <v>0</v>
      </c>
      <c r="R287" s="7" t="str">
        <f>IF(CT[[#This Row],[BL Number]]&lt;&gt;0,(CT[[#This Row],[Supplier Prov. Price]]-CT[[#This Row],[Supplier Final Price]])*1.2,"")</f>
        <v/>
      </c>
      <c r="S287" s="101"/>
      <c r="T287" s="3"/>
      <c r="U287" s="7"/>
      <c r="V287" s="7"/>
      <c r="W287" s="24"/>
      <c r="X287" s="7">
        <f>IFERROR(CT[[#This Row],[Freight Charges]]+CT[[#This Row],[Inspection Cost/MT]]+CT[[#This Row],[DHL Charges PMT]],"")</f>
        <v>0</v>
      </c>
      <c r="Y287" s="7">
        <f>IFERROR(AF287-(O287+CT[[#This Row],[Cost Per MT]]),"")</f>
        <v>335</v>
      </c>
      <c r="Z287" s="7">
        <f>IFERROR(CT[[#This Row],[Margin/MT]]*CT[[#This Row],[Container Qty]],"")</f>
        <v>0</v>
      </c>
      <c r="AA287" s="7"/>
      <c r="AB287" t="s">
        <v>11</v>
      </c>
      <c r="AC287" s="1" t="s">
        <v>158</v>
      </c>
      <c r="AD287" s="3">
        <v>45861</v>
      </c>
      <c r="AE287" s="14">
        <f t="shared" si="34"/>
        <v>25</v>
      </c>
      <c r="AF287" s="7">
        <v>335</v>
      </c>
      <c r="AG287" s="7">
        <f>CT[[#This Row],[Sales Rate/MT (USD)]]*CT[[#This Row],[SC Qty (MT)]]</f>
        <v>8375</v>
      </c>
      <c r="AH287" s="7" t="str">
        <f>IF(CT[[#This Row],[Container Qty]]&lt;&gt;0,CT[[#This Row],[Sales Rate/MT (USD)]]*CT[[#This Row],[Container Qty]],"")</f>
        <v/>
      </c>
      <c r="AI287" s="7" t="str">
        <f>IF(CT[[#This Row],[Customer Final Price]]&lt;&gt;"",CT[[#This Row],[Customer Final Price]]-CT[[#This Row],[Customer  Prov. Price]],"")</f>
        <v/>
      </c>
      <c r="AJ287" t="s">
        <v>8</v>
      </c>
      <c r="AK287" s="1" t="s">
        <v>159</v>
      </c>
      <c r="AL287" s="1"/>
      <c r="AM287" s="100" t="s">
        <v>134</v>
      </c>
    </row>
    <row r="288" spans="1:39" x14ac:dyDescent="0.25">
      <c r="A288" t="s">
        <v>9</v>
      </c>
      <c r="B288" s="102"/>
      <c r="C288" s="81"/>
      <c r="D288" s="1" t="s">
        <v>67</v>
      </c>
      <c r="F288" s="11"/>
      <c r="G288" s="3"/>
      <c r="H288" s="3"/>
      <c r="I288" s="1"/>
      <c r="J288" s="1"/>
      <c r="K288" s="1"/>
      <c r="L288" s="1"/>
      <c r="M288" s="14">
        <v>25</v>
      </c>
      <c r="N288" s="1"/>
      <c r="O288" s="7"/>
      <c r="P288" s="7">
        <f>CT[[#This Row],[Purchase Rate/MT (USD)]]*CT[[#This Row],[PC Qty (MT)]]</f>
        <v>0</v>
      </c>
      <c r="Q288" s="7">
        <f>CT[[#This Row],[Purchase Rate/MT (USD)]]*CT[[#This Row],[Container Qty]]</f>
        <v>0</v>
      </c>
      <c r="R288" s="7" t="str">
        <f>IF(CT[[#This Row],[BL Number]]&lt;&gt;0,(CT[[#This Row],[Supplier Prov. Price]]-CT[[#This Row],[Supplier Final Price]])*1.2,"")</f>
        <v/>
      </c>
      <c r="S288" s="101"/>
      <c r="T288" s="3"/>
      <c r="U288" s="7"/>
      <c r="V288" s="7"/>
      <c r="W288" s="24"/>
      <c r="X288" s="7">
        <f>IFERROR(CT[[#This Row],[Freight Charges]]+CT[[#This Row],[Inspection Cost/MT]]+CT[[#This Row],[DHL Charges PMT]],"")</f>
        <v>0</v>
      </c>
      <c r="Y288" s="7">
        <f>IFERROR(AF288-(O288+CT[[#This Row],[Cost Per MT]]),"")</f>
        <v>335</v>
      </c>
      <c r="Z288" s="7">
        <f>IFERROR(CT[[#This Row],[Margin/MT]]*CT[[#This Row],[Container Qty]],"")</f>
        <v>0</v>
      </c>
      <c r="AA288" s="7"/>
      <c r="AB288" t="s">
        <v>11</v>
      </c>
      <c r="AC288" s="1" t="s">
        <v>158</v>
      </c>
      <c r="AD288" s="3">
        <v>45861</v>
      </c>
      <c r="AE288" s="14">
        <f t="shared" si="34"/>
        <v>25</v>
      </c>
      <c r="AF288" s="7">
        <v>335</v>
      </c>
      <c r="AG288" s="7">
        <f>CT[[#This Row],[Sales Rate/MT (USD)]]*CT[[#This Row],[SC Qty (MT)]]</f>
        <v>8375</v>
      </c>
      <c r="AH288" s="7" t="str">
        <f>IF(CT[[#This Row],[Container Qty]]&lt;&gt;0,CT[[#This Row],[Sales Rate/MT (USD)]]*CT[[#This Row],[Container Qty]],"")</f>
        <v/>
      </c>
      <c r="AI288" s="7" t="str">
        <f>IF(CT[[#This Row],[Customer Final Price]]&lt;&gt;"",CT[[#This Row],[Customer Final Price]]-CT[[#This Row],[Customer  Prov. Price]],"")</f>
        <v/>
      </c>
      <c r="AJ288" t="s">
        <v>8</v>
      </c>
      <c r="AK288" s="1" t="s">
        <v>159</v>
      </c>
      <c r="AL288" s="1"/>
      <c r="AM288" s="100" t="s">
        <v>134</v>
      </c>
    </row>
    <row r="289" spans="1:39" x14ac:dyDescent="0.25">
      <c r="A289" t="s">
        <v>9</v>
      </c>
      <c r="B289" s="102"/>
      <c r="C289" s="81"/>
      <c r="D289" s="1" t="s">
        <v>67</v>
      </c>
      <c r="F289" s="11"/>
      <c r="G289" s="3"/>
      <c r="H289" s="3"/>
      <c r="I289" s="1"/>
      <c r="J289" s="1"/>
      <c r="K289" s="1"/>
      <c r="L289" s="1"/>
      <c r="M289" s="14">
        <v>25</v>
      </c>
      <c r="N289" s="1"/>
      <c r="O289" s="7"/>
      <c r="P289" s="7">
        <f>CT[[#This Row],[Purchase Rate/MT (USD)]]*CT[[#This Row],[PC Qty (MT)]]</f>
        <v>0</v>
      </c>
      <c r="Q289" s="7">
        <f>CT[[#This Row],[Purchase Rate/MT (USD)]]*CT[[#This Row],[Container Qty]]</f>
        <v>0</v>
      </c>
      <c r="R289" s="7" t="str">
        <f>IF(CT[[#This Row],[BL Number]]&lt;&gt;0,(CT[[#This Row],[Supplier Prov. Price]]-CT[[#This Row],[Supplier Final Price]])*1.2,"")</f>
        <v/>
      </c>
      <c r="S289" s="101"/>
      <c r="T289" s="3"/>
      <c r="U289" s="7"/>
      <c r="V289" s="7"/>
      <c r="W289" s="24"/>
      <c r="X289" s="7">
        <f>IFERROR(CT[[#This Row],[Freight Charges]]+CT[[#This Row],[Inspection Cost/MT]]+CT[[#This Row],[DHL Charges PMT]],"")</f>
        <v>0</v>
      </c>
      <c r="Y289" s="7">
        <f>IFERROR(AF289-(O289+CT[[#This Row],[Cost Per MT]]),"")</f>
        <v>335</v>
      </c>
      <c r="Z289" s="7">
        <f>IFERROR(CT[[#This Row],[Margin/MT]]*CT[[#This Row],[Container Qty]],"")</f>
        <v>0</v>
      </c>
      <c r="AA289" s="7"/>
      <c r="AB289" t="s">
        <v>11</v>
      </c>
      <c r="AC289" s="1" t="s">
        <v>158</v>
      </c>
      <c r="AD289" s="3">
        <v>45861</v>
      </c>
      <c r="AE289" s="14">
        <f t="shared" si="34"/>
        <v>25</v>
      </c>
      <c r="AF289" s="7">
        <v>335</v>
      </c>
      <c r="AG289" s="7">
        <f>CT[[#This Row],[Sales Rate/MT (USD)]]*CT[[#This Row],[SC Qty (MT)]]</f>
        <v>8375</v>
      </c>
      <c r="AH289" s="7" t="str">
        <f>IF(CT[[#This Row],[Container Qty]]&lt;&gt;0,CT[[#This Row],[Sales Rate/MT (USD)]]*CT[[#This Row],[Container Qty]],"")</f>
        <v/>
      </c>
      <c r="AI289" s="7" t="str">
        <f>IF(CT[[#This Row],[Customer Final Price]]&lt;&gt;"",CT[[#This Row],[Customer Final Price]]-CT[[#This Row],[Customer  Prov. Price]],"")</f>
        <v/>
      </c>
      <c r="AJ289" t="s">
        <v>8</v>
      </c>
      <c r="AK289" s="1" t="s">
        <v>159</v>
      </c>
      <c r="AL289" s="1"/>
      <c r="AM289" s="100" t="s">
        <v>134</v>
      </c>
    </row>
    <row r="290" spans="1:39" x14ac:dyDescent="0.25">
      <c r="A290" t="s">
        <v>9</v>
      </c>
      <c r="B290" s="102"/>
      <c r="C290" s="81"/>
      <c r="D290" s="1" t="s">
        <v>67</v>
      </c>
      <c r="F290" s="11"/>
      <c r="G290" s="3"/>
      <c r="H290" s="3"/>
      <c r="I290" s="1"/>
      <c r="J290" s="1"/>
      <c r="K290" s="1"/>
      <c r="L290" s="1"/>
      <c r="M290" s="14">
        <v>25</v>
      </c>
      <c r="N290" s="1"/>
      <c r="O290" s="7"/>
      <c r="P290" s="7">
        <f>CT[[#This Row],[Purchase Rate/MT (USD)]]*CT[[#This Row],[PC Qty (MT)]]</f>
        <v>0</v>
      </c>
      <c r="Q290" s="7">
        <f>CT[[#This Row],[Purchase Rate/MT (USD)]]*CT[[#This Row],[Container Qty]]</f>
        <v>0</v>
      </c>
      <c r="R290" s="7" t="str">
        <f>IF(CT[[#This Row],[BL Number]]&lt;&gt;0,(CT[[#This Row],[Supplier Prov. Price]]-CT[[#This Row],[Supplier Final Price]])*1.2,"")</f>
        <v/>
      </c>
      <c r="S290" s="101"/>
      <c r="T290" s="3"/>
      <c r="U290" s="7"/>
      <c r="V290" s="7"/>
      <c r="W290" s="24"/>
      <c r="X290" s="7">
        <f>IFERROR(CT[[#This Row],[Freight Charges]]+CT[[#This Row],[Inspection Cost/MT]]+CT[[#This Row],[DHL Charges PMT]],"")</f>
        <v>0</v>
      </c>
      <c r="Y290" s="7">
        <f>IFERROR(AF290-(O290+CT[[#This Row],[Cost Per MT]]),"")</f>
        <v>335</v>
      </c>
      <c r="Z290" s="7">
        <f>IFERROR(CT[[#This Row],[Margin/MT]]*CT[[#This Row],[Container Qty]],"")</f>
        <v>0</v>
      </c>
      <c r="AA290" s="7"/>
      <c r="AB290" t="s">
        <v>11</v>
      </c>
      <c r="AC290" s="1" t="s">
        <v>158</v>
      </c>
      <c r="AD290" s="3">
        <v>45861</v>
      </c>
      <c r="AE290" s="14">
        <f t="shared" si="34"/>
        <v>25</v>
      </c>
      <c r="AF290" s="7">
        <v>335</v>
      </c>
      <c r="AG290" s="7">
        <f>CT[[#This Row],[Sales Rate/MT (USD)]]*CT[[#This Row],[SC Qty (MT)]]</f>
        <v>8375</v>
      </c>
      <c r="AH290" s="7" t="str">
        <f>IF(CT[[#This Row],[Container Qty]]&lt;&gt;0,CT[[#This Row],[Sales Rate/MT (USD)]]*CT[[#This Row],[Container Qty]],"")</f>
        <v/>
      </c>
      <c r="AI290" s="7" t="str">
        <f>IF(CT[[#This Row],[Customer Final Price]]&lt;&gt;"",CT[[#This Row],[Customer Final Price]]-CT[[#This Row],[Customer  Prov. Price]],"")</f>
        <v/>
      </c>
      <c r="AJ290" t="s">
        <v>8</v>
      </c>
      <c r="AK290" s="1" t="s">
        <v>159</v>
      </c>
      <c r="AL290" s="1"/>
      <c r="AM290" s="100" t="s">
        <v>134</v>
      </c>
    </row>
    <row r="291" spans="1:39" x14ac:dyDescent="0.25">
      <c r="A291" t="s">
        <v>9</v>
      </c>
      <c r="B291" s="102"/>
      <c r="C291" s="81"/>
      <c r="D291" s="1" t="s">
        <v>67</v>
      </c>
      <c r="F291" s="11"/>
      <c r="G291" s="3"/>
      <c r="H291" s="3"/>
      <c r="I291" s="1"/>
      <c r="J291" s="1"/>
      <c r="K291" s="1"/>
      <c r="L291" s="1"/>
      <c r="M291" s="14">
        <v>25</v>
      </c>
      <c r="N291" s="1"/>
      <c r="O291" s="7"/>
      <c r="P291" s="7">
        <f>CT[[#This Row],[Purchase Rate/MT (USD)]]*CT[[#This Row],[PC Qty (MT)]]</f>
        <v>0</v>
      </c>
      <c r="Q291" s="7">
        <f>CT[[#This Row],[Purchase Rate/MT (USD)]]*CT[[#This Row],[Container Qty]]</f>
        <v>0</v>
      </c>
      <c r="R291" s="7" t="str">
        <f>IF(CT[[#This Row],[BL Number]]&lt;&gt;0,(CT[[#This Row],[Supplier Prov. Price]]-CT[[#This Row],[Supplier Final Price]])*1.2,"")</f>
        <v/>
      </c>
      <c r="S291" s="101"/>
      <c r="T291" s="3"/>
      <c r="U291" s="7"/>
      <c r="V291" s="7"/>
      <c r="W291" s="24"/>
      <c r="X291" s="7">
        <f>IFERROR(CT[[#This Row],[Freight Charges]]+CT[[#This Row],[Inspection Cost/MT]]+CT[[#This Row],[DHL Charges PMT]],"")</f>
        <v>0</v>
      </c>
      <c r="Y291" s="7">
        <f>IFERROR(AF291-(O291+CT[[#This Row],[Cost Per MT]]),"")</f>
        <v>335</v>
      </c>
      <c r="Z291" s="7">
        <f>IFERROR(CT[[#This Row],[Margin/MT]]*CT[[#This Row],[Container Qty]],"")</f>
        <v>0</v>
      </c>
      <c r="AA291" s="7"/>
      <c r="AB291" t="s">
        <v>11</v>
      </c>
      <c r="AC291" s="1" t="s">
        <v>158</v>
      </c>
      <c r="AD291" s="3">
        <v>45861</v>
      </c>
      <c r="AE291" s="14">
        <f t="shared" si="34"/>
        <v>25</v>
      </c>
      <c r="AF291" s="7">
        <v>335</v>
      </c>
      <c r="AG291" s="7">
        <f>CT[[#This Row],[Sales Rate/MT (USD)]]*CT[[#This Row],[SC Qty (MT)]]</f>
        <v>8375</v>
      </c>
      <c r="AH291" s="7" t="str">
        <f>IF(CT[[#This Row],[Container Qty]]&lt;&gt;0,CT[[#This Row],[Sales Rate/MT (USD)]]*CT[[#This Row],[Container Qty]],"")</f>
        <v/>
      </c>
      <c r="AI291" s="7" t="str">
        <f>IF(CT[[#This Row],[Customer Final Price]]&lt;&gt;"",CT[[#This Row],[Customer Final Price]]-CT[[#This Row],[Customer  Prov. Price]],"")</f>
        <v/>
      </c>
      <c r="AJ291" t="s">
        <v>8</v>
      </c>
      <c r="AK291" s="1" t="s">
        <v>159</v>
      </c>
      <c r="AL291" s="1"/>
      <c r="AM291" s="100" t="s">
        <v>134</v>
      </c>
    </row>
    <row r="292" spans="1:39" x14ac:dyDescent="0.25">
      <c r="A292" t="s">
        <v>9</v>
      </c>
      <c r="B292" s="102"/>
      <c r="C292" s="81"/>
      <c r="D292" s="1" t="s">
        <v>67</v>
      </c>
      <c r="F292" s="11"/>
      <c r="G292" s="3"/>
      <c r="H292" s="3"/>
      <c r="I292" s="1"/>
      <c r="J292" s="1"/>
      <c r="K292" s="1"/>
      <c r="L292" s="1"/>
      <c r="M292" s="14">
        <v>25</v>
      </c>
      <c r="N292" s="1"/>
      <c r="O292" s="7"/>
      <c r="P292" s="7">
        <f>CT[[#This Row],[Purchase Rate/MT (USD)]]*CT[[#This Row],[PC Qty (MT)]]</f>
        <v>0</v>
      </c>
      <c r="Q292" s="7">
        <f>CT[[#This Row],[Purchase Rate/MT (USD)]]*CT[[#This Row],[Container Qty]]</f>
        <v>0</v>
      </c>
      <c r="R292" s="7" t="str">
        <f>IF(CT[[#This Row],[BL Number]]&lt;&gt;0,(CT[[#This Row],[Supplier Prov. Price]]-CT[[#This Row],[Supplier Final Price]])*1.2,"")</f>
        <v/>
      </c>
      <c r="S292" s="101"/>
      <c r="T292" s="3"/>
      <c r="U292" s="7"/>
      <c r="V292" s="7"/>
      <c r="W292" s="24"/>
      <c r="X292" s="7">
        <f>IFERROR(CT[[#This Row],[Freight Charges]]+CT[[#This Row],[Inspection Cost/MT]]+CT[[#This Row],[DHL Charges PMT]],"")</f>
        <v>0</v>
      </c>
      <c r="Y292" s="7">
        <f>IFERROR(AF292-(O292+CT[[#This Row],[Cost Per MT]]),"")</f>
        <v>335</v>
      </c>
      <c r="Z292" s="7">
        <f>IFERROR(CT[[#This Row],[Margin/MT]]*CT[[#This Row],[Container Qty]],"")</f>
        <v>0</v>
      </c>
      <c r="AA292" s="7"/>
      <c r="AB292" t="s">
        <v>11</v>
      </c>
      <c r="AC292" s="1" t="s">
        <v>158</v>
      </c>
      <c r="AD292" s="3">
        <v>45861</v>
      </c>
      <c r="AE292" s="14">
        <f t="shared" si="34"/>
        <v>25</v>
      </c>
      <c r="AF292" s="7">
        <v>335</v>
      </c>
      <c r="AG292" s="7">
        <f>CT[[#This Row],[Sales Rate/MT (USD)]]*CT[[#This Row],[SC Qty (MT)]]</f>
        <v>8375</v>
      </c>
      <c r="AH292" s="7" t="str">
        <f>IF(CT[[#This Row],[Container Qty]]&lt;&gt;0,CT[[#This Row],[Sales Rate/MT (USD)]]*CT[[#This Row],[Container Qty]],"")</f>
        <v/>
      </c>
      <c r="AI292" s="7" t="str">
        <f>IF(CT[[#This Row],[Customer Final Price]]&lt;&gt;"",CT[[#This Row],[Customer Final Price]]-CT[[#This Row],[Customer  Prov. Price]],"")</f>
        <v/>
      </c>
      <c r="AJ292" t="s">
        <v>8</v>
      </c>
      <c r="AK292" s="1" t="s">
        <v>159</v>
      </c>
      <c r="AL292" s="1"/>
      <c r="AM292" s="100" t="s">
        <v>134</v>
      </c>
    </row>
    <row r="293" spans="1:39" x14ac:dyDescent="0.25">
      <c r="A293" t="s">
        <v>9</v>
      </c>
      <c r="B293" s="102"/>
      <c r="C293" s="81"/>
      <c r="D293" s="1" t="s">
        <v>67</v>
      </c>
      <c r="F293" s="11"/>
      <c r="G293" s="3"/>
      <c r="H293" s="3"/>
      <c r="I293" s="1"/>
      <c r="J293" s="1"/>
      <c r="K293" s="1"/>
      <c r="L293" s="1"/>
      <c r="M293" s="14">
        <v>25</v>
      </c>
      <c r="N293" s="1"/>
      <c r="O293" s="7"/>
      <c r="P293" s="7">
        <f>CT[[#This Row],[Purchase Rate/MT (USD)]]*CT[[#This Row],[PC Qty (MT)]]</f>
        <v>0</v>
      </c>
      <c r="Q293" s="7">
        <f>CT[[#This Row],[Purchase Rate/MT (USD)]]*CT[[#This Row],[Container Qty]]</f>
        <v>0</v>
      </c>
      <c r="R293" s="7" t="str">
        <f>IF(CT[[#This Row],[BL Number]]&lt;&gt;0,(CT[[#This Row],[Supplier Prov. Price]]-CT[[#This Row],[Supplier Final Price]])*1.2,"")</f>
        <v/>
      </c>
      <c r="S293" s="101"/>
      <c r="T293" s="3"/>
      <c r="U293" s="7"/>
      <c r="V293" s="7"/>
      <c r="W293" s="24"/>
      <c r="X293" s="7">
        <f>IFERROR(CT[[#This Row],[Freight Charges]]+CT[[#This Row],[Inspection Cost/MT]]+CT[[#This Row],[DHL Charges PMT]],"")</f>
        <v>0</v>
      </c>
      <c r="Y293" s="7">
        <f>IFERROR(AF293-(O293+CT[[#This Row],[Cost Per MT]]),"")</f>
        <v>335</v>
      </c>
      <c r="Z293" s="7">
        <f>IFERROR(CT[[#This Row],[Margin/MT]]*CT[[#This Row],[Container Qty]],"")</f>
        <v>0</v>
      </c>
      <c r="AA293" s="7"/>
      <c r="AB293" t="s">
        <v>11</v>
      </c>
      <c r="AC293" s="1" t="s">
        <v>158</v>
      </c>
      <c r="AD293" s="3">
        <v>45861</v>
      </c>
      <c r="AE293" s="14">
        <f t="shared" si="34"/>
        <v>25</v>
      </c>
      <c r="AF293" s="7">
        <v>335</v>
      </c>
      <c r="AG293" s="7">
        <f>CT[[#This Row],[Sales Rate/MT (USD)]]*CT[[#This Row],[SC Qty (MT)]]</f>
        <v>8375</v>
      </c>
      <c r="AH293" s="7" t="str">
        <f>IF(CT[[#This Row],[Container Qty]]&lt;&gt;0,CT[[#This Row],[Sales Rate/MT (USD)]]*CT[[#This Row],[Container Qty]],"")</f>
        <v/>
      </c>
      <c r="AI293" s="7" t="str">
        <f>IF(CT[[#This Row],[Customer Final Price]]&lt;&gt;"",CT[[#This Row],[Customer Final Price]]-CT[[#This Row],[Customer  Prov. Price]],"")</f>
        <v/>
      </c>
      <c r="AJ293" t="s">
        <v>8</v>
      </c>
      <c r="AK293" s="1" t="s">
        <v>159</v>
      </c>
      <c r="AL293" s="1"/>
      <c r="AM293" s="100" t="s">
        <v>134</v>
      </c>
    </row>
    <row r="294" spans="1:39" x14ac:dyDescent="0.25">
      <c r="A294" t="s">
        <v>9</v>
      </c>
      <c r="B294" s="102"/>
      <c r="C294" s="81"/>
      <c r="D294" s="1" t="s">
        <v>67</v>
      </c>
      <c r="F294" s="11"/>
      <c r="G294" s="3"/>
      <c r="H294" s="3"/>
      <c r="I294" s="1"/>
      <c r="J294" s="1"/>
      <c r="K294" s="1"/>
      <c r="L294" s="1"/>
      <c r="M294" s="14">
        <v>25</v>
      </c>
      <c r="N294" s="1"/>
      <c r="O294" s="7"/>
      <c r="P294" s="7">
        <f>CT[[#This Row],[Purchase Rate/MT (USD)]]*CT[[#This Row],[PC Qty (MT)]]</f>
        <v>0</v>
      </c>
      <c r="Q294" s="7">
        <f>CT[[#This Row],[Purchase Rate/MT (USD)]]*CT[[#This Row],[Container Qty]]</f>
        <v>0</v>
      </c>
      <c r="R294" s="7" t="str">
        <f>IF(CT[[#This Row],[BL Number]]&lt;&gt;0,(CT[[#This Row],[Supplier Prov. Price]]-CT[[#This Row],[Supplier Final Price]])*1.2,"")</f>
        <v/>
      </c>
      <c r="S294" s="101"/>
      <c r="T294" s="3"/>
      <c r="U294" s="7"/>
      <c r="V294" s="7"/>
      <c r="W294" s="24"/>
      <c r="X294" s="7">
        <f>IFERROR(CT[[#This Row],[Freight Charges]]+CT[[#This Row],[Inspection Cost/MT]]+CT[[#This Row],[DHL Charges PMT]],"")</f>
        <v>0</v>
      </c>
      <c r="Y294" s="7">
        <f>IFERROR(AF294-(O294+CT[[#This Row],[Cost Per MT]]),"")</f>
        <v>335</v>
      </c>
      <c r="Z294" s="7">
        <f>IFERROR(CT[[#This Row],[Margin/MT]]*CT[[#This Row],[Container Qty]],"")</f>
        <v>0</v>
      </c>
      <c r="AA294" s="7"/>
      <c r="AB294" t="s">
        <v>11</v>
      </c>
      <c r="AC294" s="1" t="s">
        <v>158</v>
      </c>
      <c r="AD294" s="3">
        <v>45861</v>
      </c>
      <c r="AE294" s="14">
        <f t="shared" si="34"/>
        <v>25</v>
      </c>
      <c r="AF294" s="7">
        <v>335</v>
      </c>
      <c r="AG294" s="7">
        <f>CT[[#This Row],[Sales Rate/MT (USD)]]*CT[[#This Row],[SC Qty (MT)]]</f>
        <v>8375</v>
      </c>
      <c r="AH294" s="7" t="str">
        <f>IF(CT[[#This Row],[Container Qty]]&lt;&gt;0,CT[[#This Row],[Sales Rate/MT (USD)]]*CT[[#This Row],[Container Qty]],"")</f>
        <v/>
      </c>
      <c r="AI294" s="7" t="str">
        <f>IF(CT[[#This Row],[Customer Final Price]]&lt;&gt;"",CT[[#This Row],[Customer Final Price]]-CT[[#This Row],[Customer  Prov. Price]],"")</f>
        <v/>
      </c>
      <c r="AJ294" t="s">
        <v>8</v>
      </c>
      <c r="AK294" s="1" t="s">
        <v>159</v>
      </c>
      <c r="AL294" s="1"/>
      <c r="AM294" s="100" t="s">
        <v>134</v>
      </c>
    </row>
    <row r="295" spans="1:39" x14ac:dyDescent="0.25">
      <c r="A295" t="s">
        <v>9</v>
      </c>
      <c r="B295" s="102"/>
      <c r="C295" s="81"/>
      <c r="D295" s="1" t="s">
        <v>67</v>
      </c>
      <c r="F295" s="11"/>
      <c r="G295" s="3"/>
      <c r="H295" s="3"/>
      <c r="I295" s="1"/>
      <c r="J295" s="1"/>
      <c r="K295" s="1"/>
      <c r="L295" s="1"/>
      <c r="M295" s="14">
        <v>25</v>
      </c>
      <c r="N295" s="1"/>
      <c r="O295" s="7"/>
      <c r="P295" s="7">
        <f>CT[[#This Row],[Purchase Rate/MT (USD)]]*CT[[#This Row],[PC Qty (MT)]]</f>
        <v>0</v>
      </c>
      <c r="Q295" s="7">
        <f>CT[[#This Row],[Purchase Rate/MT (USD)]]*CT[[#This Row],[Container Qty]]</f>
        <v>0</v>
      </c>
      <c r="R295" s="7" t="str">
        <f>IF(CT[[#This Row],[BL Number]]&lt;&gt;0,(CT[[#This Row],[Supplier Prov. Price]]-CT[[#This Row],[Supplier Final Price]])*1.2,"")</f>
        <v/>
      </c>
      <c r="S295" s="101"/>
      <c r="T295" s="3"/>
      <c r="U295" s="7"/>
      <c r="V295" s="7"/>
      <c r="W295" s="24"/>
      <c r="X295" s="7">
        <f>IFERROR(CT[[#This Row],[Freight Charges]]+CT[[#This Row],[Inspection Cost/MT]]+CT[[#This Row],[DHL Charges PMT]],"")</f>
        <v>0</v>
      </c>
      <c r="Y295" s="7">
        <f>IFERROR(AF295-(O295+CT[[#This Row],[Cost Per MT]]),"")</f>
        <v>335</v>
      </c>
      <c r="Z295" s="7">
        <f>IFERROR(CT[[#This Row],[Margin/MT]]*CT[[#This Row],[Container Qty]],"")</f>
        <v>0</v>
      </c>
      <c r="AA295" s="7"/>
      <c r="AB295" t="s">
        <v>11</v>
      </c>
      <c r="AC295" s="1" t="s">
        <v>158</v>
      </c>
      <c r="AD295" s="3">
        <v>45861</v>
      </c>
      <c r="AE295" s="14">
        <f t="shared" si="34"/>
        <v>25</v>
      </c>
      <c r="AF295" s="7">
        <v>335</v>
      </c>
      <c r="AG295" s="7">
        <f>CT[[#This Row],[Sales Rate/MT (USD)]]*CT[[#This Row],[SC Qty (MT)]]</f>
        <v>8375</v>
      </c>
      <c r="AH295" s="7" t="str">
        <f>IF(CT[[#This Row],[Container Qty]]&lt;&gt;0,CT[[#This Row],[Sales Rate/MT (USD)]]*CT[[#This Row],[Container Qty]],"")</f>
        <v/>
      </c>
      <c r="AI295" s="7" t="str">
        <f>IF(CT[[#This Row],[Customer Final Price]]&lt;&gt;"",CT[[#This Row],[Customer Final Price]]-CT[[#This Row],[Customer  Prov. Price]],"")</f>
        <v/>
      </c>
      <c r="AJ295" t="s">
        <v>8</v>
      </c>
      <c r="AK295" s="1" t="s">
        <v>159</v>
      </c>
      <c r="AL295" s="1"/>
      <c r="AM295" s="100" t="s">
        <v>134</v>
      </c>
    </row>
    <row r="296" spans="1:39" x14ac:dyDescent="0.25">
      <c r="A296" t="s">
        <v>9</v>
      </c>
      <c r="B296" s="102"/>
      <c r="C296" s="81"/>
      <c r="D296" s="1" t="s">
        <v>67</v>
      </c>
      <c r="F296" s="11"/>
      <c r="G296" s="3"/>
      <c r="H296" s="3"/>
      <c r="I296" s="1"/>
      <c r="J296" s="1"/>
      <c r="K296" s="1"/>
      <c r="L296" s="1"/>
      <c r="M296" s="14">
        <v>25</v>
      </c>
      <c r="N296" s="1"/>
      <c r="O296" s="7"/>
      <c r="P296" s="7">
        <f>CT[[#This Row],[Purchase Rate/MT (USD)]]*CT[[#This Row],[PC Qty (MT)]]</f>
        <v>0</v>
      </c>
      <c r="Q296" s="7">
        <f>CT[[#This Row],[Purchase Rate/MT (USD)]]*CT[[#This Row],[Container Qty]]</f>
        <v>0</v>
      </c>
      <c r="R296" s="7" t="str">
        <f>IF(CT[[#This Row],[BL Number]]&lt;&gt;0,(CT[[#This Row],[Supplier Prov. Price]]-CT[[#This Row],[Supplier Final Price]])*1.2,"")</f>
        <v/>
      </c>
      <c r="S296" s="101"/>
      <c r="T296" s="3"/>
      <c r="U296" s="7"/>
      <c r="V296" s="7"/>
      <c r="W296" s="24"/>
      <c r="X296" s="7">
        <f>IFERROR(CT[[#This Row],[Freight Charges]]+CT[[#This Row],[Inspection Cost/MT]]+CT[[#This Row],[DHL Charges PMT]],"")</f>
        <v>0</v>
      </c>
      <c r="Y296" s="7">
        <f>IFERROR(AF296-(O296+CT[[#This Row],[Cost Per MT]]),"")</f>
        <v>335</v>
      </c>
      <c r="Z296" s="7">
        <f>IFERROR(CT[[#This Row],[Margin/MT]]*CT[[#This Row],[Container Qty]],"")</f>
        <v>0</v>
      </c>
      <c r="AA296" s="7"/>
      <c r="AB296" t="s">
        <v>11</v>
      </c>
      <c r="AC296" s="1" t="s">
        <v>158</v>
      </c>
      <c r="AD296" s="3">
        <v>45861</v>
      </c>
      <c r="AE296" s="14">
        <f t="shared" si="34"/>
        <v>25</v>
      </c>
      <c r="AF296" s="7">
        <v>335</v>
      </c>
      <c r="AG296" s="7">
        <f>CT[[#This Row],[Sales Rate/MT (USD)]]*CT[[#This Row],[SC Qty (MT)]]</f>
        <v>8375</v>
      </c>
      <c r="AH296" s="7" t="str">
        <f>IF(CT[[#This Row],[Container Qty]]&lt;&gt;0,CT[[#This Row],[Sales Rate/MT (USD)]]*CT[[#This Row],[Container Qty]],"")</f>
        <v/>
      </c>
      <c r="AI296" s="7" t="str">
        <f>IF(CT[[#This Row],[Customer Final Price]]&lt;&gt;"",CT[[#This Row],[Customer Final Price]]-CT[[#This Row],[Customer  Prov. Price]],"")</f>
        <v/>
      </c>
      <c r="AJ296" t="s">
        <v>8</v>
      </c>
      <c r="AK296" s="1" t="s">
        <v>159</v>
      </c>
      <c r="AL296" s="1"/>
      <c r="AM296" s="100" t="s">
        <v>134</v>
      </c>
    </row>
    <row r="297" spans="1:39" x14ac:dyDescent="0.25">
      <c r="A297" t="s">
        <v>9</v>
      </c>
      <c r="B297" s="102"/>
      <c r="C297" s="81"/>
      <c r="D297" s="1" t="s">
        <v>67</v>
      </c>
      <c r="F297" s="11"/>
      <c r="G297" s="3"/>
      <c r="H297" s="3"/>
      <c r="I297" s="1"/>
      <c r="J297" s="1"/>
      <c r="K297" s="1"/>
      <c r="L297" s="1"/>
      <c r="M297" s="14">
        <v>25</v>
      </c>
      <c r="N297" s="1"/>
      <c r="O297" s="7"/>
      <c r="P297" s="7">
        <f>CT[[#This Row],[Purchase Rate/MT (USD)]]*CT[[#This Row],[PC Qty (MT)]]</f>
        <v>0</v>
      </c>
      <c r="Q297" s="7">
        <f>CT[[#This Row],[Purchase Rate/MT (USD)]]*CT[[#This Row],[Container Qty]]</f>
        <v>0</v>
      </c>
      <c r="R297" s="7" t="str">
        <f>IF(CT[[#This Row],[BL Number]]&lt;&gt;0,(CT[[#This Row],[Supplier Prov. Price]]-CT[[#This Row],[Supplier Final Price]])*1.2,"")</f>
        <v/>
      </c>
      <c r="S297" s="101"/>
      <c r="T297" s="3"/>
      <c r="U297" s="7"/>
      <c r="V297" s="7"/>
      <c r="W297" s="24"/>
      <c r="X297" s="7">
        <f>IFERROR(CT[[#This Row],[Freight Charges]]+CT[[#This Row],[Inspection Cost/MT]]+CT[[#This Row],[DHL Charges PMT]],"")</f>
        <v>0</v>
      </c>
      <c r="Y297" s="7">
        <f>IFERROR(AF297-(O297+CT[[#This Row],[Cost Per MT]]),"")</f>
        <v>335</v>
      </c>
      <c r="Z297" s="7">
        <f>IFERROR(CT[[#This Row],[Margin/MT]]*CT[[#This Row],[Container Qty]],"")</f>
        <v>0</v>
      </c>
      <c r="AA297" s="7"/>
      <c r="AB297" t="s">
        <v>11</v>
      </c>
      <c r="AC297" s="1" t="s">
        <v>158</v>
      </c>
      <c r="AD297" s="3">
        <v>45861</v>
      </c>
      <c r="AE297" s="14">
        <f t="shared" si="34"/>
        <v>25</v>
      </c>
      <c r="AF297" s="7">
        <v>335</v>
      </c>
      <c r="AG297" s="7">
        <f>CT[[#This Row],[Sales Rate/MT (USD)]]*CT[[#This Row],[SC Qty (MT)]]</f>
        <v>8375</v>
      </c>
      <c r="AH297" s="7" t="str">
        <f>IF(CT[[#This Row],[Container Qty]]&lt;&gt;0,CT[[#This Row],[Sales Rate/MT (USD)]]*CT[[#This Row],[Container Qty]],"")</f>
        <v/>
      </c>
      <c r="AI297" s="7" t="str">
        <f>IF(CT[[#This Row],[Customer Final Price]]&lt;&gt;"",CT[[#This Row],[Customer Final Price]]-CT[[#This Row],[Customer  Prov. Price]],"")</f>
        <v/>
      </c>
      <c r="AJ297" t="s">
        <v>8</v>
      </c>
      <c r="AK297" s="1" t="s">
        <v>159</v>
      </c>
      <c r="AL297" s="1"/>
      <c r="AM297" s="100" t="s">
        <v>134</v>
      </c>
    </row>
    <row r="298" spans="1:39" x14ac:dyDescent="0.25">
      <c r="A298" t="s">
        <v>9</v>
      </c>
      <c r="B298" s="102"/>
      <c r="C298" s="81"/>
      <c r="D298" s="1" t="s">
        <v>67</v>
      </c>
      <c r="F298" s="11"/>
      <c r="G298" s="3"/>
      <c r="H298" s="3"/>
      <c r="I298" s="1"/>
      <c r="J298" s="1"/>
      <c r="K298" s="1"/>
      <c r="L298" s="1"/>
      <c r="M298" s="14">
        <v>25</v>
      </c>
      <c r="N298" s="1"/>
      <c r="O298" s="7"/>
      <c r="P298" s="7">
        <f>CT[[#This Row],[Purchase Rate/MT (USD)]]*CT[[#This Row],[PC Qty (MT)]]</f>
        <v>0</v>
      </c>
      <c r="Q298" s="7">
        <f>CT[[#This Row],[Purchase Rate/MT (USD)]]*CT[[#This Row],[Container Qty]]</f>
        <v>0</v>
      </c>
      <c r="R298" s="7" t="str">
        <f>IF(CT[[#This Row],[BL Number]]&lt;&gt;0,(CT[[#This Row],[Supplier Prov. Price]]-CT[[#This Row],[Supplier Final Price]])*1.2,"")</f>
        <v/>
      </c>
      <c r="S298" s="101"/>
      <c r="T298" s="3"/>
      <c r="U298" s="7"/>
      <c r="V298" s="7"/>
      <c r="W298" s="24"/>
      <c r="X298" s="7">
        <f>IFERROR(CT[[#This Row],[Freight Charges]]+CT[[#This Row],[Inspection Cost/MT]]+CT[[#This Row],[DHL Charges PMT]],"")</f>
        <v>0</v>
      </c>
      <c r="Y298" s="7">
        <f>IFERROR(AF298-(O298+CT[[#This Row],[Cost Per MT]]),"")</f>
        <v>335</v>
      </c>
      <c r="Z298" s="7">
        <f>IFERROR(CT[[#This Row],[Margin/MT]]*CT[[#This Row],[Container Qty]],"")</f>
        <v>0</v>
      </c>
      <c r="AA298" s="7"/>
      <c r="AB298" t="s">
        <v>11</v>
      </c>
      <c r="AC298" s="1" t="s">
        <v>158</v>
      </c>
      <c r="AD298" s="3">
        <v>45861</v>
      </c>
      <c r="AE298" s="14">
        <f t="shared" si="34"/>
        <v>25</v>
      </c>
      <c r="AF298" s="7">
        <v>335</v>
      </c>
      <c r="AG298" s="7">
        <f>CT[[#This Row],[Sales Rate/MT (USD)]]*CT[[#This Row],[SC Qty (MT)]]</f>
        <v>8375</v>
      </c>
      <c r="AH298" s="7" t="str">
        <f>IF(CT[[#This Row],[Container Qty]]&lt;&gt;0,CT[[#This Row],[Sales Rate/MT (USD)]]*CT[[#This Row],[Container Qty]],"")</f>
        <v/>
      </c>
      <c r="AI298" s="7" t="str">
        <f>IF(CT[[#This Row],[Customer Final Price]]&lt;&gt;"",CT[[#This Row],[Customer Final Price]]-CT[[#This Row],[Customer  Prov. Price]],"")</f>
        <v/>
      </c>
      <c r="AJ298" t="s">
        <v>8</v>
      </c>
      <c r="AK298" s="1" t="s">
        <v>159</v>
      </c>
      <c r="AL298" s="1"/>
      <c r="AM298" s="100" t="s">
        <v>134</v>
      </c>
    </row>
    <row r="299" spans="1:39" x14ac:dyDescent="0.25">
      <c r="A299" t="s">
        <v>9</v>
      </c>
      <c r="B299" s="102"/>
      <c r="C299" s="81"/>
      <c r="D299" s="1" t="s">
        <v>67</v>
      </c>
      <c r="F299" s="11"/>
      <c r="G299" s="3"/>
      <c r="H299" s="3"/>
      <c r="I299" s="1"/>
      <c r="J299" s="1"/>
      <c r="K299" s="1"/>
      <c r="L299" s="1"/>
      <c r="M299" s="14">
        <v>25</v>
      </c>
      <c r="N299" s="1"/>
      <c r="O299" s="7"/>
      <c r="P299" s="7">
        <f>CT[[#This Row],[Purchase Rate/MT (USD)]]*CT[[#This Row],[PC Qty (MT)]]</f>
        <v>0</v>
      </c>
      <c r="Q299" s="7">
        <f>CT[[#This Row],[Purchase Rate/MT (USD)]]*CT[[#This Row],[Container Qty]]</f>
        <v>0</v>
      </c>
      <c r="R299" s="7" t="str">
        <f>IF(CT[[#This Row],[BL Number]]&lt;&gt;0,(CT[[#This Row],[Supplier Prov. Price]]-CT[[#This Row],[Supplier Final Price]])*1.2,"")</f>
        <v/>
      </c>
      <c r="S299" s="101"/>
      <c r="T299" s="3"/>
      <c r="U299" s="7"/>
      <c r="V299" s="7"/>
      <c r="W299" s="24"/>
      <c r="X299" s="7">
        <f>IFERROR(CT[[#This Row],[Freight Charges]]+CT[[#This Row],[Inspection Cost/MT]]+CT[[#This Row],[DHL Charges PMT]],"")</f>
        <v>0</v>
      </c>
      <c r="Y299" s="7">
        <f>IFERROR(AF299-(O299+CT[[#This Row],[Cost Per MT]]),"")</f>
        <v>335</v>
      </c>
      <c r="Z299" s="7">
        <f>IFERROR(CT[[#This Row],[Margin/MT]]*CT[[#This Row],[Container Qty]],"")</f>
        <v>0</v>
      </c>
      <c r="AA299" s="7"/>
      <c r="AB299" t="s">
        <v>11</v>
      </c>
      <c r="AC299" s="1" t="s">
        <v>158</v>
      </c>
      <c r="AD299" s="3">
        <v>45861</v>
      </c>
      <c r="AE299" s="14">
        <f t="shared" si="34"/>
        <v>25</v>
      </c>
      <c r="AF299" s="7">
        <v>335</v>
      </c>
      <c r="AG299" s="7">
        <f>CT[[#This Row],[Sales Rate/MT (USD)]]*CT[[#This Row],[SC Qty (MT)]]</f>
        <v>8375</v>
      </c>
      <c r="AH299" s="7" t="str">
        <f>IF(CT[[#This Row],[Container Qty]]&lt;&gt;0,CT[[#This Row],[Sales Rate/MT (USD)]]*CT[[#This Row],[Container Qty]],"")</f>
        <v/>
      </c>
      <c r="AI299" s="7" t="str">
        <f>IF(CT[[#This Row],[Customer Final Price]]&lt;&gt;"",CT[[#This Row],[Customer Final Price]]-CT[[#This Row],[Customer  Prov. Price]],"")</f>
        <v/>
      </c>
      <c r="AJ299" t="s">
        <v>8</v>
      </c>
      <c r="AK299" s="1" t="s">
        <v>159</v>
      </c>
      <c r="AL299" s="1"/>
      <c r="AM299" s="100" t="s">
        <v>134</v>
      </c>
    </row>
    <row r="300" spans="1:39" x14ac:dyDescent="0.25">
      <c r="A300" t="s">
        <v>9</v>
      </c>
      <c r="B300" s="102"/>
      <c r="C300" s="81"/>
      <c r="D300" s="1" t="s">
        <v>67</v>
      </c>
      <c r="F300" s="11"/>
      <c r="G300" s="3"/>
      <c r="H300" s="3"/>
      <c r="I300" s="1"/>
      <c r="J300" s="1"/>
      <c r="K300" s="1"/>
      <c r="L300" s="1"/>
      <c r="M300" s="14">
        <v>25</v>
      </c>
      <c r="N300" s="1"/>
      <c r="O300" s="7"/>
      <c r="P300" s="7">
        <f>CT[[#This Row],[Purchase Rate/MT (USD)]]*CT[[#This Row],[PC Qty (MT)]]</f>
        <v>0</v>
      </c>
      <c r="Q300" s="7">
        <f>CT[[#This Row],[Purchase Rate/MT (USD)]]*CT[[#This Row],[Container Qty]]</f>
        <v>0</v>
      </c>
      <c r="R300" s="7" t="str">
        <f>IF(CT[[#This Row],[BL Number]]&lt;&gt;0,(CT[[#This Row],[Supplier Prov. Price]]-CT[[#This Row],[Supplier Final Price]])*1.2,"")</f>
        <v/>
      </c>
      <c r="S300" s="101"/>
      <c r="T300" s="3"/>
      <c r="U300" s="7"/>
      <c r="V300" s="7"/>
      <c r="W300" s="24"/>
      <c r="X300" s="7">
        <f>IFERROR(CT[[#This Row],[Freight Charges]]+CT[[#This Row],[Inspection Cost/MT]]+CT[[#This Row],[DHL Charges PMT]],"")</f>
        <v>0</v>
      </c>
      <c r="Y300" s="7">
        <f>IFERROR(AF300-(O300+CT[[#This Row],[Cost Per MT]]),"")</f>
        <v>335</v>
      </c>
      <c r="Z300" s="7">
        <f>IFERROR(CT[[#This Row],[Margin/MT]]*CT[[#This Row],[Container Qty]],"")</f>
        <v>0</v>
      </c>
      <c r="AA300" s="7"/>
      <c r="AB300" t="s">
        <v>11</v>
      </c>
      <c r="AC300" s="1" t="s">
        <v>158</v>
      </c>
      <c r="AD300" s="3">
        <v>45861</v>
      </c>
      <c r="AE300" s="14">
        <f t="shared" si="34"/>
        <v>25</v>
      </c>
      <c r="AF300" s="7">
        <v>335</v>
      </c>
      <c r="AG300" s="7">
        <f>CT[[#This Row],[Sales Rate/MT (USD)]]*CT[[#This Row],[SC Qty (MT)]]</f>
        <v>8375</v>
      </c>
      <c r="AH300" s="7" t="str">
        <f>IF(CT[[#This Row],[Container Qty]]&lt;&gt;0,CT[[#This Row],[Sales Rate/MT (USD)]]*CT[[#This Row],[Container Qty]],"")</f>
        <v/>
      </c>
      <c r="AI300" s="7" t="str">
        <f>IF(CT[[#This Row],[Customer Final Price]]&lt;&gt;"",CT[[#This Row],[Customer Final Price]]-CT[[#This Row],[Customer  Prov. Price]],"")</f>
        <v/>
      </c>
      <c r="AJ300" t="s">
        <v>8</v>
      </c>
      <c r="AK300" s="1" t="s">
        <v>159</v>
      </c>
      <c r="AL300" s="1"/>
      <c r="AM300" s="100" t="s">
        <v>134</v>
      </c>
    </row>
    <row r="301" spans="1:39" x14ac:dyDescent="0.25">
      <c r="A301" t="s">
        <v>9</v>
      </c>
      <c r="B301" s="102"/>
      <c r="C301" s="81"/>
      <c r="D301" s="1" t="s">
        <v>67</v>
      </c>
      <c r="F301" s="11"/>
      <c r="G301" s="3"/>
      <c r="H301" s="3"/>
      <c r="I301" s="1"/>
      <c r="J301" s="1"/>
      <c r="K301" s="1"/>
      <c r="L301" s="1"/>
      <c r="M301" s="14">
        <v>25</v>
      </c>
      <c r="N301" s="1"/>
      <c r="O301" s="7"/>
      <c r="P301" s="7">
        <f>CT[[#This Row],[Purchase Rate/MT (USD)]]*CT[[#This Row],[PC Qty (MT)]]</f>
        <v>0</v>
      </c>
      <c r="Q301" s="7">
        <f>CT[[#This Row],[Purchase Rate/MT (USD)]]*CT[[#This Row],[Container Qty]]</f>
        <v>0</v>
      </c>
      <c r="R301" s="7" t="str">
        <f>IF(CT[[#This Row],[BL Number]]&lt;&gt;0,(CT[[#This Row],[Supplier Prov. Price]]-CT[[#This Row],[Supplier Final Price]])*1.2,"")</f>
        <v/>
      </c>
      <c r="S301" s="101"/>
      <c r="T301" s="3"/>
      <c r="U301" s="7"/>
      <c r="V301" s="7"/>
      <c r="W301" s="24"/>
      <c r="X301" s="7">
        <f>IFERROR(CT[[#This Row],[Freight Charges]]+CT[[#This Row],[Inspection Cost/MT]]+CT[[#This Row],[DHL Charges PMT]],"")</f>
        <v>0</v>
      </c>
      <c r="Y301" s="7">
        <f>IFERROR(AF301-(O301+CT[[#This Row],[Cost Per MT]]),"")</f>
        <v>335</v>
      </c>
      <c r="Z301" s="7">
        <f>IFERROR(CT[[#This Row],[Margin/MT]]*CT[[#This Row],[Container Qty]],"")</f>
        <v>0</v>
      </c>
      <c r="AA301" s="7"/>
      <c r="AB301" t="s">
        <v>11</v>
      </c>
      <c r="AC301" s="1" t="s">
        <v>158</v>
      </c>
      <c r="AD301" s="3">
        <v>45861</v>
      </c>
      <c r="AE301" s="14">
        <f t="shared" si="34"/>
        <v>25</v>
      </c>
      <c r="AF301" s="7">
        <v>335</v>
      </c>
      <c r="AG301" s="7">
        <f>CT[[#This Row],[Sales Rate/MT (USD)]]*CT[[#This Row],[SC Qty (MT)]]</f>
        <v>8375</v>
      </c>
      <c r="AH301" s="7" t="str">
        <f>IF(CT[[#This Row],[Container Qty]]&lt;&gt;0,CT[[#This Row],[Sales Rate/MT (USD)]]*CT[[#This Row],[Container Qty]],"")</f>
        <v/>
      </c>
      <c r="AI301" s="7" t="str">
        <f>IF(CT[[#This Row],[Customer Final Price]]&lt;&gt;"",CT[[#This Row],[Customer Final Price]]-CT[[#This Row],[Customer  Prov. Price]],"")</f>
        <v/>
      </c>
      <c r="AJ301" t="s">
        <v>8</v>
      </c>
      <c r="AK301" s="1" t="s">
        <v>159</v>
      </c>
      <c r="AL301" s="1"/>
      <c r="AM301" s="100" t="s">
        <v>134</v>
      </c>
    </row>
    <row r="302" spans="1:39" x14ac:dyDescent="0.25">
      <c r="A302" t="s">
        <v>9</v>
      </c>
      <c r="B302" s="102"/>
      <c r="C302" s="81"/>
      <c r="D302" s="1" t="s">
        <v>67</v>
      </c>
      <c r="F302" s="11"/>
      <c r="G302" s="3"/>
      <c r="H302" s="3"/>
      <c r="I302" s="1"/>
      <c r="J302" s="1"/>
      <c r="K302" s="1"/>
      <c r="L302" s="1"/>
      <c r="M302" s="14">
        <v>25</v>
      </c>
      <c r="N302" s="1"/>
      <c r="O302" s="7"/>
      <c r="P302" s="7">
        <f>CT[[#This Row],[Purchase Rate/MT (USD)]]*CT[[#This Row],[PC Qty (MT)]]</f>
        <v>0</v>
      </c>
      <c r="Q302" s="7">
        <f>CT[[#This Row],[Purchase Rate/MT (USD)]]*CT[[#This Row],[Container Qty]]</f>
        <v>0</v>
      </c>
      <c r="R302" s="7" t="str">
        <f>IF(CT[[#This Row],[BL Number]]&lt;&gt;0,(CT[[#This Row],[Supplier Prov. Price]]-CT[[#This Row],[Supplier Final Price]])*1.2,"")</f>
        <v/>
      </c>
      <c r="S302" s="101"/>
      <c r="T302" s="3"/>
      <c r="U302" s="7"/>
      <c r="V302" s="7"/>
      <c r="W302" s="24"/>
      <c r="X302" s="7">
        <f>IFERROR(CT[[#This Row],[Freight Charges]]+CT[[#This Row],[Inspection Cost/MT]]+CT[[#This Row],[DHL Charges PMT]],"")</f>
        <v>0</v>
      </c>
      <c r="Y302" s="7">
        <f>IFERROR(AF302-(O302+CT[[#This Row],[Cost Per MT]]),"")</f>
        <v>335</v>
      </c>
      <c r="Z302" s="7">
        <f>IFERROR(CT[[#This Row],[Margin/MT]]*CT[[#This Row],[Container Qty]],"")</f>
        <v>0</v>
      </c>
      <c r="AA302" s="7"/>
      <c r="AB302" t="s">
        <v>11</v>
      </c>
      <c r="AC302" s="1" t="s">
        <v>158</v>
      </c>
      <c r="AD302" s="3">
        <v>45861</v>
      </c>
      <c r="AE302" s="14">
        <f t="shared" si="34"/>
        <v>25</v>
      </c>
      <c r="AF302" s="7">
        <v>335</v>
      </c>
      <c r="AG302" s="7">
        <f>CT[[#This Row],[Sales Rate/MT (USD)]]*CT[[#This Row],[SC Qty (MT)]]</f>
        <v>8375</v>
      </c>
      <c r="AH302" s="7" t="str">
        <f>IF(CT[[#This Row],[Container Qty]]&lt;&gt;0,CT[[#This Row],[Sales Rate/MT (USD)]]*CT[[#This Row],[Container Qty]],"")</f>
        <v/>
      </c>
      <c r="AI302" s="7" t="str">
        <f>IF(CT[[#This Row],[Customer Final Price]]&lt;&gt;"",CT[[#This Row],[Customer Final Price]]-CT[[#This Row],[Customer  Prov. Price]],"")</f>
        <v/>
      </c>
      <c r="AJ302" t="s">
        <v>8</v>
      </c>
      <c r="AK302" s="1" t="s">
        <v>159</v>
      </c>
      <c r="AL302" s="1"/>
      <c r="AM302" s="100" t="s">
        <v>134</v>
      </c>
    </row>
    <row r="303" spans="1:39" x14ac:dyDescent="0.25">
      <c r="A303" t="s">
        <v>9</v>
      </c>
      <c r="B303" s="102"/>
      <c r="C303" s="81"/>
      <c r="D303" s="1" t="s">
        <v>67</v>
      </c>
      <c r="F303" s="11"/>
      <c r="G303" s="3"/>
      <c r="H303" s="3"/>
      <c r="I303" s="1"/>
      <c r="J303" s="1"/>
      <c r="K303" s="1"/>
      <c r="L303" s="1"/>
      <c r="M303" s="14">
        <v>25</v>
      </c>
      <c r="N303" s="1"/>
      <c r="O303" s="7"/>
      <c r="P303" s="7">
        <f>CT[[#This Row],[Purchase Rate/MT (USD)]]*CT[[#This Row],[PC Qty (MT)]]</f>
        <v>0</v>
      </c>
      <c r="Q303" s="7">
        <f>CT[[#This Row],[Purchase Rate/MT (USD)]]*CT[[#This Row],[Container Qty]]</f>
        <v>0</v>
      </c>
      <c r="R303" s="7" t="str">
        <f>IF(CT[[#This Row],[BL Number]]&lt;&gt;0,(CT[[#This Row],[Supplier Prov. Price]]-CT[[#This Row],[Supplier Final Price]])*1.2,"")</f>
        <v/>
      </c>
      <c r="S303" s="101"/>
      <c r="T303" s="3"/>
      <c r="U303" s="7"/>
      <c r="V303" s="7"/>
      <c r="W303" s="24"/>
      <c r="X303" s="7">
        <f>IFERROR(CT[[#This Row],[Freight Charges]]+CT[[#This Row],[Inspection Cost/MT]]+CT[[#This Row],[DHL Charges PMT]],"")</f>
        <v>0</v>
      </c>
      <c r="Y303" s="7">
        <f>IFERROR(AF303-(O303+CT[[#This Row],[Cost Per MT]]),"")</f>
        <v>335</v>
      </c>
      <c r="Z303" s="7">
        <f>IFERROR(CT[[#This Row],[Margin/MT]]*CT[[#This Row],[Container Qty]],"")</f>
        <v>0</v>
      </c>
      <c r="AA303" s="7"/>
      <c r="AB303" t="s">
        <v>11</v>
      </c>
      <c r="AC303" s="1" t="s">
        <v>158</v>
      </c>
      <c r="AD303" s="3">
        <v>45861</v>
      </c>
      <c r="AE303" s="14">
        <f t="shared" si="34"/>
        <v>25</v>
      </c>
      <c r="AF303" s="7">
        <v>335</v>
      </c>
      <c r="AG303" s="7">
        <f>CT[[#This Row],[Sales Rate/MT (USD)]]*CT[[#This Row],[SC Qty (MT)]]</f>
        <v>8375</v>
      </c>
      <c r="AH303" s="7" t="str">
        <f>IF(CT[[#This Row],[Container Qty]]&lt;&gt;0,CT[[#This Row],[Sales Rate/MT (USD)]]*CT[[#This Row],[Container Qty]],"")</f>
        <v/>
      </c>
      <c r="AI303" s="7" t="str">
        <f>IF(CT[[#This Row],[Customer Final Price]]&lt;&gt;"",CT[[#This Row],[Customer Final Price]]-CT[[#This Row],[Customer  Prov. Price]],"")</f>
        <v/>
      </c>
      <c r="AJ303" t="s">
        <v>8</v>
      </c>
      <c r="AK303" s="1" t="s">
        <v>159</v>
      </c>
      <c r="AL303" s="1"/>
      <c r="AM303" s="100" t="s">
        <v>134</v>
      </c>
    </row>
    <row r="304" spans="1:39" x14ac:dyDescent="0.25">
      <c r="A304" t="s">
        <v>9</v>
      </c>
      <c r="B304" s="102"/>
      <c r="C304" s="81"/>
      <c r="D304" s="1" t="s">
        <v>67</v>
      </c>
      <c r="F304" s="11"/>
      <c r="G304" s="3"/>
      <c r="H304" s="3"/>
      <c r="I304" s="1"/>
      <c r="J304" s="1"/>
      <c r="K304" s="1"/>
      <c r="L304" s="1"/>
      <c r="M304" s="14">
        <v>25</v>
      </c>
      <c r="N304" s="1"/>
      <c r="O304" s="7"/>
      <c r="P304" s="7">
        <f>CT[[#This Row],[Purchase Rate/MT (USD)]]*CT[[#This Row],[PC Qty (MT)]]</f>
        <v>0</v>
      </c>
      <c r="Q304" s="7">
        <f>CT[[#This Row],[Purchase Rate/MT (USD)]]*CT[[#This Row],[Container Qty]]</f>
        <v>0</v>
      </c>
      <c r="R304" s="7" t="str">
        <f>IF(CT[[#This Row],[BL Number]]&lt;&gt;0,(CT[[#This Row],[Supplier Prov. Price]]-CT[[#This Row],[Supplier Final Price]])*1.2,"")</f>
        <v/>
      </c>
      <c r="S304" s="101"/>
      <c r="T304" s="3"/>
      <c r="U304" s="7"/>
      <c r="V304" s="7"/>
      <c r="W304" s="24"/>
      <c r="X304" s="7">
        <f>IFERROR(CT[[#This Row],[Freight Charges]]+CT[[#This Row],[Inspection Cost/MT]]+CT[[#This Row],[DHL Charges PMT]],"")</f>
        <v>0</v>
      </c>
      <c r="Y304" s="7">
        <f>IFERROR(AF304-(O304+CT[[#This Row],[Cost Per MT]]),"")</f>
        <v>335</v>
      </c>
      <c r="Z304" s="7">
        <f>IFERROR(CT[[#This Row],[Margin/MT]]*CT[[#This Row],[Container Qty]],"")</f>
        <v>0</v>
      </c>
      <c r="AA304" s="7"/>
      <c r="AB304" t="s">
        <v>11</v>
      </c>
      <c r="AC304" s="1" t="s">
        <v>158</v>
      </c>
      <c r="AD304" s="3">
        <v>45861</v>
      </c>
      <c r="AE304" s="14">
        <f t="shared" si="34"/>
        <v>25</v>
      </c>
      <c r="AF304" s="7">
        <v>335</v>
      </c>
      <c r="AG304" s="7">
        <f>CT[[#This Row],[Sales Rate/MT (USD)]]*CT[[#This Row],[SC Qty (MT)]]</f>
        <v>8375</v>
      </c>
      <c r="AH304" s="7" t="str">
        <f>IF(CT[[#This Row],[Container Qty]]&lt;&gt;0,CT[[#This Row],[Sales Rate/MT (USD)]]*CT[[#This Row],[Container Qty]],"")</f>
        <v/>
      </c>
      <c r="AI304" s="7" t="str">
        <f>IF(CT[[#This Row],[Customer Final Price]]&lt;&gt;"",CT[[#This Row],[Customer Final Price]]-CT[[#This Row],[Customer  Prov. Price]],"")</f>
        <v/>
      </c>
      <c r="AJ304" t="s">
        <v>8</v>
      </c>
      <c r="AK304" s="1" t="s">
        <v>159</v>
      </c>
      <c r="AL304" s="1"/>
      <c r="AM304" s="100" t="s">
        <v>134</v>
      </c>
    </row>
    <row r="305" spans="1:39" x14ac:dyDescent="0.25">
      <c r="A305" t="s">
        <v>9</v>
      </c>
      <c r="B305" s="102"/>
      <c r="C305" s="81"/>
      <c r="D305" s="1" t="s">
        <v>67</v>
      </c>
      <c r="F305" s="11"/>
      <c r="G305" s="3"/>
      <c r="H305" s="3"/>
      <c r="I305" s="1"/>
      <c r="J305" s="1"/>
      <c r="K305" s="1"/>
      <c r="L305" s="1"/>
      <c r="M305" s="14">
        <v>25</v>
      </c>
      <c r="N305" s="1"/>
      <c r="O305" s="7"/>
      <c r="P305" s="7">
        <f>CT[[#This Row],[Purchase Rate/MT (USD)]]*CT[[#This Row],[PC Qty (MT)]]</f>
        <v>0</v>
      </c>
      <c r="Q305" s="7">
        <f>CT[[#This Row],[Purchase Rate/MT (USD)]]*CT[[#This Row],[Container Qty]]</f>
        <v>0</v>
      </c>
      <c r="R305" s="7" t="str">
        <f>IF(CT[[#This Row],[BL Number]]&lt;&gt;0,(CT[[#This Row],[Supplier Prov. Price]]-CT[[#This Row],[Supplier Final Price]])*1.2,"")</f>
        <v/>
      </c>
      <c r="S305" s="101"/>
      <c r="T305" s="3"/>
      <c r="U305" s="7"/>
      <c r="V305" s="7"/>
      <c r="W305" s="24"/>
      <c r="X305" s="7">
        <f>IFERROR(CT[[#This Row],[Freight Charges]]+CT[[#This Row],[Inspection Cost/MT]]+CT[[#This Row],[DHL Charges PMT]],"")</f>
        <v>0</v>
      </c>
      <c r="Y305" s="7">
        <f>IFERROR(AF305-(O305+CT[[#This Row],[Cost Per MT]]),"")</f>
        <v>335</v>
      </c>
      <c r="Z305" s="7">
        <f>IFERROR(CT[[#This Row],[Margin/MT]]*CT[[#This Row],[Container Qty]],"")</f>
        <v>0</v>
      </c>
      <c r="AA305" s="7"/>
      <c r="AB305" t="s">
        <v>11</v>
      </c>
      <c r="AC305" s="1" t="s">
        <v>158</v>
      </c>
      <c r="AD305" s="3">
        <v>45861</v>
      </c>
      <c r="AE305" s="14">
        <f t="shared" si="34"/>
        <v>25</v>
      </c>
      <c r="AF305" s="7">
        <v>335</v>
      </c>
      <c r="AG305" s="7">
        <f>CT[[#This Row],[Sales Rate/MT (USD)]]*CT[[#This Row],[SC Qty (MT)]]</f>
        <v>8375</v>
      </c>
      <c r="AH305" s="7" t="str">
        <f>IF(CT[[#This Row],[Container Qty]]&lt;&gt;0,CT[[#This Row],[Sales Rate/MT (USD)]]*CT[[#This Row],[Container Qty]],"")</f>
        <v/>
      </c>
      <c r="AI305" s="7" t="str">
        <f>IF(CT[[#This Row],[Customer Final Price]]&lt;&gt;"",CT[[#This Row],[Customer Final Price]]-CT[[#This Row],[Customer  Prov. Price]],"")</f>
        <v/>
      </c>
      <c r="AJ305" t="s">
        <v>8</v>
      </c>
      <c r="AK305" s="1" t="s">
        <v>159</v>
      </c>
      <c r="AL305" s="1"/>
      <c r="AM305" s="100" t="s">
        <v>134</v>
      </c>
    </row>
    <row r="306" spans="1:39" x14ac:dyDescent="0.25">
      <c r="A306" t="s">
        <v>9</v>
      </c>
      <c r="B306" s="102"/>
      <c r="C306" s="81"/>
      <c r="D306" s="1" t="s">
        <v>67</v>
      </c>
      <c r="F306" s="11"/>
      <c r="G306" s="3"/>
      <c r="H306" s="3"/>
      <c r="I306" s="1"/>
      <c r="J306" s="1"/>
      <c r="K306" s="1"/>
      <c r="L306" s="1"/>
      <c r="M306" s="14">
        <v>25</v>
      </c>
      <c r="N306" s="1"/>
      <c r="O306" s="7"/>
      <c r="P306" s="7">
        <f>CT[[#This Row],[Purchase Rate/MT (USD)]]*CT[[#This Row],[PC Qty (MT)]]</f>
        <v>0</v>
      </c>
      <c r="Q306" s="7">
        <f>CT[[#This Row],[Purchase Rate/MT (USD)]]*CT[[#This Row],[Container Qty]]</f>
        <v>0</v>
      </c>
      <c r="R306" s="7" t="str">
        <f>IF(CT[[#This Row],[BL Number]]&lt;&gt;0,(CT[[#This Row],[Supplier Prov. Price]]-CT[[#This Row],[Supplier Final Price]])*1.2,"")</f>
        <v/>
      </c>
      <c r="S306" s="101"/>
      <c r="T306" s="3"/>
      <c r="U306" s="7"/>
      <c r="V306" s="7"/>
      <c r="W306" s="24"/>
      <c r="X306" s="7">
        <f>IFERROR(CT[[#This Row],[Freight Charges]]+CT[[#This Row],[Inspection Cost/MT]]+CT[[#This Row],[DHL Charges PMT]],"")</f>
        <v>0</v>
      </c>
      <c r="Y306" s="7">
        <f>IFERROR(AF306-(O306+CT[[#This Row],[Cost Per MT]]),"")</f>
        <v>335</v>
      </c>
      <c r="Z306" s="7">
        <f>IFERROR(CT[[#This Row],[Margin/MT]]*CT[[#This Row],[Container Qty]],"")</f>
        <v>0</v>
      </c>
      <c r="AA306" s="7"/>
      <c r="AB306" t="s">
        <v>11</v>
      </c>
      <c r="AC306" s="1" t="s">
        <v>158</v>
      </c>
      <c r="AD306" s="3">
        <v>45861</v>
      </c>
      <c r="AE306" s="14">
        <f t="shared" si="34"/>
        <v>25</v>
      </c>
      <c r="AF306" s="7">
        <v>335</v>
      </c>
      <c r="AG306" s="7">
        <f>CT[[#This Row],[Sales Rate/MT (USD)]]*CT[[#This Row],[SC Qty (MT)]]</f>
        <v>8375</v>
      </c>
      <c r="AH306" s="7" t="str">
        <f>IF(CT[[#This Row],[Container Qty]]&lt;&gt;0,CT[[#This Row],[Sales Rate/MT (USD)]]*CT[[#This Row],[Container Qty]],"")</f>
        <v/>
      </c>
      <c r="AI306" s="7" t="str">
        <f>IF(CT[[#This Row],[Customer Final Price]]&lt;&gt;"",CT[[#This Row],[Customer Final Price]]-CT[[#This Row],[Customer  Prov. Price]],"")</f>
        <v/>
      </c>
      <c r="AJ306" t="s">
        <v>8</v>
      </c>
      <c r="AK306" s="1" t="s">
        <v>159</v>
      </c>
      <c r="AL306" s="1"/>
      <c r="AM306" s="100" t="s">
        <v>134</v>
      </c>
    </row>
    <row r="307" spans="1:39" x14ac:dyDescent="0.25">
      <c r="A307" t="s">
        <v>9</v>
      </c>
      <c r="B307" s="102"/>
      <c r="C307" s="81"/>
      <c r="D307" s="1" t="s">
        <v>67</v>
      </c>
      <c r="F307" s="11"/>
      <c r="G307" s="3"/>
      <c r="H307" s="3"/>
      <c r="I307" s="1"/>
      <c r="J307" s="1"/>
      <c r="K307" s="1"/>
      <c r="L307" s="1"/>
      <c r="M307" s="14">
        <v>25</v>
      </c>
      <c r="N307" s="1"/>
      <c r="O307" s="7"/>
      <c r="P307" s="7">
        <f>CT[[#This Row],[Purchase Rate/MT (USD)]]*CT[[#This Row],[PC Qty (MT)]]</f>
        <v>0</v>
      </c>
      <c r="Q307" s="7">
        <f>CT[[#This Row],[Purchase Rate/MT (USD)]]*CT[[#This Row],[Container Qty]]</f>
        <v>0</v>
      </c>
      <c r="R307" s="7" t="str">
        <f>IF(CT[[#This Row],[BL Number]]&lt;&gt;0,(CT[[#This Row],[Supplier Prov. Price]]-CT[[#This Row],[Supplier Final Price]])*1.2,"")</f>
        <v/>
      </c>
      <c r="S307" s="101"/>
      <c r="T307" s="3"/>
      <c r="U307" s="7"/>
      <c r="V307" s="7"/>
      <c r="W307" s="24"/>
      <c r="X307" s="7">
        <f>IFERROR(CT[[#This Row],[Freight Charges]]+CT[[#This Row],[Inspection Cost/MT]]+CT[[#This Row],[DHL Charges PMT]],"")</f>
        <v>0</v>
      </c>
      <c r="Y307" s="7">
        <f>IFERROR(AF307-(O307+CT[[#This Row],[Cost Per MT]]),"")</f>
        <v>335</v>
      </c>
      <c r="Z307" s="7">
        <f>IFERROR(CT[[#This Row],[Margin/MT]]*CT[[#This Row],[Container Qty]],"")</f>
        <v>0</v>
      </c>
      <c r="AA307" s="7"/>
      <c r="AB307" t="s">
        <v>11</v>
      </c>
      <c r="AC307" s="1" t="s">
        <v>158</v>
      </c>
      <c r="AD307" s="3">
        <v>45861</v>
      </c>
      <c r="AE307" s="14">
        <f t="shared" si="34"/>
        <v>25</v>
      </c>
      <c r="AF307" s="7">
        <v>335</v>
      </c>
      <c r="AG307" s="7">
        <f>CT[[#This Row],[Sales Rate/MT (USD)]]*CT[[#This Row],[SC Qty (MT)]]</f>
        <v>8375</v>
      </c>
      <c r="AH307" s="7" t="str">
        <f>IF(CT[[#This Row],[Container Qty]]&lt;&gt;0,CT[[#This Row],[Sales Rate/MT (USD)]]*CT[[#This Row],[Container Qty]],"")</f>
        <v/>
      </c>
      <c r="AI307" s="7" t="str">
        <f>IF(CT[[#This Row],[Customer Final Price]]&lt;&gt;"",CT[[#This Row],[Customer Final Price]]-CT[[#This Row],[Customer  Prov. Price]],"")</f>
        <v/>
      </c>
      <c r="AJ307" t="s">
        <v>8</v>
      </c>
      <c r="AK307" s="1" t="s">
        <v>159</v>
      </c>
      <c r="AL307" s="1"/>
      <c r="AM307" s="100" t="s">
        <v>134</v>
      </c>
    </row>
    <row r="308" spans="1:39" x14ac:dyDescent="0.25">
      <c r="A308" t="s">
        <v>9</v>
      </c>
      <c r="B308" s="102"/>
      <c r="C308" s="81"/>
      <c r="D308" s="1" t="s">
        <v>67</v>
      </c>
      <c r="F308" s="11"/>
      <c r="G308" s="3"/>
      <c r="H308" s="3"/>
      <c r="I308" s="1"/>
      <c r="J308" s="1"/>
      <c r="K308" s="1"/>
      <c r="L308" s="1"/>
      <c r="M308" s="14">
        <v>25</v>
      </c>
      <c r="N308" s="1"/>
      <c r="O308" s="7"/>
      <c r="P308" s="7">
        <f>CT[[#This Row],[Purchase Rate/MT (USD)]]*CT[[#This Row],[PC Qty (MT)]]</f>
        <v>0</v>
      </c>
      <c r="Q308" s="7">
        <f>CT[[#This Row],[Purchase Rate/MT (USD)]]*CT[[#This Row],[Container Qty]]</f>
        <v>0</v>
      </c>
      <c r="R308" s="7" t="str">
        <f>IF(CT[[#This Row],[BL Number]]&lt;&gt;0,(CT[[#This Row],[Supplier Prov. Price]]-CT[[#This Row],[Supplier Final Price]])*1.2,"")</f>
        <v/>
      </c>
      <c r="S308" s="101"/>
      <c r="T308" s="3"/>
      <c r="U308" s="7"/>
      <c r="V308" s="7"/>
      <c r="W308" s="24"/>
      <c r="X308" s="7">
        <f>IFERROR(CT[[#This Row],[Freight Charges]]+CT[[#This Row],[Inspection Cost/MT]]+CT[[#This Row],[DHL Charges PMT]],"")</f>
        <v>0</v>
      </c>
      <c r="Y308" s="7">
        <f>IFERROR(AF308-(O308+CT[[#This Row],[Cost Per MT]]),"")</f>
        <v>335</v>
      </c>
      <c r="Z308" s="7">
        <f>IFERROR(CT[[#This Row],[Margin/MT]]*CT[[#This Row],[Container Qty]],"")</f>
        <v>0</v>
      </c>
      <c r="AA308" s="7"/>
      <c r="AB308" t="s">
        <v>11</v>
      </c>
      <c r="AC308" s="1" t="s">
        <v>158</v>
      </c>
      <c r="AD308" s="3">
        <v>45861</v>
      </c>
      <c r="AE308" s="14">
        <f t="shared" si="34"/>
        <v>25</v>
      </c>
      <c r="AF308" s="7">
        <v>335</v>
      </c>
      <c r="AG308" s="7">
        <f>CT[[#This Row],[Sales Rate/MT (USD)]]*CT[[#This Row],[SC Qty (MT)]]</f>
        <v>8375</v>
      </c>
      <c r="AH308" s="7" t="str">
        <f>IF(CT[[#This Row],[Container Qty]]&lt;&gt;0,CT[[#This Row],[Sales Rate/MT (USD)]]*CT[[#This Row],[Container Qty]],"")</f>
        <v/>
      </c>
      <c r="AI308" s="7" t="str">
        <f>IF(CT[[#This Row],[Customer Final Price]]&lt;&gt;"",CT[[#This Row],[Customer Final Price]]-CT[[#This Row],[Customer  Prov. Price]],"")</f>
        <v/>
      </c>
      <c r="AJ308" t="s">
        <v>8</v>
      </c>
      <c r="AK308" s="1" t="s">
        <v>159</v>
      </c>
      <c r="AL308" s="1"/>
      <c r="AM308" s="100" t="s">
        <v>134</v>
      </c>
    </row>
    <row r="309" spans="1:39" x14ac:dyDescent="0.25">
      <c r="A309" t="s">
        <v>9</v>
      </c>
      <c r="B309" s="102"/>
      <c r="C309" s="81"/>
      <c r="D309" s="1" t="s">
        <v>67</v>
      </c>
      <c r="F309" s="11"/>
      <c r="G309" s="3"/>
      <c r="H309" s="3"/>
      <c r="I309" s="1"/>
      <c r="J309" s="1"/>
      <c r="K309" s="1"/>
      <c r="L309" s="1"/>
      <c r="M309" s="14">
        <v>25</v>
      </c>
      <c r="N309" s="1"/>
      <c r="O309" s="7"/>
      <c r="P309" s="7">
        <f>CT[[#This Row],[Purchase Rate/MT (USD)]]*CT[[#This Row],[PC Qty (MT)]]</f>
        <v>0</v>
      </c>
      <c r="Q309" s="7">
        <f>CT[[#This Row],[Purchase Rate/MT (USD)]]*CT[[#This Row],[Container Qty]]</f>
        <v>0</v>
      </c>
      <c r="R309" s="7" t="str">
        <f>IF(CT[[#This Row],[BL Number]]&lt;&gt;0,(CT[[#This Row],[Supplier Prov. Price]]-CT[[#This Row],[Supplier Final Price]])*1.2,"")</f>
        <v/>
      </c>
      <c r="S309" s="101"/>
      <c r="T309" s="3"/>
      <c r="U309" s="7"/>
      <c r="V309" s="7"/>
      <c r="W309" s="24"/>
      <c r="X309" s="7">
        <f>IFERROR(CT[[#This Row],[Freight Charges]]+CT[[#This Row],[Inspection Cost/MT]]+CT[[#This Row],[DHL Charges PMT]],"")</f>
        <v>0</v>
      </c>
      <c r="Y309" s="7">
        <f>IFERROR(AF309-(O309+CT[[#This Row],[Cost Per MT]]),"")</f>
        <v>335</v>
      </c>
      <c r="Z309" s="7">
        <f>IFERROR(CT[[#This Row],[Margin/MT]]*CT[[#This Row],[Container Qty]],"")</f>
        <v>0</v>
      </c>
      <c r="AA309" s="7"/>
      <c r="AB309" t="s">
        <v>11</v>
      </c>
      <c r="AC309" s="1" t="s">
        <v>158</v>
      </c>
      <c r="AD309" s="3">
        <v>45861</v>
      </c>
      <c r="AE309" s="14">
        <f t="shared" si="34"/>
        <v>25</v>
      </c>
      <c r="AF309" s="7">
        <v>335</v>
      </c>
      <c r="AG309" s="7">
        <f>CT[[#This Row],[Sales Rate/MT (USD)]]*CT[[#This Row],[SC Qty (MT)]]</f>
        <v>8375</v>
      </c>
      <c r="AH309" s="7" t="str">
        <f>IF(CT[[#This Row],[Container Qty]]&lt;&gt;0,CT[[#This Row],[Sales Rate/MT (USD)]]*CT[[#This Row],[Container Qty]],"")</f>
        <v/>
      </c>
      <c r="AI309" s="7" t="str">
        <f>IF(CT[[#This Row],[Customer Final Price]]&lt;&gt;"",CT[[#This Row],[Customer Final Price]]-CT[[#This Row],[Customer  Prov. Price]],"")</f>
        <v/>
      </c>
      <c r="AJ309" t="s">
        <v>8</v>
      </c>
      <c r="AK309" s="1" t="s">
        <v>159</v>
      </c>
      <c r="AL309" s="1"/>
      <c r="AM309" s="100" t="s">
        <v>134</v>
      </c>
    </row>
    <row r="310" spans="1:39" x14ac:dyDescent="0.25">
      <c r="A310" t="s">
        <v>9</v>
      </c>
      <c r="B310" s="102"/>
      <c r="C310" s="81"/>
      <c r="D310" s="1" t="s">
        <v>67</v>
      </c>
      <c r="F310" s="11"/>
      <c r="G310" s="3"/>
      <c r="H310" s="3"/>
      <c r="I310" s="1"/>
      <c r="J310" s="1"/>
      <c r="K310" s="1"/>
      <c r="L310" s="1"/>
      <c r="M310" s="14">
        <v>25</v>
      </c>
      <c r="N310" s="1"/>
      <c r="O310" s="7"/>
      <c r="P310" s="7">
        <f>CT[[#This Row],[Purchase Rate/MT (USD)]]*CT[[#This Row],[PC Qty (MT)]]</f>
        <v>0</v>
      </c>
      <c r="Q310" s="7">
        <f>CT[[#This Row],[Purchase Rate/MT (USD)]]*CT[[#This Row],[Container Qty]]</f>
        <v>0</v>
      </c>
      <c r="R310" s="7" t="str">
        <f>IF(CT[[#This Row],[BL Number]]&lt;&gt;0,(CT[[#This Row],[Supplier Prov. Price]]-CT[[#This Row],[Supplier Final Price]])*1.2,"")</f>
        <v/>
      </c>
      <c r="S310" s="101"/>
      <c r="T310" s="3"/>
      <c r="U310" s="7"/>
      <c r="V310" s="7"/>
      <c r="W310" s="24"/>
      <c r="X310" s="7">
        <f>IFERROR(CT[[#This Row],[Freight Charges]]+CT[[#This Row],[Inspection Cost/MT]]+CT[[#This Row],[DHL Charges PMT]],"")</f>
        <v>0</v>
      </c>
      <c r="Y310" s="7">
        <f>IFERROR(AF310-(O310+CT[[#This Row],[Cost Per MT]]),"")</f>
        <v>335</v>
      </c>
      <c r="Z310" s="7">
        <f>IFERROR(CT[[#This Row],[Margin/MT]]*CT[[#This Row],[Container Qty]],"")</f>
        <v>0</v>
      </c>
      <c r="AA310" s="7"/>
      <c r="AB310" t="s">
        <v>11</v>
      </c>
      <c r="AC310" s="1" t="s">
        <v>158</v>
      </c>
      <c r="AD310" s="3">
        <v>45861</v>
      </c>
      <c r="AE310" s="14">
        <f t="shared" si="34"/>
        <v>25</v>
      </c>
      <c r="AF310" s="7">
        <v>335</v>
      </c>
      <c r="AG310" s="7">
        <f>CT[[#This Row],[Sales Rate/MT (USD)]]*CT[[#This Row],[SC Qty (MT)]]</f>
        <v>8375</v>
      </c>
      <c r="AH310" s="7" t="str">
        <f>IF(CT[[#This Row],[Container Qty]]&lt;&gt;0,CT[[#This Row],[Sales Rate/MT (USD)]]*CT[[#This Row],[Container Qty]],"")</f>
        <v/>
      </c>
      <c r="AI310" s="7" t="str">
        <f>IF(CT[[#This Row],[Customer Final Price]]&lt;&gt;"",CT[[#This Row],[Customer Final Price]]-CT[[#This Row],[Customer  Prov. Price]],"")</f>
        <v/>
      </c>
      <c r="AJ310" t="s">
        <v>8</v>
      </c>
      <c r="AK310" s="1" t="s">
        <v>159</v>
      </c>
      <c r="AL310" s="1"/>
      <c r="AM310" s="100" t="s">
        <v>134</v>
      </c>
    </row>
    <row r="311" spans="1:39" x14ac:dyDescent="0.25">
      <c r="A311" t="s">
        <v>9</v>
      </c>
      <c r="B311" s="102"/>
      <c r="C311" s="81"/>
      <c r="D311" s="1" t="s">
        <v>67</v>
      </c>
      <c r="F311" s="11"/>
      <c r="G311" s="3"/>
      <c r="H311" s="3"/>
      <c r="I311" s="1"/>
      <c r="J311" s="1"/>
      <c r="K311" s="1"/>
      <c r="L311" s="1"/>
      <c r="M311" s="14">
        <v>25</v>
      </c>
      <c r="N311" s="1"/>
      <c r="O311" s="7"/>
      <c r="P311" s="7">
        <f>CT[[#This Row],[Purchase Rate/MT (USD)]]*CT[[#This Row],[PC Qty (MT)]]</f>
        <v>0</v>
      </c>
      <c r="Q311" s="7">
        <f>CT[[#This Row],[Purchase Rate/MT (USD)]]*CT[[#This Row],[Container Qty]]</f>
        <v>0</v>
      </c>
      <c r="R311" s="7" t="str">
        <f>IF(CT[[#This Row],[BL Number]]&lt;&gt;0,(CT[[#This Row],[Supplier Prov. Price]]-CT[[#This Row],[Supplier Final Price]])*1.2,"")</f>
        <v/>
      </c>
      <c r="S311" s="101"/>
      <c r="T311" s="3"/>
      <c r="U311" s="7"/>
      <c r="V311" s="7"/>
      <c r="W311" s="24"/>
      <c r="X311" s="7">
        <f>IFERROR(CT[[#This Row],[Freight Charges]]+CT[[#This Row],[Inspection Cost/MT]]+CT[[#This Row],[DHL Charges PMT]],"")</f>
        <v>0</v>
      </c>
      <c r="Y311" s="7">
        <f>IFERROR(AF311-(O311+CT[[#This Row],[Cost Per MT]]),"")</f>
        <v>335</v>
      </c>
      <c r="Z311" s="7">
        <f>IFERROR(CT[[#This Row],[Margin/MT]]*CT[[#This Row],[Container Qty]],"")</f>
        <v>0</v>
      </c>
      <c r="AA311" s="7"/>
      <c r="AB311" t="s">
        <v>11</v>
      </c>
      <c r="AC311" s="1" t="s">
        <v>158</v>
      </c>
      <c r="AD311" s="3">
        <v>45861</v>
      </c>
      <c r="AE311" s="14">
        <f t="shared" si="34"/>
        <v>25</v>
      </c>
      <c r="AF311" s="7">
        <v>335</v>
      </c>
      <c r="AG311" s="7">
        <f>CT[[#This Row],[Sales Rate/MT (USD)]]*CT[[#This Row],[SC Qty (MT)]]</f>
        <v>8375</v>
      </c>
      <c r="AH311" s="7" t="str">
        <f>IF(CT[[#This Row],[Container Qty]]&lt;&gt;0,CT[[#This Row],[Sales Rate/MT (USD)]]*CT[[#This Row],[Container Qty]],"")</f>
        <v/>
      </c>
      <c r="AI311" s="7" t="str">
        <f>IF(CT[[#This Row],[Customer Final Price]]&lt;&gt;"",CT[[#This Row],[Customer Final Price]]-CT[[#This Row],[Customer  Prov. Price]],"")</f>
        <v/>
      </c>
      <c r="AJ311" t="s">
        <v>8</v>
      </c>
      <c r="AK311" s="1" t="s">
        <v>159</v>
      </c>
      <c r="AL311" s="1"/>
      <c r="AM311" s="100" t="s">
        <v>134</v>
      </c>
    </row>
    <row r="312" spans="1:39" x14ac:dyDescent="0.25">
      <c r="A312" t="s">
        <v>9</v>
      </c>
      <c r="B312" s="102"/>
      <c r="C312" s="81"/>
      <c r="D312" s="1" t="s">
        <v>67</v>
      </c>
      <c r="F312" s="11"/>
      <c r="G312" s="3"/>
      <c r="H312" s="3"/>
      <c r="I312" s="1"/>
      <c r="J312" s="1"/>
      <c r="K312" s="1"/>
      <c r="L312" s="1"/>
      <c r="M312" s="14">
        <v>25</v>
      </c>
      <c r="N312" s="1"/>
      <c r="O312" s="7"/>
      <c r="P312" s="7">
        <f>CT[[#This Row],[Purchase Rate/MT (USD)]]*CT[[#This Row],[PC Qty (MT)]]</f>
        <v>0</v>
      </c>
      <c r="Q312" s="7">
        <f>CT[[#This Row],[Purchase Rate/MT (USD)]]*CT[[#This Row],[Container Qty]]</f>
        <v>0</v>
      </c>
      <c r="R312" s="7" t="str">
        <f>IF(CT[[#This Row],[BL Number]]&lt;&gt;0,(CT[[#This Row],[Supplier Prov. Price]]-CT[[#This Row],[Supplier Final Price]])*1.2,"")</f>
        <v/>
      </c>
      <c r="S312" s="101"/>
      <c r="T312" s="3"/>
      <c r="U312" s="7"/>
      <c r="V312" s="7"/>
      <c r="W312" s="24"/>
      <c r="X312" s="7">
        <f>IFERROR(CT[[#This Row],[Freight Charges]]+CT[[#This Row],[Inspection Cost/MT]]+CT[[#This Row],[DHL Charges PMT]],"")</f>
        <v>0</v>
      </c>
      <c r="Y312" s="7">
        <f>IFERROR(AF312-(O312+CT[[#This Row],[Cost Per MT]]),"")</f>
        <v>335</v>
      </c>
      <c r="Z312" s="7">
        <f>IFERROR(CT[[#This Row],[Margin/MT]]*CT[[#This Row],[Container Qty]],"")</f>
        <v>0</v>
      </c>
      <c r="AA312" s="7"/>
      <c r="AB312" t="s">
        <v>11</v>
      </c>
      <c r="AC312" s="1" t="s">
        <v>158</v>
      </c>
      <c r="AD312" s="3">
        <v>45861</v>
      </c>
      <c r="AE312" s="14">
        <f t="shared" si="34"/>
        <v>25</v>
      </c>
      <c r="AF312" s="7">
        <v>335</v>
      </c>
      <c r="AG312" s="7">
        <f>CT[[#This Row],[Sales Rate/MT (USD)]]*CT[[#This Row],[SC Qty (MT)]]</f>
        <v>8375</v>
      </c>
      <c r="AH312" s="7" t="str">
        <f>IF(CT[[#This Row],[Container Qty]]&lt;&gt;0,CT[[#This Row],[Sales Rate/MT (USD)]]*CT[[#This Row],[Container Qty]],"")</f>
        <v/>
      </c>
      <c r="AI312" s="7" t="str">
        <f>IF(CT[[#This Row],[Customer Final Price]]&lt;&gt;"",CT[[#This Row],[Customer Final Price]]-CT[[#This Row],[Customer  Prov. Price]],"")</f>
        <v/>
      </c>
      <c r="AJ312" t="s">
        <v>8</v>
      </c>
      <c r="AK312" s="1" t="s">
        <v>159</v>
      </c>
      <c r="AL312" s="1"/>
      <c r="AM312" s="100" t="s">
        <v>134</v>
      </c>
    </row>
    <row r="313" spans="1:39" x14ac:dyDescent="0.25">
      <c r="A313" t="s">
        <v>9</v>
      </c>
      <c r="B313" s="102"/>
      <c r="C313" s="81"/>
      <c r="D313" s="1" t="s">
        <v>67</v>
      </c>
      <c r="F313" s="11"/>
      <c r="G313" s="3"/>
      <c r="H313" s="3"/>
      <c r="I313" s="1"/>
      <c r="J313" s="1"/>
      <c r="K313" s="1"/>
      <c r="L313" s="1"/>
      <c r="M313" s="14">
        <v>25</v>
      </c>
      <c r="N313" s="1"/>
      <c r="O313" s="7"/>
      <c r="P313" s="7">
        <f>CT[[#This Row],[Purchase Rate/MT (USD)]]*CT[[#This Row],[PC Qty (MT)]]</f>
        <v>0</v>
      </c>
      <c r="Q313" s="7">
        <f>CT[[#This Row],[Purchase Rate/MT (USD)]]*CT[[#This Row],[Container Qty]]</f>
        <v>0</v>
      </c>
      <c r="R313" s="7" t="str">
        <f>IF(CT[[#This Row],[BL Number]]&lt;&gt;0,(CT[[#This Row],[Supplier Prov. Price]]-CT[[#This Row],[Supplier Final Price]])*1.2,"")</f>
        <v/>
      </c>
      <c r="S313" s="101"/>
      <c r="T313" s="3"/>
      <c r="U313" s="7"/>
      <c r="V313" s="7"/>
      <c r="W313" s="24"/>
      <c r="X313" s="7">
        <f>IFERROR(CT[[#This Row],[Freight Charges]]+CT[[#This Row],[Inspection Cost/MT]]+CT[[#This Row],[DHL Charges PMT]],"")</f>
        <v>0</v>
      </c>
      <c r="Y313" s="7">
        <f>IFERROR(AF313-(O313+CT[[#This Row],[Cost Per MT]]),"")</f>
        <v>335</v>
      </c>
      <c r="Z313" s="7">
        <f>IFERROR(CT[[#This Row],[Margin/MT]]*CT[[#This Row],[Container Qty]],"")</f>
        <v>0</v>
      </c>
      <c r="AA313" s="7"/>
      <c r="AB313" t="s">
        <v>11</v>
      </c>
      <c r="AC313" s="1" t="s">
        <v>158</v>
      </c>
      <c r="AD313" s="3">
        <v>45861</v>
      </c>
      <c r="AE313" s="14">
        <f t="shared" si="34"/>
        <v>25</v>
      </c>
      <c r="AF313" s="7">
        <v>335</v>
      </c>
      <c r="AG313" s="7">
        <f>CT[[#This Row],[Sales Rate/MT (USD)]]*CT[[#This Row],[SC Qty (MT)]]</f>
        <v>8375</v>
      </c>
      <c r="AH313" s="7" t="str">
        <f>IF(CT[[#This Row],[Container Qty]]&lt;&gt;0,CT[[#This Row],[Sales Rate/MT (USD)]]*CT[[#This Row],[Container Qty]],"")</f>
        <v/>
      </c>
      <c r="AI313" s="7" t="str">
        <f>IF(CT[[#This Row],[Customer Final Price]]&lt;&gt;"",CT[[#This Row],[Customer Final Price]]-CT[[#This Row],[Customer  Prov. Price]],"")</f>
        <v/>
      </c>
      <c r="AJ313" t="s">
        <v>8</v>
      </c>
      <c r="AK313" s="1" t="s">
        <v>159</v>
      </c>
      <c r="AL313" s="1"/>
      <c r="AM313" s="100" t="s">
        <v>134</v>
      </c>
    </row>
    <row r="314" spans="1:39" x14ac:dyDescent="0.25">
      <c r="A314" t="s">
        <v>9</v>
      </c>
      <c r="B314" s="102"/>
      <c r="C314" s="81"/>
      <c r="D314" s="1" t="s">
        <v>67</v>
      </c>
      <c r="F314" s="11"/>
      <c r="G314" s="3"/>
      <c r="H314" s="3"/>
      <c r="I314" s="1"/>
      <c r="J314" s="1"/>
      <c r="K314" s="1"/>
      <c r="L314" s="1"/>
      <c r="M314" s="14">
        <v>25</v>
      </c>
      <c r="N314" s="1"/>
      <c r="O314" s="7"/>
      <c r="P314" s="7">
        <f>CT[[#This Row],[Purchase Rate/MT (USD)]]*CT[[#This Row],[PC Qty (MT)]]</f>
        <v>0</v>
      </c>
      <c r="Q314" s="7">
        <f>CT[[#This Row],[Purchase Rate/MT (USD)]]*CT[[#This Row],[Container Qty]]</f>
        <v>0</v>
      </c>
      <c r="R314" s="7" t="str">
        <f>IF(CT[[#This Row],[BL Number]]&lt;&gt;0,(CT[[#This Row],[Supplier Prov. Price]]-CT[[#This Row],[Supplier Final Price]])*1.2,"")</f>
        <v/>
      </c>
      <c r="S314" s="101"/>
      <c r="T314" s="3"/>
      <c r="U314" s="7"/>
      <c r="V314" s="7"/>
      <c r="W314" s="24"/>
      <c r="X314" s="7">
        <f>IFERROR(CT[[#This Row],[Freight Charges]]+CT[[#This Row],[Inspection Cost/MT]]+CT[[#This Row],[DHL Charges PMT]],"")</f>
        <v>0</v>
      </c>
      <c r="Y314" s="7">
        <f>IFERROR(AF314-(O314+CT[[#This Row],[Cost Per MT]]),"")</f>
        <v>335</v>
      </c>
      <c r="Z314" s="7">
        <f>IFERROR(CT[[#This Row],[Margin/MT]]*CT[[#This Row],[Container Qty]],"")</f>
        <v>0</v>
      </c>
      <c r="AA314" s="7"/>
      <c r="AB314" t="s">
        <v>11</v>
      </c>
      <c r="AC314" s="1" t="s">
        <v>158</v>
      </c>
      <c r="AD314" s="3">
        <v>45861</v>
      </c>
      <c r="AE314" s="14">
        <f t="shared" si="34"/>
        <v>25</v>
      </c>
      <c r="AF314" s="7">
        <v>335</v>
      </c>
      <c r="AG314" s="7">
        <f>CT[[#This Row],[Sales Rate/MT (USD)]]*CT[[#This Row],[SC Qty (MT)]]</f>
        <v>8375</v>
      </c>
      <c r="AH314" s="7" t="str">
        <f>IF(CT[[#This Row],[Container Qty]]&lt;&gt;0,CT[[#This Row],[Sales Rate/MT (USD)]]*CT[[#This Row],[Container Qty]],"")</f>
        <v/>
      </c>
      <c r="AI314" s="7" t="str">
        <f>IF(CT[[#This Row],[Customer Final Price]]&lt;&gt;"",CT[[#This Row],[Customer Final Price]]-CT[[#This Row],[Customer  Prov. Price]],"")</f>
        <v/>
      </c>
      <c r="AJ314" t="s">
        <v>8</v>
      </c>
      <c r="AK314" s="1" t="s">
        <v>159</v>
      </c>
      <c r="AL314" s="1"/>
      <c r="AM314" s="100" t="s">
        <v>134</v>
      </c>
    </row>
    <row r="315" spans="1:39" x14ac:dyDescent="0.25">
      <c r="A315" t="s">
        <v>9</v>
      </c>
      <c r="B315" s="102"/>
      <c r="C315" s="81"/>
      <c r="D315" s="1" t="s">
        <v>67</v>
      </c>
      <c r="F315" s="11"/>
      <c r="G315" s="3"/>
      <c r="H315" s="3"/>
      <c r="I315" s="1"/>
      <c r="J315" s="1"/>
      <c r="K315" s="1"/>
      <c r="L315" s="1"/>
      <c r="M315" s="14">
        <v>25</v>
      </c>
      <c r="N315" s="1"/>
      <c r="O315" s="7"/>
      <c r="P315" s="7">
        <f>CT[[#This Row],[Purchase Rate/MT (USD)]]*CT[[#This Row],[PC Qty (MT)]]</f>
        <v>0</v>
      </c>
      <c r="Q315" s="7">
        <f>CT[[#This Row],[Purchase Rate/MT (USD)]]*CT[[#This Row],[Container Qty]]</f>
        <v>0</v>
      </c>
      <c r="R315" s="7" t="str">
        <f>IF(CT[[#This Row],[BL Number]]&lt;&gt;0,(CT[[#This Row],[Supplier Prov. Price]]-CT[[#This Row],[Supplier Final Price]])*1.2,"")</f>
        <v/>
      </c>
      <c r="S315" s="101"/>
      <c r="T315" s="3"/>
      <c r="U315" s="7"/>
      <c r="V315" s="7"/>
      <c r="W315" s="24"/>
      <c r="X315" s="7">
        <f>IFERROR(CT[[#This Row],[Freight Charges]]+CT[[#This Row],[Inspection Cost/MT]]+CT[[#This Row],[DHL Charges PMT]],"")</f>
        <v>0</v>
      </c>
      <c r="Y315" s="7">
        <f>IFERROR(AF315-(O315+CT[[#This Row],[Cost Per MT]]),"")</f>
        <v>335</v>
      </c>
      <c r="Z315" s="7">
        <f>IFERROR(CT[[#This Row],[Margin/MT]]*CT[[#This Row],[Container Qty]],"")</f>
        <v>0</v>
      </c>
      <c r="AA315" s="7"/>
      <c r="AB315" t="s">
        <v>11</v>
      </c>
      <c r="AC315" s="1" t="s">
        <v>158</v>
      </c>
      <c r="AD315" s="3">
        <v>45861</v>
      </c>
      <c r="AE315" s="14">
        <f t="shared" si="34"/>
        <v>25</v>
      </c>
      <c r="AF315" s="7">
        <v>335</v>
      </c>
      <c r="AG315" s="7">
        <f>CT[[#This Row],[Sales Rate/MT (USD)]]*CT[[#This Row],[SC Qty (MT)]]</f>
        <v>8375</v>
      </c>
      <c r="AH315" s="7" t="str">
        <f>IF(CT[[#This Row],[Container Qty]]&lt;&gt;0,CT[[#This Row],[Sales Rate/MT (USD)]]*CT[[#This Row],[Container Qty]],"")</f>
        <v/>
      </c>
      <c r="AI315" s="7" t="str">
        <f>IF(CT[[#This Row],[Customer Final Price]]&lt;&gt;"",CT[[#This Row],[Customer Final Price]]-CT[[#This Row],[Customer  Prov. Price]],"")</f>
        <v/>
      </c>
      <c r="AJ315" t="s">
        <v>8</v>
      </c>
      <c r="AK315" s="1" t="s">
        <v>159</v>
      </c>
      <c r="AL315" s="1"/>
      <c r="AM315" s="100" t="s">
        <v>134</v>
      </c>
    </row>
    <row r="316" spans="1:39" x14ac:dyDescent="0.25">
      <c r="A316" t="s">
        <v>9</v>
      </c>
      <c r="B316" s="102"/>
      <c r="C316" s="81"/>
      <c r="D316" s="1" t="s">
        <v>67</v>
      </c>
      <c r="F316" s="11"/>
      <c r="G316" s="3"/>
      <c r="H316" s="3"/>
      <c r="I316" s="1"/>
      <c r="J316" s="1"/>
      <c r="K316" s="1"/>
      <c r="L316" s="1"/>
      <c r="M316" s="14">
        <v>25</v>
      </c>
      <c r="N316" s="1"/>
      <c r="O316" s="7"/>
      <c r="P316" s="7">
        <f>CT[[#This Row],[Purchase Rate/MT (USD)]]*CT[[#This Row],[PC Qty (MT)]]</f>
        <v>0</v>
      </c>
      <c r="Q316" s="7">
        <f>CT[[#This Row],[Purchase Rate/MT (USD)]]*CT[[#This Row],[Container Qty]]</f>
        <v>0</v>
      </c>
      <c r="R316" s="7" t="str">
        <f>IF(CT[[#This Row],[BL Number]]&lt;&gt;0,(CT[[#This Row],[Supplier Prov. Price]]-CT[[#This Row],[Supplier Final Price]])*1.2,"")</f>
        <v/>
      </c>
      <c r="S316" s="101"/>
      <c r="T316" s="3"/>
      <c r="U316" s="7"/>
      <c r="V316" s="7"/>
      <c r="W316" s="24"/>
      <c r="X316" s="7">
        <f>IFERROR(CT[[#This Row],[Freight Charges]]+CT[[#This Row],[Inspection Cost/MT]]+CT[[#This Row],[DHL Charges PMT]],"")</f>
        <v>0</v>
      </c>
      <c r="Y316" s="7">
        <f>IFERROR(AF316-(O316+CT[[#This Row],[Cost Per MT]]),"")</f>
        <v>335</v>
      </c>
      <c r="Z316" s="7">
        <f>IFERROR(CT[[#This Row],[Margin/MT]]*CT[[#This Row],[Container Qty]],"")</f>
        <v>0</v>
      </c>
      <c r="AA316" s="7"/>
      <c r="AB316" t="s">
        <v>11</v>
      </c>
      <c r="AC316" s="1" t="s">
        <v>158</v>
      </c>
      <c r="AD316" s="3">
        <v>45861</v>
      </c>
      <c r="AE316" s="14">
        <f t="shared" si="34"/>
        <v>25</v>
      </c>
      <c r="AF316" s="7">
        <v>335</v>
      </c>
      <c r="AG316" s="7">
        <f>CT[[#This Row],[Sales Rate/MT (USD)]]*CT[[#This Row],[SC Qty (MT)]]</f>
        <v>8375</v>
      </c>
      <c r="AH316" s="7" t="str">
        <f>IF(CT[[#This Row],[Container Qty]]&lt;&gt;0,CT[[#This Row],[Sales Rate/MT (USD)]]*CT[[#This Row],[Container Qty]],"")</f>
        <v/>
      </c>
      <c r="AI316" s="7" t="str">
        <f>IF(CT[[#This Row],[Customer Final Price]]&lt;&gt;"",CT[[#This Row],[Customer Final Price]]-CT[[#This Row],[Customer  Prov. Price]],"")</f>
        <v/>
      </c>
      <c r="AJ316" t="s">
        <v>8</v>
      </c>
      <c r="AK316" s="1" t="s">
        <v>159</v>
      </c>
      <c r="AL316" s="1"/>
      <c r="AM316" s="100" t="s">
        <v>134</v>
      </c>
    </row>
    <row r="317" spans="1:39" x14ac:dyDescent="0.25">
      <c r="A317" t="s">
        <v>9</v>
      </c>
      <c r="B317" s="102"/>
      <c r="C317" s="81"/>
      <c r="D317" s="1" t="s">
        <v>67</v>
      </c>
      <c r="F317" s="11"/>
      <c r="G317" s="3"/>
      <c r="H317" s="3"/>
      <c r="I317" s="1"/>
      <c r="J317" s="1"/>
      <c r="K317" s="1"/>
      <c r="L317" s="1"/>
      <c r="M317" s="14">
        <v>25</v>
      </c>
      <c r="N317" s="1"/>
      <c r="O317" s="7"/>
      <c r="P317" s="7">
        <f>CT[[#This Row],[Purchase Rate/MT (USD)]]*CT[[#This Row],[PC Qty (MT)]]</f>
        <v>0</v>
      </c>
      <c r="Q317" s="7">
        <f>CT[[#This Row],[Purchase Rate/MT (USD)]]*CT[[#This Row],[Container Qty]]</f>
        <v>0</v>
      </c>
      <c r="R317" s="7" t="str">
        <f>IF(CT[[#This Row],[BL Number]]&lt;&gt;0,(CT[[#This Row],[Supplier Prov. Price]]-CT[[#This Row],[Supplier Final Price]])*1.2,"")</f>
        <v/>
      </c>
      <c r="S317" s="101"/>
      <c r="T317" s="3"/>
      <c r="U317" s="7"/>
      <c r="V317" s="7"/>
      <c r="W317" s="24"/>
      <c r="X317" s="7">
        <f>IFERROR(CT[[#This Row],[Freight Charges]]+CT[[#This Row],[Inspection Cost/MT]]+CT[[#This Row],[DHL Charges PMT]],"")</f>
        <v>0</v>
      </c>
      <c r="Y317" s="7">
        <f>IFERROR(AF317-(O317+CT[[#This Row],[Cost Per MT]]),"")</f>
        <v>335</v>
      </c>
      <c r="Z317" s="7">
        <f>IFERROR(CT[[#This Row],[Margin/MT]]*CT[[#This Row],[Container Qty]],"")</f>
        <v>0</v>
      </c>
      <c r="AA317" s="7"/>
      <c r="AB317" t="s">
        <v>11</v>
      </c>
      <c r="AC317" s="1" t="s">
        <v>158</v>
      </c>
      <c r="AD317" s="3">
        <v>45861</v>
      </c>
      <c r="AE317" s="14">
        <f t="shared" si="34"/>
        <v>25</v>
      </c>
      <c r="AF317" s="7">
        <v>335</v>
      </c>
      <c r="AG317" s="7">
        <f>CT[[#This Row],[Sales Rate/MT (USD)]]*CT[[#This Row],[SC Qty (MT)]]</f>
        <v>8375</v>
      </c>
      <c r="AH317" s="7" t="str">
        <f>IF(CT[[#This Row],[Container Qty]]&lt;&gt;0,CT[[#This Row],[Sales Rate/MT (USD)]]*CT[[#This Row],[Container Qty]],"")</f>
        <v/>
      </c>
      <c r="AI317" s="7" t="str">
        <f>IF(CT[[#This Row],[Customer Final Price]]&lt;&gt;"",CT[[#This Row],[Customer Final Price]]-CT[[#This Row],[Customer  Prov. Price]],"")</f>
        <v/>
      </c>
      <c r="AJ317" t="s">
        <v>8</v>
      </c>
      <c r="AK317" s="1" t="s">
        <v>159</v>
      </c>
      <c r="AL317" s="1"/>
      <c r="AM317" s="100" t="s">
        <v>134</v>
      </c>
    </row>
    <row r="318" spans="1:39" x14ac:dyDescent="0.25">
      <c r="A318" t="s">
        <v>9</v>
      </c>
      <c r="B318" s="102"/>
      <c r="C318" s="81"/>
      <c r="D318" s="1" t="s">
        <v>67</v>
      </c>
      <c r="F318" s="11"/>
      <c r="G318" s="3"/>
      <c r="H318" s="3"/>
      <c r="I318" s="1"/>
      <c r="J318" s="1"/>
      <c r="K318" s="1"/>
      <c r="L318" s="1"/>
      <c r="M318" s="14">
        <v>25</v>
      </c>
      <c r="N318" s="1"/>
      <c r="O318" s="7"/>
      <c r="P318" s="7">
        <f>CT[[#This Row],[Purchase Rate/MT (USD)]]*CT[[#This Row],[PC Qty (MT)]]</f>
        <v>0</v>
      </c>
      <c r="Q318" s="7">
        <f>CT[[#This Row],[Purchase Rate/MT (USD)]]*CT[[#This Row],[Container Qty]]</f>
        <v>0</v>
      </c>
      <c r="R318" s="7" t="str">
        <f>IF(CT[[#This Row],[BL Number]]&lt;&gt;0,(CT[[#This Row],[Supplier Prov. Price]]-CT[[#This Row],[Supplier Final Price]])*1.2,"")</f>
        <v/>
      </c>
      <c r="S318" s="101"/>
      <c r="T318" s="3"/>
      <c r="U318" s="7"/>
      <c r="V318" s="7"/>
      <c r="W318" s="24"/>
      <c r="X318" s="7">
        <f>IFERROR(CT[[#This Row],[Freight Charges]]+CT[[#This Row],[Inspection Cost/MT]]+CT[[#This Row],[DHL Charges PMT]],"")</f>
        <v>0</v>
      </c>
      <c r="Y318" s="7">
        <f>IFERROR(AF318-(O318+CT[[#This Row],[Cost Per MT]]),"")</f>
        <v>335</v>
      </c>
      <c r="Z318" s="7">
        <f>IFERROR(CT[[#This Row],[Margin/MT]]*CT[[#This Row],[Container Qty]],"")</f>
        <v>0</v>
      </c>
      <c r="AA318" s="7"/>
      <c r="AB318" t="s">
        <v>11</v>
      </c>
      <c r="AC318" s="1" t="s">
        <v>158</v>
      </c>
      <c r="AD318" s="3">
        <v>45861</v>
      </c>
      <c r="AE318" s="14">
        <f t="shared" si="34"/>
        <v>25</v>
      </c>
      <c r="AF318" s="7">
        <v>335</v>
      </c>
      <c r="AG318" s="7">
        <f>CT[[#This Row],[Sales Rate/MT (USD)]]*CT[[#This Row],[SC Qty (MT)]]</f>
        <v>8375</v>
      </c>
      <c r="AH318" s="7" t="str">
        <f>IF(CT[[#This Row],[Container Qty]]&lt;&gt;0,CT[[#This Row],[Sales Rate/MT (USD)]]*CT[[#This Row],[Container Qty]],"")</f>
        <v/>
      </c>
      <c r="AI318" s="7" t="str">
        <f>IF(CT[[#This Row],[Customer Final Price]]&lt;&gt;"",CT[[#This Row],[Customer Final Price]]-CT[[#This Row],[Customer  Prov. Price]],"")</f>
        <v/>
      </c>
      <c r="AJ318" t="s">
        <v>8</v>
      </c>
      <c r="AK318" s="1" t="s">
        <v>159</v>
      </c>
      <c r="AL318" s="1"/>
      <c r="AM318" s="100" t="s">
        <v>134</v>
      </c>
    </row>
    <row r="319" spans="1:39" x14ac:dyDescent="0.25">
      <c r="A319" t="s">
        <v>9</v>
      </c>
      <c r="B319" s="102"/>
      <c r="C319" s="81"/>
      <c r="D319" s="1" t="s">
        <v>67</v>
      </c>
      <c r="F319" s="11"/>
      <c r="G319" s="3"/>
      <c r="H319" s="3"/>
      <c r="I319" s="1"/>
      <c r="J319" s="1"/>
      <c r="K319" s="1"/>
      <c r="L319" s="1"/>
      <c r="M319" s="14">
        <v>25</v>
      </c>
      <c r="N319" s="1"/>
      <c r="O319" s="7"/>
      <c r="P319" s="7">
        <f>CT[[#This Row],[Purchase Rate/MT (USD)]]*CT[[#This Row],[PC Qty (MT)]]</f>
        <v>0</v>
      </c>
      <c r="Q319" s="7">
        <f>CT[[#This Row],[Purchase Rate/MT (USD)]]*CT[[#This Row],[Container Qty]]</f>
        <v>0</v>
      </c>
      <c r="R319" s="7" t="str">
        <f>IF(CT[[#This Row],[BL Number]]&lt;&gt;0,(CT[[#This Row],[Supplier Prov. Price]]-CT[[#This Row],[Supplier Final Price]])*1.2,"")</f>
        <v/>
      </c>
      <c r="S319" s="101"/>
      <c r="T319" s="3"/>
      <c r="U319" s="7"/>
      <c r="V319" s="7"/>
      <c r="W319" s="24"/>
      <c r="X319" s="7">
        <f>IFERROR(CT[[#This Row],[Freight Charges]]+CT[[#This Row],[Inspection Cost/MT]]+CT[[#This Row],[DHL Charges PMT]],"")</f>
        <v>0</v>
      </c>
      <c r="Y319" s="7">
        <f>IFERROR(AF319-(O319+CT[[#This Row],[Cost Per MT]]),"")</f>
        <v>335</v>
      </c>
      <c r="Z319" s="7">
        <f>IFERROR(CT[[#This Row],[Margin/MT]]*CT[[#This Row],[Container Qty]],"")</f>
        <v>0</v>
      </c>
      <c r="AA319" s="7"/>
      <c r="AB319" t="s">
        <v>11</v>
      </c>
      <c r="AC319" s="1" t="s">
        <v>158</v>
      </c>
      <c r="AD319" s="3">
        <v>45861</v>
      </c>
      <c r="AE319" s="14">
        <f t="shared" si="34"/>
        <v>25</v>
      </c>
      <c r="AF319" s="7">
        <v>335</v>
      </c>
      <c r="AG319" s="7">
        <f>CT[[#This Row],[Sales Rate/MT (USD)]]*CT[[#This Row],[SC Qty (MT)]]</f>
        <v>8375</v>
      </c>
      <c r="AH319" s="7" t="str">
        <f>IF(CT[[#This Row],[Container Qty]]&lt;&gt;0,CT[[#This Row],[Sales Rate/MT (USD)]]*CT[[#This Row],[Container Qty]],"")</f>
        <v/>
      </c>
      <c r="AI319" s="7" t="str">
        <f>IF(CT[[#This Row],[Customer Final Price]]&lt;&gt;"",CT[[#This Row],[Customer Final Price]]-CT[[#This Row],[Customer  Prov. Price]],"")</f>
        <v/>
      </c>
      <c r="AJ319" t="s">
        <v>8</v>
      </c>
      <c r="AK319" s="1" t="s">
        <v>159</v>
      </c>
      <c r="AL319" s="1"/>
      <c r="AM319" s="100" t="s">
        <v>134</v>
      </c>
    </row>
    <row r="320" spans="1:39" x14ac:dyDescent="0.25">
      <c r="A320" t="s">
        <v>9</v>
      </c>
      <c r="B320" s="102"/>
      <c r="C320" s="81"/>
      <c r="D320" s="1" t="s">
        <v>67</v>
      </c>
      <c r="F320" s="11"/>
      <c r="G320" s="3"/>
      <c r="H320" s="3"/>
      <c r="I320" s="1"/>
      <c r="J320" s="1"/>
      <c r="K320" s="1"/>
      <c r="L320" s="1"/>
      <c r="M320" s="14">
        <v>25</v>
      </c>
      <c r="N320" s="1"/>
      <c r="O320" s="7"/>
      <c r="P320" s="7">
        <f>CT[[#This Row],[Purchase Rate/MT (USD)]]*CT[[#This Row],[PC Qty (MT)]]</f>
        <v>0</v>
      </c>
      <c r="Q320" s="7">
        <f>CT[[#This Row],[Purchase Rate/MT (USD)]]*CT[[#This Row],[Container Qty]]</f>
        <v>0</v>
      </c>
      <c r="R320" s="7" t="str">
        <f>IF(CT[[#This Row],[BL Number]]&lt;&gt;0,(CT[[#This Row],[Supplier Prov. Price]]-CT[[#This Row],[Supplier Final Price]])*1.2,"")</f>
        <v/>
      </c>
      <c r="S320" s="101"/>
      <c r="T320" s="3"/>
      <c r="U320" s="7"/>
      <c r="V320" s="7"/>
      <c r="W320" s="24"/>
      <c r="X320" s="7">
        <f>IFERROR(CT[[#This Row],[Freight Charges]]+CT[[#This Row],[Inspection Cost/MT]]+CT[[#This Row],[DHL Charges PMT]],"")</f>
        <v>0</v>
      </c>
      <c r="Y320" s="7">
        <f>IFERROR(AF320-(O320+CT[[#This Row],[Cost Per MT]]),"")</f>
        <v>335</v>
      </c>
      <c r="Z320" s="7">
        <f>IFERROR(CT[[#This Row],[Margin/MT]]*CT[[#This Row],[Container Qty]],"")</f>
        <v>0</v>
      </c>
      <c r="AA320" s="7"/>
      <c r="AB320" t="s">
        <v>11</v>
      </c>
      <c r="AC320" s="1" t="s">
        <v>158</v>
      </c>
      <c r="AD320" s="3">
        <v>45861</v>
      </c>
      <c r="AE320" s="14">
        <f t="shared" si="34"/>
        <v>25</v>
      </c>
      <c r="AF320" s="7">
        <v>335</v>
      </c>
      <c r="AG320" s="7">
        <f>CT[[#This Row],[Sales Rate/MT (USD)]]*CT[[#This Row],[SC Qty (MT)]]</f>
        <v>8375</v>
      </c>
      <c r="AH320" s="7" t="str">
        <f>IF(CT[[#This Row],[Container Qty]]&lt;&gt;0,CT[[#This Row],[Sales Rate/MT (USD)]]*CT[[#This Row],[Container Qty]],"")</f>
        <v/>
      </c>
      <c r="AI320" s="7" t="str">
        <f>IF(CT[[#This Row],[Customer Final Price]]&lt;&gt;"",CT[[#This Row],[Customer Final Price]]-CT[[#This Row],[Customer  Prov. Price]],"")</f>
        <v/>
      </c>
      <c r="AJ320" t="s">
        <v>8</v>
      </c>
      <c r="AK320" s="1" t="s">
        <v>159</v>
      </c>
      <c r="AL320" s="1"/>
      <c r="AM320" s="100" t="s">
        <v>134</v>
      </c>
    </row>
    <row r="321" spans="1:39" x14ac:dyDescent="0.25">
      <c r="A321" t="s">
        <v>9</v>
      </c>
      <c r="B321" s="102"/>
      <c r="C321" s="81"/>
      <c r="D321" s="1" t="s">
        <v>67</v>
      </c>
      <c r="F321" s="11"/>
      <c r="G321" s="3"/>
      <c r="H321" s="3"/>
      <c r="I321" s="1"/>
      <c r="J321" s="1"/>
      <c r="K321" s="1"/>
      <c r="L321" s="1"/>
      <c r="M321" s="14">
        <v>25</v>
      </c>
      <c r="N321" s="1"/>
      <c r="O321" s="7"/>
      <c r="P321" s="7">
        <f>CT[[#This Row],[Purchase Rate/MT (USD)]]*CT[[#This Row],[PC Qty (MT)]]</f>
        <v>0</v>
      </c>
      <c r="Q321" s="7">
        <f>CT[[#This Row],[Purchase Rate/MT (USD)]]*CT[[#This Row],[Container Qty]]</f>
        <v>0</v>
      </c>
      <c r="R321" s="7" t="str">
        <f>IF(CT[[#This Row],[BL Number]]&lt;&gt;0,(CT[[#This Row],[Supplier Prov. Price]]-CT[[#This Row],[Supplier Final Price]])*1.2,"")</f>
        <v/>
      </c>
      <c r="S321" s="101"/>
      <c r="T321" s="3"/>
      <c r="U321" s="7"/>
      <c r="V321" s="7"/>
      <c r="W321" s="24"/>
      <c r="X321" s="7">
        <f>IFERROR(CT[[#This Row],[Freight Charges]]+CT[[#This Row],[Inspection Cost/MT]]+CT[[#This Row],[DHL Charges PMT]],"")</f>
        <v>0</v>
      </c>
      <c r="Y321" s="7">
        <f>IFERROR(AF321-(O321+CT[[#This Row],[Cost Per MT]]),"")</f>
        <v>335</v>
      </c>
      <c r="Z321" s="7">
        <f>IFERROR(CT[[#This Row],[Margin/MT]]*CT[[#This Row],[Container Qty]],"")</f>
        <v>0</v>
      </c>
      <c r="AA321" s="7"/>
      <c r="AB321" t="s">
        <v>11</v>
      </c>
      <c r="AC321" s="1" t="s">
        <v>158</v>
      </c>
      <c r="AD321" s="3">
        <v>45861</v>
      </c>
      <c r="AE321" s="14">
        <f t="shared" si="34"/>
        <v>25</v>
      </c>
      <c r="AF321" s="7">
        <v>335</v>
      </c>
      <c r="AG321" s="7">
        <f>CT[[#This Row],[Sales Rate/MT (USD)]]*CT[[#This Row],[SC Qty (MT)]]</f>
        <v>8375</v>
      </c>
      <c r="AH321" s="7" t="str">
        <f>IF(CT[[#This Row],[Container Qty]]&lt;&gt;0,CT[[#This Row],[Sales Rate/MT (USD)]]*CT[[#This Row],[Container Qty]],"")</f>
        <v/>
      </c>
      <c r="AI321" s="7" t="str">
        <f>IF(CT[[#This Row],[Customer Final Price]]&lt;&gt;"",CT[[#This Row],[Customer Final Price]]-CT[[#This Row],[Customer  Prov. Price]],"")</f>
        <v/>
      </c>
      <c r="AJ321" t="s">
        <v>8</v>
      </c>
      <c r="AK321" s="1" t="s">
        <v>159</v>
      </c>
      <c r="AL321" s="1"/>
      <c r="AM321" s="100" t="s">
        <v>134</v>
      </c>
    </row>
    <row r="322" spans="1:39" x14ac:dyDescent="0.25">
      <c r="A322" t="s">
        <v>9</v>
      </c>
      <c r="B322" s="102"/>
      <c r="C322" s="81"/>
      <c r="D322" s="1" t="s">
        <v>67</v>
      </c>
      <c r="F322" s="11"/>
      <c r="G322" s="3"/>
      <c r="H322" s="3"/>
      <c r="I322" s="1"/>
      <c r="J322" s="1"/>
      <c r="K322" s="1"/>
      <c r="L322" s="1"/>
      <c r="M322" s="14">
        <v>25</v>
      </c>
      <c r="N322" s="1"/>
      <c r="O322" s="7"/>
      <c r="P322" s="7">
        <f>CT[[#This Row],[Purchase Rate/MT (USD)]]*CT[[#This Row],[PC Qty (MT)]]</f>
        <v>0</v>
      </c>
      <c r="Q322" s="7">
        <f>CT[[#This Row],[Purchase Rate/MT (USD)]]*CT[[#This Row],[Container Qty]]</f>
        <v>0</v>
      </c>
      <c r="R322" s="7" t="str">
        <f>IF(CT[[#This Row],[BL Number]]&lt;&gt;0,(CT[[#This Row],[Supplier Prov. Price]]-CT[[#This Row],[Supplier Final Price]])*1.2,"")</f>
        <v/>
      </c>
      <c r="S322" s="101"/>
      <c r="T322" s="3"/>
      <c r="U322" s="7"/>
      <c r="V322" s="7"/>
      <c r="W322" s="24"/>
      <c r="X322" s="7">
        <f>IFERROR(CT[[#This Row],[Freight Charges]]+CT[[#This Row],[Inspection Cost/MT]]+CT[[#This Row],[DHL Charges PMT]],"")</f>
        <v>0</v>
      </c>
      <c r="Y322" s="7">
        <f>IFERROR(AF322-(O322+CT[[#This Row],[Cost Per MT]]),"")</f>
        <v>335</v>
      </c>
      <c r="Z322" s="7">
        <f>IFERROR(CT[[#This Row],[Margin/MT]]*CT[[#This Row],[Container Qty]],"")</f>
        <v>0</v>
      </c>
      <c r="AA322" s="7"/>
      <c r="AB322" t="s">
        <v>11</v>
      </c>
      <c r="AC322" s="1" t="s">
        <v>158</v>
      </c>
      <c r="AD322" s="3">
        <v>45861</v>
      </c>
      <c r="AE322" s="14">
        <f t="shared" si="34"/>
        <v>25</v>
      </c>
      <c r="AF322" s="7">
        <v>335</v>
      </c>
      <c r="AG322" s="7">
        <f>CT[[#This Row],[Sales Rate/MT (USD)]]*CT[[#This Row],[SC Qty (MT)]]</f>
        <v>8375</v>
      </c>
      <c r="AH322" s="7" t="str">
        <f>IF(CT[[#This Row],[Container Qty]]&lt;&gt;0,CT[[#This Row],[Sales Rate/MT (USD)]]*CT[[#This Row],[Container Qty]],"")</f>
        <v/>
      </c>
      <c r="AI322" s="7" t="str">
        <f>IF(CT[[#This Row],[Customer Final Price]]&lt;&gt;"",CT[[#This Row],[Customer Final Price]]-CT[[#This Row],[Customer  Prov. Price]],"")</f>
        <v/>
      </c>
      <c r="AJ322" t="s">
        <v>8</v>
      </c>
      <c r="AK322" s="1" t="s">
        <v>159</v>
      </c>
      <c r="AL322" s="1"/>
      <c r="AM322" s="100" t="s">
        <v>134</v>
      </c>
    </row>
    <row r="323" spans="1:39" x14ac:dyDescent="0.25">
      <c r="A323" t="s">
        <v>9</v>
      </c>
      <c r="B323" s="102"/>
      <c r="C323" s="81"/>
      <c r="D323" s="1" t="s">
        <v>67</v>
      </c>
      <c r="F323" s="11"/>
      <c r="G323" s="3"/>
      <c r="H323" s="3"/>
      <c r="I323" s="1"/>
      <c r="J323" s="1"/>
      <c r="K323" s="1"/>
      <c r="L323" s="1"/>
      <c r="M323" s="14">
        <v>25</v>
      </c>
      <c r="N323" s="1"/>
      <c r="O323" s="7"/>
      <c r="P323" s="7">
        <f>CT[[#This Row],[Purchase Rate/MT (USD)]]*CT[[#This Row],[PC Qty (MT)]]</f>
        <v>0</v>
      </c>
      <c r="Q323" s="7">
        <f>CT[[#This Row],[Purchase Rate/MT (USD)]]*CT[[#This Row],[Container Qty]]</f>
        <v>0</v>
      </c>
      <c r="R323" s="7" t="str">
        <f>IF(CT[[#This Row],[BL Number]]&lt;&gt;0,(CT[[#This Row],[Supplier Prov. Price]]-CT[[#This Row],[Supplier Final Price]])*1.2,"")</f>
        <v/>
      </c>
      <c r="S323" s="101"/>
      <c r="T323" s="3"/>
      <c r="U323" s="7"/>
      <c r="V323" s="7"/>
      <c r="W323" s="24"/>
      <c r="X323" s="7">
        <f>IFERROR(CT[[#This Row],[Freight Charges]]+CT[[#This Row],[Inspection Cost/MT]]+CT[[#This Row],[DHL Charges PMT]],"")</f>
        <v>0</v>
      </c>
      <c r="Y323" s="7">
        <f>IFERROR(AF323-(O323+CT[[#This Row],[Cost Per MT]]),"")</f>
        <v>335</v>
      </c>
      <c r="Z323" s="7">
        <f>IFERROR(CT[[#This Row],[Margin/MT]]*CT[[#This Row],[Container Qty]],"")</f>
        <v>0</v>
      </c>
      <c r="AA323" s="7"/>
      <c r="AB323" t="s">
        <v>11</v>
      </c>
      <c r="AC323" s="1" t="s">
        <v>158</v>
      </c>
      <c r="AD323" s="3">
        <v>45861</v>
      </c>
      <c r="AE323" s="14">
        <f t="shared" si="34"/>
        <v>25</v>
      </c>
      <c r="AF323" s="7">
        <v>335</v>
      </c>
      <c r="AG323" s="7">
        <f>CT[[#This Row],[Sales Rate/MT (USD)]]*CT[[#This Row],[SC Qty (MT)]]</f>
        <v>8375</v>
      </c>
      <c r="AH323" s="7" t="str">
        <f>IF(CT[[#This Row],[Container Qty]]&lt;&gt;0,CT[[#This Row],[Sales Rate/MT (USD)]]*CT[[#This Row],[Container Qty]],"")</f>
        <v/>
      </c>
      <c r="AI323" s="7" t="str">
        <f>IF(CT[[#This Row],[Customer Final Price]]&lt;&gt;"",CT[[#This Row],[Customer Final Price]]-CT[[#This Row],[Customer  Prov. Price]],"")</f>
        <v/>
      </c>
      <c r="AJ323" t="s">
        <v>8</v>
      </c>
      <c r="AK323" s="1" t="s">
        <v>159</v>
      </c>
      <c r="AL323" s="1"/>
      <c r="AM323" s="100" t="s">
        <v>134</v>
      </c>
    </row>
    <row r="324" spans="1:39" x14ac:dyDescent="0.25">
      <c r="A324" t="s">
        <v>9</v>
      </c>
      <c r="B324" s="102"/>
      <c r="C324" s="81"/>
      <c r="D324" s="1" t="s">
        <v>67</v>
      </c>
      <c r="F324" s="11"/>
      <c r="G324" s="3"/>
      <c r="H324" s="3"/>
      <c r="I324" s="1"/>
      <c r="J324" s="1"/>
      <c r="K324" s="1"/>
      <c r="L324" s="1"/>
      <c r="M324" s="14">
        <v>25</v>
      </c>
      <c r="N324" s="1"/>
      <c r="O324" s="7"/>
      <c r="P324" s="7">
        <f>CT[[#This Row],[Purchase Rate/MT (USD)]]*CT[[#This Row],[PC Qty (MT)]]</f>
        <v>0</v>
      </c>
      <c r="Q324" s="7">
        <f>CT[[#This Row],[Purchase Rate/MT (USD)]]*CT[[#This Row],[Container Qty]]</f>
        <v>0</v>
      </c>
      <c r="R324" s="7" t="str">
        <f>IF(CT[[#This Row],[BL Number]]&lt;&gt;0,(CT[[#This Row],[Supplier Prov. Price]]-CT[[#This Row],[Supplier Final Price]])*1.2,"")</f>
        <v/>
      </c>
      <c r="S324" s="101"/>
      <c r="T324" s="3"/>
      <c r="U324" s="7"/>
      <c r="V324" s="7"/>
      <c r="W324" s="24"/>
      <c r="X324" s="7">
        <f>IFERROR(CT[[#This Row],[Freight Charges]]+CT[[#This Row],[Inspection Cost/MT]]+CT[[#This Row],[DHL Charges PMT]],"")</f>
        <v>0</v>
      </c>
      <c r="Y324" s="7">
        <f>IFERROR(AF324-(O324+CT[[#This Row],[Cost Per MT]]),"")</f>
        <v>335</v>
      </c>
      <c r="Z324" s="7">
        <f>IFERROR(CT[[#This Row],[Margin/MT]]*CT[[#This Row],[Container Qty]],"")</f>
        <v>0</v>
      </c>
      <c r="AA324" s="7"/>
      <c r="AB324" t="s">
        <v>11</v>
      </c>
      <c r="AC324" s="1" t="s">
        <v>158</v>
      </c>
      <c r="AD324" s="3">
        <v>45861</v>
      </c>
      <c r="AE324" s="14">
        <f t="shared" si="34"/>
        <v>25</v>
      </c>
      <c r="AF324" s="7">
        <v>335</v>
      </c>
      <c r="AG324" s="7">
        <f>CT[[#This Row],[Sales Rate/MT (USD)]]*CT[[#This Row],[SC Qty (MT)]]</f>
        <v>8375</v>
      </c>
      <c r="AH324" s="7" t="str">
        <f>IF(CT[[#This Row],[Container Qty]]&lt;&gt;0,CT[[#This Row],[Sales Rate/MT (USD)]]*CT[[#This Row],[Container Qty]],"")</f>
        <v/>
      </c>
      <c r="AI324" s="7" t="str">
        <f>IF(CT[[#This Row],[Customer Final Price]]&lt;&gt;"",CT[[#This Row],[Customer Final Price]]-CT[[#This Row],[Customer  Prov. Price]],"")</f>
        <v/>
      </c>
      <c r="AJ324" t="s">
        <v>8</v>
      </c>
      <c r="AK324" s="1" t="s">
        <v>159</v>
      </c>
      <c r="AL324" s="1"/>
      <c r="AM324" s="100" t="s">
        <v>134</v>
      </c>
    </row>
    <row r="325" spans="1:39" x14ac:dyDescent="0.25">
      <c r="A325" t="s">
        <v>9</v>
      </c>
      <c r="B325" s="102"/>
      <c r="C325" s="81"/>
      <c r="D325" s="1" t="s">
        <v>67</v>
      </c>
      <c r="F325" s="11"/>
      <c r="G325" s="3"/>
      <c r="H325" s="3"/>
      <c r="I325" s="1"/>
      <c r="J325" s="1"/>
      <c r="K325" s="1"/>
      <c r="L325" s="1"/>
      <c r="M325" s="14">
        <v>25</v>
      </c>
      <c r="N325" s="1"/>
      <c r="O325" s="7"/>
      <c r="P325" s="7">
        <f>CT[[#This Row],[Purchase Rate/MT (USD)]]*CT[[#This Row],[PC Qty (MT)]]</f>
        <v>0</v>
      </c>
      <c r="Q325" s="7">
        <f>CT[[#This Row],[Purchase Rate/MT (USD)]]*CT[[#This Row],[Container Qty]]</f>
        <v>0</v>
      </c>
      <c r="R325" s="7" t="str">
        <f>IF(CT[[#This Row],[BL Number]]&lt;&gt;0,(CT[[#This Row],[Supplier Prov. Price]]-CT[[#This Row],[Supplier Final Price]])*1.2,"")</f>
        <v/>
      </c>
      <c r="S325" s="101"/>
      <c r="T325" s="3"/>
      <c r="U325" s="7"/>
      <c r="V325" s="7"/>
      <c r="W325" s="24"/>
      <c r="X325" s="7">
        <f>IFERROR(CT[[#This Row],[Freight Charges]]+CT[[#This Row],[Inspection Cost/MT]]+CT[[#This Row],[DHL Charges PMT]],"")</f>
        <v>0</v>
      </c>
      <c r="Y325" s="7">
        <f>IFERROR(AF325-(O325+CT[[#This Row],[Cost Per MT]]),"")</f>
        <v>335</v>
      </c>
      <c r="Z325" s="7">
        <f>IFERROR(CT[[#This Row],[Margin/MT]]*CT[[#This Row],[Container Qty]],"")</f>
        <v>0</v>
      </c>
      <c r="AA325" s="7"/>
      <c r="AB325" t="s">
        <v>11</v>
      </c>
      <c r="AC325" s="1" t="s">
        <v>158</v>
      </c>
      <c r="AD325" s="3">
        <v>45861</v>
      </c>
      <c r="AE325" s="14">
        <f t="shared" si="34"/>
        <v>25</v>
      </c>
      <c r="AF325" s="7">
        <v>335</v>
      </c>
      <c r="AG325" s="7">
        <f>CT[[#This Row],[Sales Rate/MT (USD)]]*CT[[#This Row],[SC Qty (MT)]]</f>
        <v>8375</v>
      </c>
      <c r="AH325" s="7" t="str">
        <f>IF(CT[[#This Row],[Container Qty]]&lt;&gt;0,CT[[#This Row],[Sales Rate/MT (USD)]]*CT[[#This Row],[Container Qty]],"")</f>
        <v/>
      </c>
      <c r="AI325" s="7" t="str">
        <f>IF(CT[[#This Row],[Customer Final Price]]&lt;&gt;"",CT[[#This Row],[Customer Final Price]]-CT[[#This Row],[Customer  Prov. Price]],"")</f>
        <v/>
      </c>
      <c r="AJ325" t="s">
        <v>8</v>
      </c>
      <c r="AK325" s="1" t="s">
        <v>159</v>
      </c>
      <c r="AL325" s="1"/>
      <c r="AM325" s="100" t="s">
        <v>134</v>
      </c>
    </row>
    <row r="326" spans="1:39" x14ac:dyDescent="0.25">
      <c r="A326" t="s">
        <v>9</v>
      </c>
      <c r="B326" s="102"/>
      <c r="C326" s="81"/>
      <c r="D326" s="1" t="s">
        <v>67</v>
      </c>
      <c r="F326" s="11"/>
      <c r="G326" s="3"/>
      <c r="H326" s="3"/>
      <c r="I326" s="1"/>
      <c r="J326" s="1"/>
      <c r="K326" s="1"/>
      <c r="L326" s="1"/>
      <c r="M326" s="14">
        <v>25</v>
      </c>
      <c r="N326" s="1"/>
      <c r="O326" s="7"/>
      <c r="P326" s="7">
        <f>CT[[#This Row],[Purchase Rate/MT (USD)]]*CT[[#This Row],[PC Qty (MT)]]</f>
        <v>0</v>
      </c>
      <c r="Q326" s="7">
        <f>CT[[#This Row],[Purchase Rate/MT (USD)]]*CT[[#This Row],[Container Qty]]</f>
        <v>0</v>
      </c>
      <c r="R326" s="7" t="str">
        <f>IF(CT[[#This Row],[BL Number]]&lt;&gt;0,(CT[[#This Row],[Supplier Prov. Price]]-CT[[#This Row],[Supplier Final Price]])*1.2,"")</f>
        <v/>
      </c>
      <c r="S326" s="101"/>
      <c r="T326" s="3"/>
      <c r="U326" s="7"/>
      <c r="V326" s="7"/>
      <c r="W326" s="24"/>
      <c r="X326" s="7">
        <f>IFERROR(CT[[#This Row],[Freight Charges]]+CT[[#This Row],[Inspection Cost/MT]]+CT[[#This Row],[DHL Charges PMT]],"")</f>
        <v>0</v>
      </c>
      <c r="Y326" s="7">
        <f>IFERROR(AF326-(O326+CT[[#This Row],[Cost Per MT]]),"")</f>
        <v>335</v>
      </c>
      <c r="Z326" s="7">
        <f>IFERROR(CT[[#This Row],[Margin/MT]]*CT[[#This Row],[Container Qty]],"")</f>
        <v>0</v>
      </c>
      <c r="AA326" s="7"/>
      <c r="AB326" t="s">
        <v>11</v>
      </c>
      <c r="AC326" s="1" t="s">
        <v>158</v>
      </c>
      <c r="AD326" s="3">
        <v>45861</v>
      </c>
      <c r="AE326" s="14">
        <f t="shared" si="34"/>
        <v>25</v>
      </c>
      <c r="AF326" s="7">
        <v>335</v>
      </c>
      <c r="AG326" s="7">
        <f>CT[[#This Row],[Sales Rate/MT (USD)]]*CT[[#This Row],[SC Qty (MT)]]</f>
        <v>8375</v>
      </c>
      <c r="AH326" s="7" t="str">
        <f>IF(CT[[#This Row],[Container Qty]]&lt;&gt;0,CT[[#This Row],[Sales Rate/MT (USD)]]*CT[[#This Row],[Container Qty]],"")</f>
        <v/>
      </c>
      <c r="AI326" s="7" t="str">
        <f>IF(CT[[#This Row],[Customer Final Price]]&lt;&gt;"",CT[[#This Row],[Customer Final Price]]-CT[[#This Row],[Customer  Prov. Price]],"")</f>
        <v/>
      </c>
      <c r="AJ326" t="s">
        <v>8</v>
      </c>
      <c r="AK326" s="1" t="s">
        <v>159</v>
      </c>
      <c r="AL326" s="1"/>
      <c r="AM326" s="100" t="s">
        <v>134</v>
      </c>
    </row>
    <row r="327" spans="1:39" x14ac:dyDescent="0.25">
      <c r="A327" t="s">
        <v>9</v>
      </c>
      <c r="B327" s="102"/>
      <c r="C327" s="81"/>
      <c r="D327" s="1" t="s">
        <v>67</v>
      </c>
      <c r="F327" s="11"/>
      <c r="G327" s="3"/>
      <c r="H327" s="3"/>
      <c r="I327" s="1"/>
      <c r="J327" s="1"/>
      <c r="K327" s="1"/>
      <c r="L327" s="1"/>
      <c r="M327" s="14">
        <v>25</v>
      </c>
      <c r="N327" s="1"/>
      <c r="O327" s="7"/>
      <c r="P327" s="7">
        <f>CT[[#This Row],[Purchase Rate/MT (USD)]]*CT[[#This Row],[PC Qty (MT)]]</f>
        <v>0</v>
      </c>
      <c r="Q327" s="7">
        <f>CT[[#This Row],[Purchase Rate/MT (USD)]]*CT[[#This Row],[Container Qty]]</f>
        <v>0</v>
      </c>
      <c r="R327" s="7" t="str">
        <f>IF(CT[[#This Row],[BL Number]]&lt;&gt;0,(CT[[#This Row],[Supplier Prov. Price]]-CT[[#This Row],[Supplier Final Price]])*1.2,"")</f>
        <v/>
      </c>
      <c r="S327" s="101"/>
      <c r="T327" s="3"/>
      <c r="U327" s="7"/>
      <c r="V327" s="7"/>
      <c r="W327" s="24"/>
      <c r="X327" s="7">
        <f>IFERROR(CT[[#This Row],[Freight Charges]]+CT[[#This Row],[Inspection Cost/MT]]+CT[[#This Row],[DHL Charges PMT]],"")</f>
        <v>0</v>
      </c>
      <c r="Y327" s="7">
        <f>IFERROR(AF327-(O327+CT[[#This Row],[Cost Per MT]]),"")</f>
        <v>335</v>
      </c>
      <c r="Z327" s="7">
        <f>IFERROR(CT[[#This Row],[Margin/MT]]*CT[[#This Row],[Container Qty]],"")</f>
        <v>0</v>
      </c>
      <c r="AA327" s="7"/>
      <c r="AB327" t="s">
        <v>11</v>
      </c>
      <c r="AC327" s="1" t="s">
        <v>158</v>
      </c>
      <c r="AD327" s="3">
        <v>45861</v>
      </c>
      <c r="AE327" s="14">
        <f t="shared" si="34"/>
        <v>25</v>
      </c>
      <c r="AF327" s="7">
        <v>335</v>
      </c>
      <c r="AG327" s="7">
        <f>CT[[#This Row],[Sales Rate/MT (USD)]]*CT[[#This Row],[SC Qty (MT)]]</f>
        <v>8375</v>
      </c>
      <c r="AH327" s="7" t="str">
        <f>IF(CT[[#This Row],[Container Qty]]&lt;&gt;0,CT[[#This Row],[Sales Rate/MT (USD)]]*CT[[#This Row],[Container Qty]],"")</f>
        <v/>
      </c>
      <c r="AI327" s="7" t="str">
        <f>IF(CT[[#This Row],[Customer Final Price]]&lt;&gt;"",CT[[#This Row],[Customer Final Price]]-CT[[#This Row],[Customer  Prov. Price]],"")</f>
        <v/>
      </c>
      <c r="AJ327" t="s">
        <v>8</v>
      </c>
      <c r="AK327" s="1" t="s">
        <v>159</v>
      </c>
      <c r="AL327" s="1"/>
      <c r="AM327" s="100" t="s">
        <v>134</v>
      </c>
    </row>
    <row r="328" spans="1:39" x14ac:dyDescent="0.25">
      <c r="A328" t="s">
        <v>9</v>
      </c>
      <c r="B328" s="102"/>
      <c r="C328" s="81"/>
      <c r="D328" s="1" t="s">
        <v>67</v>
      </c>
      <c r="F328" s="11"/>
      <c r="G328" s="3"/>
      <c r="H328" s="3"/>
      <c r="I328" s="1"/>
      <c r="J328" s="1"/>
      <c r="K328" s="1"/>
      <c r="L328" s="1"/>
      <c r="M328" s="14">
        <v>25</v>
      </c>
      <c r="N328" s="1"/>
      <c r="O328" s="7"/>
      <c r="P328" s="7">
        <f>CT[[#This Row],[Purchase Rate/MT (USD)]]*CT[[#This Row],[PC Qty (MT)]]</f>
        <v>0</v>
      </c>
      <c r="Q328" s="7">
        <f>CT[[#This Row],[Purchase Rate/MT (USD)]]*CT[[#This Row],[Container Qty]]</f>
        <v>0</v>
      </c>
      <c r="R328" s="7" t="str">
        <f>IF(CT[[#This Row],[BL Number]]&lt;&gt;0,(CT[[#This Row],[Supplier Prov. Price]]-CT[[#This Row],[Supplier Final Price]])*1.2,"")</f>
        <v/>
      </c>
      <c r="S328" s="101"/>
      <c r="T328" s="3"/>
      <c r="U328" s="7"/>
      <c r="V328" s="7"/>
      <c r="W328" s="24"/>
      <c r="X328" s="7">
        <f>IFERROR(CT[[#This Row],[Freight Charges]]+CT[[#This Row],[Inspection Cost/MT]]+CT[[#This Row],[DHL Charges PMT]],"")</f>
        <v>0</v>
      </c>
      <c r="Y328" s="7">
        <f>IFERROR(AF328-(O328+CT[[#This Row],[Cost Per MT]]),"")</f>
        <v>335</v>
      </c>
      <c r="Z328" s="7">
        <f>IFERROR(CT[[#This Row],[Margin/MT]]*CT[[#This Row],[Container Qty]],"")</f>
        <v>0</v>
      </c>
      <c r="AA328" s="7"/>
      <c r="AB328" t="s">
        <v>11</v>
      </c>
      <c r="AC328" s="1" t="s">
        <v>158</v>
      </c>
      <c r="AD328" s="3">
        <v>45861</v>
      </c>
      <c r="AE328" s="14">
        <f t="shared" si="34"/>
        <v>25</v>
      </c>
      <c r="AF328" s="7">
        <v>335</v>
      </c>
      <c r="AG328" s="7">
        <f>CT[[#This Row],[Sales Rate/MT (USD)]]*CT[[#This Row],[SC Qty (MT)]]</f>
        <v>8375</v>
      </c>
      <c r="AH328" s="7" t="str">
        <f>IF(CT[[#This Row],[Container Qty]]&lt;&gt;0,CT[[#This Row],[Sales Rate/MT (USD)]]*CT[[#This Row],[Container Qty]],"")</f>
        <v/>
      </c>
      <c r="AI328" s="7" t="str">
        <f>IF(CT[[#This Row],[Customer Final Price]]&lt;&gt;"",CT[[#This Row],[Customer Final Price]]-CT[[#This Row],[Customer  Prov. Price]],"")</f>
        <v/>
      </c>
      <c r="AJ328" t="s">
        <v>8</v>
      </c>
      <c r="AK328" s="1" t="s">
        <v>159</v>
      </c>
      <c r="AL328" s="1"/>
      <c r="AM328" s="100" t="s">
        <v>134</v>
      </c>
    </row>
    <row r="329" spans="1:39" x14ac:dyDescent="0.25">
      <c r="A329" t="s">
        <v>9</v>
      </c>
      <c r="B329" s="102"/>
      <c r="C329" s="81"/>
      <c r="D329" s="1" t="s">
        <v>67</v>
      </c>
      <c r="F329" s="11"/>
      <c r="G329" s="3"/>
      <c r="H329" s="3"/>
      <c r="I329" s="1"/>
      <c r="J329" s="1"/>
      <c r="K329" s="1"/>
      <c r="L329" s="1"/>
      <c r="M329" s="14">
        <v>25</v>
      </c>
      <c r="N329" s="1"/>
      <c r="O329" s="7"/>
      <c r="P329" s="7">
        <f>CT[[#This Row],[Purchase Rate/MT (USD)]]*CT[[#This Row],[PC Qty (MT)]]</f>
        <v>0</v>
      </c>
      <c r="Q329" s="7">
        <f>CT[[#This Row],[Purchase Rate/MT (USD)]]*CT[[#This Row],[Container Qty]]</f>
        <v>0</v>
      </c>
      <c r="R329" s="7" t="str">
        <f>IF(CT[[#This Row],[BL Number]]&lt;&gt;0,(CT[[#This Row],[Supplier Prov. Price]]-CT[[#This Row],[Supplier Final Price]])*1.2,"")</f>
        <v/>
      </c>
      <c r="S329" s="101"/>
      <c r="T329" s="3"/>
      <c r="U329" s="7"/>
      <c r="V329" s="7"/>
      <c r="W329" s="24"/>
      <c r="X329" s="7">
        <f>IFERROR(CT[[#This Row],[Freight Charges]]+CT[[#This Row],[Inspection Cost/MT]]+CT[[#This Row],[DHL Charges PMT]],"")</f>
        <v>0</v>
      </c>
      <c r="Y329" s="7">
        <f>IFERROR(AF329-(O329+CT[[#This Row],[Cost Per MT]]),"")</f>
        <v>335</v>
      </c>
      <c r="Z329" s="7">
        <f>IFERROR(CT[[#This Row],[Margin/MT]]*CT[[#This Row],[Container Qty]],"")</f>
        <v>0</v>
      </c>
      <c r="AA329" s="7"/>
      <c r="AB329" t="s">
        <v>11</v>
      </c>
      <c r="AC329" s="1" t="s">
        <v>158</v>
      </c>
      <c r="AD329" s="3">
        <v>45861</v>
      </c>
      <c r="AE329" s="14">
        <f t="shared" ref="AE329:AE371" si="35">7500/300</f>
        <v>25</v>
      </c>
      <c r="AF329" s="7">
        <v>335</v>
      </c>
      <c r="AG329" s="7">
        <f>CT[[#This Row],[Sales Rate/MT (USD)]]*CT[[#This Row],[SC Qty (MT)]]</f>
        <v>8375</v>
      </c>
      <c r="AH329" s="7" t="str">
        <f>IF(CT[[#This Row],[Container Qty]]&lt;&gt;0,CT[[#This Row],[Sales Rate/MT (USD)]]*CT[[#This Row],[Container Qty]],"")</f>
        <v/>
      </c>
      <c r="AI329" s="7" t="str">
        <f>IF(CT[[#This Row],[Customer Final Price]]&lt;&gt;"",CT[[#This Row],[Customer Final Price]]-CT[[#This Row],[Customer  Prov. Price]],"")</f>
        <v/>
      </c>
      <c r="AJ329" t="s">
        <v>8</v>
      </c>
      <c r="AK329" s="1" t="s">
        <v>159</v>
      </c>
      <c r="AL329" s="1"/>
      <c r="AM329" s="100" t="s">
        <v>134</v>
      </c>
    </row>
    <row r="330" spans="1:39" x14ac:dyDescent="0.25">
      <c r="A330" t="s">
        <v>9</v>
      </c>
      <c r="B330" s="102"/>
      <c r="C330" s="81"/>
      <c r="D330" s="1" t="s">
        <v>67</v>
      </c>
      <c r="F330" s="11"/>
      <c r="G330" s="3"/>
      <c r="H330" s="3"/>
      <c r="I330" s="1"/>
      <c r="J330" s="1"/>
      <c r="K330" s="1"/>
      <c r="L330" s="1"/>
      <c r="M330" s="14">
        <v>25</v>
      </c>
      <c r="N330" s="1"/>
      <c r="O330" s="7"/>
      <c r="P330" s="7">
        <f>CT[[#This Row],[Purchase Rate/MT (USD)]]*CT[[#This Row],[PC Qty (MT)]]</f>
        <v>0</v>
      </c>
      <c r="Q330" s="7">
        <f>CT[[#This Row],[Purchase Rate/MT (USD)]]*CT[[#This Row],[Container Qty]]</f>
        <v>0</v>
      </c>
      <c r="R330" s="7" t="str">
        <f>IF(CT[[#This Row],[BL Number]]&lt;&gt;0,(CT[[#This Row],[Supplier Prov. Price]]-CT[[#This Row],[Supplier Final Price]])*1.2,"")</f>
        <v/>
      </c>
      <c r="S330" s="101"/>
      <c r="T330" s="3"/>
      <c r="U330" s="7"/>
      <c r="V330" s="7"/>
      <c r="W330" s="24"/>
      <c r="X330" s="7">
        <f>IFERROR(CT[[#This Row],[Freight Charges]]+CT[[#This Row],[Inspection Cost/MT]]+CT[[#This Row],[DHL Charges PMT]],"")</f>
        <v>0</v>
      </c>
      <c r="Y330" s="7">
        <f>IFERROR(AF330-(O330+CT[[#This Row],[Cost Per MT]]),"")</f>
        <v>335</v>
      </c>
      <c r="Z330" s="7">
        <f>IFERROR(CT[[#This Row],[Margin/MT]]*CT[[#This Row],[Container Qty]],"")</f>
        <v>0</v>
      </c>
      <c r="AA330" s="7"/>
      <c r="AB330" t="s">
        <v>11</v>
      </c>
      <c r="AC330" s="1" t="s">
        <v>158</v>
      </c>
      <c r="AD330" s="3">
        <v>45861</v>
      </c>
      <c r="AE330" s="14">
        <f t="shared" si="35"/>
        <v>25</v>
      </c>
      <c r="AF330" s="7">
        <v>335</v>
      </c>
      <c r="AG330" s="7">
        <f>CT[[#This Row],[Sales Rate/MT (USD)]]*CT[[#This Row],[SC Qty (MT)]]</f>
        <v>8375</v>
      </c>
      <c r="AH330" s="7" t="str">
        <f>IF(CT[[#This Row],[Container Qty]]&lt;&gt;0,CT[[#This Row],[Sales Rate/MT (USD)]]*CT[[#This Row],[Container Qty]],"")</f>
        <v/>
      </c>
      <c r="AI330" s="7" t="str">
        <f>IF(CT[[#This Row],[Customer Final Price]]&lt;&gt;"",CT[[#This Row],[Customer Final Price]]-CT[[#This Row],[Customer  Prov. Price]],"")</f>
        <v/>
      </c>
      <c r="AJ330" t="s">
        <v>8</v>
      </c>
      <c r="AK330" s="1" t="s">
        <v>159</v>
      </c>
      <c r="AL330" s="1"/>
      <c r="AM330" s="100" t="s">
        <v>134</v>
      </c>
    </row>
    <row r="331" spans="1:39" x14ac:dyDescent="0.25">
      <c r="A331" t="s">
        <v>9</v>
      </c>
      <c r="B331" s="102"/>
      <c r="C331" s="81"/>
      <c r="D331" s="1" t="s">
        <v>67</v>
      </c>
      <c r="F331" s="11"/>
      <c r="G331" s="3"/>
      <c r="H331" s="3"/>
      <c r="I331" s="1"/>
      <c r="J331" s="1"/>
      <c r="K331" s="1"/>
      <c r="L331" s="1"/>
      <c r="M331" s="14">
        <v>25</v>
      </c>
      <c r="N331" s="1"/>
      <c r="O331" s="7"/>
      <c r="P331" s="7">
        <f>CT[[#This Row],[Purchase Rate/MT (USD)]]*CT[[#This Row],[PC Qty (MT)]]</f>
        <v>0</v>
      </c>
      <c r="Q331" s="7">
        <f>CT[[#This Row],[Purchase Rate/MT (USD)]]*CT[[#This Row],[Container Qty]]</f>
        <v>0</v>
      </c>
      <c r="R331" s="7" t="str">
        <f>IF(CT[[#This Row],[BL Number]]&lt;&gt;0,(CT[[#This Row],[Supplier Prov. Price]]-CT[[#This Row],[Supplier Final Price]])*1.2,"")</f>
        <v/>
      </c>
      <c r="S331" s="101"/>
      <c r="T331" s="3"/>
      <c r="U331" s="7"/>
      <c r="V331" s="7"/>
      <c r="W331" s="24"/>
      <c r="X331" s="7">
        <f>IFERROR(CT[[#This Row],[Freight Charges]]+CT[[#This Row],[Inspection Cost/MT]]+CT[[#This Row],[DHL Charges PMT]],"")</f>
        <v>0</v>
      </c>
      <c r="Y331" s="7">
        <f>IFERROR(AF331-(O331+CT[[#This Row],[Cost Per MT]]),"")</f>
        <v>335</v>
      </c>
      <c r="Z331" s="7">
        <f>IFERROR(CT[[#This Row],[Margin/MT]]*CT[[#This Row],[Container Qty]],"")</f>
        <v>0</v>
      </c>
      <c r="AA331" s="7"/>
      <c r="AB331" t="s">
        <v>11</v>
      </c>
      <c r="AC331" s="1" t="s">
        <v>158</v>
      </c>
      <c r="AD331" s="3">
        <v>45861</v>
      </c>
      <c r="AE331" s="14">
        <f t="shared" si="35"/>
        <v>25</v>
      </c>
      <c r="AF331" s="7">
        <v>335</v>
      </c>
      <c r="AG331" s="7">
        <f>CT[[#This Row],[Sales Rate/MT (USD)]]*CT[[#This Row],[SC Qty (MT)]]</f>
        <v>8375</v>
      </c>
      <c r="AH331" s="7" t="str">
        <f>IF(CT[[#This Row],[Container Qty]]&lt;&gt;0,CT[[#This Row],[Sales Rate/MT (USD)]]*CT[[#This Row],[Container Qty]],"")</f>
        <v/>
      </c>
      <c r="AI331" s="7" t="str">
        <f>IF(CT[[#This Row],[Customer Final Price]]&lt;&gt;"",CT[[#This Row],[Customer Final Price]]-CT[[#This Row],[Customer  Prov. Price]],"")</f>
        <v/>
      </c>
      <c r="AJ331" t="s">
        <v>8</v>
      </c>
      <c r="AK331" s="1" t="s">
        <v>159</v>
      </c>
      <c r="AL331" s="1"/>
      <c r="AM331" s="100" t="s">
        <v>134</v>
      </c>
    </row>
    <row r="332" spans="1:39" x14ac:dyDescent="0.25">
      <c r="A332" t="s">
        <v>9</v>
      </c>
      <c r="B332" s="102"/>
      <c r="C332" s="81"/>
      <c r="D332" s="1" t="s">
        <v>67</v>
      </c>
      <c r="F332" s="11"/>
      <c r="G332" s="3"/>
      <c r="H332" s="3"/>
      <c r="I332" s="1"/>
      <c r="J332" s="1"/>
      <c r="K332" s="1"/>
      <c r="L332" s="1"/>
      <c r="M332" s="14">
        <v>25</v>
      </c>
      <c r="N332" s="1"/>
      <c r="O332" s="7"/>
      <c r="P332" s="7">
        <f>CT[[#This Row],[Purchase Rate/MT (USD)]]*CT[[#This Row],[PC Qty (MT)]]</f>
        <v>0</v>
      </c>
      <c r="Q332" s="7">
        <f>CT[[#This Row],[Purchase Rate/MT (USD)]]*CT[[#This Row],[Container Qty]]</f>
        <v>0</v>
      </c>
      <c r="R332" s="7" t="str">
        <f>IF(CT[[#This Row],[BL Number]]&lt;&gt;0,(CT[[#This Row],[Supplier Prov. Price]]-CT[[#This Row],[Supplier Final Price]])*1.2,"")</f>
        <v/>
      </c>
      <c r="S332" s="101"/>
      <c r="T332" s="3"/>
      <c r="U332" s="7"/>
      <c r="V332" s="7"/>
      <c r="W332" s="24"/>
      <c r="X332" s="7">
        <f>IFERROR(CT[[#This Row],[Freight Charges]]+CT[[#This Row],[Inspection Cost/MT]]+CT[[#This Row],[DHL Charges PMT]],"")</f>
        <v>0</v>
      </c>
      <c r="Y332" s="7">
        <f>IFERROR(AF332-(O332+CT[[#This Row],[Cost Per MT]]),"")</f>
        <v>335</v>
      </c>
      <c r="Z332" s="7">
        <f>IFERROR(CT[[#This Row],[Margin/MT]]*CT[[#This Row],[Container Qty]],"")</f>
        <v>0</v>
      </c>
      <c r="AA332" s="7"/>
      <c r="AB332" t="s">
        <v>11</v>
      </c>
      <c r="AC332" s="1" t="s">
        <v>158</v>
      </c>
      <c r="AD332" s="3">
        <v>45861</v>
      </c>
      <c r="AE332" s="14">
        <f t="shared" si="35"/>
        <v>25</v>
      </c>
      <c r="AF332" s="7">
        <v>335</v>
      </c>
      <c r="AG332" s="7">
        <f>CT[[#This Row],[Sales Rate/MT (USD)]]*CT[[#This Row],[SC Qty (MT)]]</f>
        <v>8375</v>
      </c>
      <c r="AH332" s="7" t="str">
        <f>IF(CT[[#This Row],[Container Qty]]&lt;&gt;0,CT[[#This Row],[Sales Rate/MT (USD)]]*CT[[#This Row],[Container Qty]],"")</f>
        <v/>
      </c>
      <c r="AI332" s="7" t="str">
        <f>IF(CT[[#This Row],[Customer Final Price]]&lt;&gt;"",CT[[#This Row],[Customer Final Price]]-CT[[#This Row],[Customer  Prov. Price]],"")</f>
        <v/>
      </c>
      <c r="AJ332" t="s">
        <v>8</v>
      </c>
      <c r="AK332" s="1" t="s">
        <v>159</v>
      </c>
      <c r="AL332" s="1"/>
      <c r="AM332" s="100" t="s">
        <v>134</v>
      </c>
    </row>
    <row r="333" spans="1:39" x14ac:dyDescent="0.25">
      <c r="A333" t="s">
        <v>9</v>
      </c>
      <c r="B333" s="102"/>
      <c r="C333" s="81"/>
      <c r="D333" s="1" t="s">
        <v>67</v>
      </c>
      <c r="F333" s="11"/>
      <c r="G333" s="3"/>
      <c r="H333" s="3"/>
      <c r="I333" s="1"/>
      <c r="J333" s="1"/>
      <c r="K333" s="1"/>
      <c r="L333" s="1"/>
      <c r="M333" s="14">
        <v>25</v>
      </c>
      <c r="N333" s="1"/>
      <c r="O333" s="7"/>
      <c r="P333" s="7">
        <f>CT[[#This Row],[Purchase Rate/MT (USD)]]*CT[[#This Row],[PC Qty (MT)]]</f>
        <v>0</v>
      </c>
      <c r="Q333" s="7">
        <f>CT[[#This Row],[Purchase Rate/MT (USD)]]*CT[[#This Row],[Container Qty]]</f>
        <v>0</v>
      </c>
      <c r="R333" s="7" t="str">
        <f>IF(CT[[#This Row],[BL Number]]&lt;&gt;0,(CT[[#This Row],[Supplier Prov. Price]]-CT[[#This Row],[Supplier Final Price]])*1.2,"")</f>
        <v/>
      </c>
      <c r="S333" s="101"/>
      <c r="T333" s="3"/>
      <c r="U333" s="7"/>
      <c r="V333" s="7"/>
      <c r="W333" s="24"/>
      <c r="X333" s="7">
        <f>IFERROR(CT[[#This Row],[Freight Charges]]+CT[[#This Row],[Inspection Cost/MT]]+CT[[#This Row],[DHL Charges PMT]],"")</f>
        <v>0</v>
      </c>
      <c r="Y333" s="7">
        <f>IFERROR(AF333-(O333+CT[[#This Row],[Cost Per MT]]),"")</f>
        <v>335</v>
      </c>
      <c r="Z333" s="7">
        <f>IFERROR(CT[[#This Row],[Margin/MT]]*CT[[#This Row],[Container Qty]],"")</f>
        <v>0</v>
      </c>
      <c r="AA333" s="7"/>
      <c r="AB333" t="s">
        <v>11</v>
      </c>
      <c r="AC333" s="1" t="s">
        <v>158</v>
      </c>
      <c r="AD333" s="3">
        <v>45861</v>
      </c>
      <c r="AE333" s="14">
        <f t="shared" si="35"/>
        <v>25</v>
      </c>
      <c r="AF333" s="7">
        <v>335</v>
      </c>
      <c r="AG333" s="7">
        <f>CT[[#This Row],[Sales Rate/MT (USD)]]*CT[[#This Row],[SC Qty (MT)]]</f>
        <v>8375</v>
      </c>
      <c r="AH333" s="7" t="str">
        <f>IF(CT[[#This Row],[Container Qty]]&lt;&gt;0,CT[[#This Row],[Sales Rate/MT (USD)]]*CT[[#This Row],[Container Qty]],"")</f>
        <v/>
      </c>
      <c r="AI333" s="7" t="str">
        <f>IF(CT[[#This Row],[Customer Final Price]]&lt;&gt;"",CT[[#This Row],[Customer Final Price]]-CT[[#This Row],[Customer  Prov. Price]],"")</f>
        <v/>
      </c>
      <c r="AJ333" t="s">
        <v>8</v>
      </c>
      <c r="AK333" s="1" t="s">
        <v>159</v>
      </c>
      <c r="AL333" s="1"/>
      <c r="AM333" s="100" t="s">
        <v>134</v>
      </c>
    </row>
    <row r="334" spans="1:39" x14ac:dyDescent="0.25">
      <c r="A334" t="s">
        <v>9</v>
      </c>
      <c r="B334" s="102"/>
      <c r="C334" s="81"/>
      <c r="D334" s="1" t="s">
        <v>67</v>
      </c>
      <c r="F334" s="11"/>
      <c r="G334" s="3"/>
      <c r="H334" s="3"/>
      <c r="I334" s="1"/>
      <c r="J334" s="1"/>
      <c r="K334" s="1"/>
      <c r="L334" s="1"/>
      <c r="M334" s="14">
        <v>25</v>
      </c>
      <c r="N334" s="1"/>
      <c r="O334" s="7"/>
      <c r="P334" s="7">
        <f>CT[[#This Row],[Purchase Rate/MT (USD)]]*CT[[#This Row],[PC Qty (MT)]]</f>
        <v>0</v>
      </c>
      <c r="Q334" s="7">
        <f>CT[[#This Row],[Purchase Rate/MT (USD)]]*CT[[#This Row],[Container Qty]]</f>
        <v>0</v>
      </c>
      <c r="R334" s="7" t="str">
        <f>IF(CT[[#This Row],[BL Number]]&lt;&gt;0,(CT[[#This Row],[Supplier Prov. Price]]-CT[[#This Row],[Supplier Final Price]])*1.2,"")</f>
        <v/>
      </c>
      <c r="S334" s="101"/>
      <c r="T334" s="3"/>
      <c r="U334" s="7"/>
      <c r="V334" s="7"/>
      <c r="W334" s="24"/>
      <c r="X334" s="7">
        <f>IFERROR(CT[[#This Row],[Freight Charges]]+CT[[#This Row],[Inspection Cost/MT]]+CT[[#This Row],[DHL Charges PMT]],"")</f>
        <v>0</v>
      </c>
      <c r="Y334" s="7">
        <f>IFERROR(AF334-(O334+CT[[#This Row],[Cost Per MT]]),"")</f>
        <v>335</v>
      </c>
      <c r="Z334" s="7">
        <f>IFERROR(CT[[#This Row],[Margin/MT]]*CT[[#This Row],[Container Qty]],"")</f>
        <v>0</v>
      </c>
      <c r="AA334" s="7"/>
      <c r="AB334" t="s">
        <v>11</v>
      </c>
      <c r="AC334" s="1" t="s">
        <v>158</v>
      </c>
      <c r="AD334" s="3">
        <v>45861</v>
      </c>
      <c r="AE334" s="14">
        <f t="shared" si="35"/>
        <v>25</v>
      </c>
      <c r="AF334" s="7">
        <v>335</v>
      </c>
      <c r="AG334" s="7">
        <f>CT[[#This Row],[Sales Rate/MT (USD)]]*CT[[#This Row],[SC Qty (MT)]]</f>
        <v>8375</v>
      </c>
      <c r="AH334" s="7" t="str">
        <f>IF(CT[[#This Row],[Container Qty]]&lt;&gt;0,CT[[#This Row],[Sales Rate/MT (USD)]]*CT[[#This Row],[Container Qty]],"")</f>
        <v/>
      </c>
      <c r="AI334" s="7" t="str">
        <f>IF(CT[[#This Row],[Customer Final Price]]&lt;&gt;"",CT[[#This Row],[Customer Final Price]]-CT[[#This Row],[Customer  Prov. Price]],"")</f>
        <v/>
      </c>
      <c r="AJ334" t="s">
        <v>8</v>
      </c>
      <c r="AK334" s="1" t="s">
        <v>159</v>
      </c>
      <c r="AL334" s="1"/>
      <c r="AM334" s="100" t="s">
        <v>134</v>
      </c>
    </row>
    <row r="335" spans="1:39" x14ac:dyDescent="0.25">
      <c r="A335" t="s">
        <v>9</v>
      </c>
      <c r="B335" s="102"/>
      <c r="C335" s="81"/>
      <c r="D335" s="1" t="s">
        <v>67</v>
      </c>
      <c r="F335" s="11"/>
      <c r="G335" s="3"/>
      <c r="H335" s="3"/>
      <c r="I335" s="1"/>
      <c r="J335" s="1"/>
      <c r="K335" s="1"/>
      <c r="L335" s="1"/>
      <c r="M335" s="14">
        <v>25</v>
      </c>
      <c r="N335" s="1"/>
      <c r="O335" s="7"/>
      <c r="P335" s="7">
        <f>CT[[#This Row],[Purchase Rate/MT (USD)]]*CT[[#This Row],[PC Qty (MT)]]</f>
        <v>0</v>
      </c>
      <c r="Q335" s="7">
        <f>CT[[#This Row],[Purchase Rate/MT (USD)]]*CT[[#This Row],[Container Qty]]</f>
        <v>0</v>
      </c>
      <c r="R335" s="7" t="str">
        <f>IF(CT[[#This Row],[BL Number]]&lt;&gt;0,(CT[[#This Row],[Supplier Prov. Price]]-CT[[#This Row],[Supplier Final Price]])*1.2,"")</f>
        <v/>
      </c>
      <c r="S335" s="101"/>
      <c r="T335" s="3"/>
      <c r="U335" s="7"/>
      <c r="V335" s="7"/>
      <c r="W335" s="24"/>
      <c r="X335" s="7">
        <f>IFERROR(CT[[#This Row],[Freight Charges]]+CT[[#This Row],[Inspection Cost/MT]]+CT[[#This Row],[DHL Charges PMT]],"")</f>
        <v>0</v>
      </c>
      <c r="Y335" s="7">
        <f>IFERROR(AF335-(O335+CT[[#This Row],[Cost Per MT]]),"")</f>
        <v>335</v>
      </c>
      <c r="Z335" s="7">
        <f>IFERROR(CT[[#This Row],[Margin/MT]]*CT[[#This Row],[Container Qty]],"")</f>
        <v>0</v>
      </c>
      <c r="AA335" s="7"/>
      <c r="AB335" t="s">
        <v>11</v>
      </c>
      <c r="AC335" s="1" t="s">
        <v>158</v>
      </c>
      <c r="AD335" s="3">
        <v>45861</v>
      </c>
      <c r="AE335" s="14">
        <f t="shared" si="35"/>
        <v>25</v>
      </c>
      <c r="AF335" s="7">
        <v>335</v>
      </c>
      <c r="AG335" s="7">
        <f>CT[[#This Row],[Sales Rate/MT (USD)]]*CT[[#This Row],[SC Qty (MT)]]</f>
        <v>8375</v>
      </c>
      <c r="AH335" s="7" t="str">
        <f>IF(CT[[#This Row],[Container Qty]]&lt;&gt;0,CT[[#This Row],[Sales Rate/MT (USD)]]*CT[[#This Row],[Container Qty]],"")</f>
        <v/>
      </c>
      <c r="AI335" s="7" t="str">
        <f>IF(CT[[#This Row],[Customer Final Price]]&lt;&gt;"",CT[[#This Row],[Customer Final Price]]-CT[[#This Row],[Customer  Prov. Price]],"")</f>
        <v/>
      </c>
      <c r="AJ335" t="s">
        <v>8</v>
      </c>
      <c r="AK335" s="1" t="s">
        <v>159</v>
      </c>
      <c r="AL335" s="1"/>
      <c r="AM335" s="100" t="s">
        <v>134</v>
      </c>
    </row>
    <row r="336" spans="1:39" x14ac:dyDescent="0.25">
      <c r="A336" t="s">
        <v>9</v>
      </c>
      <c r="B336" s="102"/>
      <c r="C336" s="81"/>
      <c r="D336" s="1" t="s">
        <v>67</v>
      </c>
      <c r="F336" s="11"/>
      <c r="G336" s="3"/>
      <c r="H336" s="3"/>
      <c r="I336" s="1"/>
      <c r="J336" s="1"/>
      <c r="K336" s="1"/>
      <c r="L336" s="1"/>
      <c r="M336" s="14">
        <v>25</v>
      </c>
      <c r="N336" s="1"/>
      <c r="O336" s="7"/>
      <c r="P336" s="7">
        <f>CT[[#This Row],[Purchase Rate/MT (USD)]]*CT[[#This Row],[PC Qty (MT)]]</f>
        <v>0</v>
      </c>
      <c r="Q336" s="7">
        <f>CT[[#This Row],[Purchase Rate/MT (USD)]]*CT[[#This Row],[Container Qty]]</f>
        <v>0</v>
      </c>
      <c r="R336" s="7" t="str">
        <f>IF(CT[[#This Row],[BL Number]]&lt;&gt;0,(CT[[#This Row],[Supplier Prov. Price]]-CT[[#This Row],[Supplier Final Price]])*1.2,"")</f>
        <v/>
      </c>
      <c r="S336" s="101"/>
      <c r="T336" s="3"/>
      <c r="U336" s="7"/>
      <c r="V336" s="7"/>
      <c r="W336" s="24"/>
      <c r="X336" s="7">
        <f>IFERROR(CT[[#This Row],[Freight Charges]]+CT[[#This Row],[Inspection Cost/MT]]+CT[[#This Row],[DHL Charges PMT]],"")</f>
        <v>0</v>
      </c>
      <c r="Y336" s="7">
        <f>IFERROR(AF336-(O336+CT[[#This Row],[Cost Per MT]]),"")</f>
        <v>335</v>
      </c>
      <c r="Z336" s="7">
        <f>IFERROR(CT[[#This Row],[Margin/MT]]*CT[[#This Row],[Container Qty]],"")</f>
        <v>0</v>
      </c>
      <c r="AA336" s="7"/>
      <c r="AB336" t="s">
        <v>11</v>
      </c>
      <c r="AC336" s="1" t="s">
        <v>158</v>
      </c>
      <c r="AD336" s="3">
        <v>45861</v>
      </c>
      <c r="AE336" s="14">
        <f t="shared" si="35"/>
        <v>25</v>
      </c>
      <c r="AF336" s="7">
        <v>335</v>
      </c>
      <c r="AG336" s="7">
        <f>CT[[#This Row],[Sales Rate/MT (USD)]]*CT[[#This Row],[SC Qty (MT)]]</f>
        <v>8375</v>
      </c>
      <c r="AH336" s="7" t="str">
        <f>IF(CT[[#This Row],[Container Qty]]&lt;&gt;0,CT[[#This Row],[Sales Rate/MT (USD)]]*CT[[#This Row],[Container Qty]],"")</f>
        <v/>
      </c>
      <c r="AI336" s="7" t="str">
        <f>IF(CT[[#This Row],[Customer Final Price]]&lt;&gt;"",CT[[#This Row],[Customer Final Price]]-CT[[#This Row],[Customer  Prov. Price]],"")</f>
        <v/>
      </c>
      <c r="AJ336" t="s">
        <v>8</v>
      </c>
      <c r="AK336" s="1" t="s">
        <v>159</v>
      </c>
      <c r="AL336" s="1"/>
      <c r="AM336" s="100" t="s">
        <v>134</v>
      </c>
    </row>
    <row r="337" spans="1:39" x14ac:dyDescent="0.25">
      <c r="A337" t="s">
        <v>9</v>
      </c>
      <c r="B337" s="102"/>
      <c r="C337" s="81"/>
      <c r="D337" s="1" t="s">
        <v>67</v>
      </c>
      <c r="F337" s="11"/>
      <c r="G337" s="3"/>
      <c r="H337" s="3"/>
      <c r="I337" s="1"/>
      <c r="J337" s="1"/>
      <c r="K337" s="1"/>
      <c r="L337" s="1"/>
      <c r="M337" s="14">
        <v>25</v>
      </c>
      <c r="N337" s="1"/>
      <c r="O337" s="7"/>
      <c r="P337" s="7">
        <f>CT[[#This Row],[Purchase Rate/MT (USD)]]*CT[[#This Row],[PC Qty (MT)]]</f>
        <v>0</v>
      </c>
      <c r="Q337" s="7">
        <f>CT[[#This Row],[Purchase Rate/MT (USD)]]*CT[[#This Row],[Container Qty]]</f>
        <v>0</v>
      </c>
      <c r="R337" s="7" t="str">
        <f>IF(CT[[#This Row],[BL Number]]&lt;&gt;0,(CT[[#This Row],[Supplier Prov. Price]]-CT[[#This Row],[Supplier Final Price]])*1.2,"")</f>
        <v/>
      </c>
      <c r="S337" s="101"/>
      <c r="T337" s="3"/>
      <c r="U337" s="7"/>
      <c r="V337" s="7"/>
      <c r="W337" s="24"/>
      <c r="X337" s="7">
        <f>IFERROR(CT[[#This Row],[Freight Charges]]+CT[[#This Row],[Inspection Cost/MT]]+CT[[#This Row],[DHL Charges PMT]],"")</f>
        <v>0</v>
      </c>
      <c r="Y337" s="7">
        <f>IFERROR(AF337-(O337+CT[[#This Row],[Cost Per MT]]),"")</f>
        <v>335</v>
      </c>
      <c r="Z337" s="7">
        <f>IFERROR(CT[[#This Row],[Margin/MT]]*CT[[#This Row],[Container Qty]],"")</f>
        <v>0</v>
      </c>
      <c r="AA337" s="7"/>
      <c r="AB337" t="s">
        <v>11</v>
      </c>
      <c r="AC337" s="1" t="s">
        <v>158</v>
      </c>
      <c r="AD337" s="3">
        <v>45861</v>
      </c>
      <c r="AE337" s="14">
        <f t="shared" si="35"/>
        <v>25</v>
      </c>
      <c r="AF337" s="7">
        <v>335</v>
      </c>
      <c r="AG337" s="7">
        <f>CT[[#This Row],[Sales Rate/MT (USD)]]*CT[[#This Row],[SC Qty (MT)]]</f>
        <v>8375</v>
      </c>
      <c r="AH337" s="7" t="str">
        <f>IF(CT[[#This Row],[Container Qty]]&lt;&gt;0,CT[[#This Row],[Sales Rate/MT (USD)]]*CT[[#This Row],[Container Qty]],"")</f>
        <v/>
      </c>
      <c r="AI337" s="7" t="str">
        <f>IF(CT[[#This Row],[Customer Final Price]]&lt;&gt;"",CT[[#This Row],[Customer Final Price]]-CT[[#This Row],[Customer  Prov. Price]],"")</f>
        <v/>
      </c>
      <c r="AJ337" t="s">
        <v>8</v>
      </c>
      <c r="AK337" s="1" t="s">
        <v>159</v>
      </c>
      <c r="AL337" s="1"/>
      <c r="AM337" s="100" t="s">
        <v>134</v>
      </c>
    </row>
    <row r="338" spans="1:39" x14ac:dyDescent="0.25">
      <c r="A338" t="s">
        <v>9</v>
      </c>
      <c r="B338" s="102"/>
      <c r="C338" s="81"/>
      <c r="D338" s="1" t="s">
        <v>67</v>
      </c>
      <c r="F338" s="11"/>
      <c r="G338" s="3"/>
      <c r="H338" s="3"/>
      <c r="I338" s="1"/>
      <c r="J338" s="1"/>
      <c r="K338" s="1"/>
      <c r="L338" s="1"/>
      <c r="M338" s="14">
        <v>25</v>
      </c>
      <c r="N338" s="1"/>
      <c r="O338" s="7"/>
      <c r="P338" s="7">
        <f>CT[[#This Row],[Purchase Rate/MT (USD)]]*CT[[#This Row],[PC Qty (MT)]]</f>
        <v>0</v>
      </c>
      <c r="Q338" s="7">
        <f>CT[[#This Row],[Purchase Rate/MT (USD)]]*CT[[#This Row],[Container Qty]]</f>
        <v>0</v>
      </c>
      <c r="R338" s="7" t="str">
        <f>IF(CT[[#This Row],[BL Number]]&lt;&gt;0,(CT[[#This Row],[Supplier Prov. Price]]-CT[[#This Row],[Supplier Final Price]])*1.2,"")</f>
        <v/>
      </c>
      <c r="S338" s="101"/>
      <c r="T338" s="3"/>
      <c r="U338" s="7"/>
      <c r="V338" s="7"/>
      <c r="W338" s="24"/>
      <c r="X338" s="7">
        <f>IFERROR(CT[[#This Row],[Freight Charges]]+CT[[#This Row],[Inspection Cost/MT]]+CT[[#This Row],[DHL Charges PMT]],"")</f>
        <v>0</v>
      </c>
      <c r="Y338" s="7">
        <f>IFERROR(AF338-(O338+CT[[#This Row],[Cost Per MT]]),"")</f>
        <v>335</v>
      </c>
      <c r="Z338" s="7">
        <f>IFERROR(CT[[#This Row],[Margin/MT]]*CT[[#This Row],[Container Qty]],"")</f>
        <v>0</v>
      </c>
      <c r="AA338" s="7"/>
      <c r="AB338" t="s">
        <v>11</v>
      </c>
      <c r="AC338" s="1" t="s">
        <v>158</v>
      </c>
      <c r="AD338" s="3">
        <v>45861</v>
      </c>
      <c r="AE338" s="14">
        <f t="shared" si="35"/>
        <v>25</v>
      </c>
      <c r="AF338" s="7">
        <v>335</v>
      </c>
      <c r="AG338" s="7">
        <f>CT[[#This Row],[Sales Rate/MT (USD)]]*CT[[#This Row],[SC Qty (MT)]]</f>
        <v>8375</v>
      </c>
      <c r="AH338" s="7" t="str">
        <f>IF(CT[[#This Row],[Container Qty]]&lt;&gt;0,CT[[#This Row],[Sales Rate/MT (USD)]]*CT[[#This Row],[Container Qty]],"")</f>
        <v/>
      </c>
      <c r="AI338" s="7" t="str">
        <f>IF(CT[[#This Row],[Customer Final Price]]&lt;&gt;"",CT[[#This Row],[Customer Final Price]]-CT[[#This Row],[Customer  Prov. Price]],"")</f>
        <v/>
      </c>
      <c r="AJ338" t="s">
        <v>8</v>
      </c>
      <c r="AK338" s="1" t="s">
        <v>159</v>
      </c>
      <c r="AL338" s="1"/>
      <c r="AM338" s="100" t="s">
        <v>134</v>
      </c>
    </row>
    <row r="339" spans="1:39" x14ac:dyDescent="0.25">
      <c r="A339" t="s">
        <v>9</v>
      </c>
      <c r="B339" s="102"/>
      <c r="C339" s="81"/>
      <c r="D339" s="1" t="s">
        <v>67</v>
      </c>
      <c r="F339" s="11"/>
      <c r="G339" s="3"/>
      <c r="H339" s="3"/>
      <c r="I339" s="1"/>
      <c r="J339" s="1"/>
      <c r="K339" s="1"/>
      <c r="L339" s="1"/>
      <c r="M339" s="14">
        <v>25</v>
      </c>
      <c r="N339" s="1"/>
      <c r="O339" s="7"/>
      <c r="P339" s="7">
        <f>CT[[#This Row],[Purchase Rate/MT (USD)]]*CT[[#This Row],[PC Qty (MT)]]</f>
        <v>0</v>
      </c>
      <c r="Q339" s="7">
        <f>CT[[#This Row],[Purchase Rate/MT (USD)]]*CT[[#This Row],[Container Qty]]</f>
        <v>0</v>
      </c>
      <c r="R339" s="7" t="str">
        <f>IF(CT[[#This Row],[BL Number]]&lt;&gt;0,(CT[[#This Row],[Supplier Prov. Price]]-CT[[#This Row],[Supplier Final Price]])*1.2,"")</f>
        <v/>
      </c>
      <c r="S339" s="101"/>
      <c r="T339" s="3"/>
      <c r="U339" s="7"/>
      <c r="V339" s="7"/>
      <c r="W339" s="24"/>
      <c r="X339" s="7">
        <f>IFERROR(CT[[#This Row],[Freight Charges]]+CT[[#This Row],[Inspection Cost/MT]]+CT[[#This Row],[DHL Charges PMT]],"")</f>
        <v>0</v>
      </c>
      <c r="Y339" s="7">
        <f>IFERROR(AF339-(O339+CT[[#This Row],[Cost Per MT]]),"")</f>
        <v>335</v>
      </c>
      <c r="Z339" s="7">
        <f>IFERROR(CT[[#This Row],[Margin/MT]]*CT[[#This Row],[Container Qty]],"")</f>
        <v>0</v>
      </c>
      <c r="AA339" s="7"/>
      <c r="AB339" t="s">
        <v>11</v>
      </c>
      <c r="AC339" s="1" t="s">
        <v>158</v>
      </c>
      <c r="AD339" s="3">
        <v>45861</v>
      </c>
      <c r="AE339" s="14">
        <f t="shared" si="35"/>
        <v>25</v>
      </c>
      <c r="AF339" s="7">
        <v>335</v>
      </c>
      <c r="AG339" s="7">
        <f>CT[[#This Row],[Sales Rate/MT (USD)]]*CT[[#This Row],[SC Qty (MT)]]</f>
        <v>8375</v>
      </c>
      <c r="AH339" s="7" t="str">
        <f>IF(CT[[#This Row],[Container Qty]]&lt;&gt;0,CT[[#This Row],[Sales Rate/MT (USD)]]*CT[[#This Row],[Container Qty]],"")</f>
        <v/>
      </c>
      <c r="AI339" s="7" t="str">
        <f>IF(CT[[#This Row],[Customer Final Price]]&lt;&gt;"",CT[[#This Row],[Customer Final Price]]-CT[[#This Row],[Customer  Prov. Price]],"")</f>
        <v/>
      </c>
      <c r="AJ339" t="s">
        <v>8</v>
      </c>
      <c r="AK339" s="1" t="s">
        <v>159</v>
      </c>
      <c r="AL339" s="1"/>
      <c r="AM339" s="100" t="s">
        <v>134</v>
      </c>
    </row>
    <row r="340" spans="1:39" x14ac:dyDescent="0.25">
      <c r="A340" t="s">
        <v>9</v>
      </c>
      <c r="B340" s="102"/>
      <c r="C340" s="81"/>
      <c r="D340" s="1" t="s">
        <v>67</v>
      </c>
      <c r="F340" s="11"/>
      <c r="G340" s="3"/>
      <c r="H340" s="3"/>
      <c r="I340" s="1"/>
      <c r="J340" s="1"/>
      <c r="K340" s="1"/>
      <c r="L340" s="1"/>
      <c r="M340" s="14">
        <v>25</v>
      </c>
      <c r="N340" s="1"/>
      <c r="O340" s="7"/>
      <c r="P340" s="7">
        <f>CT[[#This Row],[Purchase Rate/MT (USD)]]*CT[[#This Row],[PC Qty (MT)]]</f>
        <v>0</v>
      </c>
      <c r="Q340" s="7">
        <f>CT[[#This Row],[Purchase Rate/MT (USD)]]*CT[[#This Row],[Container Qty]]</f>
        <v>0</v>
      </c>
      <c r="R340" s="7" t="str">
        <f>IF(CT[[#This Row],[BL Number]]&lt;&gt;0,(CT[[#This Row],[Supplier Prov. Price]]-CT[[#This Row],[Supplier Final Price]])*1.2,"")</f>
        <v/>
      </c>
      <c r="S340" s="101"/>
      <c r="T340" s="3"/>
      <c r="U340" s="7"/>
      <c r="V340" s="7"/>
      <c r="W340" s="24"/>
      <c r="X340" s="7">
        <f>IFERROR(CT[[#This Row],[Freight Charges]]+CT[[#This Row],[Inspection Cost/MT]]+CT[[#This Row],[DHL Charges PMT]],"")</f>
        <v>0</v>
      </c>
      <c r="Y340" s="7">
        <f>IFERROR(AF340-(O340+CT[[#This Row],[Cost Per MT]]),"")</f>
        <v>335</v>
      </c>
      <c r="Z340" s="7">
        <f>IFERROR(CT[[#This Row],[Margin/MT]]*CT[[#This Row],[Container Qty]],"")</f>
        <v>0</v>
      </c>
      <c r="AA340" s="7"/>
      <c r="AB340" t="s">
        <v>11</v>
      </c>
      <c r="AC340" s="1" t="s">
        <v>158</v>
      </c>
      <c r="AD340" s="3">
        <v>45861</v>
      </c>
      <c r="AE340" s="14">
        <f t="shared" si="35"/>
        <v>25</v>
      </c>
      <c r="AF340" s="7">
        <v>335</v>
      </c>
      <c r="AG340" s="7">
        <f>CT[[#This Row],[Sales Rate/MT (USD)]]*CT[[#This Row],[SC Qty (MT)]]</f>
        <v>8375</v>
      </c>
      <c r="AH340" s="7" t="str">
        <f>IF(CT[[#This Row],[Container Qty]]&lt;&gt;0,CT[[#This Row],[Sales Rate/MT (USD)]]*CT[[#This Row],[Container Qty]],"")</f>
        <v/>
      </c>
      <c r="AI340" s="7" t="str">
        <f>IF(CT[[#This Row],[Customer Final Price]]&lt;&gt;"",CT[[#This Row],[Customer Final Price]]-CT[[#This Row],[Customer  Prov. Price]],"")</f>
        <v/>
      </c>
      <c r="AJ340" t="s">
        <v>8</v>
      </c>
      <c r="AK340" s="1" t="s">
        <v>159</v>
      </c>
      <c r="AL340" s="1"/>
      <c r="AM340" s="100" t="s">
        <v>134</v>
      </c>
    </row>
    <row r="341" spans="1:39" x14ac:dyDescent="0.25">
      <c r="A341" t="s">
        <v>9</v>
      </c>
      <c r="B341" s="102"/>
      <c r="C341" s="81"/>
      <c r="D341" s="1" t="s">
        <v>67</v>
      </c>
      <c r="F341" s="11"/>
      <c r="G341" s="3"/>
      <c r="H341" s="3"/>
      <c r="I341" s="1"/>
      <c r="J341" s="1"/>
      <c r="K341" s="1"/>
      <c r="L341" s="1"/>
      <c r="M341" s="14">
        <v>25</v>
      </c>
      <c r="N341" s="1"/>
      <c r="O341" s="7"/>
      <c r="P341" s="7">
        <f>CT[[#This Row],[Purchase Rate/MT (USD)]]*CT[[#This Row],[PC Qty (MT)]]</f>
        <v>0</v>
      </c>
      <c r="Q341" s="7">
        <f>CT[[#This Row],[Purchase Rate/MT (USD)]]*CT[[#This Row],[Container Qty]]</f>
        <v>0</v>
      </c>
      <c r="R341" s="7" t="str">
        <f>IF(CT[[#This Row],[BL Number]]&lt;&gt;0,(CT[[#This Row],[Supplier Prov. Price]]-CT[[#This Row],[Supplier Final Price]])*1.2,"")</f>
        <v/>
      </c>
      <c r="S341" s="101"/>
      <c r="T341" s="3"/>
      <c r="U341" s="7"/>
      <c r="V341" s="7"/>
      <c r="W341" s="24"/>
      <c r="X341" s="7">
        <f>IFERROR(CT[[#This Row],[Freight Charges]]+CT[[#This Row],[Inspection Cost/MT]]+CT[[#This Row],[DHL Charges PMT]],"")</f>
        <v>0</v>
      </c>
      <c r="Y341" s="7">
        <f>IFERROR(AF341-(O341+CT[[#This Row],[Cost Per MT]]),"")</f>
        <v>335</v>
      </c>
      <c r="Z341" s="7">
        <f>IFERROR(CT[[#This Row],[Margin/MT]]*CT[[#This Row],[Container Qty]],"")</f>
        <v>0</v>
      </c>
      <c r="AA341" s="7"/>
      <c r="AB341" t="s">
        <v>11</v>
      </c>
      <c r="AC341" s="1" t="s">
        <v>158</v>
      </c>
      <c r="AD341" s="3">
        <v>45861</v>
      </c>
      <c r="AE341" s="14">
        <f t="shared" si="35"/>
        <v>25</v>
      </c>
      <c r="AF341" s="7">
        <v>335</v>
      </c>
      <c r="AG341" s="7">
        <f>CT[[#This Row],[Sales Rate/MT (USD)]]*CT[[#This Row],[SC Qty (MT)]]</f>
        <v>8375</v>
      </c>
      <c r="AH341" s="7" t="str">
        <f>IF(CT[[#This Row],[Container Qty]]&lt;&gt;0,CT[[#This Row],[Sales Rate/MT (USD)]]*CT[[#This Row],[Container Qty]],"")</f>
        <v/>
      </c>
      <c r="AI341" s="7" t="str">
        <f>IF(CT[[#This Row],[Customer Final Price]]&lt;&gt;"",CT[[#This Row],[Customer Final Price]]-CT[[#This Row],[Customer  Prov. Price]],"")</f>
        <v/>
      </c>
      <c r="AJ341" t="s">
        <v>8</v>
      </c>
      <c r="AK341" s="1" t="s">
        <v>159</v>
      </c>
      <c r="AL341" s="1"/>
      <c r="AM341" s="100" t="s">
        <v>134</v>
      </c>
    </row>
    <row r="342" spans="1:39" x14ac:dyDescent="0.25">
      <c r="A342" t="s">
        <v>9</v>
      </c>
      <c r="B342" s="102"/>
      <c r="C342" s="81"/>
      <c r="D342" s="1" t="s">
        <v>67</v>
      </c>
      <c r="F342" s="11"/>
      <c r="G342" s="3"/>
      <c r="H342" s="3"/>
      <c r="I342" s="1"/>
      <c r="J342" s="1"/>
      <c r="K342" s="1"/>
      <c r="L342" s="1"/>
      <c r="M342" s="14">
        <v>25</v>
      </c>
      <c r="N342" s="1"/>
      <c r="O342" s="7"/>
      <c r="P342" s="7">
        <f>CT[[#This Row],[Purchase Rate/MT (USD)]]*CT[[#This Row],[PC Qty (MT)]]</f>
        <v>0</v>
      </c>
      <c r="Q342" s="7">
        <f>CT[[#This Row],[Purchase Rate/MT (USD)]]*CT[[#This Row],[Container Qty]]</f>
        <v>0</v>
      </c>
      <c r="R342" s="7" t="str">
        <f>IF(CT[[#This Row],[BL Number]]&lt;&gt;0,(CT[[#This Row],[Supplier Prov. Price]]-CT[[#This Row],[Supplier Final Price]])*1.2,"")</f>
        <v/>
      </c>
      <c r="S342" s="101"/>
      <c r="T342" s="3"/>
      <c r="U342" s="7"/>
      <c r="V342" s="7"/>
      <c r="W342" s="24"/>
      <c r="X342" s="7">
        <f>IFERROR(CT[[#This Row],[Freight Charges]]+CT[[#This Row],[Inspection Cost/MT]]+CT[[#This Row],[DHL Charges PMT]],"")</f>
        <v>0</v>
      </c>
      <c r="Y342" s="7">
        <f>IFERROR(AF342-(O342+CT[[#This Row],[Cost Per MT]]),"")</f>
        <v>335</v>
      </c>
      <c r="Z342" s="7">
        <f>IFERROR(CT[[#This Row],[Margin/MT]]*CT[[#This Row],[Container Qty]],"")</f>
        <v>0</v>
      </c>
      <c r="AA342" s="7"/>
      <c r="AB342" t="s">
        <v>11</v>
      </c>
      <c r="AC342" s="1" t="s">
        <v>158</v>
      </c>
      <c r="AD342" s="3">
        <v>45861</v>
      </c>
      <c r="AE342" s="14">
        <f t="shared" si="35"/>
        <v>25</v>
      </c>
      <c r="AF342" s="7">
        <v>335</v>
      </c>
      <c r="AG342" s="7">
        <f>CT[[#This Row],[Sales Rate/MT (USD)]]*CT[[#This Row],[SC Qty (MT)]]</f>
        <v>8375</v>
      </c>
      <c r="AH342" s="7" t="str">
        <f>IF(CT[[#This Row],[Container Qty]]&lt;&gt;0,CT[[#This Row],[Sales Rate/MT (USD)]]*CT[[#This Row],[Container Qty]],"")</f>
        <v/>
      </c>
      <c r="AI342" s="7" t="str">
        <f>IF(CT[[#This Row],[Customer Final Price]]&lt;&gt;"",CT[[#This Row],[Customer Final Price]]-CT[[#This Row],[Customer  Prov. Price]],"")</f>
        <v/>
      </c>
      <c r="AJ342" t="s">
        <v>8</v>
      </c>
      <c r="AK342" s="1" t="s">
        <v>159</v>
      </c>
      <c r="AL342" s="1"/>
      <c r="AM342" s="100" t="s">
        <v>134</v>
      </c>
    </row>
    <row r="343" spans="1:39" x14ac:dyDescent="0.25">
      <c r="A343" t="s">
        <v>9</v>
      </c>
      <c r="B343" s="102"/>
      <c r="C343" s="81"/>
      <c r="D343" s="1" t="s">
        <v>67</v>
      </c>
      <c r="F343" s="11"/>
      <c r="G343" s="3"/>
      <c r="H343" s="3"/>
      <c r="I343" s="1"/>
      <c r="J343" s="1"/>
      <c r="K343" s="1"/>
      <c r="L343" s="1"/>
      <c r="M343" s="14">
        <v>25</v>
      </c>
      <c r="N343" s="1"/>
      <c r="O343" s="7"/>
      <c r="P343" s="7">
        <f>CT[[#This Row],[Purchase Rate/MT (USD)]]*CT[[#This Row],[PC Qty (MT)]]</f>
        <v>0</v>
      </c>
      <c r="Q343" s="7">
        <f>CT[[#This Row],[Purchase Rate/MT (USD)]]*CT[[#This Row],[Container Qty]]</f>
        <v>0</v>
      </c>
      <c r="R343" s="7" t="str">
        <f>IF(CT[[#This Row],[BL Number]]&lt;&gt;0,(CT[[#This Row],[Supplier Prov. Price]]-CT[[#This Row],[Supplier Final Price]])*1.2,"")</f>
        <v/>
      </c>
      <c r="S343" s="101"/>
      <c r="T343" s="3"/>
      <c r="U343" s="7"/>
      <c r="V343" s="7"/>
      <c r="W343" s="24"/>
      <c r="X343" s="7">
        <f>IFERROR(CT[[#This Row],[Freight Charges]]+CT[[#This Row],[Inspection Cost/MT]]+CT[[#This Row],[DHL Charges PMT]],"")</f>
        <v>0</v>
      </c>
      <c r="Y343" s="7">
        <f>IFERROR(AF343-(O343+CT[[#This Row],[Cost Per MT]]),"")</f>
        <v>335</v>
      </c>
      <c r="Z343" s="7">
        <f>IFERROR(CT[[#This Row],[Margin/MT]]*CT[[#This Row],[Container Qty]],"")</f>
        <v>0</v>
      </c>
      <c r="AA343" s="7"/>
      <c r="AB343" t="s">
        <v>11</v>
      </c>
      <c r="AC343" s="1" t="s">
        <v>158</v>
      </c>
      <c r="AD343" s="3">
        <v>45861</v>
      </c>
      <c r="AE343" s="14">
        <f t="shared" si="35"/>
        <v>25</v>
      </c>
      <c r="AF343" s="7">
        <v>335</v>
      </c>
      <c r="AG343" s="7">
        <f>CT[[#This Row],[Sales Rate/MT (USD)]]*CT[[#This Row],[SC Qty (MT)]]</f>
        <v>8375</v>
      </c>
      <c r="AH343" s="7" t="str">
        <f>IF(CT[[#This Row],[Container Qty]]&lt;&gt;0,CT[[#This Row],[Sales Rate/MT (USD)]]*CT[[#This Row],[Container Qty]],"")</f>
        <v/>
      </c>
      <c r="AI343" s="7" t="str">
        <f>IF(CT[[#This Row],[Customer Final Price]]&lt;&gt;"",CT[[#This Row],[Customer Final Price]]-CT[[#This Row],[Customer  Prov. Price]],"")</f>
        <v/>
      </c>
      <c r="AJ343" t="s">
        <v>8</v>
      </c>
      <c r="AK343" s="1" t="s">
        <v>159</v>
      </c>
      <c r="AL343" s="1"/>
      <c r="AM343" s="100" t="s">
        <v>134</v>
      </c>
    </row>
    <row r="344" spans="1:39" x14ac:dyDescent="0.25">
      <c r="A344" t="s">
        <v>9</v>
      </c>
      <c r="B344" s="102"/>
      <c r="C344" s="81"/>
      <c r="D344" s="1" t="s">
        <v>67</v>
      </c>
      <c r="F344" s="11"/>
      <c r="G344" s="3"/>
      <c r="H344" s="3"/>
      <c r="I344" s="1"/>
      <c r="J344" s="1"/>
      <c r="K344" s="1"/>
      <c r="L344" s="1"/>
      <c r="M344" s="14">
        <v>25</v>
      </c>
      <c r="N344" s="1"/>
      <c r="O344" s="7"/>
      <c r="P344" s="7">
        <f>CT[[#This Row],[Purchase Rate/MT (USD)]]*CT[[#This Row],[PC Qty (MT)]]</f>
        <v>0</v>
      </c>
      <c r="Q344" s="7">
        <f>CT[[#This Row],[Purchase Rate/MT (USD)]]*CT[[#This Row],[Container Qty]]</f>
        <v>0</v>
      </c>
      <c r="R344" s="7" t="str">
        <f>IF(CT[[#This Row],[BL Number]]&lt;&gt;0,(CT[[#This Row],[Supplier Prov. Price]]-CT[[#This Row],[Supplier Final Price]])*1.2,"")</f>
        <v/>
      </c>
      <c r="S344" s="101"/>
      <c r="T344" s="3"/>
      <c r="U344" s="7"/>
      <c r="V344" s="7"/>
      <c r="W344" s="24"/>
      <c r="X344" s="7">
        <f>IFERROR(CT[[#This Row],[Freight Charges]]+CT[[#This Row],[Inspection Cost/MT]]+CT[[#This Row],[DHL Charges PMT]],"")</f>
        <v>0</v>
      </c>
      <c r="Y344" s="7">
        <f>IFERROR(AF344-(O344+CT[[#This Row],[Cost Per MT]]),"")</f>
        <v>335</v>
      </c>
      <c r="Z344" s="7">
        <f>IFERROR(CT[[#This Row],[Margin/MT]]*CT[[#This Row],[Container Qty]],"")</f>
        <v>0</v>
      </c>
      <c r="AA344" s="7"/>
      <c r="AB344" t="s">
        <v>11</v>
      </c>
      <c r="AC344" s="1" t="s">
        <v>158</v>
      </c>
      <c r="AD344" s="3">
        <v>45861</v>
      </c>
      <c r="AE344" s="14">
        <f t="shared" si="35"/>
        <v>25</v>
      </c>
      <c r="AF344" s="7">
        <v>335</v>
      </c>
      <c r="AG344" s="7">
        <f>CT[[#This Row],[Sales Rate/MT (USD)]]*CT[[#This Row],[SC Qty (MT)]]</f>
        <v>8375</v>
      </c>
      <c r="AH344" s="7" t="str">
        <f>IF(CT[[#This Row],[Container Qty]]&lt;&gt;0,CT[[#This Row],[Sales Rate/MT (USD)]]*CT[[#This Row],[Container Qty]],"")</f>
        <v/>
      </c>
      <c r="AI344" s="7" t="str">
        <f>IF(CT[[#This Row],[Customer Final Price]]&lt;&gt;"",CT[[#This Row],[Customer Final Price]]-CT[[#This Row],[Customer  Prov. Price]],"")</f>
        <v/>
      </c>
      <c r="AJ344" t="s">
        <v>8</v>
      </c>
      <c r="AK344" s="1" t="s">
        <v>159</v>
      </c>
      <c r="AL344" s="1"/>
      <c r="AM344" s="100" t="s">
        <v>134</v>
      </c>
    </row>
    <row r="345" spans="1:39" x14ac:dyDescent="0.25">
      <c r="A345" t="s">
        <v>9</v>
      </c>
      <c r="B345" s="102"/>
      <c r="C345" s="81"/>
      <c r="D345" s="1" t="s">
        <v>67</v>
      </c>
      <c r="F345" s="11"/>
      <c r="G345" s="3"/>
      <c r="H345" s="3"/>
      <c r="I345" s="1"/>
      <c r="J345" s="1"/>
      <c r="K345" s="1"/>
      <c r="L345" s="1"/>
      <c r="M345" s="14">
        <v>25</v>
      </c>
      <c r="N345" s="1"/>
      <c r="O345" s="7"/>
      <c r="P345" s="7">
        <f>CT[[#This Row],[Purchase Rate/MT (USD)]]*CT[[#This Row],[PC Qty (MT)]]</f>
        <v>0</v>
      </c>
      <c r="Q345" s="7">
        <f>CT[[#This Row],[Purchase Rate/MT (USD)]]*CT[[#This Row],[Container Qty]]</f>
        <v>0</v>
      </c>
      <c r="R345" s="7" t="str">
        <f>IF(CT[[#This Row],[BL Number]]&lt;&gt;0,(CT[[#This Row],[Supplier Prov. Price]]-CT[[#This Row],[Supplier Final Price]])*1.2,"")</f>
        <v/>
      </c>
      <c r="S345" s="101"/>
      <c r="T345" s="3"/>
      <c r="U345" s="7"/>
      <c r="V345" s="7"/>
      <c r="W345" s="24"/>
      <c r="X345" s="7">
        <f>IFERROR(CT[[#This Row],[Freight Charges]]+CT[[#This Row],[Inspection Cost/MT]]+CT[[#This Row],[DHL Charges PMT]],"")</f>
        <v>0</v>
      </c>
      <c r="Y345" s="7">
        <f>IFERROR(AF345-(O345+CT[[#This Row],[Cost Per MT]]),"")</f>
        <v>335</v>
      </c>
      <c r="Z345" s="7">
        <f>IFERROR(CT[[#This Row],[Margin/MT]]*CT[[#This Row],[Container Qty]],"")</f>
        <v>0</v>
      </c>
      <c r="AA345" s="7"/>
      <c r="AB345" t="s">
        <v>11</v>
      </c>
      <c r="AC345" s="1" t="s">
        <v>158</v>
      </c>
      <c r="AD345" s="3">
        <v>45861</v>
      </c>
      <c r="AE345" s="14">
        <f t="shared" si="35"/>
        <v>25</v>
      </c>
      <c r="AF345" s="7">
        <v>335</v>
      </c>
      <c r="AG345" s="7">
        <f>CT[[#This Row],[Sales Rate/MT (USD)]]*CT[[#This Row],[SC Qty (MT)]]</f>
        <v>8375</v>
      </c>
      <c r="AH345" s="7" t="str">
        <f>IF(CT[[#This Row],[Container Qty]]&lt;&gt;0,CT[[#This Row],[Sales Rate/MT (USD)]]*CT[[#This Row],[Container Qty]],"")</f>
        <v/>
      </c>
      <c r="AI345" s="7" t="str">
        <f>IF(CT[[#This Row],[Customer Final Price]]&lt;&gt;"",CT[[#This Row],[Customer Final Price]]-CT[[#This Row],[Customer  Prov. Price]],"")</f>
        <v/>
      </c>
      <c r="AJ345" t="s">
        <v>8</v>
      </c>
      <c r="AK345" s="1" t="s">
        <v>159</v>
      </c>
      <c r="AL345" s="1"/>
      <c r="AM345" s="100" t="s">
        <v>134</v>
      </c>
    </row>
    <row r="346" spans="1:39" x14ac:dyDescent="0.25">
      <c r="A346" t="s">
        <v>9</v>
      </c>
      <c r="B346" s="102"/>
      <c r="C346" s="81"/>
      <c r="D346" s="1" t="s">
        <v>67</v>
      </c>
      <c r="F346" s="11"/>
      <c r="G346" s="3"/>
      <c r="H346" s="3"/>
      <c r="I346" s="1"/>
      <c r="J346" s="1"/>
      <c r="K346" s="1"/>
      <c r="L346" s="1"/>
      <c r="M346" s="14">
        <v>25</v>
      </c>
      <c r="N346" s="1"/>
      <c r="O346" s="7"/>
      <c r="P346" s="7">
        <f>CT[[#This Row],[Purchase Rate/MT (USD)]]*CT[[#This Row],[PC Qty (MT)]]</f>
        <v>0</v>
      </c>
      <c r="Q346" s="7">
        <f>CT[[#This Row],[Purchase Rate/MT (USD)]]*CT[[#This Row],[Container Qty]]</f>
        <v>0</v>
      </c>
      <c r="R346" s="7" t="str">
        <f>IF(CT[[#This Row],[BL Number]]&lt;&gt;0,(CT[[#This Row],[Supplier Prov. Price]]-CT[[#This Row],[Supplier Final Price]])*1.2,"")</f>
        <v/>
      </c>
      <c r="S346" s="101"/>
      <c r="T346" s="3"/>
      <c r="U346" s="7"/>
      <c r="V346" s="7"/>
      <c r="W346" s="24"/>
      <c r="X346" s="7">
        <f>IFERROR(CT[[#This Row],[Freight Charges]]+CT[[#This Row],[Inspection Cost/MT]]+CT[[#This Row],[DHL Charges PMT]],"")</f>
        <v>0</v>
      </c>
      <c r="Y346" s="7">
        <f>IFERROR(AF346-(O346+CT[[#This Row],[Cost Per MT]]),"")</f>
        <v>335</v>
      </c>
      <c r="Z346" s="7">
        <f>IFERROR(CT[[#This Row],[Margin/MT]]*CT[[#This Row],[Container Qty]],"")</f>
        <v>0</v>
      </c>
      <c r="AA346" s="7"/>
      <c r="AB346" t="s">
        <v>11</v>
      </c>
      <c r="AC346" s="1" t="s">
        <v>158</v>
      </c>
      <c r="AD346" s="3">
        <v>45861</v>
      </c>
      <c r="AE346" s="14">
        <f t="shared" si="35"/>
        <v>25</v>
      </c>
      <c r="AF346" s="7">
        <v>335</v>
      </c>
      <c r="AG346" s="7">
        <f>CT[[#This Row],[Sales Rate/MT (USD)]]*CT[[#This Row],[SC Qty (MT)]]</f>
        <v>8375</v>
      </c>
      <c r="AH346" s="7" t="str">
        <f>IF(CT[[#This Row],[Container Qty]]&lt;&gt;0,CT[[#This Row],[Sales Rate/MT (USD)]]*CT[[#This Row],[Container Qty]],"")</f>
        <v/>
      </c>
      <c r="AI346" s="7" t="str">
        <f>IF(CT[[#This Row],[Customer Final Price]]&lt;&gt;"",CT[[#This Row],[Customer Final Price]]-CT[[#This Row],[Customer  Prov. Price]],"")</f>
        <v/>
      </c>
      <c r="AJ346" t="s">
        <v>8</v>
      </c>
      <c r="AK346" s="1" t="s">
        <v>159</v>
      </c>
      <c r="AL346" s="1"/>
      <c r="AM346" s="100" t="s">
        <v>134</v>
      </c>
    </row>
    <row r="347" spans="1:39" x14ac:dyDescent="0.25">
      <c r="A347" t="s">
        <v>9</v>
      </c>
      <c r="B347" s="102"/>
      <c r="C347" s="81"/>
      <c r="D347" s="1" t="s">
        <v>67</v>
      </c>
      <c r="F347" s="11"/>
      <c r="G347" s="3"/>
      <c r="H347" s="3"/>
      <c r="I347" s="1"/>
      <c r="J347" s="1"/>
      <c r="K347" s="1"/>
      <c r="L347" s="1"/>
      <c r="M347" s="14">
        <v>25</v>
      </c>
      <c r="N347" s="1"/>
      <c r="O347" s="7"/>
      <c r="P347" s="7">
        <f>CT[[#This Row],[Purchase Rate/MT (USD)]]*CT[[#This Row],[PC Qty (MT)]]</f>
        <v>0</v>
      </c>
      <c r="Q347" s="7">
        <f>CT[[#This Row],[Purchase Rate/MT (USD)]]*CT[[#This Row],[Container Qty]]</f>
        <v>0</v>
      </c>
      <c r="R347" s="7" t="str">
        <f>IF(CT[[#This Row],[BL Number]]&lt;&gt;0,(CT[[#This Row],[Supplier Prov. Price]]-CT[[#This Row],[Supplier Final Price]])*1.2,"")</f>
        <v/>
      </c>
      <c r="S347" s="101"/>
      <c r="T347" s="3"/>
      <c r="U347" s="7"/>
      <c r="V347" s="7"/>
      <c r="W347" s="24"/>
      <c r="X347" s="7">
        <f>IFERROR(CT[[#This Row],[Freight Charges]]+CT[[#This Row],[Inspection Cost/MT]]+CT[[#This Row],[DHL Charges PMT]],"")</f>
        <v>0</v>
      </c>
      <c r="Y347" s="7">
        <f>IFERROR(AF347-(O347+CT[[#This Row],[Cost Per MT]]),"")</f>
        <v>335</v>
      </c>
      <c r="Z347" s="7">
        <f>IFERROR(CT[[#This Row],[Margin/MT]]*CT[[#This Row],[Container Qty]],"")</f>
        <v>0</v>
      </c>
      <c r="AA347" s="7"/>
      <c r="AB347" t="s">
        <v>11</v>
      </c>
      <c r="AC347" s="1" t="s">
        <v>158</v>
      </c>
      <c r="AD347" s="3">
        <v>45861</v>
      </c>
      <c r="AE347" s="14">
        <f t="shared" si="35"/>
        <v>25</v>
      </c>
      <c r="AF347" s="7">
        <v>335</v>
      </c>
      <c r="AG347" s="7">
        <f>CT[[#This Row],[Sales Rate/MT (USD)]]*CT[[#This Row],[SC Qty (MT)]]</f>
        <v>8375</v>
      </c>
      <c r="AH347" s="7" t="str">
        <f>IF(CT[[#This Row],[Container Qty]]&lt;&gt;0,CT[[#This Row],[Sales Rate/MT (USD)]]*CT[[#This Row],[Container Qty]],"")</f>
        <v/>
      </c>
      <c r="AI347" s="7" t="str">
        <f>IF(CT[[#This Row],[Customer Final Price]]&lt;&gt;"",CT[[#This Row],[Customer Final Price]]-CT[[#This Row],[Customer  Prov. Price]],"")</f>
        <v/>
      </c>
      <c r="AJ347" t="s">
        <v>8</v>
      </c>
      <c r="AK347" s="1" t="s">
        <v>159</v>
      </c>
      <c r="AL347" s="1"/>
      <c r="AM347" s="100" t="s">
        <v>134</v>
      </c>
    </row>
    <row r="348" spans="1:39" x14ac:dyDescent="0.25">
      <c r="A348" t="s">
        <v>9</v>
      </c>
      <c r="B348" s="102"/>
      <c r="C348" s="81"/>
      <c r="D348" s="1" t="s">
        <v>67</v>
      </c>
      <c r="F348" s="11"/>
      <c r="G348" s="3"/>
      <c r="H348" s="3"/>
      <c r="I348" s="1"/>
      <c r="J348" s="1"/>
      <c r="K348" s="1"/>
      <c r="L348" s="1"/>
      <c r="M348" s="14">
        <v>25</v>
      </c>
      <c r="N348" s="1"/>
      <c r="O348" s="7"/>
      <c r="P348" s="7">
        <f>CT[[#This Row],[Purchase Rate/MT (USD)]]*CT[[#This Row],[PC Qty (MT)]]</f>
        <v>0</v>
      </c>
      <c r="Q348" s="7">
        <f>CT[[#This Row],[Purchase Rate/MT (USD)]]*CT[[#This Row],[Container Qty]]</f>
        <v>0</v>
      </c>
      <c r="R348" s="7" t="str">
        <f>IF(CT[[#This Row],[BL Number]]&lt;&gt;0,(CT[[#This Row],[Supplier Prov. Price]]-CT[[#This Row],[Supplier Final Price]])*1.2,"")</f>
        <v/>
      </c>
      <c r="S348" s="101"/>
      <c r="T348" s="3"/>
      <c r="U348" s="7"/>
      <c r="V348" s="7"/>
      <c r="W348" s="24"/>
      <c r="X348" s="7">
        <f>IFERROR(CT[[#This Row],[Freight Charges]]+CT[[#This Row],[Inspection Cost/MT]]+CT[[#This Row],[DHL Charges PMT]],"")</f>
        <v>0</v>
      </c>
      <c r="Y348" s="7">
        <f>IFERROR(AF348-(O348+CT[[#This Row],[Cost Per MT]]),"")</f>
        <v>335</v>
      </c>
      <c r="Z348" s="7">
        <f>IFERROR(CT[[#This Row],[Margin/MT]]*CT[[#This Row],[Container Qty]],"")</f>
        <v>0</v>
      </c>
      <c r="AA348" s="7"/>
      <c r="AB348" t="s">
        <v>11</v>
      </c>
      <c r="AC348" s="1" t="s">
        <v>158</v>
      </c>
      <c r="AD348" s="3">
        <v>45861</v>
      </c>
      <c r="AE348" s="14">
        <f t="shared" si="35"/>
        <v>25</v>
      </c>
      <c r="AF348" s="7">
        <v>335</v>
      </c>
      <c r="AG348" s="7">
        <f>CT[[#This Row],[Sales Rate/MT (USD)]]*CT[[#This Row],[SC Qty (MT)]]</f>
        <v>8375</v>
      </c>
      <c r="AH348" s="7" t="str">
        <f>IF(CT[[#This Row],[Container Qty]]&lt;&gt;0,CT[[#This Row],[Sales Rate/MT (USD)]]*CT[[#This Row],[Container Qty]],"")</f>
        <v/>
      </c>
      <c r="AI348" s="7" t="str">
        <f>IF(CT[[#This Row],[Customer Final Price]]&lt;&gt;"",CT[[#This Row],[Customer Final Price]]-CT[[#This Row],[Customer  Prov. Price]],"")</f>
        <v/>
      </c>
      <c r="AJ348" t="s">
        <v>8</v>
      </c>
      <c r="AK348" s="1" t="s">
        <v>159</v>
      </c>
      <c r="AL348" s="1"/>
      <c r="AM348" s="100" t="s">
        <v>134</v>
      </c>
    </row>
    <row r="349" spans="1:39" x14ac:dyDescent="0.25">
      <c r="A349" t="s">
        <v>9</v>
      </c>
      <c r="B349" s="102"/>
      <c r="C349" s="81"/>
      <c r="D349" s="1" t="s">
        <v>67</v>
      </c>
      <c r="F349" s="11"/>
      <c r="G349" s="3"/>
      <c r="H349" s="3"/>
      <c r="I349" s="1"/>
      <c r="J349" s="1"/>
      <c r="K349" s="1"/>
      <c r="L349" s="1"/>
      <c r="M349" s="14">
        <v>25</v>
      </c>
      <c r="N349" s="1"/>
      <c r="O349" s="7"/>
      <c r="P349" s="7">
        <f>CT[[#This Row],[Purchase Rate/MT (USD)]]*CT[[#This Row],[PC Qty (MT)]]</f>
        <v>0</v>
      </c>
      <c r="Q349" s="7">
        <f>CT[[#This Row],[Purchase Rate/MT (USD)]]*CT[[#This Row],[Container Qty]]</f>
        <v>0</v>
      </c>
      <c r="R349" s="7" t="str">
        <f>IF(CT[[#This Row],[BL Number]]&lt;&gt;0,(CT[[#This Row],[Supplier Prov. Price]]-CT[[#This Row],[Supplier Final Price]])*1.2,"")</f>
        <v/>
      </c>
      <c r="S349" s="101"/>
      <c r="T349" s="3"/>
      <c r="U349" s="7"/>
      <c r="V349" s="7"/>
      <c r="W349" s="24"/>
      <c r="X349" s="7">
        <f>IFERROR(CT[[#This Row],[Freight Charges]]+CT[[#This Row],[Inspection Cost/MT]]+CT[[#This Row],[DHL Charges PMT]],"")</f>
        <v>0</v>
      </c>
      <c r="Y349" s="7">
        <f>IFERROR(AF349-(O349+CT[[#This Row],[Cost Per MT]]),"")</f>
        <v>335</v>
      </c>
      <c r="Z349" s="7">
        <f>IFERROR(CT[[#This Row],[Margin/MT]]*CT[[#This Row],[Container Qty]],"")</f>
        <v>0</v>
      </c>
      <c r="AA349" s="7"/>
      <c r="AB349" t="s">
        <v>11</v>
      </c>
      <c r="AC349" s="1" t="s">
        <v>158</v>
      </c>
      <c r="AD349" s="3">
        <v>45861</v>
      </c>
      <c r="AE349" s="14">
        <f t="shared" si="35"/>
        <v>25</v>
      </c>
      <c r="AF349" s="7">
        <v>335</v>
      </c>
      <c r="AG349" s="7">
        <f>CT[[#This Row],[Sales Rate/MT (USD)]]*CT[[#This Row],[SC Qty (MT)]]</f>
        <v>8375</v>
      </c>
      <c r="AH349" s="7" t="str">
        <f>IF(CT[[#This Row],[Container Qty]]&lt;&gt;0,CT[[#This Row],[Sales Rate/MT (USD)]]*CT[[#This Row],[Container Qty]],"")</f>
        <v/>
      </c>
      <c r="AI349" s="7" t="str">
        <f>IF(CT[[#This Row],[Customer Final Price]]&lt;&gt;"",CT[[#This Row],[Customer Final Price]]-CT[[#This Row],[Customer  Prov. Price]],"")</f>
        <v/>
      </c>
      <c r="AJ349" t="s">
        <v>8</v>
      </c>
      <c r="AK349" s="1" t="s">
        <v>159</v>
      </c>
      <c r="AL349" s="1"/>
      <c r="AM349" s="100" t="s">
        <v>134</v>
      </c>
    </row>
    <row r="350" spans="1:39" x14ac:dyDescent="0.25">
      <c r="A350" t="s">
        <v>9</v>
      </c>
      <c r="B350" s="102"/>
      <c r="C350" s="81"/>
      <c r="D350" s="1" t="s">
        <v>67</v>
      </c>
      <c r="F350" s="11"/>
      <c r="G350" s="3"/>
      <c r="H350" s="3"/>
      <c r="I350" s="1"/>
      <c r="J350" s="1"/>
      <c r="K350" s="1"/>
      <c r="L350" s="1"/>
      <c r="M350" s="14">
        <v>25</v>
      </c>
      <c r="N350" s="1"/>
      <c r="O350" s="7"/>
      <c r="P350" s="7">
        <f>CT[[#This Row],[Purchase Rate/MT (USD)]]*CT[[#This Row],[PC Qty (MT)]]</f>
        <v>0</v>
      </c>
      <c r="Q350" s="7">
        <f>CT[[#This Row],[Purchase Rate/MT (USD)]]*CT[[#This Row],[Container Qty]]</f>
        <v>0</v>
      </c>
      <c r="R350" s="7" t="str">
        <f>IF(CT[[#This Row],[BL Number]]&lt;&gt;0,(CT[[#This Row],[Supplier Prov. Price]]-CT[[#This Row],[Supplier Final Price]])*1.2,"")</f>
        <v/>
      </c>
      <c r="S350" s="101"/>
      <c r="T350" s="3"/>
      <c r="U350" s="7"/>
      <c r="V350" s="7"/>
      <c r="W350" s="24"/>
      <c r="X350" s="7">
        <f>IFERROR(CT[[#This Row],[Freight Charges]]+CT[[#This Row],[Inspection Cost/MT]]+CT[[#This Row],[DHL Charges PMT]],"")</f>
        <v>0</v>
      </c>
      <c r="Y350" s="7">
        <f>IFERROR(AF350-(O350+CT[[#This Row],[Cost Per MT]]),"")</f>
        <v>335</v>
      </c>
      <c r="Z350" s="7">
        <f>IFERROR(CT[[#This Row],[Margin/MT]]*CT[[#This Row],[Container Qty]],"")</f>
        <v>0</v>
      </c>
      <c r="AA350" s="7"/>
      <c r="AB350" t="s">
        <v>11</v>
      </c>
      <c r="AC350" s="1" t="s">
        <v>158</v>
      </c>
      <c r="AD350" s="3">
        <v>45861</v>
      </c>
      <c r="AE350" s="14">
        <f t="shared" si="35"/>
        <v>25</v>
      </c>
      <c r="AF350" s="7">
        <v>335</v>
      </c>
      <c r="AG350" s="7">
        <f>CT[[#This Row],[Sales Rate/MT (USD)]]*CT[[#This Row],[SC Qty (MT)]]</f>
        <v>8375</v>
      </c>
      <c r="AH350" s="7" t="str">
        <f>IF(CT[[#This Row],[Container Qty]]&lt;&gt;0,CT[[#This Row],[Sales Rate/MT (USD)]]*CT[[#This Row],[Container Qty]],"")</f>
        <v/>
      </c>
      <c r="AI350" s="7" t="str">
        <f>IF(CT[[#This Row],[Customer Final Price]]&lt;&gt;"",CT[[#This Row],[Customer Final Price]]-CT[[#This Row],[Customer  Prov. Price]],"")</f>
        <v/>
      </c>
      <c r="AJ350" t="s">
        <v>8</v>
      </c>
      <c r="AK350" s="1" t="s">
        <v>159</v>
      </c>
      <c r="AL350" s="1"/>
      <c r="AM350" s="100" t="s">
        <v>134</v>
      </c>
    </row>
    <row r="351" spans="1:39" x14ac:dyDescent="0.25">
      <c r="A351" t="s">
        <v>9</v>
      </c>
      <c r="B351" s="102"/>
      <c r="C351" s="81"/>
      <c r="D351" s="1" t="s">
        <v>67</v>
      </c>
      <c r="F351" s="11"/>
      <c r="G351" s="3"/>
      <c r="H351" s="3"/>
      <c r="I351" s="1"/>
      <c r="J351" s="1"/>
      <c r="K351" s="1"/>
      <c r="L351" s="1"/>
      <c r="M351" s="14">
        <v>25</v>
      </c>
      <c r="N351" s="1"/>
      <c r="O351" s="7"/>
      <c r="P351" s="7">
        <f>CT[[#This Row],[Purchase Rate/MT (USD)]]*CT[[#This Row],[PC Qty (MT)]]</f>
        <v>0</v>
      </c>
      <c r="Q351" s="7">
        <f>CT[[#This Row],[Purchase Rate/MT (USD)]]*CT[[#This Row],[Container Qty]]</f>
        <v>0</v>
      </c>
      <c r="R351" s="7" t="str">
        <f>IF(CT[[#This Row],[BL Number]]&lt;&gt;0,(CT[[#This Row],[Supplier Prov. Price]]-CT[[#This Row],[Supplier Final Price]])*1.2,"")</f>
        <v/>
      </c>
      <c r="S351" s="101"/>
      <c r="T351" s="3"/>
      <c r="U351" s="7"/>
      <c r="V351" s="7"/>
      <c r="W351" s="24"/>
      <c r="X351" s="7">
        <f>IFERROR(CT[[#This Row],[Freight Charges]]+CT[[#This Row],[Inspection Cost/MT]]+CT[[#This Row],[DHL Charges PMT]],"")</f>
        <v>0</v>
      </c>
      <c r="Y351" s="7">
        <f>IFERROR(AF351-(O351+CT[[#This Row],[Cost Per MT]]),"")</f>
        <v>335</v>
      </c>
      <c r="Z351" s="7">
        <f>IFERROR(CT[[#This Row],[Margin/MT]]*CT[[#This Row],[Container Qty]],"")</f>
        <v>0</v>
      </c>
      <c r="AA351" s="7"/>
      <c r="AB351" t="s">
        <v>11</v>
      </c>
      <c r="AC351" s="1" t="s">
        <v>158</v>
      </c>
      <c r="AD351" s="3">
        <v>45861</v>
      </c>
      <c r="AE351" s="14">
        <f t="shared" si="35"/>
        <v>25</v>
      </c>
      <c r="AF351" s="7">
        <v>335</v>
      </c>
      <c r="AG351" s="7">
        <f>CT[[#This Row],[Sales Rate/MT (USD)]]*CT[[#This Row],[SC Qty (MT)]]</f>
        <v>8375</v>
      </c>
      <c r="AH351" s="7" t="str">
        <f>IF(CT[[#This Row],[Container Qty]]&lt;&gt;0,CT[[#This Row],[Sales Rate/MT (USD)]]*CT[[#This Row],[Container Qty]],"")</f>
        <v/>
      </c>
      <c r="AI351" s="7" t="str">
        <f>IF(CT[[#This Row],[Customer Final Price]]&lt;&gt;"",CT[[#This Row],[Customer Final Price]]-CT[[#This Row],[Customer  Prov. Price]],"")</f>
        <v/>
      </c>
      <c r="AJ351" t="s">
        <v>8</v>
      </c>
      <c r="AK351" s="1" t="s">
        <v>159</v>
      </c>
      <c r="AL351" s="1"/>
      <c r="AM351" s="100" t="s">
        <v>134</v>
      </c>
    </row>
    <row r="352" spans="1:39" x14ac:dyDescent="0.25">
      <c r="A352" t="s">
        <v>9</v>
      </c>
      <c r="B352" s="102"/>
      <c r="C352" s="81"/>
      <c r="D352" s="1" t="s">
        <v>67</v>
      </c>
      <c r="F352" s="11"/>
      <c r="G352" s="3"/>
      <c r="H352" s="3"/>
      <c r="I352" s="1"/>
      <c r="J352" s="1"/>
      <c r="K352" s="1"/>
      <c r="L352" s="1"/>
      <c r="M352" s="14">
        <v>25</v>
      </c>
      <c r="N352" s="1"/>
      <c r="O352" s="7"/>
      <c r="P352" s="7">
        <f>CT[[#This Row],[Purchase Rate/MT (USD)]]*CT[[#This Row],[PC Qty (MT)]]</f>
        <v>0</v>
      </c>
      <c r="Q352" s="7">
        <f>CT[[#This Row],[Purchase Rate/MT (USD)]]*CT[[#This Row],[Container Qty]]</f>
        <v>0</v>
      </c>
      <c r="R352" s="7" t="str">
        <f>IF(CT[[#This Row],[BL Number]]&lt;&gt;0,(CT[[#This Row],[Supplier Prov. Price]]-CT[[#This Row],[Supplier Final Price]])*1.2,"")</f>
        <v/>
      </c>
      <c r="S352" s="101"/>
      <c r="T352" s="3"/>
      <c r="U352" s="7"/>
      <c r="V352" s="7"/>
      <c r="W352" s="24"/>
      <c r="X352" s="7">
        <f>IFERROR(CT[[#This Row],[Freight Charges]]+CT[[#This Row],[Inspection Cost/MT]]+CT[[#This Row],[DHL Charges PMT]],"")</f>
        <v>0</v>
      </c>
      <c r="Y352" s="7">
        <f>IFERROR(AF352-(O352+CT[[#This Row],[Cost Per MT]]),"")</f>
        <v>335</v>
      </c>
      <c r="Z352" s="7">
        <f>IFERROR(CT[[#This Row],[Margin/MT]]*CT[[#This Row],[Container Qty]],"")</f>
        <v>0</v>
      </c>
      <c r="AA352" s="7"/>
      <c r="AB352" t="s">
        <v>11</v>
      </c>
      <c r="AC352" s="1" t="s">
        <v>158</v>
      </c>
      <c r="AD352" s="3">
        <v>45861</v>
      </c>
      <c r="AE352" s="14">
        <f t="shared" si="35"/>
        <v>25</v>
      </c>
      <c r="AF352" s="7">
        <v>335</v>
      </c>
      <c r="AG352" s="7">
        <f>CT[[#This Row],[Sales Rate/MT (USD)]]*CT[[#This Row],[SC Qty (MT)]]</f>
        <v>8375</v>
      </c>
      <c r="AH352" s="7" t="str">
        <f>IF(CT[[#This Row],[Container Qty]]&lt;&gt;0,CT[[#This Row],[Sales Rate/MT (USD)]]*CT[[#This Row],[Container Qty]],"")</f>
        <v/>
      </c>
      <c r="AI352" s="7" t="str">
        <f>IF(CT[[#This Row],[Customer Final Price]]&lt;&gt;"",CT[[#This Row],[Customer Final Price]]-CT[[#This Row],[Customer  Prov. Price]],"")</f>
        <v/>
      </c>
      <c r="AJ352" t="s">
        <v>8</v>
      </c>
      <c r="AK352" s="1" t="s">
        <v>159</v>
      </c>
      <c r="AL352" s="1"/>
      <c r="AM352" s="100" t="s">
        <v>134</v>
      </c>
    </row>
    <row r="353" spans="1:39" x14ac:dyDescent="0.25">
      <c r="A353" t="s">
        <v>9</v>
      </c>
      <c r="B353" s="102"/>
      <c r="C353" s="81"/>
      <c r="D353" s="1" t="s">
        <v>67</v>
      </c>
      <c r="F353" s="11"/>
      <c r="G353" s="3"/>
      <c r="H353" s="3"/>
      <c r="I353" s="1"/>
      <c r="J353" s="1"/>
      <c r="K353" s="1"/>
      <c r="L353" s="1"/>
      <c r="M353" s="14">
        <v>25</v>
      </c>
      <c r="N353" s="1"/>
      <c r="O353" s="7"/>
      <c r="P353" s="7">
        <f>CT[[#This Row],[Purchase Rate/MT (USD)]]*CT[[#This Row],[PC Qty (MT)]]</f>
        <v>0</v>
      </c>
      <c r="Q353" s="7">
        <f>CT[[#This Row],[Purchase Rate/MT (USD)]]*CT[[#This Row],[Container Qty]]</f>
        <v>0</v>
      </c>
      <c r="R353" s="7" t="str">
        <f>IF(CT[[#This Row],[BL Number]]&lt;&gt;0,(CT[[#This Row],[Supplier Prov. Price]]-CT[[#This Row],[Supplier Final Price]])*1.2,"")</f>
        <v/>
      </c>
      <c r="S353" s="101"/>
      <c r="T353" s="3"/>
      <c r="U353" s="7"/>
      <c r="V353" s="7"/>
      <c r="W353" s="24"/>
      <c r="X353" s="7">
        <f>IFERROR(CT[[#This Row],[Freight Charges]]+CT[[#This Row],[Inspection Cost/MT]]+CT[[#This Row],[DHL Charges PMT]],"")</f>
        <v>0</v>
      </c>
      <c r="Y353" s="7">
        <f>IFERROR(AF353-(O353+CT[[#This Row],[Cost Per MT]]),"")</f>
        <v>335</v>
      </c>
      <c r="Z353" s="7">
        <f>IFERROR(CT[[#This Row],[Margin/MT]]*CT[[#This Row],[Container Qty]],"")</f>
        <v>0</v>
      </c>
      <c r="AA353" s="7"/>
      <c r="AB353" t="s">
        <v>11</v>
      </c>
      <c r="AC353" s="1" t="s">
        <v>158</v>
      </c>
      <c r="AD353" s="3">
        <v>45861</v>
      </c>
      <c r="AE353" s="14">
        <f t="shared" si="35"/>
        <v>25</v>
      </c>
      <c r="AF353" s="7">
        <v>335</v>
      </c>
      <c r="AG353" s="7">
        <f>CT[[#This Row],[Sales Rate/MT (USD)]]*CT[[#This Row],[SC Qty (MT)]]</f>
        <v>8375</v>
      </c>
      <c r="AH353" s="7" t="str">
        <f>IF(CT[[#This Row],[Container Qty]]&lt;&gt;0,CT[[#This Row],[Sales Rate/MT (USD)]]*CT[[#This Row],[Container Qty]],"")</f>
        <v/>
      </c>
      <c r="AI353" s="7" t="str">
        <f>IF(CT[[#This Row],[Customer Final Price]]&lt;&gt;"",CT[[#This Row],[Customer Final Price]]-CT[[#This Row],[Customer  Prov. Price]],"")</f>
        <v/>
      </c>
      <c r="AJ353" t="s">
        <v>8</v>
      </c>
      <c r="AK353" s="1" t="s">
        <v>159</v>
      </c>
      <c r="AL353" s="1"/>
      <c r="AM353" s="100" t="s">
        <v>134</v>
      </c>
    </row>
    <row r="354" spans="1:39" x14ac:dyDescent="0.25">
      <c r="A354" t="s">
        <v>9</v>
      </c>
      <c r="B354" s="102"/>
      <c r="C354" s="81"/>
      <c r="D354" s="1" t="s">
        <v>67</v>
      </c>
      <c r="F354" s="11"/>
      <c r="G354" s="3"/>
      <c r="H354" s="3"/>
      <c r="I354" s="1"/>
      <c r="J354" s="1"/>
      <c r="K354" s="1"/>
      <c r="L354" s="1"/>
      <c r="M354" s="14">
        <v>25</v>
      </c>
      <c r="N354" s="1"/>
      <c r="O354" s="7"/>
      <c r="P354" s="7">
        <f>CT[[#This Row],[Purchase Rate/MT (USD)]]*CT[[#This Row],[PC Qty (MT)]]</f>
        <v>0</v>
      </c>
      <c r="Q354" s="7">
        <f>CT[[#This Row],[Purchase Rate/MT (USD)]]*CT[[#This Row],[Container Qty]]</f>
        <v>0</v>
      </c>
      <c r="R354" s="7" t="str">
        <f>IF(CT[[#This Row],[BL Number]]&lt;&gt;0,(CT[[#This Row],[Supplier Prov. Price]]-CT[[#This Row],[Supplier Final Price]])*1.2,"")</f>
        <v/>
      </c>
      <c r="S354" s="101"/>
      <c r="T354" s="3"/>
      <c r="U354" s="7"/>
      <c r="V354" s="7"/>
      <c r="W354" s="24"/>
      <c r="X354" s="7">
        <f>IFERROR(CT[[#This Row],[Freight Charges]]+CT[[#This Row],[Inspection Cost/MT]]+CT[[#This Row],[DHL Charges PMT]],"")</f>
        <v>0</v>
      </c>
      <c r="Y354" s="7">
        <f>IFERROR(AF354-(O354+CT[[#This Row],[Cost Per MT]]),"")</f>
        <v>335</v>
      </c>
      <c r="Z354" s="7">
        <f>IFERROR(CT[[#This Row],[Margin/MT]]*CT[[#This Row],[Container Qty]],"")</f>
        <v>0</v>
      </c>
      <c r="AA354" s="7"/>
      <c r="AB354" t="s">
        <v>11</v>
      </c>
      <c r="AC354" s="1" t="s">
        <v>158</v>
      </c>
      <c r="AD354" s="3">
        <v>45861</v>
      </c>
      <c r="AE354" s="14">
        <f t="shared" si="35"/>
        <v>25</v>
      </c>
      <c r="AF354" s="7">
        <v>335</v>
      </c>
      <c r="AG354" s="7">
        <f>CT[[#This Row],[Sales Rate/MT (USD)]]*CT[[#This Row],[SC Qty (MT)]]</f>
        <v>8375</v>
      </c>
      <c r="AH354" s="7" t="str">
        <f>IF(CT[[#This Row],[Container Qty]]&lt;&gt;0,CT[[#This Row],[Sales Rate/MT (USD)]]*CT[[#This Row],[Container Qty]],"")</f>
        <v/>
      </c>
      <c r="AI354" s="7" t="str">
        <f>IF(CT[[#This Row],[Customer Final Price]]&lt;&gt;"",CT[[#This Row],[Customer Final Price]]-CT[[#This Row],[Customer  Prov. Price]],"")</f>
        <v/>
      </c>
      <c r="AJ354" t="s">
        <v>8</v>
      </c>
      <c r="AK354" s="1" t="s">
        <v>159</v>
      </c>
      <c r="AL354" s="1"/>
      <c r="AM354" s="100" t="s">
        <v>134</v>
      </c>
    </row>
    <row r="355" spans="1:39" x14ac:dyDescent="0.25">
      <c r="A355" t="s">
        <v>9</v>
      </c>
      <c r="B355" s="102"/>
      <c r="C355" s="81"/>
      <c r="D355" s="1" t="s">
        <v>67</v>
      </c>
      <c r="F355" s="11"/>
      <c r="G355" s="3"/>
      <c r="H355" s="3"/>
      <c r="I355" s="1"/>
      <c r="J355" s="1"/>
      <c r="K355" s="1"/>
      <c r="L355" s="1"/>
      <c r="M355" s="14">
        <v>25</v>
      </c>
      <c r="N355" s="1"/>
      <c r="O355" s="7"/>
      <c r="P355" s="7">
        <f>CT[[#This Row],[Purchase Rate/MT (USD)]]*CT[[#This Row],[PC Qty (MT)]]</f>
        <v>0</v>
      </c>
      <c r="Q355" s="7">
        <f>CT[[#This Row],[Purchase Rate/MT (USD)]]*CT[[#This Row],[Container Qty]]</f>
        <v>0</v>
      </c>
      <c r="R355" s="7" t="str">
        <f>IF(CT[[#This Row],[BL Number]]&lt;&gt;0,(CT[[#This Row],[Supplier Prov. Price]]-CT[[#This Row],[Supplier Final Price]])*1.2,"")</f>
        <v/>
      </c>
      <c r="S355" s="101"/>
      <c r="T355" s="3"/>
      <c r="U355" s="7"/>
      <c r="V355" s="7"/>
      <c r="W355" s="24"/>
      <c r="X355" s="7">
        <f>IFERROR(CT[[#This Row],[Freight Charges]]+CT[[#This Row],[Inspection Cost/MT]]+CT[[#This Row],[DHL Charges PMT]],"")</f>
        <v>0</v>
      </c>
      <c r="Y355" s="7">
        <f>IFERROR(AF355-(O355+CT[[#This Row],[Cost Per MT]]),"")</f>
        <v>335</v>
      </c>
      <c r="Z355" s="7">
        <f>IFERROR(CT[[#This Row],[Margin/MT]]*CT[[#This Row],[Container Qty]],"")</f>
        <v>0</v>
      </c>
      <c r="AA355" s="7"/>
      <c r="AB355" t="s">
        <v>11</v>
      </c>
      <c r="AC355" s="1" t="s">
        <v>158</v>
      </c>
      <c r="AD355" s="3">
        <v>45861</v>
      </c>
      <c r="AE355" s="14">
        <f t="shared" si="35"/>
        <v>25</v>
      </c>
      <c r="AF355" s="7">
        <v>335</v>
      </c>
      <c r="AG355" s="7">
        <f>CT[[#This Row],[Sales Rate/MT (USD)]]*CT[[#This Row],[SC Qty (MT)]]</f>
        <v>8375</v>
      </c>
      <c r="AH355" s="7" t="str">
        <f>IF(CT[[#This Row],[Container Qty]]&lt;&gt;0,CT[[#This Row],[Sales Rate/MT (USD)]]*CT[[#This Row],[Container Qty]],"")</f>
        <v/>
      </c>
      <c r="AI355" s="7" t="str">
        <f>IF(CT[[#This Row],[Customer Final Price]]&lt;&gt;"",CT[[#This Row],[Customer Final Price]]-CT[[#This Row],[Customer  Prov. Price]],"")</f>
        <v/>
      </c>
      <c r="AJ355" t="s">
        <v>8</v>
      </c>
      <c r="AK355" s="1" t="s">
        <v>159</v>
      </c>
      <c r="AL355" s="1"/>
      <c r="AM355" s="100" t="s">
        <v>134</v>
      </c>
    </row>
    <row r="356" spans="1:39" x14ac:dyDescent="0.25">
      <c r="A356" t="s">
        <v>9</v>
      </c>
      <c r="B356" s="102"/>
      <c r="C356" s="81"/>
      <c r="D356" s="1" t="s">
        <v>67</v>
      </c>
      <c r="F356" s="11"/>
      <c r="G356" s="3"/>
      <c r="H356" s="3"/>
      <c r="I356" s="1"/>
      <c r="J356" s="1"/>
      <c r="K356" s="1"/>
      <c r="L356" s="1"/>
      <c r="M356" s="14">
        <v>25</v>
      </c>
      <c r="N356" s="1"/>
      <c r="O356" s="7"/>
      <c r="P356" s="7">
        <f>CT[[#This Row],[Purchase Rate/MT (USD)]]*CT[[#This Row],[PC Qty (MT)]]</f>
        <v>0</v>
      </c>
      <c r="Q356" s="7">
        <f>CT[[#This Row],[Purchase Rate/MT (USD)]]*CT[[#This Row],[Container Qty]]</f>
        <v>0</v>
      </c>
      <c r="R356" s="7" t="str">
        <f>IF(CT[[#This Row],[BL Number]]&lt;&gt;0,(CT[[#This Row],[Supplier Prov. Price]]-CT[[#This Row],[Supplier Final Price]])*1.2,"")</f>
        <v/>
      </c>
      <c r="S356" s="101"/>
      <c r="T356" s="3"/>
      <c r="U356" s="7"/>
      <c r="V356" s="7"/>
      <c r="W356" s="24"/>
      <c r="X356" s="7">
        <f>IFERROR(CT[[#This Row],[Freight Charges]]+CT[[#This Row],[Inspection Cost/MT]]+CT[[#This Row],[DHL Charges PMT]],"")</f>
        <v>0</v>
      </c>
      <c r="Y356" s="7">
        <f>IFERROR(AF356-(O356+CT[[#This Row],[Cost Per MT]]),"")</f>
        <v>335</v>
      </c>
      <c r="Z356" s="7">
        <f>IFERROR(CT[[#This Row],[Margin/MT]]*CT[[#This Row],[Container Qty]],"")</f>
        <v>0</v>
      </c>
      <c r="AA356" s="7"/>
      <c r="AB356" t="s">
        <v>11</v>
      </c>
      <c r="AC356" s="1" t="s">
        <v>158</v>
      </c>
      <c r="AD356" s="3">
        <v>45861</v>
      </c>
      <c r="AE356" s="14">
        <f t="shared" si="35"/>
        <v>25</v>
      </c>
      <c r="AF356" s="7">
        <v>335</v>
      </c>
      <c r="AG356" s="7">
        <f>CT[[#This Row],[Sales Rate/MT (USD)]]*CT[[#This Row],[SC Qty (MT)]]</f>
        <v>8375</v>
      </c>
      <c r="AH356" s="7" t="str">
        <f>IF(CT[[#This Row],[Container Qty]]&lt;&gt;0,CT[[#This Row],[Sales Rate/MT (USD)]]*CT[[#This Row],[Container Qty]],"")</f>
        <v/>
      </c>
      <c r="AI356" s="7" t="str">
        <f>IF(CT[[#This Row],[Customer Final Price]]&lt;&gt;"",CT[[#This Row],[Customer Final Price]]-CT[[#This Row],[Customer  Prov. Price]],"")</f>
        <v/>
      </c>
      <c r="AJ356" t="s">
        <v>8</v>
      </c>
      <c r="AK356" s="1" t="s">
        <v>159</v>
      </c>
      <c r="AL356" s="1"/>
      <c r="AM356" s="100" t="s">
        <v>134</v>
      </c>
    </row>
    <row r="357" spans="1:39" x14ac:dyDescent="0.25">
      <c r="A357" t="s">
        <v>9</v>
      </c>
      <c r="B357" s="102"/>
      <c r="C357" s="81"/>
      <c r="D357" s="1" t="s">
        <v>67</v>
      </c>
      <c r="F357" s="11"/>
      <c r="G357" s="3"/>
      <c r="H357" s="3"/>
      <c r="I357" s="1"/>
      <c r="J357" s="1"/>
      <c r="K357" s="1"/>
      <c r="L357" s="1"/>
      <c r="M357" s="14">
        <v>25</v>
      </c>
      <c r="N357" s="1"/>
      <c r="O357" s="7"/>
      <c r="P357" s="7">
        <f>CT[[#This Row],[Purchase Rate/MT (USD)]]*CT[[#This Row],[PC Qty (MT)]]</f>
        <v>0</v>
      </c>
      <c r="Q357" s="7">
        <f>CT[[#This Row],[Purchase Rate/MT (USD)]]*CT[[#This Row],[Container Qty]]</f>
        <v>0</v>
      </c>
      <c r="R357" s="7" t="str">
        <f>IF(CT[[#This Row],[BL Number]]&lt;&gt;0,(CT[[#This Row],[Supplier Prov. Price]]-CT[[#This Row],[Supplier Final Price]])*1.2,"")</f>
        <v/>
      </c>
      <c r="S357" s="101"/>
      <c r="T357" s="3"/>
      <c r="U357" s="7"/>
      <c r="V357" s="7"/>
      <c r="W357" s="24"/>
      <c r="X357" s="7">
        <f>IFERROR(CT[[#This Row],[Freight Charges]]+CT[[#This Row],[Inspection Cost/MT]]+CT[[#This Row],[DHL Charges PMT]],"")</f>
        <v>0</v>
      </c>
      <c r="Y357" s="7">
        <f>IFERROR(AF357-(O357+CT[[#This Row],[Cost Per MT]]),"")</f>
        <v>335</v>
      </c>
      <c r="Z357" s="7">
        <f>IFERROR(CT[[#This Row],[Margin/MT]]*CT[[#This Row],[Container Qty]],"")</f>
        <v>0</v>
      </c>
      <c r="AA357" s="7"/>
      <c r="AB357" t="s">
        <v>11</v>
      </c>
      <c r="AC357" s="1" t="s">
        <v>158</v>
      </c>
      <c r="AD357" s="3">
        <v>45861</v>
      </c>
      <c r="AE357" s="14">
        <f t="shared" si="35"/>
        <v>25</v>
      </c>
      <c r="AF357" s="7">
        <v>335</v>
      </c>
      <c r="AG357" s="7">
        <f>CT[[#This Row],[Sales Rate/MT (USD)]]*CT[[#This Row],[SC Qty (MT)]]</f>
        <v>8375</v>
      </c>
      <c r="AH357" s="7" t="str">
        <f>IF(CT[[#This Row],[Container Qty]]&lt;&gt;0,CT[[#This Row],[Sales Rate/MT (USD)]]*CT[[#This Row],[Container Qty]],"")</f>
        <v/>
      </c>
      <c r="AI357" s="7" t="str">
        <f>IF(CT[[#This Row],[Customer Final Price]]&lt;&gt;"",CT[[#This Row],[Customer Final Price]]-CT[[#This Row],[Customer  Prov. Price]],"")</f>
        <v/>
      </c>
      <c r="AJ357" t="s">
        <v>8</v>
      </c>
      <c r="AK357" s="1" t="s">
        <v>159</v>
      </c>
      <c r="AL357" s="1"/>
      <c r="AM357" s="100" t="s">
        <v>134</v>
      </c>
    </row>
    <row r="358" spans="1:39" x14ac:dyDescent="0.25">
      <c r="A358" t="s">
        <v>9</v>
      </c>
      <c r="B358" s="102"/>
      <c r="C358" s="81"/>
      <c r="D358" s="1" t="s">
        <v>67</v>
      </c>
      <c r="F358" s="11"/>
      <c r="G358" s="3"/>
      <c r="H358" s="3"/>
      <c r="I358" s="1"/>
      <c r="J358" s="1"/>
      <c r="K358" s="1"/>
      <c r="L358" s="1"/>
      <c r="M358" s="14">
        <v>25</v>
      </c>
      <c r="N358" s="1"/>
      <c r="O358" s="7"/>
      <c r="P358" s="7">
        <f>CT[[#This Row],[Purchase Rate/MT (USD)]]*CT[[#This Row],[PC Qty (MT)]]</f>
        <v>0</v>
      </c>
      <c r="Q358" s="7">
        <f>CT[[#This Row],[Purchase Rate/MT (USD)]]*CT[[#This Row],[Container Qty]]</f>
        <v>0</v>
      </c>
      <c r="R358" s="7" t="str">
        <f>IF(CT[[#This Row],[BL Number]]&lt;&gt;0,(CT[[#This Row],[Supplier Prov. Price]]-CT[[#This Row],[Supplier Final Price]])*1.2,"")</f>
        <v/>
      </c>
      <c r="S358" s="101"/>
      <c r="T358" s="3"/>
      <c r="U358" s="7"/>
      <c r="V358" s="7"/>
      <c r="W358" s="24"/>
      <c r="X358" s="7">
        <f>IFERROR(CT[[#This Row],[Freight Charges]]+CT[[#This Row],[Inspection Cost/MT]]+CT[[#This Row],[DHL Charges PMT]],"")</f>
        <v>0</v>
      </c>
      <c r="Y358" s="7">
        <f>IFERROR(AF358-(O358+CT[[#This Row],[Cost Per MT]]),"")</f>
        <v>335</v>
      </c>
      <c r="Z358" s="7">
        <f>IFERROR(CT[[#This Row],[Margin/MT]]*CT[[#This Row],[Container Qty]],"")</f>
        <v>0</v>
      </c>
      <c r="AA358" s="7"/>
      <c r="AB358" t="s">
        <v>11</v>
      </c>
      <c r="AC358" s="1" t="s">
        <v>158</v>
      </c>
      <c r="AD358" s="3">
        <v>45861</v>
      </c>
      <c r="AE358" s="14">
        <f t="shared" si="35"/>
        <v>25</v>
      </c>
      <c r="AF358" s="7">
        <v>335</v>
      </c>
      <c r="AG358" s="7">
        <f>CT[[#This Row],[Sales Rate/MT (USD)]]*CT[[#This Row],[SC Qty (MT)]]</f>
        <v>8375</v>
      </c>
      <c r="AH358" s="7" t="str">
        <f>IF(CT[[#This Row],[Container Qty]]&lt;&gt;0,CT[[#This Row],[Sales Rate/MT (USD)]]*CT[[#This Row],[Container Qty]],"")</f>
        <v/>
      </c>
      <c r="AI358" s="7" t="str">
        <f>IF(CT[[#This Row],[Customer Final Price]]&lt;&gt;"",CT[[#This Row],[Customer Final Price]]-CT[[#This Row],[Customer  Prov. Price]],"")</f>
        <v/>
      </c>
      <c r="AJ358" t="s">
        <v>8</v>
      </c>
      <c r="AK358" s="1" t="s">
        <v>159</v>
      </c>
      <c r="AL358" s="1"/>
      <c r="AM358" s="100" t="s">
        <v>134</v>
      </c>
    </row>
    <row r="359" spans="1:39" x14ac:dyDescent="0.25">
      <c r="A359" t="s">
        <v>9</v>
      </c>
      <c r="B359" s="102"/>
      <c r="C359" s="81"/>
      <c r="D359" s="1" t="s">
        <v>67</v>
      </c>
      <c r="F359" s="11"/>
      <c r="G359" s="3"/>
      <c r="H359" s="3"/>
      <c r="I359" s="1"/>
      <c r="J359" s="1"/>
      <c r="K359" s="1"/>
      <c r="L359" s="1"/>
      <c r="M359" s="14">
        <v>25</v>
      </c>
      <c r="N359" s="1"/>
      <c r="O359" s="7"/>
      <c r="P359" s="7">
        <f>CT[[#This Row],[Purchase Rate/MT (USD)]]*CT[[#This Row],[PC Qty (MT)]]</f>
        <v>0</v>
      </c>
      <c r="Q359" s="7">
        <f>CT[[#This Row],[Purchase Rate/MT (USD)]]*CT[[#This Row],[Container Qty]]</f>
        <v>0</v>
      </c>
      <c r="R359" s="7" t="str">
        <f>IF(CT[[#This Row],[BL Number]]&lt;&gt;0,(CT[[#This Row],[Supplier Prov. Price]]-CT[[#This Row],[Supplier Final Price]])*1.2,"")</f>
        <v/>
      </c>
      <c r="S359" s="101"/>
      <c r="T359" s="3"/>
      <c r="U359" s="7"/>
      <c r="V359" s="7"/>
      <c r="W359" s="24"/>
      <c r="X359" s="7">
        <f>IFERROR(CT[[#This Row],[Freight Charges]]+CT[[#This Row],[Inspection Cost/MT]]+CT[[#This Row],[DHL Charges PMT]],"")</f>
        <v>0</v>
      </c>
      <c r="Y359" s="7">
        <f>IFERROR(AF359-(O359+CT[[#This Row],[Cost Per MT]]),"")</f>
        <v>335</v>
      </c>
      <c r="Z359" s="7">
        <f>IFERROR(CT[[#This Row],[Margin/MT]]*CT[[#This Row],[Container Qty]],"")</f>
        <v>0</v>
      </c>
      <c r="AA359" s="7"/>
      <c r="AB359" t="s">
        <v>11</v>
      </c>
      <c r="AC359" s="1" t="s">
        <v>158</v>
      </c>
      <c r="AD359" s="3">
        <v>45861</v>
      </c>
      <c r="AE359" s="14">
        <f t="shared" si="35"/>
        <v>25</v>
      </c>
      <c r="AF359" s="7">
        <v>335</v>
      </c>
      <c r="AG359" s="7">
        <f>CT[[#This Row],[Sales Rate/MT (USD)]]*CT[[#This Row],[SC Qty (MT)]]</f>
        <v>8375</v>
      </c>
      <c r="AH359" s="7" t="str">
        <f>IF(CT[[#This Row],[Container Qty]]&lt;&gt;0,CT[[#This Row],[Sales Rate/MT (USD)]]*CT[[#This Row],[Container Qty]],"")</f>
        <v/>
      </c>
      <c r="AI359" s="7" t="str">
        <f>IF(CT[[#This Row],[Customer Final Price]]&lt;&gt;"",CT[[#This Row],[Customer Final Price]]-CT[[#This Row],[Customer  Prov. Price]],"")</f>
        <v/>
      </c>
      <c r="AJ359" t="s">
        <v>8</v>
      </c>
      <c r="AK359" s="1" t="s">
        <v>159</v>
      </c>
      <c r="AL359" s="1"/>
      <c r="AM359" s="100" t="s">
        <v>134</v>
      </c>
    </row>
    <row r="360" spans="1:39" x14ac:dyDescent="0.25">
      <c r="A360" t="s">
        <v>9</v>
      </c>
      <c r="B360" s="102"/>
      <c r="C360" s="81"/>
      <c r="D360" s="1" t="s">
        <v>67</v>
      </c>
      <c r="F360" s="11"/>
      <c r="G360" s="3"/>
      <c r="H360" s="3"/>
      <c r="I360" s="1"/>
      <c r="J360" s="1"/>
      <c r="K360" s="1"/>
      <c r="L360" s="1"/>
      <c r="M360" s="14">
        <v>25</v>
      </c>
      <c r="N360" s="1"/>
      <c r="O360" s="7"/>
      <c r="P360" s="7">
        <f>CT[[#This Row],[Purchase Rate/MT (USD)]]*CT[[#This Row],[PC Qty (MT)]]</f>
        <v>0</v>
      </c>
      <c r="Q360" s="7">
        <f>CT[[#This Row],[Purchase Rate/MT (USD)]]*CT[[#This Row],[Container Qty]]</f>
        <v>0</v>
      </c>
      <c r="R360" s="7" t="str">
        <f>IF(CT[[#This Row],[BL Number]]&lt;&gt;0,(CT[[#This Row],[Supplier Prov. Price]]-CT[[#This Row],[Supplier Final Price]])*1.2,"")</f>
        <v/>
      </c>
      <c r="S360" s="101"/>
      <c r="T360" s="3"/>
      <c r="U360" s="7"/>
      <c r="V360" s="7"/>
      <c r="W360" s="24"/>
      <c r="X360" s="7">
        <f>IFERROR(CT[[#This Row],[Freight Charges]]+CT[[#This Row],[Inspection Cost/MT]]+CT[[#This Row],[DHL Charges PMT]],"")</f>
        <v>0</v>
      </c>
      <c r="Y360" s="7">
        <f>IFERROR(AF360-(O360+CT[[#This Row],[Cost Per MT]]),"")</f>
        <v>335</v>
      </c>
      <c r="Z360" s="7">
        <f>IFERROR(CT[[#This Row],[Margin/MT]]*CT[[#This Row],[Container Qty]],"")</f>
        <v>0</v>
      </c>
      <c r="AA360" s="7"/>
      <c r="AB360" t="s">
        <v>11</v>
      </c>
      <c r="AC360" s="1" t="s">
        <v>158</v>
      </c>
      <c r="AD360" s="3">
        <v>45861</v>
      </c>
      <c r="AE360" s="14">
        <f t="shared" si="35"/>
        <v>25</v>
      </c>
      <c r="AF360" s="7">
        <v>335</v>
      </c>
      <c r="AG360" s="7">
        <f>CT[[#This Row],[Sales Rate/MT (USD)]]*CT[[#This Row],[SC Qty (MT)]]</f>
        <v>8375</v>
      </c>
      <c r="AH360" s="7" t="str">
        <f>IF(CT[[#This Row],[Container Qty]]&lt;&gt;0,CT[[#This Row],[Sales Rate/MT (USD)]]*CT[[#This Row],[Container Qty]],"")</f>
        <v/>
      </c>
      <c r="AI360" s="7" t="str">
        <f>IF(CT[[#This Row],[Customer Final Price]]&lt;&gt;"",CT[[#This Row],[Customer Final Price]]-CT[[#This Row],[Customer  Prov. Price]],"")</f>
        <v/>
      </c>
      <c r="AJ360" t="s">
        <v>8</v>
      </c>
      <c r="AK360" s="1" t="s">
        <v>159</v>
      </c>
      <c r="AL360" s="1"/>
      <c r="AM360" s="100" t="s">
        <v>134</v>
      </c>
    </row>
    <row r="361" spans="1:39" x14ac:dyDescent="0.25">
      <c r="A361" t="s">
        <v>9</v>
      </c>
      <c r="B361" s="102"/>
      <c r="C361" s="81"/>
      <c r="D361" s="1" t="s">
        <v>67</v>
      </c>
      <c r="F361" s="11"/>
      <c r="G361" s="3"/>
      <c r="H361" s="3"/>
      <c r="I361" s="1"/>
      <c r="J361" s="1"/>
      <c r="K361" s="1"/>
      <c r="L361" s="1"/>
      <c r="M361" s="14">
        <v>25</v>
      </c>
      <c r="N361" s="1"/>
      <c r="O361" s="7"/>
      <c r="P361" s="7">
        <f>CT[[#This Row],[Purchase Rate/MT (USD)]]*CT[[#This Row],[PC Qty (MT)]]</f>
        <v>0</v>
      </c>
      <c r="Q361" s="7">
        <f>CT[[#This Row],[Purchase Rate/MT (USD)]]*CT[[#This Row],[Container Qty]]</f>
        <v>0</v>
      </c>
      <c r="R361" s="7" t="str">
        <f>IF(CT[[#This Row],[BL Number]]&lt;&gt;0,(CT[[#This Row],[Supplier Prov. Price]]-CT[[#This Row],[Supplier Final Price]])*1.2,"")</f>
        <v/>
      </c>
      <c r="S361" s="101"/>
      <c r="T361" s="3"/>
      <c r="U361" s="7"/>
      <c r="V361" s="7"/>
      <c r="W361" s="24"/>
      <c r="X361" s="7">
        <f>IFERROR(CT[[#This Row],[Freight Charges]]+CT[[#This Row],[Inspection Cost/MT]]+CT[[#This Row],[DHL Charges PMT]],"")</f>
        <v>0</v>
      </c>
      <c r="Y361" s="7">
        <f>IFERROR(AF361-(O361+CT[[#This Row],[Cost Per MT]]),"")</f>
        <v>335</v>
      </c>
      <c r="Z361" s="7">
        <f>IFERROR(CT[[#This Row],[Margin/MT]]*CT[[#This Row],[Container Qty]],"")</f>
        <v>0</v>
      </c>
      <c r="AA361" s="7"/>
      <c r="AB361" t="s">
        <v>11</v>
      </c>
      <c r="AC361" s="1" t="s">
        <v>158</v>
      </c>
      <c r="AD361" s="3">
        <v>45861</v>
      </c>
      <c r="AE361" s="14">
        <f t="shared" si="35"/>
        <v>25</v>
      </c>
      <c r="AF361" s="7">
        <v>335</v>
      </c>
      <c r="AG361" s="7">
        <f>CT[[#This Row],[Sales Rate/MT (USD)]]*CT[[#This Row],[SC Qty (MT)]]</f>
        <v>8375</v>
      </c>
      <c r="AH361" s="7" t="str">
        <f>IF(CT[[#This Row],[Container Qty]]&lt;&gt;0,CT[[#This Row],[Sales Rate/MT (USD)]]*CT[[#This Row],[Container Qty]],"")</f>
        <v/>
      </c>
      <c r="AI361" s="7" t="str">
        <f>IF(CT[[#This Row],[Customer Final Price]]&lt;&gt;"",CT[[#This Row],[Customer Final Price]]-CT[[#This Row],[Customer  Prov. Price]],"")</f>
        <v/>
      </c>
      <c r="AJ361" t="s">
        <v>8</v>
      </c>
      <c r="AK361" s="1" t="s">
        <v>159</v>
      </c>
      <c r="AL361" s="1"/>
      <c r="AM361" s="100" t="s">
        <v>134</v>
      </c>
    </row>
    <row r="362" spans="1:39" x14ac:dyDescent="0.25">
      <c r="A362" t="s">
        <v>9</v>
      </c>
      <c r="B362" s="102"/>
      <c r="C362" s="81"/>
      <c r="D362" s="1" t="s">
        <v>67</v>
      </c>
      <c r="F362" s="11"/>
      <c r="G362" s="3"/>
      <c r="H362" s="3"/>
      <c r="I362" s="1"/>
      <c r="J362" s="1"/>
      <c r="K362" s="1"/>
      <c r="L362" s="1"/>
      <c r="M362" s="14">
        <v>25</v>
      </c>
      <c r="N362" s="1"/>
      <c r="O362" s="7"/>
      <c r="P362" s="7">
        <f>CT[[#This Row],[Purchase Rate/MT (USD)]]*CT[[#This Row],[PC Qty (MT)]]</f>
        <v>0</v>
      </c>
      <c r="Q362" s="7">
        <f>CT[[#This Row],[Purchase Rate/MT (USD)]]*CT[[#This Row],[Container Qty]]</f>
        <v>0</v>
      </c>
      <c r="R362" s="7" t="str">
        <f>IF(CT[[#This Row],[BL Number]]&lt;&gt;0,(CT[[#This Row],[Supplier Prov. Price]]-CT[[#This Row],[Supplier Final Price]])*1.2,"")</f>
        <v/>
      </c>
      <c r="S362" s="101"/>
      <c r="T362" s="3"/>
      <c r="U362" s="7"/>
      <c r="V362" s="7"/>
      <c r="W362" s="24"/>
      <c r="X362" s="7">
        <f>IFERROR(CT[[#This Row],[Freight Charges]]+CT[[#This Row],[Inspection Cost/MT]]+CT[[#This Row],[DHL Charges PMT]],"")</f>
        <v>0</v>
      </c>
      <c r="Y362" s="7">
        <f>IFERROR(AF362-(O362+CT[[#This Row],[Cost Per MT]]),"")</f>
        <v>335</v>
      </c>
      <c r="Z362" s="7">
        <f>IFERROR(CT[[#This Row],[Margin/MT]]*CT[[#This Row],[Container Qty]],"")</f>
        <v>0</v>
      </c>
      <c r="AA362" s="7"/>
      <c r="AB362" t="s">
        <v>11</v>
      </c>
      <c r="AC362" s="1" t="s">
        <v>158</v>
      </c>
      <c r="AD362" s="3">
        <v>45861</v>
      </c>
      <c r="AE362" s="14">
        <f t="shared" si="35"/>
        <v>25</v>
      </c>
      <c r="AF362" s="7">
        <v>335</v>
      </c>
      <c r="AG362" s="7">
        <f>CT[[#This Row],[Sales Rate/MT (USD)]]*CT[[#This Row],[SC Qty (MT)]]</f>
        <v>8375</v>
      </c>
      <c r="AH362" s="7" t="str">
        <f>IF(CT[[#This Row],[Container Qty]]&lt;&gt;0,CT[[#This Row],[Sales Rate/MT (USD)]]*CT[[#This Row],[Container Qty]],"")</f>
        <v/>
      </c>
      <c r="AI362" s="7" t="str">
        <f>IF(CT[[#This Row],[Customer Final Price]]&lt;&gt;"",CT[[#This Row],[Customer Final Price]]-CT[[#This Row],[Customer  Prov. Price]],"")</f>
        <v/>
      </c>
      <c r="AJ362" t="s">
        <v>8</v>
      </c>
      <c r="AK362" s="1" t="s">
        <v>159</v>
      </c>
      <c r="AL362" s="1"/>
      <c r="AM362" s="100" t="s">
        <v>134</v>
      </c>
    </row>
    <row r="363" spans="1:39" x14ac:dyDescent="0.25">
      <c r="A363" t="s">
        <v>9</v>
      </c>
      <c r="B363" s="102"/>
      <c r="C363" s="81"/>
      <c r="D363" s="1" t="s">
        <v>67</v>
      </c>
      <c r="F363" s="11"/>
      <c r="G363" s="3"/>
      <c r="H363" s="3"/>
      <c r="I363" s="1"/>
      <c r="J363" s="1"/>
      <c r="K363" s="1"/>
      <c r="L363" s="1"/>
      <c r="M363" s="14">
        <v>25</v>
      </c>
      <c r="N363" s="1"/>
      <c r="O363" s="7"/>
      <c r="P363" s="7">
        <f>CT[[#This Row],[Purchase Rate/MT (USD)]]*CT[[#This Row],[PC Qty (MT)]]</f>
        <v>0</v>
      </c>
      <c r="Q363" s="7">
        <f>CT[[#This Row],[Purchase Rate/MT (USD)]]*CT[[#This Row],[Container Qty]]</f>
        <v>0</v>
      </c>
      <c r="R363" s="7" t="str">
        <f>IF(CT[[#This Row],[BL Number]]&lt;&gt;0,(CT[[#This Row],[Supplier Prov. Price]]-CT[[#This Row],[Supplier Final Price]])*1.2,"")</f>
        <v/>
      </c>
      <c r="S363" s="101"/>
      <c r="T363" s="3"/>
      <c r="U363" s="7"/>
      <c r="V363" s="7"/>
      <c r="W363" s="24"/>
      <c r="X363" s="7">
        <f>IFERROR(CT[[#This Row],[Freight Charges]]+CT[[#This Row],[Inspection Cost/MT]]+CT[[#This Row],[DHL Charges PMT]],"")</f>
        <v>0</v>
      </c>
      <c r="Y363" s="7">
        <f>IFERROR(AF363-(O363+CT[[#This Row],[Cost Per MT]]),"")</f>
        <v>335</v>
      </c>
      <c r="Z363" s="7">
        <f>IFERROR(CT[[#This Row],[Margin/MT]]*CT[[#This Row],[Container Qty]],"")</f>
        <v>0</v>
      </c>
      <c r="AA363" s="7"/>
      <c r="AB363" t="s">
        <v>11</v>
      </c>
      <c r="AC363" s="1" t="s">
        <v>158</v>
      </c>
      <c r="AD363" s="3">
        <v>45861</v>
      </c>
      <c r="AE363" s="14">
        <f t="shared" si="35"/>
        <v>25</v>
      </c>
      <c r="AF363" s="7">
        <v>335</v>
      </c>
      <c r="AG363" s="7">
        <f>CT[[#This Row],[Sales Rate/MT (USD)]]*CT[[#This Row],[SC Qty (MT)]]</f>
        <v>8375</v>
      </c>
      <c r="AH363" s="7" t="str">
        <f>IF(CT[[#This Row],[Container Qty]]&lt;&gt;0,CT[[#This Row],[Sales Rate/MT (USD)]]*CT[[#This Row],[Container Qty]],"")</f>
        <v/>
      </c>
      <c r="AI363" s="7" t="str">
        <f>IF(CT[[#This Row],[Customer Final Price]]&lt;&gt;"",CT[[#This Row],[Customer Final Price]]-CT[[#This Row],[Customer  Prov. Price]],"")</f>
        <v/>
      </c>
      <c r="AJ363" t="s">
        <v>8</v>
      </c>
      <c r="AK363" s="1" t="s">
        <v>159</v>
      </c>
      <c r="AL363" s="1"/>
      <c r="AM363" s="100" t="s">
        <v>134</v>
      </c>
    </row>
    <row r="364" spans="1:39" x14ac:dyDescent="0.25">
      <c r="A364" t="s">
        <v>9</v>
      </c>
      <c r="B364" s="102"/>
      <c r="C364" s="81"/>
      <c r="D364" s="1" t="s">
        <v>67</v>
      </c>
      <c r="F364" s="11"/>
      <c r="G364" s="3"/>
      <c r="H364" s="3"/>
      <c r="I364" s="1"/>
      <c r="J364" s="1"/>
      <c r="K364" s="1"/>
      <c r="L364" s="1"/>
      <c r="M364" s="14">
        <v>25</v>
      </c>
      <c r="N364" s="1"/>
      <c r="O364" s="7"/>
      <c r="P364" s="7">
        <f>CT[[#This Row],[Purchase Rate/MT (USD)]]*CT[[#This Row],[PC Qty (MT)]]</f>
        <v>0</v>
      </c>
      <c r="Q364" s="7">
        <f>CT[[#This Row],[Purchase Rate/MT (USD)]]*CT[[#This Row],[Container Qty]]</f>
        <v>0</v>
      </c>
      <c r="R364" s="7" t="str">
        <f>IF(CT[[#This Row],[BL Number]]&lt;&gt;0,(CT[[#This Row],[Supplier Prov. Price]]-CT[[#This Row],[Supplier Final Price]])*1.2,"")</f>
        <v/>
      </c>
      <c r="S364" s="101"/>
      <c r="T364" s="3"/>
      <c r="U364" s="7"/>
      <c r="V364" s="7"/>
      <c r="W364" s="24"/>
      <c r="X364" s="7">
        <f>IFERROR(CT[[#This Row],[Freight Charges]]+CT[[#This Row],[Inspection Cost/MT]]+CT[[#This Row],[DHL Charges PMT]],"")</f>
        <v>0</v>
      </c>
      <c r="Y364" s="7">
        <f>IFERROR(AF364-(O364+CT[[#This Row],[Cost Per MT]]),"")</f>
        <v>335</v>
      </c>
      <c r="Z364" s="7">
        <f>IFERROR(CT[[#This Row],[Margin/MT]]*CT[[#This Row],[Container Qty]],"")</f>
        <v>0</v>
      </c>
      <c r="AA364" s="7"/>
      <c r="AB364" t="s">
        <v>11</v>
      </c>
      <c r="AC364" s="1" t="s">
        <v>158</v>
      </c>
      <c r="AD364" s="3">
        <v>45861</v>
      </c>
      <c r="AE364" s="14">
        <f t="shared" si="35"/>
        <v>25</v>
      </c>
      <c r="AF364" s="7">
        <v>335</v>
      </c>
      <c r="AG364" s="7">
        <f>CT[[#This Row],[Sales Rate/MT (USD)]]*CT[[#This Row],[SC Qty (MT)]]</f>
        <v>8375</v>
      </c>
      <c r="AH364" s="7" t="str">
        <f>IF(CT[[#This Row],[Container Qty]]&lt;&gt;0,CT[[#This Row],[Sales Rate/MT (USD)]]*CT[[#This Row],[Container Qty]],"")</f>
        <v/>
      </c>
      <c r="AI364" s="7" t="str">
        <f>IF(CT[[#This Row],[Customer Final Price]]&lt;&gt;"",CT[[#This Row],[Customer Final Price]]-CT[[#This Row],[Customer  Prov. Price]],"")</f>
        <v/>
      </c>
      <c r="AJ364" t="s">
        <v>8</v>
      </c>
      <c r="AK364" s="1" t="s">
        <v>159</v>
      </c>
      <c r="AL364" s="1"/>
      <c r="AM364" s="100" t="s">
        <v>134</v>
      </c>
    </row>
    <row r="365" spans="1:39" x14ac:dyDescent="0.25">
      <c r="A365" t="s">
        <v>9</v>
      </c>
      <c r="B365" s="102"/>
      <c r="C365" s="81"/>
      <c r="D365" s="1" t="s">
        <v>67</v>
      </c>
      <c r="F365" s="11"/>
      <c r="G365" s="3"/>
      <c r="H365" s="3"/>
      <c r="I365" s="1"/>
      <c r="J365" s="1"/>
      <c r="K365" s="1"/>
      <c r="L365" s="1"/>
      <c r="M365" s="14">
        <v>25</v>
      </c>
      <c r="N365" s="1"/>
      <c r="O365" s="7"/>
      <c r="P365" s="7">
        <f>CT[[#This Row],[Purchase Rate/MT (USD)]]*CT[[#This Row],[PC Qty (MT)]]</f>
        <v>0</v>
      </c>
      <c r="Q365" s="7">
        <f>CT[[#This Row],[Purchase Rate/MT (USD)]]*CT[[#This Row],[Container Qty]]</f>
        <v>0</v>
      </c>
      <c r="R365" s="7" t="str">
        <f>IF(CT[[#This Row],[BL Number]]&lt;&gt;0,(CT[[#This Row],[Supplier Prov. Price]]-CT[[#This Row],[Supplier Final Price]])*1.2,"")</f>
        <v/>
      </c>
      <c r="S365" s="101"/>
      <c r="T365" s="3"/>
      <c r="U365" s="7"/>
      <c r="V365" s="7"/>
      <c r="W365" s="24"/>
      <c r="X365" s="7">
        <f>IFERROR(CT[[#This Row],[Freight Charges]]+CT[[#This Row],[Inspection Cost/MT]]+CT[[#This Row],[DHL Charges PMT]],"")</f>
        <v>0</v>
      </c>
      <c r="Y365" s="7">
        <f>IFERROR(AF365-(O365+CT[[#This Row],[Cost Per MT]]),"")</f>
        <v>335</v>
      </c>
      <c r="Z365" s="7">
        <f>IFERROR(CT[[#This Row],[Margin/MT]]*CT[[#This Row],[Container Qty]],"")</f>
        <v>0</v>
      </c>
      <c r="AA365" s="7"/>
      <c r="AB365" t="s">
        <v>11</v>
      </c>
      <c r="AC365" s="1" t="s">
        <v>158</v>
      </c>
      <c r="AD365" s="3">
        <v>45861</v>
      </c>
      <c r="AE365" s="14">
        <f t="shared" si="35"/>
        <v>25</v>
      </c>
      <c r="AF365" s="7">
        <v>335</v>
      </c>
      <c r="AG365" s="7">
        <f>CT[[#This Row],[Sales Rate/MT (USD)]]*CT[[#This Row],[SC Qty (MT)]]</f>
        <v>8375</v>
      </c>
      <c r="AH365" s="7" t="str">
        <f>IF(CT[[#This Row],[Container Qty]]&lt;&gt;0,CT[[#This Row],[Sales Rate/MT (USD)]]*CT[[#This Row],[Container Qty]],"")</f>
        <v/>
      </c>
      <c r="AI365" s="7" t="str">
        <f>IF(CT[[#This Row],[Customer Final Price]]&lt;&gt;"",CT[[#This Row],[Customer Final Price]]-CT[[#This Row],[Customer  Prov. Price]],"")</f>
        <v/>
      </c>
      <c r="AJ365" t="s">
        <v>8</v>
      </c>
      <c r="AK365" s="1" t="s">
        <v>159</v>
      </c>
      <c r="AL365" s="1"/>
      <c r="AM365" s="100" t="s">
        <v>134</v>
      </c>
    </row>
    <row r="366" spans="1:39" x14ac:dyDescent="0.25">
      <c r="A366" t="s">
        <v>9</v>
      </c>
      <c r="B366" s="102"/>
      <c r="C366" s="81"/>
      <c r="D366" s="1" t="s">
        <v>67</v>
      </c>
      <c r="F366" s="11"/>
      <c r="G366" s="3"/>
      <c r="H366" s="3"/>
      <c r="I366" s="1"/>
      <c r="J366" s="1"/>
      <c r="K366" s="1"/>
      <c r="L366" s="1"/>
      <c r="M366" s="14">
        <v>25</v>
      </c>
      <c r="N366" s="1"/>
      <c r="O366" s="7"/>
      <c r="P366" s="7">
        <f>CT[[#This Row],[Purchase Rate/MT (USD)]]*CT[[#This Row],[PC Qty (MT)]]</f>
        <v>0</v>
      </c>
      <c r="Q366" s="7">
        <f>CT[[#This Row],[Purchase Rate/MT (USD)]]*CT[[#This Row],[Container Qty]]</f>
        <v>0</v>
      </c>
      <c r="R366" s="7" t="str">
        <f>IF(CT[[#This Row],[BL Number]]&lt;&gt;0,(CT[[#This Row],[Supplier Prov. Price]]-CT[[#This Row],[Supplier Final Price]])*1.2,"")</f>
        <v/>
      </c>
      <c r="S366" s="101"/>
      <c r="T366" s="3"/>
      <c r="U366" s="7"/>
      <c r="V366" s="7"/>
      <c r="W366" s="24"/>
      <c r="X366" s="7">
        <f>IFERROR(CT[[#This Row],[Freight Charges]]+CT[[#This Row],[Inspection Cost/MT]]+CT[[#This Row],[DHL Charges PMT]],"")</f>
        <v>0</v>
      </c>
      <c r="Y366" s="7">
        <f>IFERROR(AF366-(O366+CT[[#This Row],[Cost Per MT]]),"")</f>
        <v>335</v>
      </c>
      <c r="Z366" s="7">
        <f>IFERROR(CT[[#This Row],[Margin/MT]]*CT[[#This Row],[Container Qty]],"")</f>
        <v>0</v>
      </c>
      <c r="AA366" s="7"/>
      <c r="AB366" t="s">
        <v>11</v>
      </c>
      <c r="AC366" s="1" t="s">
        <v>158</v>
      </c>
      <c r="AD366" s="3">
        <v>45861</v>
      </c>
      <c r="AE366" s="14">
        <f t="shared" si="35"/>
        <v>25</v>
      </c>
      <c r="AF366" s="7">
        <v>335</v>
      </c>
      <c r="AG366" s="7">
        <f>CT[[#This Row],[Sales Rate/MT (USD)]]*CT[[#This Row],[SC Qty (MT)]]</f>
        <v>8375</v>
      </c>
      <c r="AH366" s="7" t="str">
        <f>IF(CT[[#This Row],[Container Qty]]&lt;&gt;0,CT[[#This Row],[Sales Rate/MT (USD)]]*CT[[#This Row],[Container Qty]],"")</f>
        <v/>
      </c>
      <c r="AI366" s="7" t="str">
        <f>IF(CT[[#This Row],[Customer Final Price]]&lt;&gt;"",CT[[#This Row],[Customer Final Price]]-CT[[#This Row],[Customer  Prov. Price]],"")</f>
        <v/>
      </c>
      <c r="AJ366" t="s">
        <v>8</v>
      </c>
      <c r="AK366" s="1" t="s">
        <v>159</v>
      </c>
      <c r="AL366" s="1"/>
      <c r="AM366" s="100" t="s">
        <v>134</v>
      </c>
    </row>
    <row r="367" spans="1:39" x14ac:dyDescent="0.25">
      <c r="A367" t="s">
        <v>9</v>
      </c>
      <c r="B367" s="102"/>
      <c r="C367" s="81"/>
      <c r="D367" s="1" t="s">
        <v>67</v>
      </c>
      <c r="F367" s="11"/>
      <c r="G367" s="3"/>
      <c r="H367" s="3"/>
      <c r="I367" s="1"/>
      <c r="J367" s="1"/>
      <c r="K367" s="1"/>
      <c r="L367" s="1"/>
      <c r="M367" s="14">
        <v>25</v>
      </c>
      <c r="N367" s="1"/>
      <c r="O367" s="7"/>
      <c r="P367" s="7">
        <f>CT[[#This Row],[Purchase Rate/MT (USD)]]*CT[[#This Row],[PC Qty (MT)]]</f>
        <v>0</v>
      </c>
      <c r="Q367" s="7">
        <f>CT[[#This Row],[Purchase Rate/MT (USD)]]*CT[[#This Row],[Container Qty]]</f>
        <v>0</v>
      </c>
      <c r="R367" s="7" t="str">
        <f>IF(CT[[#This Row],[BL Number]]&lt;&gt;0,(CT[[#This Row],[Supplier Prov. Price]]-CT[[#This Row],[Supplier Final Price]])*1.2,"")</f>
        <v/>
      </c>
      <c r="S367" s="101"/>
      <c r="T367" s="3"/>
      <c r="U367" s="7"/>
      <c r="V367" s="7"/>
      <c r="W367" s="24"/>
      <c r="X367" s="7">
        <f>IFERROR(CT[[#This Row],[Freight Charges]]+CT[[#This Row],[Inspection Cost/MT]]+CT[[#This Row],[DHL Charges PMT]],"")</f>
        <v>0</v>
      </c>
      <c r="Y367" s="7">
        <f>IFERROR(AF367-(O367+CT[[#This Row],[Cost Per MT]]),"")</f>
        <v>335</v>
      </c>
      <c r="Z367" s="7">
        <f>IFERROR(CT[[#This Row],[Margin/MT]]*CT[[#This Row],[Container Qty]],"")</f>
        <v>0</v>
      </c>
      <c r="AA367" s="7"/>
      <c r="AB367" t="s">
        <v>11</v>
      </c>
      <c r="AC367" s="1" t="s">
        <v>158</v>
      </c>
      <c r="AD367" s="3">
        <v>45861</v>
      </c>
      <c r="AE367" s="14">
        <f t="shared" si="35"/>
        <v>25</v>
      </c>
      <c r="AF367" s="7">
        <v>335</v>
      </c>
      <c r="AG367" s="7">
        <f>CT[[#This Row],[Sales Rate/MT (USD)]]*CT[[#This Row],[SC Qty (MT)]]</f>
        <v>8375</v>
      </c>
      <c r="AH367" s="7" t="str">
        <f>IF(CT[[#This Row],[Container Qty]]&lt;&gt;0,CT[[#This Row],[Sales Rate/MT (USD)]]*CT[[#This Row],[Container Qty]],"")</f>
        <v/>
      </c>
      <c r="AI367" s="7" t="str">
        <f>IF(CT[[#This Row],[Customer Final Price]]&lt;&gt;"",CT[[#This Row],[Customer Final Price]]-CT[[#This Row],[Customer  Prov. Price]],"")</f>
        <v/>
      </c>
      <c r="AJ367" t="s">
        <v>8</v>
      </c>
      <c r="AK367" s="1" t="s">
        <v>159</v>
      </c>
      <c r="AL367" s="1"/>
      <c r="AM367" s="100" t="s">
        <v>134</v>
      </c>
    </row>
    <row r="368" spans="1:39" x14ac:dyDescent="0.25">
      <c r="A368" t="s">
        <v>9</v>
      </c>
      <c r="B368" s="102"/>
      <c r="C368" s="81"/>
      <c r="D368" s="1" t="s">
        <v>67</v>
      </c>
      <c r="F368" s="11"/>
      <c r="G368" s="3"/>
      <c r="H368" s="3"/>
      <c r="I368" s="1"/>
      <c r="J368" s="1"/>
      <c r="K368" s="1"/>
      <c r="L368" s="1"/>
      <c r="M368" s="14">
        <v>25</v>
      </c>
      <c r="N368" s="1"/>
      <c r="O368" s="7"/>
      <c r="P368" s="7">
        <f>CT[[#This Row],[Purchase Rate/MT (USD)]]*CT[[#This Row],[PC Qty (MT)]]</f>
        <v>0</v>
      </c>
      <c r="Q368" s="7">
        <f>CT[[#This Row],[Purchase Rate/MT (USD)]]*CT[[#This Row],[Container Qty]]</f>
        <v>0</v>
      </c>
      <c r="R368" s="7" t="str">
        <f>IF(CT[[#This Row],[BL Number]]&lt;&gt;0,(CT[[#This Row],[Supplier Prov. Price]]-CT[[#This Row],[Supplier Final Price]])*1.2,"")</f>
        <v/>
      </c>
      <c r="S368" s="101"/>
      <c r="T368" s="3"/>
      <c r="U368" s="7"/>
      <c r="V368" s="7"/>
      <c r="W368" s="24"/>
      <c r="X368" s="7">
        <f>IFERROR(CT[[#This Row],[Freight Charges]]+CT[[#This Row],[Inspection Cost/MT]]+CT[[#This Row],[DHL Charges PMT]],"")</f>
        <v>0</v>
      </c>
      <c r="Y368" s="7">
        <f>IFERROR(AF368-(O368+CT[[#This Row],[Cost Per MT]]),"")</f>
        <v>335</v>
      </c>
      <c r="Z368" s="7">
        <f>IFERROR(CT[[#This Row],[Margin/MT]]*CT[[#This Row],[Container Qty]],"")</f>
        <v>0</v>
      </c>
      <c r="AA368" s="7"/>
      <c r="AB368" t="s">
        <v>11</v>
      </c>
      <c r="AC368" s="1" t="s">
        <v>158</v>
      </c>
      <c r="AD368" s="3">
        <v>45861</v>
      </c>
      <c r="AE368" s="14">
        <f t="shared" si="35"/>
        <v>25</v>
      </c>
      <c r="AF368" s="7">
        <v>335</v>
      </c>
      <c r="AG368" s="7">
        <f>CT[[#This Row],[Sales Rate/MT (USD)]]*CT[[#This Row],[SC Qty (MT)]]</f>
        <v>8375</v>
      </c>
      <c r="AH368" s="7" t="str">
        <f>IF(CT[[#This Row],[Container Qty]]&lt;&gt;0,CT[[#This Row],[Sales Rate/MT (USD)]]*CT[[#This Row],[Container Qty]],"")</f>
        <v/>
      </c>
      <c r="AI368" s="7" t="str">
        <f>IF(CT[[#This Row],[Customer Final Price]]&lt;&gt;"",CT[[#This Row],[Customer Final Price]]-CT[[#This Row],[Customer  Prov. Price]],"")</f>
        <v/>
      </c>
      <c r="AJ368" t="s">
        <v>8</v>
      </c>
      <c r="AK368" s="1" t="s">
        <v>159</v>
      </c>
      <c r="AL368" s="1"/>
      <c r="AM368" s="100" t="s">
        <v>134</v>
      </c>
    </row>
    <row r="369" spans="1:41" x14ac:dyDescent="0.25">
      <c r="A369" t="s">
        <v>9</v>
      </c>
      <c r="B369" s="102"/>
      <c r="C369" s="81"/>
      <c r="D369" s="1" t="s">
        <v>67</v>
      </c>
      <c r="F369" s="11"/>
      <c r="G369" s="3"/>
      <c r="H369" s="3"/>
      <c r="I369" s="1"/>
      <c r="J369" s="1"/>
      <c r="K369" s="1"/>
      <c r="L369" s="1"/>
      <c r="M369" s="14">
        <v>25</v>
      </c>
      <c r="N369" s="1"/>
      <c r="O369" s="7"/>
      <c r="P369" s="7">
        <f>CT[[#This Row],[Purchase Rate/MT (USD)]]*CT[[#This Row],[PC Qty (MT)]]</f>
        <v>0</v>
      </c>
      <c r="Q369" s="7">
        <f>CT[[#This Row],[Purchase Rate/MT (USD)]]*CT[[#This Row],[Container Qty]]</f>
        <v>0</v>
      </c>
      <c r="R369" s="7" t="str">
        <f>IF(CT[[#This Row],[BL Number]]&lt;&gt;0,(CT[[#This Row],[Supplier Prov. Price]]-CT[[#This Row],[Supplier Final Price]])*1.2,"")</f>
        <v/>
      </c>
      <c r="S369" s="101"/>
      <c r="T369" s="3"/>
      <c r="U369" s="7"/>
      <c r="V369" s="7"/>
      <c r="W369" s="24"/>
      <c r="X369" s="7">
        <f>IFERROR(CT[[#This Row],[Freight Charges]]+CT[[#This Row],[Inspection Cost/MT]]+CT[[#This Row],[DHL Charges PMT]],"")</f>
        <v>0</v>
      </c>
      <c r="Y369" s="7">
        <f>IFERROR(AF369-(O369+CT[[#This Row],[Cost Per MT]]),"")</f>
        <v>335</v>
      </c>
      <c r="Z369" s="7">
        <f>IFERROR(CT[[#This Row],[Margin/MT]]*CT[[#This Row],[Container Qty]],"")</f>
        <v>0</v>
      </c>
      <c r="AA369" s="7"/>
      <c r="AB369" t="s">
        <v>11</v>
      </c>
      <c r="AC369" s="1" t="s">
        <v>158</v>
      </c>
      <c r="AD369" s="3">
        <v>45861</v>
      </c>
      <c r="AE369" s="14">
        <f t="shared" si="35"/>
        <v>25</v>
      </c>
      <c r="AF369" s="7">
        <v>335</v>
      </c>
      <c r="AG369" s="7">
        <f>CT[[#This Row],[Sales Rate/MT (USD)]]*CT[[#This Row],[SC Qty (MT)]]</f>
        <v>8375</v>
      </c>
      <c r="AH369" s="7" t="str">
        <f>IF(CT[[#This Row],[Container Qty]]&lt;&gt;0,CT[[#This Row],[Sales Rate/MT (USD)]]*CT[[#This Row],[Container Qty]],"")</f>
        <v/>
      </c>
      <c r="AI369" s="7" t="str">
        <f>IF(CT[[#This Row],[Customer Final Price]]&lt;&gt;"",CT[[#This Row],[Customer Final Price]]-CT[[#This Row],[Customer  Prov. Price]],"")</f>
        <v/>
      </c>
      <c r="AJ369" t="s">
        <v>8</v>
      </c>
      <c r="AK369" s="1" t="s">
        <v>159</v>
      </c>
      <c r="AL369" s="1"/>
      <c r="AM369" s="100" t="s">
        <v>134</v>
      </c>
    </row>
    <row r="370" spans="1:41" x14ac:dyDescent="0.25">
      <c r="A370" t="s">
        <v>9</v>
      </c>
      <c r="B370" s="102"/>
      <c r="C370" s="81"/>
      <c r="D370" s="1" t="s">
        <v>67</v>
      </c>
      <c r="F370" s="11"/>
      <c r="G370" s="3"/>
      <c r="H370" s="3"/>
      <c r="I370" s="1"/>
      <c r="J370" s="1"/>
      <c r="K370" s="1"/>
      <c r="L370" s="1"/>
      <c r="M370" s="14">
        <v>25</v>
      </c>
      <c r="N370" s="1"/>
      <c r="O370" s="7"/>
      <c r="P370" s="7">
        <f>CT[[#This Row],[Purchase Rate/MT (USD)]]*CT[[#This Row],[PC Qty (MT)]]</f>
        <v>0</v>
      </c>
      <c r="Q370" s="7">
        <f>CT[[#This Row],[Purchase Rate/MT (USD)]]*CT[[#This Row],[Container Qty]]</f>
        <v>0</v>
      </c>
      <c r="R370" s="7" t="str">
        <f>IF(CT[[#This Row],[BL Number]]&lt;&gt;0,(CT[[#This Row],[Supplier Prov. Price]]-CT[[#This Row],[Supplier Final Price]])*1.2,"")</f>
        <v/>
      </c>
      <c r="S370" s="101"/>
      <c r="T370" s="3"/>
      <c r="U370" s="7"/>
      <c r="V370" s="7"/>
      <c r="W370" s="24"/>
      <c r="X370" s="7">
        <f>IFERROR(CT[[#This Row],[Freight Charges]]+CT[[#This Row],[Inspection Cost/MT]]+CT[[#This Row],[DHL Charges PMT]],"")</f>
        <v>0</v>
      </c>
      <c r="Y370" s="7">
        <f>IFERROR(AF370-(O370+CT[[#This Row],[Cost Per MT]]),"")</f>
        <v>335</v>
      </c>
      <c r="Z370" s="7">
        <f>IFERROR(CT[[#This Row],[Margin/MT]]*CT[[#This Row],[Container Qty]],"")</f>
        <v>0</v>
      </c>
      <c r="AA370" s="7"/>
      <c r="AB370" t="s">
        <v>11</v>
      </c>
      <c r="AC370" s="1" t="s">
        <v>158</v>
      </c>
      <c r="AD370" s="3">
        <v>45861</v>
      </c>
      <c r="AE370" s="14">
        <f t="shared" si="35"/>
        <v>25</v>
      </c>
      <c r="AF370" s="7">
        <v>335</v>
      </c>
      <c r="AG370" s="7">
        <f>CT[[#This Row],[Sales Rate/MT (USD)]]*CT[[#This Row],[SC Qty (MT)]]</f>
        <v>8375</v>
      </c>
      <c r="AH370" s="7" t="str">
        <f>IF(CT[[#This Row],[Container Qty]]&lt;&gt;0,CT[[#This Row],[Sales Rate/MT (USD)]]*CT[[#This Row],[Container Qty]],"")</f>
        <v/>
      </c>
      <c r="AI370" s="7" t="str">
        <f>IF(CT[[#This Row],[Customer Final Price]]&lt;&gt;"",CT[[#This Row],[Customer Final Price]]-CT[[#This Row],[Customer  Prov. Price]],"")</f>
        <v/>
      </c>
      <c r="AJ370" t="s">
        <v>8</v>
      </c>
      <c r="AK370" s="1" t="s">
        <v>159</v>
      </c>
      <c r="AL370" s="1"/>
      <c r="AM370" s="100" t="s">
        <v>134</v>
      </c>
    </row>
    <row r="371" spans="1:41" x14ac:dyDescent="0.25">
      <c r="A371" t="s">
        <v>9</v>
      </c>
      <c r="B371" s="102"/>
      <c r="C371" s="81"/>
      <c r="D371" s="1" t="s">
        <v>67</v>
      </c>
      <c r="F371" s="11"/>
      <c r="G371" s="3"/>
      <c r="H371" s="3"/>
      <c r="I371" s="1"/>
      <c r="J371" s="1"/>
      <c r="K371" s="1"/>
      <c r="L371" s="1"/>
      <c r="M371" s="14">
        <v>25</v>
      </c>
      <c r="N371" s="1"/>
      <c r="O371" s="7"/>
      <c r="P371" s="7">
        <f>CT[[#This Row],[Purchase Rate/MT (USD)]]*CT[[#This Row],[PC Qty (MT)]]</f>
        <v>0</v>
      </c>
      <c r="Q371" s="7">
        <f>CT[[#This Row],[Purchase Rate/MT (USD)]]*CT[[#This Row],[Container Qty]]</f>
        <v>0</v>
      </c>
      <c r="R371" s="7" t="str">
        <f>IF(CT[[#This Row],[BL Number]]&lt;&gt;0,(CT[[#This Row],[Supplier Prov. Price]]-CT[[#This Row],[Supplier Final Price]])*1.2,"")</f>
        <v/>
      </c>
      <c r="S371" s="101"/>
      <c r="T371" s="3"/>
      <c r="U371" s="7"/>
      <c r="V371" s="7"/>
      <c r="W371" s="24"/>
      <c r="X371" s="7">
        <f>IFERROR(CT[[#This Row],[Freight Charges]]+CT[[#This Row],[Inspection Cost/MT]]+CT[[#This Row],[DHL Charges PMT]],"")</f>
        <v>0</v>
      </c>
      <c r="Y371" s="7">
        <f>IFERROR(AF371-(O371+CT[[#This Row],[Cost Per MT]]),"")</f>
        <v>335</v>
      </c>
      <c r="Z371" s="7">
        <f>IFERROR(CT[[#This Row],[Margin/MT]]*CT[[#This Row],[Container Qty]],"")</f>
        <v>0</v>
      </c>
      <c r="AA371" s="7"/>
      <c r="AB371" t="s">
        <v>11</v>
      </c>
      <c r="AC371" s="1" t="s">
        <v>158</v>
      </c>
      <c r="AD371" s="3">
        <v>45861</v>
      </c>
      <c r="AE371" s="14">
        <f t="shared" si="35"/>
        <v>25</v>
      </c>
      <c r="AF371" s="7">
        <v>335</v>
      </c>
      <c r="AG371" s="7">
        <f>CT[[#This Row],[Sales Rate/MT (USD)]]*CT[[#This Row],[SC Qty (MT)]]</f>
        <v>8375</v>
      </c>
      <c r="AH371" s="7" t="str">
        <f>IF(CT[[#This Row],[Container Qty]]&lt;&gt;0,CT[[#This Row],[Sales Rate/MT (USD)]]*CT[[#This Row],[Container Qty]],"")</f>
        <v/>
      </c>
      <c r="AI371" s="7" t="str">
        <f>IF(CT[[#This Row],[Customer Final Price]]&lt;&gt;"",CT[[#This Row],[Customer Final Price]]-CT[[#This Row],[Customer  Prov. Price]],"")</f>
        <v/>
      </c>
      <c r="AJ371" t="s">
        <v>8</v>
      </c>
      <c r="AK371" s="1" t="s">
        <v>159</v>
      </c>
      <c r="AL371" s="1"/>
      <c r="AM371" s="100" t="s">
        <v>134</v>
      </c>
    </row>
    <row r="372" spans="1:41" x14ac:dyDescent="0.25">
      <c r="A372" t="s">
        <v>9</v>
      </c>
      <c r="B372" s="102"/>
      <c r="C372" s="81"/>
      <c r="D372" s="1" t="s">
        <v>67</v>
      </c>
      <c r="F372" s="11"/>
      <c r="G372" s="3"/>
      <c r="H372" s="3"/>
      <c r="I372" s="1"/>
      <c r="J372" s="1"/>
      <c r="K372" s="1"/>
      <c r="L372" s="1"/>
      <c r="M372" s="14">
        <v>25</v>
      </c>
      <c r="N372" s="1"/>
      <c r="O372" s="7"/>
      <c r="P372" s="7">
        <f>CT[[#This Row],[Purchase Rate/MT (USD)]]*CT[[#This Row],[PC Qty (MT)]]</f>
        <v>0</v>
      </c>
      <c r="Q372" s="7">
        <f>CT[[#This Row],[Purchase Rate/MT (USD)]]*CT[[#This Row],[Container Qty]]</f>
        <v>0</v>
      </c>
      <c r="R372" s="7" t="str">
        <f>IF(CT[[#This Row],[BL Number]]&lt;&gt;0,(CT[[#This Row],[Supplier Prov. Price]]-CT[[#This Row],[Supplier Final Price]])*1.2,"")</f>
        <v/>
      </c>
      <c r="S372" s="101"/>
      <c r="T372" s="3"/>
      <c r="U372" s="7"/>
      <c r="V372" s="7"/>
      <c r="W372" s="24"/>
      <c r="X372" s="7">
        <f>IFERROR(CT[[#This Row],[Freight Charges]]+CT[[#This Row],[Inspection Cost/MT]]+CT[[#This Row],[DHL Charges PMT]],"")</f>
        <v>0</v>
      </c>
      <c r="Y372" s="7">
        <f>IFERROR(AF372-(O372+CT[[#This Row],[Cost Per MT]]),"")</f>
        <v>335</v>
      </c>
      <c r="Z372" s="7">
        <f>IFERROR(CT[[#This Row],[Margin/MT]]*CT[[#This Row],[Container Qty]],"")</f>
        <v>0</v>
      </c>
      <c r="AA372" s="7"/>
      <c r="AB372" t="s">
        <v>11</v>
      </c>
      <c r="AC372" s="1" t="s">
        <v>158</v>
      </c>
      <c r="AD372" s="3">
        <v>45861</v>
      </c>
      <c r="AE372" s="14">
        <f>7500/300</f>
        <v>25</v>
      </c>
      <c r="AF372" s="7">
        <v>335</v>
      </c>
      <c r="AG372" s="7">
        <f>CT[[#This Row],[Sales Rate/MT (USD)]]*CT[[#This Row],[SC Qty (MT)]]</f>
        <v>8375</v>
      </c>
      <c r="AH372" s="7" t="str">
        <f>IF(CT[[#This Row],[Container Qty]]&lt;&gt;0,CT[[#This Row],[Sales Rate/MT (USD)]]*CT[[#This Row],[Container Qty]],"")</f>
        <v/>
      </c>
      <c r="AI372" s="7" t="str">
        <f>IF(CT[[#This Row],[Customer Final Price]]&lt;&gt;"",CT[[#This Row],[Customer Final Price]]-CT[[#This Row],[Customer  Prov. Price]],"")</f>
        <v/>
      </c>
      <c r="AJ372" t="s">
        <v>8</v>
      </c>
      <c r="AK372" s="1" t="s">
        <v>159</v>
      </c>
      <c r="AL372" s="1"/>
      <c r="AM372" s="100" t="s">
        <v>134</v>
      </c>
    </row>
    <row r="373" spans="1:41" x14ac:dyDescent="0.25">
      <c r="A373" t="s">
        <v>187</v>
      </c>
      <c r="B373" s="102" t="s">
        <v>201</v>
      </c>
      <c r="C373" s="81">
        <v>45882</v>
      </c>
      <c r="D373" s="1" t="s">
        <v>184</v>
      </c>
      <c r="E373" s="1" t="s">
        <v>185</v>
      </c>
      <c r="F373" s="11">
        <v>25.26</v>
      </c>
      <c r="G373" s="3">
        <v>45897</v>
      </c>
      <c r="H373" s="3">
        <v>45944</v>
      </c>
      <c r="I373" s="1" t="s">
        <v>193</v>
      </c>
      <c r="J373" s="1" t="s">
        <v>174</v>
      </c>
      <c r="K373" s="1" t="s">
        <v>14</v>
      </c>
      <c r="L373" s="1" t="s">
        <v>200</v>
      </c>
      <c r="M373" s="14">
        <f>F373</f>
        <v>25.26</v>
      </c>
      <c r="N373" s="1">
        <v>1</v>
      </c>
      <c r="O373" s="7">
        <f>(142+25)*CT[[#This Row],[FX Rate]]</f>
        <v>226.13470000000001</v>
      </c>
      <c r="P373" s="7">
        <f>CT[[#This Row],[Purchase Rate/MT (USD)]]*CT[[#This Row],[PC Qty (MT)]]</f>
        <v>5712.1625220000005</v>
      </c>
      <c r="Q373" s="7">
        <f>CT[[#This Row],[Purchase Rate/MT (USD)]]*CT[[#This Row],[Container Qty]]</f>
        <v>5712.1625220000005</v>
      </c>
      <c r="R373" s="7">
        <f>IF(CT[[#This Row],[BL Number]]&lt;&gt;0,(CT[[#This Row],[Supplier Prov. Price]]-CT[[#This Row],[Supplier Final Price]])*1.2,"")</f>
        <v>0</v>
      </c>
      <c r="S373" s="101">
        <v>1.3541000000000001</v>
      </c>
      <c r="T373" s="3">
        <v>45887</v>
      </c>
      <c r="U373" s="7">
        <f>1456/CT[[#This Row],[Container Qty]]+50/SUMIFS(CT[Container Qty],CT[BL Number],CT[[#This Row],[BL Number]])</f>
        <v>58.618629167456568</v>
      </c>
      <c r="V373" s="7">
        <f>(275*S373)/SUM($F$373:$F$374)</f>
        <v>7.2843798904538337</v>
      </c>
      <c r="W373" s="24">
        <f>(42.76*CT[[#This Row],[FX Rate]])/SUM($F$373:$F$374)</f>
        <v>1.1326548513302033</v>
      </c>
      <c r="X373" s="7">
        <f>IFERROR(CT[[#This Row],[Freight Charges]]+CT[[#This Row],[Inspection Cost/MT]]+CT[[#This Row],[DHL Charges PMT]],"")</f>
        <v>67.035663909240597</v>
      </c>
      <c r="Y373" s="7">
        <f>IFERROR(AF373-(O373+CT[[#This Row],[Cost Per MT]]),"")</f>
        <v>6.8296360907593794</v>
      </c>
      <c r="Z373" s="7">
        <f>IFERROR(CT[[#This Row],[Margin/MT]]*CT[[#This Row],[Container Qty]],"")</f>
        <v>172.51660765258194</v>
      </c>
      <c r="AA373" s="7"/>
      <c r="AB373" t="s">
        <v>195</v>
      </c>
      <c r="AC373" s="1" t="s">
        <v>183</v>
      </c>
      <c r="AD373" s="3">
        <v>45888</v>
      </c>
      <c r="AE373" s="14">
        <v>25.26</v>
      </c>
      <c r="AF373" s="7">
        <v>300</v>
      </c>
      <c r="AG373" s="7">
        <f>CT[[#This Row],[Sales Rate/MT (USD)]]*CT[[#This Row],[SC Qty (MT)]]</f>
        <v>7578.0000000000009</v>
      </c>
      <c r="AH373" s="7">
        <f>IF(CT[[#This Row],[Container Qty]]&lt;&gt;0,CT[[#This Row],[Sales Rate/MT (USD)]]*CT[[#This Row],[Container Qty]],"")</f>
        <v>7578.0000000000009</v>
      </c>
      <c r="AI373" s="7">
        <f>IF(CT[[#This Row],[Customer Final Price]]&lt;&gt;"",CT[[#This Row],[Customer Final Price]]-CT[[#This Row],[Customer  Prov. Price]],"")</f>
        <v>0</v>
      </c>
      <c r="AJ373" t="s">
        <v>8</v>
      </c>
      <c r="AK373" s="1" t="s">
        <v>191</v>
      </c>
      <c r="AL373" s="1" t="s">
        <v>188</v>
      </c>
      <c r="AM373" s="100" t="s">
        <v>134</v>
      </c>
    </row>
    <row r="374" spans="1:41" x14ac:dyDescent="0.25">
      <c r="A374" t="s">
        <v>187</v>
      </c>
      <c r="B374" s="102" t="s">
        <v>201</v>
      </c>
      <c r="C374" s="81">
        <v>45882</v>
      </c>
      <c r="D374" s="1" t="s">
        <v>184</v>
      </c>
      <c r="E374" s="1" t="s">
        <v>186</v>
      </c>
      <c r="F374" s="11">
        <v>25.86</v>
      </c>
      <c r="G374" s="3">
        <v>45897</v>
      </c>
      <c r="H374" s="3">
        <v>45944</v>
      </c>
      <c r="I374" s="1" t="s">
        <v>193</v>
      </c>
      <c r="J374" s="1" t="s">
        <v>174</v>
      </c>
      <c r="K374" s="1" t="s">
        <v>14</v>
      </c>
      <c r="L374" s="1" t="s">
        <v>200</v>
      </c>
      <c r="M374" s="14">
        <f>F374</f>
        <v>25.86</v>
      </c>
      <c r="N374" s="1">
        <v>1</v>
      </c>
      <c r="O374" s="7">
        <f>(142+25)*CT[[#This Row],[FX Rate]]</f>
        <v>226.13470000000001</v>
      </c>
      <c r="P374" s="7">
        <f>CT[[#This Row],[Purchase Rate/MT (USD)]]*CT[[#This Row],[PC Qty (MT)]]</f>
        <v>5847.8433420000001</v>
      </c>
      <c r="Q374" s="7">
        <f>CT[[#This Row],[Purchase Rate/MT (USD)]]*CT[[#This Row],[Container Qty]]</f>
        <v>5847.8433420000001</v>
      </c>
      <c r="R374" s="7">
        <f>IF(CT[[#This Row],[BL Number]]&lt;&gt;0,(CT[[#This Row],[Supplier Prov. Price]]-CT[[#This Row],[Supplier Final Price]])*1.2,"")</f>
        <v>0</v>
      </c>
      <c r="S374" s="101">
        <v>1.3541000000000001</v>
      </c>
      <c r="T374" s="3">
        <v>45887</v>
      </c>
      <c r="U374" s="7">
        <f>1456/CT[[#This Row],[Container Qty]]+50/SUMIFS(CT[Container Qty],CT[BL Number],CT[[#This Row],[BL Number]])</f>
        <v>57.28126168716345</v>
      </c>
      <c r="V374" s="7">
        <f>(275*S374)/SUM($F$373:$F$374)</f>
        <v>7.2843798904538337</v>
      </c>
      <c r="W374" s="24">
        <f>(42.76*CT[[#This Row],[FX Rate]])/SUM($F$373:$F$374)</f>
        <v>1.1326548513302033</v>
      </c>
      <c r="X374" s="7">
        <f>IFERROR(CT[[#This Row],[Freight Charges]]+CT[[#This Row],[Inspection Cost/MT]]+CT[[#This Row],[DHL Charges PMT]],"")</f>
        <v>65.698296428947486</v>
      </c>
      <c r="Y374" s="7">
        <f>IFERROR(AF374-(O374+CT[[#This Row],[Cost Per MT]]),"")</f>
        <v>8.1670035710525326</v>
      </c>
      <c r="Z374" s="7">
        <f>IFERROR(CT[[#This Row],[Margin/MT]]*CT[[#This Row],[Container Qty]],"")</f>
        <v>211.19871234741848</v>
      </c>
      <c r="AA374" s="7"/>
      <c r="AB374" t="s">
        <v>195</v>
      </c>
      <c r="AC374" s="1" t="s">
        <v>183</v>
      </c>
      <c r="AD374" s="3">
        <v>45888</v>
      </c>
      <c r="AE374" s="14">
        <v>25.86</v>
      </c>
      <c r="AF374" s="7">
        <v>300</v>
      </c>
      <c r="AG374" s="7">
        <f>CT[[#This Row],[Sales Rate/MT (USD)]]*CT[[#This Row],[SC Qty (MT)]]</f>
        <v>7758</v>
      </c>
      <c r="AH374" s="7">
        <f>IF(CT[[#This Row],[Container Qty]]&lt;&gt;0,CT[[#This Row],[Sales Rate/MT (USD)]]*CT[[#This Row],[Container Qty]],"")</f>
        <v>7758</v>
      </c>
      <c r="AI374" s="7">
        <f>IF(CT[[#This Row],[Customer Final Price]]&lt;&gt;"",CT[[#This Row],[Customer Final Price]]-CT[[#This Row],[Customer  Prov. Price]],"")</f>
        <v>0</v>
      </c>
      <c r="AJ374" t="s">
        <v>8</v>
      </c>
      <c r="AK374" s="1" t="s">
        <v>191</v>
      </c>
      <c r="AL374" s="1" t="s">
        <v>188</v>
      </c>
      <c r="AM374" s="100" t="s">
        <v>134</v>
      </c>
    </row>
    <row r="375" spans="1:41" ht="15.75" thickBot="1" x14ac:dyDescent="0.3">
      <c r="A375" s="23" t="s">
        <v>22</v>
      </c>
      <c r="C375" s="3"/>
      <c r="F375" s="13">
        <f>SUBTOTAL(109,CT[Container Qty])</f>
        <v>1839.58</v>
      </c>
      <c r="G375" s="1"/>
      <c r="H375" s="31" t="s">
        <v>172</v>
      </c>
      <c r="I375" s="98">
        <f>CT[[#Totals],[PC Qty (MT)]]-CT[[#Totals],[Container Qty]]</f>
        <v>7451.5400000000009</v>
      </c>
      <c r="J375" s="1"/>
      <c r="K375" s="1"/>
      <c r="L375" s="1"/>
      <c r="M375" s="15">
        <f>SUBTOTAL(109,CT[PC Qty (MT)])</f>
        <v>9291.1200000000008</v>
      </c>
      <c r="N375" s="15"/>
      <c r="O375" s="16">
        <f>SUBTOTAL(101,CT[Purchase Rate/MT (USD)])</f>
        <v>309.45022272727277</v>
      </c>
      <c r="P375" s="16">
        <f>SUBTOTAL(109,CT[Supplier Prov. Price])</f>
        <v>1018583.845864</v>
      </c>
      <c r="Q375" s="16">
        <f>SUBTOTAL(109,CT[Supplier Final Price])</f>
        <v>576062.51402400027</v>
      </c>
      <c r="R375" s="16">
        <f>SUBTOTAL(109,CT[Supplier Price Diff. (VAT incl.)])</f>
        <v>22942.358207999987</v>
      </c>
      <c r="S375" s="16"/>
      <c r="T375" s="103"/>
      <c r="U375" s="16">
        <f>SUBTOTAL(101,CT[Freight Charges])</f>
        <v>8.7893755161952409</v>
      </c>
      <c r="V375" s="16">
        <f>SUBTOTAL(101,CT[Inspection Cost/MT])</f>
        <v>4.8476744531699678</v>
      </c>
      <c r="W375" s="16">
        <f>SUBTOTAL(101,CT[DHL Charges PMT])</f>
        <v>0.22374620912652463</v>
      </c>
      <c r="X375" s="16">
        <f>SUBTOTAL(101,CT[Cost Per MT])</f>
        <v>2.6827347442242049</v>
      </c>
      <c r="Y375" s="16">
        <f>SUBTOTAL(101,CT[Margin/MT])</f>
        <v>225.41557332029191</v>
      </c>
      <c r="Z375" s="16">
        <f>SUBTOTAL(109,CT[Gross Margin])</f>
        <v>41827.711500999983</v>
      </c>
      <c r="AA375" s="16"/>
      <c r="AC375" s="1"/>
      <c r="AD375" s="16"/>
      <c r="AE375" s="15">
        <f>SUBTOTAL(109,CT[SC Qty (MT)])</f>
        <v>9291.1200000000008</v>
      </c>
      <c r="AF375" s="16">
        <f>SUBTOTAL(101,CT[Sales Rate/MT (USD)])</f>
        <v>337.90322580645159</v>
      </c>
      <c r="AG375" s="16">
        <f>SUBTOTAL(109,CT[Customer  Prov. Price])</f>
        <v>3139236</v>
      </c>
      <c r="AH375" s="16">
        <f>SUBTOTAL(109,CT[Customer Final Price])</f>
        <v>642248.45000000007</v>
      </c>
      <c r="AI375" s="16">
        <f>SUBTOTAL(109,CT[Customer Price Difference])</f>
        <v>-17987.549999999996</v>
      </c>
      <c r="AK375" s="1"/>
      <c r="AO375" s="7">
        <f>SUM(AO3:AO374)</f>
        <v>447459.27760896087</v>
      </c>
    </row>
    <row r="376" spans="1:41" ht="15.75" thickTop="1" x14ac:dyDescent="0.25">
      <c r="A376" s="1"/>
      <c r="C376" s="1"/>
      <c r="G376" s="1"/>
      <c r="H376" s="1"/>
      <c r="I376" s="1"/>
      <c r="J376" s="1"/>
      <c r="K376" s="1"/>
      <c r="L376" s="6"/>
      <c r="M376" s="6"/>
      <c r="Q376" s="23" t="str">
        <f>IF(CT[[#Totals],[Supplier Price Diff. (VAT incl.)]]&lt;0,"Credit Note","Debit Note")</f>
        <v>Debit Note</v>
      </c>
      <c r="R376" s="37"/>
      <c r="S376" s="1"/>
      <c r="T376" s="25"/>
      <c r="U376" s="25"/>
      <c r="V376" s="25"/>
      <c r="W376" s="25"/>
      <c r="X376" s="25"/>
      <c r="Y376" s="1"/>
      <c r="Z376" s="24">
        <f>CT[[#Totals],[Gross Margin]]/M380</f>
        <v>32229.705271228217</v>
      </c>
      <c r="AA376" s="7"/>
      <c r="AD376" s="1"/>
      <c r="AI376" s="23" t="str">
        <f>IF(CT[[#Totals],[Customer Price Difference]]&lt;0,"Credit Note","Debit Note")</f>
        <v>Credit Note</v>
      </c>
    </row>
    <row r="377" spans="1:41" x14ac:dyDescent="0.25">
      <c r="A377" s="1"/>
      <c r="C377" s="1"/>
      <c r="G377" s="1"/>
      <c r="H377" s="1"/>
      <c r="I377" s="1"/>
      <c r="J377" s="1"/>
      <c r="K377" s="1"/>
      <c r="L377" s="6"/>
      <c r="M377" s="6"/>
      <c r="O377" s="108" t="s">
        <v>198</v>
      </c>
      <c r="P377" s="108" t="s">
        <v>199</v>
      </c>
      <c r="Q377" s="23"/>
      <c r="R377" s="37"/>
      <c r="S377" s="1"/>
      <c r="T377" s="25"/>
      <c r="U377" s="25"/>
      <c r="V377" s="25"/>
      <c r="W377" s="25"/>
      <c r="X377" s="25"/>
      <c r="Y377" s="1"/>
      <c r="Z377" s="24"/>
      <c r="AA377" s="7"/>
      <c r="AD377" s="1"/>
      <c r="AG377" s="82"/>
      <c r="AI377" s="23"/>
    </row>
    <row r="378" spans="1:41" x14ac:dyDescent="0.25">
      <c r="L378" s="38"/>
      <c r="N378" s="30" t="s">
        <v>120</v>
      </c>
      <c r="O378" s="84">
        <f>CT[[#Totals],[Supplier Prov. Price]]*0.2</f>
        <v>203716.76917280001</v>
      </c>
      <c r="P378" s="84">
        <f>CT[[#Totals],[Supplier Final Price]]*0.2</f>
        <v>115212.50280480005</v>
      </c>
      <c r="Q378" s="40" cm="1">
        <f t="array" ref="Q378">O378-_xlfn.ANCHORARRAY(P378)</f>
        <v>88504.266367999953</v>
      </c>
      <c r="R378" s="7"/>
      <c r="S378" s="7"/>
      <c r="U378" s="25"/>
      <c r="V378" s="25"/>
      <c r="W378" s="25"/>
      <c r="X378" s="25"/>
      <c r="Y378" s="7"/>
      <c r="Z378" s="12"/>
      <c r="AA378" s="7"/>
    </row>
    <row r="379" spans="1:41" x14ac:dyDescent="0.25">
      <c r="N379" s="31" t="s">
        <v>121</v>
      </c>
      <c r="O379" s="85">
        <f>CT[[#Totals],[Supplier Prov. Price]]+O378</f>
        <v>1222300.6150368</v>
      </c>
      <c r="P379" s="85">
        <f>CT[[#Totals],[Supplier Final Price]]+P378</f>
        <v>691275.01682880032</v>
      </c>
      <c r="Q379" s="40" cm="1">
        <f t="array" ref="Q379">O379-_xlfn.ANCHORARRAY(P379)</f>
        <v>531025.59820799972</v>
      </c>
      <c r="R379" s="7"/>
      <c r="S379" s="7"/>
      <c r="U379" s="7"/>
      <c r="V379" s="24"/>
      <c r="X379" s="24"/>
      <c r="Y379" s="7"/>
      <c r="Z379" s="12"/>
      <c r="AH379" s="12"/>
    </row>
    <row r="380" spans="1:41" x14ac:dyDescent="0.25">
      <c r="L380" s="33" t="s">
        <v>112</v>
      </c>
      <c r="M380" s="34">
        <v>1.2978000000000001</v>
      </c>
      <c r="N380" s="31" t="s">
        <v>105</v>
      </c>
      <c r="O380" s="84">
        <f>CT[[#Totals],[Supplier Prov. Price]]/M380</f>
        <v>784854.25016489439</v>
      </c>
      <c r="P380" s="84">
        <f>CT[[#Totals],[Supplier Final Price]]/M380</f>
        <v>443876.18587147497</v>
      </c>
      <c r="Q380" s="7"/>
      <c r="R380" s="7"/>
      <c r="V380" s="24"/>
      <c r="X380" s="24"/>
      <c r="Y380" s="7"/>
      <c r="Z380" s="12"/>
      <c r="AC380" s="31" t="s">
        <v>105</v>
      </c>
      <c r="AD380" s="84" t="e">
        <f>CT[[#Totals],[Customer  Prov. Price]]/$Z$380</f>
        <v>#DIV/0!</v>
      </c>
      <c r="AE380" s="84" t="e">
        <f>CT[[#Totals],[Customer Final Price]]/$Z$380</f>
        <v>#DIV/0!</v>
      </c>
    </row>
    <row r="381" spans="1:41" x14ac:dyDescent="0.25">
      <c r="N381" s="31" t="s">
        <v>107</v>
      </c>
      <c r="O381" s="84">
        <f>O380*0.2</f>
        <v>156970.85003297889</v>
      </c>
      <c r="P381" s="84">
        <f>P380*0.2</f>
        <v>88775.237174295005</v>
      </c>
      <c r="Q381" s="7"/>
      <c r="R381" s="7"/>
      <c r="S381" s="36"/>
      <c r="U381" s="7"/>
      <c r="V381" s="24"/>
      <c r="AC381" s="7"/>
    </row>
    <row r="382" spans="1:41" ht="15.75" thickBot="1" x14ac:dyDescent="0.3">
      <c r="N382" s="31" t="s">
        <v>108</v>
      </c>
      <c r="O382" s="86">
        <f>O380+O381</f>
        <v>941825.10019787331</v>
      </c>
      <c r="P382" s="86">
        <f>P380+P381</f>
        <v>532651.42304577003</v>
      </c>
      <c r="Q382" s="7"/>
      <c r="R382" s="7"/>
      <c r="S382" s="36"/>
      <c r="T382" s="7"/>
      <c r="U382" s="82"/>
      <c r="V382" s="24"/>
    </row>
    <row r="383" spans="1:41" ht="15.75" thickTop="1" x14ac:dyDescent="0.25">
      <c r="N383" s="12"/>
      <c r="P383" s="1"/>
      <c r="Q383" s="7"/>
      <c r="R383" s="7"/>
      <c r="S383" s="36"/>
      <c r="T383" s="12"/>
      <c r="U383" s="7"/>
      <c r="V383" s="24"/>
    </row>
    <row r="384" spans="1:41" x14ac:dyDescent="0.25">
      <c r="M384" s="30" t="s">
        <v>197</v>
      </c>
      <c r="N384" s="87" t="s">
        <v>105</v>
      </c>
      <c r="O384" s="83">
        <f>CT[[#Totals],[Customer Final Price]]/M380</f>
        <v>494874.74957620591</v>
      </c>
      <c r="P384" s="83">
        <f>CT[[#Totals],[Supplier Final Price]]/M380</f>
        <v>443876.18587147497</v>
      </c>
      <c r="Q384" s="88">
        <f>O384-P384-(CT[[#Totals],[Cost Per MT]]*CT[[#Totals],[Container Qty]])/1.2978</f>
        <v>47195.893662521077</v>
      </c>
      <c r="R384" s="7"/>
      <c r="T384" s="7"/>
      <c r="V384" s="24"/>
    </row>
    <row r="385" spans="14:20" x14ac:dyDescent="0.25">
      <c r="P385" s="12"/>
      <c r="R385" s="7"/>
      <c r="T385" s="36"/>
    </row>
    <row r="386" spans="14:20" x14ac:dyDescent="0.25">
      <c r="N386" s="7"/>
      <c r="R386" s="7"/>
    </row>
    <row r="387" spans="14:20" x14ac:dyDescent="0.25">
      <c r="Q387" s="7"/>
      <c r="R387" s="7"/>
    </row>
    <row r="388" spans="14:20" x14ac:dyDescent="0.25">
      <c r="Q388" s="7"/>
      <c r="R388" s="7"/>
    </row>
    <row r="389" spans="14:20" x14ac:dyDescent="0.25">
      <c r="R389" s="7"/>
    </row>
    <row r="390" spans="14:20" x14ac:dyDescent="0.25">
      <c r="R390" s="7"/>
    </row>
    <row r="391" spans="14:20" x14ac:dyDescent="0.25">
      <c r="R391" s="7"/>
    </row>
  </sheetData>
  <phoneticPr fontId="3" type="noConversion"/>
  <conditionalFormatting sqref="D376:D803 E67:E375 E3:E65">
    <cfRule type="duplicateValues" dxfId="35" priority="42"/>
  </conditionalFormatting>
  <conditionalFormatting sqref="Q376:Q377">
    <cfRule type="containsText" dxfId="34" priority="5" operator="containsText" text="Credit Note">
      <formula>NOT(ISERROR(SEARCH("Credit Note",Q376)))</formula>
    </cfRule>
    <cfRule type="containsText" dxfId="33" priority="6" operator="containsText" text="Debit Note">
      <formula>NOT(ISERROR(SEARCH("Debit Note",Q376)))</formula>
    </cfRule>
  </conditionalFormatting>
  <conditionalFormatting sqref="AI376:AI377">
    <cfRule type="containsText" dxfId="32" priority="2" operator="containsText" text="Credit Note">
      <formula>NOT(ISERROR(SEARCH("Credit Note",AI376)))</formula>
    </cfRule>
    <cfRule type="containsText" dxfId="31" priority="3" operator="containsText" text="Debit Note">
      <formula>NOT(ISERROR(SEARCH("Debit Note",AI376)))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71594-C4A9-41BC-ACDC-08D75D45E9C1}">
  <sheetPr codeName="Sheet2"/>
  <dimension ref="A3:P35"/>
  <sheetViews>
    <sheetView workbookViewId="0">
      <selection activeCell="O8" sqref="O8"/>
    </sheetView>
  </sheetViews>
  <sheetFormatPr defaultRowHeight="15" x14ac:dyDescent="0.25"/>
  <cols>
    <col min="1" max="1" width="19.28515625" bestFit="1" customWidth="1"/>
    <col min="2" max="2" width="12" bestFit="1" customWidth="1"/>
    <col min="3" max="3" width="10.42578125" bestFit="1" customWidth="1"/>
    <col min="4" max="4" width="10.85546875" bestFit="1" customWidth="1"/>
    <col min="5" max="6" width="11.5703125" bestFit="1" customWidth="1"/>
    <col min="7" max="7" width="10.5703125" bestFit="1" customWidth="1"/>
    <col min="8" max="8" width="14.7109375" bestFit="1" customWidth="1"/>
    <col min="9" max="9" width="15.140625" bestFit="1" customWidth="1"/>
    <col min="10" max="10" width="10.42578125" customWidth="1"/>
    <col min="11" max="11" width="13.7109375" customWidth="1"/>
    <col min="12" max="12" width="8.42578125" bestFit="1" customWidth="1"/>
    <col min="13" max="13" width="12.5703125" customWidth="1"/>
    <col min="14" max="14" width="10.7109375" bestFit="1" customWidth="1"/>
    <col min="15" max="15" width="15.85546875" customWidth="1"/>
    <col min="16" max="17" width="25.85546875" bestFit="1" customWidth="1"/>
    <col min="18" max="18" width="26.5703125" bestFit="1" customWidth="1"/>
    <col min="19" max="24" width="14.28515625" bestFit="1" customWidth="1"/>
    <col min="25" max="25" width="11.5703125" bestFit="1" customWidth="1"/>
    <col min="26" max="26" width="14.7109375" bestFit="1" customWidth="1"/>
    <col min="27" max="32" width="14.28515625" bestFit="1" customWidth="1"/>
    <col min="33" max="33" width="7.42578125" bestFit="1" customWidth="1"/>
    <col min="34" max="34" width="30.7109375" bestFit="1" customWidth="1"/>
    <col min="35" max="40" width="14.28515625" bestFit="1" customWidth="1"/>
    <col min="41" max="41" width="7.42578125" bestFit="1" customWidth="1"/>
    <col min="42" max="42" width="22.5703125" bestFit="1" customWidth="1"/>
    <col min="43" max="43" width="18.42578125" bestFit="1" customWidth="1"/>
    <col min="44" max="44" width="31.5703125" bestFit="1" customWidth="1"/>
    <col min="45" max="45" width="24.85546875" bestFit="1" customWidth="1"/>
    <col min="46" max="46" width="35.7109375" bestFit="1" customWidth="1"/>
    <col min="47" max="47" width="8.140625" bestFit="1" customWidth="1"/>
    <col min="48" max="51" width="6" bestFit="1" customWidth="1"/>
    <col min="52" max="52" width="6.7109375" bestFit="1" customWidth="1"/>
    <col min="53" max="54" width="6" bestFit="1" customWidth="1"/>
    <col min="55" max="55" width="5" bestFit="1" customWidth="1"/>
    <col min="56" max="56" width="6" bestFit="1" customWidth="1"/>
    <col min="57" max="58" width="6.7109375" bestFit="1" customWidth="1"/>
    <col min="59" max="60" width="6" bestFit="1" customWidth="1"/>
    <col min="61" max="61" width="5" bestFit="1" customWidth="1"/>
    <col min="62" max="62" width="6" bestFit="1" customWidth="1"/>
    <col min="63" max="63" width="4.7109375" bestFit="1" customWidth="1"/>
    <col min="64" max="64" width="6" bestFit="1" customWidth="1"/>
    <col min="65" max="65" width="6.7109375" bestFit="1" customWidth="1"/>
    <col min="66" max="66" width="6" bestFit="1" customWidth="1"/>
    <col min="67" max="67" width="6.7109375" bestFit="1" customWidth="1"/>
    <col min="68" max="68" width="5" bestFit="1" customWidth="1"/>
    <col min="69" max="69" width="6" bestFit="1" customWidth="1"/>
    <col min="70" max="71" width="6.7109375" bestFit="1" customWidth="1"/>
    <col min="72" max="72" width="5" bestFit="1" customWidth="1"/>
    <col min="73" max="73" width="6.7109375" bestFit="1" customWidth="1"/>
    <col min="74" max="75" width="6" bestFit="1" customWidth="1"/>
    <col min="76" max="77" width="6.7109375" bestFit="1" customWidth="1"/>
    <col min="78" max="78" width="6" bestFit="1" customWidth="1"/>
    <col min="79" max="79" width="5" bestFit="1" customWidth="1"/>
    <col min="80" max="80" width="6" bestFit="1" customWidth="1"/>
    <col min="81" max="81" width="5" bestFit="1" customWidth="1"/>
    <col min="82" max="83" width="6" bestFit="1" customWidth="1"/>
    <col min="84" max="85" width="5" bestFit="1" customWidth="1"/>
    <col min="86" max="90" width="6" bestFit="1" customWidth="1"/>
    <col min="92" max="92" width="26.5703125" bestFit="1" customWidth="1"/>
    <col min="93" max="99" width="9.5703125" bestFit="1" customWidth="1"/>
    <col min="100" max="100" width="10.5703125" bestFit="1" customWidth="1"/>
    <col min="101" max="106" width="9.5703125" bestFit="1" customWidth="1"/>
    <col min="107" max="109" width="10.5703125" bestFit="1" customWidth="1"/>
    <col min="110" max="117" width="9.5703125" bestFit="1" customWidth="1"/>
    <col min="118" max="118" width="10.5703125" bestFit="1" customWidth="1"/>
    <col min="119" max="129" width="9.5703125" bestFit="1" customWidth="1"/>
    <col min="130" max="130" width="10.5703125" bestFit="1" customWidth="1"/>
    <col min="131" max="135" width="9.5703125" bestFit="1" customWidth="1"/>
    <col min="136" max="136" width="11.5703125" bestFit="1" customWidth="1"/>
    <col min="137" max="144" width="9.5703125" bestFit="1" customWidth="1"/>
    <col min="145" max="145" width="10.5703125" bestFit="1" customWidth="1"/>
    <col min="146" max="151" width="9.5703125" bestFit="1" customWidth="1"/>
    <col min="152" max="154" width="10.5703125" bestFit="1" customWidth="1"/>
    <col min="155" max="162" width="9.5703125" bestFit="1" customWidth="1"/>
    <col min="163" max="163" width="10.5703125" bestFit="1" customWidth="1"/>
    <col min="164" max="174" width="9.5703125" bestFit="1" customWidth="1"/>
    <col min="175" max="175" width="10.5703125" bestFit="1" customWidth="1"/>
    <col min="176" max="180" width="9.5703125" bestFit="1" customWidth="1"/>
    <col min="181" max="181" width="6" bestFit="1" customWidth="1"/>
    <col min="182" max="182" width="11.42578125" bestFit="1" customWidth="1"/>
    <col min="183" max="186" width="4.7109375" bestFit="1" customWidth="1"/>
    <col min="187" max="187" width="6.7109375" bestFit="1" customWidth="1"/>
    <col min="188" max="191" width="4.7109375" bestFit="1" customWidth="1"/>
    <col min="192" max="193" width="6.7109375" bestFit="1" customWidth="1"/>
    <col min="194" max="199" width="4.7109375" bestFit="1" customWidth="1"/>
    <col min="200" max="200" width="6.7109375" bestFit="1" customWidth="1"/>
    <col min="201" max="201" width="4.7109375" bestFit="1" customWidth="1"/>
    <col min="202" max="202" width="6.7109375" bestFit="1" customWidth="1"/>
    <col min="203" max="204" width="4.7109375" bestFit="1" customWidth="1"/>
    <col min="205" max="206" width="6.7109375" bestFit="1" customWidth="1"/>
    <col min="207" max="207" width="4.7109375" bestFit="1" customWidth="1"/>
    <col min="208" max="208" width="6.7109375" bestFit="1" customWidth="1"/>
    <col min="209" max="210" width="4.7109375" bestFit="1" customWidth="1"/>
    <col min="211" max="212" width="6.7109375" bestFit="1" customWidth="1"/>
    <col min="213" max="214" width="4.7109375" bestFit="1" customWidth="1"/>
    <col min="215" max="215" width="3.7109375" bestFit="1" customWidth="1"/>
    <col min="216" max="217" width="4" bestFit="1" customWidth="1"/>
    <col min="218" max="218" width="6" bestFit="1" customWidth="1"/>
    <col min="219" max="221" width="4" bestFit="1" customWidth="1"/>
    <col min="222" max="224" width="6" bestFit="1" customWidth="1"/>
    <col min="225" max="225" width="4" bestFit="1" customWidth="1"/>
    <col min="227" max="227" width="22.5703125" bestFit="1" customWidth="1"/>
    <col min="228" max="228" width="18.42578125" bestFit="1" customWidth="1"/>
    <col min="229" max="229" width="31.5703125" bestFit="1" customWidth="1"/>
    <col min="230" max="230" width="24.85546875" bestFit="1" customWidth="1"/>
    <col min="231" max="231" width="16.42578125" bestFit="1" customWidth="1"/>
  </cols>
  <sheetData>
    <row r="3" spans="1:16" s="42" customFormat="1" x14ac:dyDescent="0.25">
      <c r="A3"/>
      <c r="B3" s="46" t="s">
        <v>128</v>
      </c>
      <c r="C3"/>
      <c r="D3"/>
      <c r="E3"/>
      <c r="F3"/>
      <c r="G3"/>
    </row>
    <row r="4" spans="1:16" ht="45" x14ac:dyDescent="0.25">
      <c r="A4" s="47" t="s">
        <v>123</v>
      </c>
      <c r="B4" s="42" t="s">
        <v>116</v>
      </c>
      <c r="C4" s="42" t="s">
        <v>130</v>
      </c>
      <c r="D4" s="42" t="s">
        <v>122</v>
      </c>
      <c r="E4" s="42" t="s">
        <v>117</v>
      </c>
      <c r="F4" s="42" t="s">
        <v>118</v>
      </c>
      <c r="G4" s="42" t="s">
        <v>119</v>
      </c>
    </row>
    <row r="5" spans="1:16" x14ac:dyDescent="0.25">
      <c r="A5" s="10">
        <v>705119</v>
      </c>
      <c r="B5" s="38">
        <v>240</v>
      </c>
      <c r="C5" s="109">
        <v>244.26000000000002</v>
      </c>
      <c r="D5" s="39">
        <v>4.2600000000000193</v>
      </c>
      <c r="E5" s="7">
        <v>69740.138160000017</v>
      </c>
      <c r="F5" s="7">
        <v>87933.6</v>
      </c>
      <c r="G5" s="7">
        <v>4468.9051619999946</v>
      </c>
    </row>
    <row r="6" spans="1:16" x14ac:dyDescent="0.25">
      <c r="A6" s="10" t="s">
        <v>12</v>
      </c>
      <c r="B6" s="38">
        <v>500</v>
      </c>
      <c r="C6" s="109">
        <v>480.73</v>
      </c>
      <c r="D6" s="39">
        <v>-19.269999999999982</v>
      </c>
      <c r="E6" s="7">
        <v>156237.25</v>
      </c>
      <c r="F6" s="7">
        <v>168255.5</v>
      </c>
      <c r="G6" s="7">
        <v>10083.218760999998</v>
      </c>
    </row>
    <row r="7" spans="1:16" x14ac:dyDescent="0.25">
      <c r="A7" s="10" t="s">
        <v>13</v>
      </c>
      <c r="B7" s="38">
        <v>500</v>
      </c>
      <c r="C7" s="109">
        <v>482.43999999999994</v>
      </c>
      <c r="D7" s="39">
        <v>-17.560000000000059</v>
      </c>
      <c r="E7" s="7">
        <v>156793</v>
      </c>
      <c r="F7" s="7">
        <v>168854</v>
      </c>
      <c r="G7" s="7">
        <v>9451.1516820000052</v>
      </c>
    </row>
    <row r="8" spans="1:16" s="41" customFormat="1" x14ac:dyDescent="0.25">
      <c r="A8" s="10" t="s">
        <v>82</v>
      </c>
      <c r="B8" s="38">
        <v>500</v>
      </c>
      <c r="C8" s="109">
        <v>481.62000000000006</v>
      </c>
      <c r="D8" s="39">
        <v>-18.379999999999939</v>
      </c>
      <c r="E8" s="7">
        <v>151710.29999999999</v>
      </c>
      <c r="F8" s="7">
        <v>168567</v>
      </c>
      <c r="G8" s="7">
        <v>14160.190576000003</v>
      </c>
    </row>
    <row r="9" spans="1:16" x14ac:dyDescent="0.25">
      <c r="A9" s="10" t="s">
        <v>124</v>
      </c>
      <c r="B9" s="38">
        <v>500</v>
      </c>
      <c r="C9" s="109">
        <v>99.41</v>
      </c>
      <c r="D9" s="39">
        <v>-400.59000000000003</v>
      </c>
      <c r="E9" s="7">
        <v>30021.82</v>
      </c>
      <c r="F9" s="7">
        <v>33302.35</v>
      </c>
      <c r="G9" s="7">
        <v>3280.5299999999997</v>
      </c>
    </row>
    <row r="10" spans="1:16" x14ac:dyDescent="0.25">
      <c r="A10" s="10" t="s">
        <v>127</v>
      </c>
      <c r="B10" s="38">
        <v>6000</v>
      </c>
      <c r="C10" s="109"/>
      <c r="D10" s="39">
        <v>-6000</v>
      </c>
      <c r="E10" s="7">
        <v>0</v>
      </c>
      <c r="F10" s="7">
        <v>0</v>
      </c>
      <c r="G10" s="7">
        <v>0</v>
      </c>
    </row>
    <row r="11" spans="1:16" x14ac:dyDescent="0.25">
      <c r="A11" s="10" t="s">
        <v>173</v>
      </c>
      <c r="B11" s="38">
        <v>500</v>
      </c>
      <c r="C11" s="109"/>
      <c r="D11" s="39">
        <v>-500</v>
      </c>
      <c r="E11" s="7">
        <v>0</v>
      </c>
      <c r="F11" s="7">
        <v>0</v>
      </c>
      <c r="G11" s="7">
        <v>0</v>
      </c>
    </row>
    <row r="12" spans="1:16" x14ac:dyDescent="0.25">
      <c r="A12" s="10" t="s">
        <v>189</v>
      </c>
      <c r="B12" s="38">
        <v>500</v>
      </c>
      <c r="C12" s="109"/>
      <c r="D12" s="39">
        <v>-500</v>
      </c>
      <c r="E12" s="7">
        <v>0</v>
      </c>
      <c r="F12" s="7">
        <v>0</v>
      </c>
      <c r="G12" s="7">
        <v>0</v>
      </c>
    </row>
    <row r="13" spans="1:16" x14ac:dyDescent="0.25">
      <c r="A13" s="51" t="s">
        <v>127</v>
      </c>
      <c r="B13" s="38">
        <v>500</v>
      </c>
      <c r="C13" s="109"/>
      <c r="D13" s="39">
        <v>-500</v>
      </c>
      <c r="E13" s="7">
        <v>0</v>
      </c>
      <c r="F13" s="7">
        <v>0</v>
      </c>
      <c r="G13" s="7">
        <v>0</v>
      </c>
    </row>
    <row r="14" spans="1:16" x14ac:dyDescent="0.25">
      <c r="A14" s="10" t="s">
        <v>201</v>
      </c>
      <c r="B14" s="38">
        <v>51.120000000000005</v>
      </c>
      <c r="C14" s="109">
        <v>51.120000000000005</v>
      </c>
      <c r="D14" s="39">
        <v>0</v>
      </c>
      <c r="E14" s="7">
        <v>11560.005864000001</v>
      </c>
      <c r="F14" s="7">
        <v>15336</v>
      </c>
      <c r="G14" s="7">
        <v>383.71532000000042</v>
      </c>
    </row>
    <row r="15" spans="1:16" s="42" customFormat="1" ht="45" x14ac:dyDescent="0.25">
      <c r="A15" s="51" t="s">
        <v>185</v>
      </c>
      <c r="B15" s="38">
        <v>25.26</v>
      </c>
      <c r="C15" s="109">
        <v>25.26</v>
      </c>
      <c r="D15" s="39">
        <v>0</v>
      </c>
      <c r="E15" s="7">
        <v>5712.1625220000005</v>
      </c>
      <c r="F15" s="7">
        <v>7578.0000000000009</v>
      </c>
      <c r="G15" s="7">
        <v>172.51660765258194</v>
      </c>
      <c r="H15" s="60" t="s">
        <v>129</v>
      </c>
      <c r="I15" s="61" t="s">
        <v>131</v>
      </c>
      <c r="J15" s="62" t="s">
        <v>60</v>
      </c>
      <c r="K15" s="62" t="s">
        <v>146</v>
      </c>
      <c r="L15" s="61" t="s">
        <v>132</v>
      </c>
      <c r="M15" s="61" t="s">
        <v>147</v>
      </c>
      <c r="N15" s="61" t="s">
        <v>148</v>
      </c>
      <c r="O15" s="63" t="s">
        <v>149</v>
      </c>
      <c r="P15" s="60" t="s">
        <v>16</v>
      </c>
    </row>
    <row r="16" spans="1:16" x14ac:dyDescent="0.25">
      <c r="A16" s="51" t="s">
        <v>186</v>
      </c>
      <c r="B16" s="38">
        <v>25.86</v>
      </c>
      <c r="C16" s="109">
        <v>25.86</v>
      </c>
      <c r="D16" s="39">
        <v>0</v>
      </c>
      <c r="E16" s="7">
        <v>5847.8433420000001</v>
      </c>
      <c r="F16" s="7">
        <v>7758</v>
      </c>
      <c r="G16" s="7">
        <v>211.19871234741848</v>
      </c>
      <c r="H16" s="64">
        <v>705119</v>
      </c>
      <c r="I16" s="64" t="s">
        <v>133</v>
      </c>
      <c r="J16" s="65">
        <f>SUMIFS(CT[SC Qty (MT)],CT[SC'#],Pivot!H16)</f>
        <v>240</v>
      </c>
      <c r="K16" s="65">
        <f>SUMIFS(CT[Container Qty],CT[SC'#],Pivot!H16)</f>
        <v>244.26000000000002</v>
      </c>
      <c r="L16" s="66">
        <f>_xlfn.XLOOKUP(H16,CT[SC'#],CT[Sales Rate/MT (USD)])</f>
        <v>360</v>
      </c>
      <c r="M16" s="67">
        <f>J16*L16</f>
        <v>86400</v>
      </c>
      <c r="N16" s="67">
        <f>K16*L16</f>
        <v>87933.6</v>
      </c>
      <c r="O16" s="68">
        <f>IF(N16&lt;&gt;0,N16-M16,-M16)</f>
        <v>1533.6000000000058</v>
      </c>
      <c r="P16" s="64" t="s">
        <v>169</v>
      </c>
    </row>
    <row r="17" spans="1:16" x14ac:dyDescent="0.25">
      <c r="A17" s="43" t="s">
        <v>20</v>
      </c>
      <c r="B17" s="44">
        <v>9291.1200000000008</v>
      </c>
      <c r="C17" s="110">
        <v>1839.58</v>
      </c>
      <c r="D17" s="45">
        <v>-7451.5400000000009</v>
      </c>
      <c r="E17" s="35">
        <v>576062.51402400003</v>
      </c>
      <c r="F17" s="35">
        <v>642248.44999999995</v>
      </c>
      <c r="G17" s="35">
        <v>41827.711500999991</v>
      </c>
      <c r="H17" s="69"/>
      <c r="I17" s="70"/>
      <c r="J17" s="71"/>
      <c r="K17" s="71"/>
      <c r="L17" s="72"/>
      <c r="M17" s="73"/>
      <c r="N17" s="73"/>
      <c r="O17" s="74"/>
      <c r="P17" s="75"/>
    </row>
    <row r="18" spans="1:16" x14ac:dyDescent="0.25">
      <c r="H18" s="64">
        <v>705120</v>
      </c>
      <c r="I18" s="64" t="s">
        <v>133</v>
      </c>
      <c r="J18" s="65">
        <f>SUMIFS(CT[SC Qty (MT)],CT[SC'#],Pivot!H18)</f>
        <v>1000</v>
      </c>
      <c r="K18" s="65">
        <f>SUMIFS(CT[Container Qty],CT[SC'#],Pivot!H18)</f>
        <v>963.17000000000007</v>
      </c>
      <c r="L18" s="66">
        <f>_xlfn.XLOOKUP(H18,CT[SC'#],CT[Sales Rate/MT (USD)])</f>
        <v>350</v>
      </c>
      <c r="M18" s="67">
        <f>J18*L18</f>
        <v>350000</v>
      </c>
      <c r="N18" s="67">
        <f>K18*L18</f>
        <v>337109.5</v>
      </c>
      <c r="O18" s="68">
        <f>IF(N18&lt;&gt;0,N18-M18,-M18)</f>
        <v>-12890.5</v>
      </c>
      <c r="P18" s="64" t="s">
        <v>168</v>
      </c>
    </row>
    <row r="19" spans="1:16" x14ac:dyDescent="0.25">
      <c r="H19" s="69"/>
      <c r="I19" s="70"/>
      <c r="J19" s="71"/>
      <c r="K19" s="71"/>
      <c r="L19" s="72"/>
      <c r="M19" s="73"/>
      <c r="N19" s="73"/>
      <c r="O19" s="74"/>
      <c r="P19" s="75"/>
    </row>
    <row r="20" spans="1:16" x14ac:dyDescent="0.25">
      <c r="H20" s="64" t="s">
        <v>81</v>
      </c>
      <c r="I20" s="64" t="s">
        <v>133</v>
      </c>
      <c r="J20" s="65">
        <f>SUMIFS(CT[SC Qty (MT)],CT[SC'#],Pivot!H20)</f>
        <v>500</v>
      </c>
      <c r="K20" s="65">
        <f>SUMIFS(CT[Container Qty],CT[SC'#],Pivot!H20)</f>
        <v>481.62000000000006</v>
      </c>
      <c r="L20" s="66">
        <f>_xlfn.XLOOKUP(H20,CT[SC'#],CT[Sales Rate/MT (USD)])</f>
        <v>350</v>
      </c>
      <c r="M20" s="67">
        <f>J20*L20</f>
        <v>175000</v>
      </c>
      <c r="N20" s="67">
        <f>K20*L20</f>
        <v>168567.00000000003</v>
      </c>
      <c r="O20" s="68">
        <f>IF(N20&lt;&gt;0,N20-M20,-M20)</f>
        <v>-6432.9999999999709</v>
      </c>
      <c r="P20" s="64" t="s">
        <v>170</v>
      </c>
    </row>
    <row r="21" spans="1:16" ht="15.75" thickBot="1" x14ac:dyDescent="0.3">
      <c r="H21" s="69"/>
      <c r="I21" s="70"/>
      <c r="J21" s="71"/>
      <c r="K21" s="71"/>
      <c r="L21" s="72"/>
      <c r="M21" s="73"/>
      <c r="N21" s="73"/>
      <c r="O21" s="97">
        <f>SUM(O16:O20)</f>
        <v>-17789.899999999965</v>
      </c>
      <c r="P21" s="75"/>
    </row>
    <row r="22" spans="1:16" ht="15.75" thickTop="1" x14ac:dyDescent="0.25">
      <c r="H22" s="64" t="s">
        <v>125</v>
      </c>
      <c r="I22" s="64" t="s">
        <v>175</v>
      </c>
      <c r="J22" s="65" t="s">
        <v>175</v>
      </c>
      <c r="K22" s="65" t="s">
        <v>175</v>
      </c>
      <c r="L22" s="66" t="s">
        <v>175</v>
      </c>
      <c r="M22" s="67" t="s">
        <v>175</v>
      </c>
      <c r="N22" s="67" t="s">
        <v>175</v>
      </c>
      <c r="O22" s="96" t="s">
        <v>175</v>
      </c>
      <c r="P22" s="64"/>
    </row>
    <row r="23" spans="1:16" x14ac:dyDescent="0.25">
      <c r="H23" s="69"/>
      <c r="I23" s="70"/>
      <c r="J23" s="71"/>
      <c r="K23" s="71"/>
      <c r="L23" s="72"/>
      <c r="M23" s="73"/>
      <c r="N23" s="73"/>
      <c r="O23" s="74"/>
      <c r="P23" s="75"/>
    </row>
    <row r="24" spans="1:16" x14ac:dyDescent="0.25">
      <c r="H24" s="64" t="s">
        <v>158</v>
      </c>
      <c r="I24" s="64" t="s">
        <v>134</v>
      </c>
      <c r="J24" s="65">
        <v>7462.686567164179</v>
      </c>
      <c r="K24" s="65">
        <f>SUMIFS(CT[Container Qty],CT[SC'#],Pivot!H24)</f>
        <v>99.41</v>
      </c>
      <c r="L24" s="66">
        <f>_xlfn.XLOOKUP(H24,CT[SC'#],CT[Sales Rate/MT (USD)])</f>
        <v>335</v>
      </c>
      <c r="M24" s="67">
        <f>J24*L24</f>
        <v>2500000</v>
      </c>
      <c r="N24" s="67">
        <f>K24*L24</f>
        <v>33302.35</v>
      </c>
      <c r="O24" s="68">
        <f>IF(N24&lt;&gt;0,N24-M24,-M24)</f>
        <v>-2466697.65</v>
      </c>
      <c r="P24" s="64"/>
    </row>
    <row r="25" spans="1:16" ht="15.75" thickBot="1" x14ac:dyDescent="0.3">
      <c r="H25" s="76"/>
      <c r="I25" s="76"/>
      <c r="J25" s="77"/>
      <c r="K25" s="77"/>
      <c r="L25" s="78"/>
      <c r="M25" s="79"/>
      <c r="N25" s="79"/>
      <c r="O25" s="59">
        <f>SUM(O21:O24)</f>
        <v>-2484487.5499999998</v>
      </c>
      <c r="P25" s="80"/>
    </row>
    <row r="26" spans="1:16" ht="15.75" thickTop="1" x14ac:dyDescent="0.25"/>
    <row r="27" spans="1:16" ht="60" x14ac:dyDescent="0.25">
      <c r="H27" s="91" t="s">
        <v>123</v>
      </c>
      <c r="I27" s="91" t="s">
        <v>131</v>
      </c>
      <c r="J27" s="91" t="s">
        <v>116</v>
      </c>
      <c r="K27" s="91" t="s">
        <v>130</v>
      </c>
      <c r="L27" s="91" t="s">
        <v>122</v>
      </c>
    </row>
    <row r="28" spans="1:16" x14ac:dyDescent="0.25">
      <c r="H28" s="55">
        <v>705119</v>
      </c>
      <c r="I28" s="95" t="s">
        <v>133</v>
      </c>
      <c r="J28" s="92">
        <f>GETPIVOTDATA(" PC Qty (MT)",$A$3,"PC#",705119)</f>
        <v>240</v>
      </c>
      <c r="K28" s="93">
        <f>GETPIVOTDATA(" Container Qty (MT)",$A$3,"PC#",705119)</f>
        <v>244.26000000000002</v>
      </c>
      <c r="L28" s="94">
        <f t="shared" ref="L28:L32" si="0">IF(I28="Completed",K28-J28,0)</f>
        <v>4.2600000000000193</v>
      </c>
    </row>
    <row r="29" spans="1:16" x14ac:dyDescent="0.25">
      <c r="H29" s="55" t="s">
        <v>12</v>
      </c>
      <c r="I29" s="95" t="s">
        <v>133</v>
      </c>
      <c r="J29" s="92">
        <f>GETPIVOTDATA(" PC Qty (MT)",$A$3,"PC#","PC 02")</f>
        <v>500</v>
      </c>
      <c r="K29" s="93">
        <f>GETPIVOTDATA(" Container Qty (MT)",$A$3,"PC#","PC 02")</f>
        <v>480.73</v>
      </c>
      <c r="L29" s="94">
        <f t="shared" si="0"/>
        <v>-19.269999999999982</v>
      </c>
    </row>
    <row r="30" spans="1:16" x14ac:dyDescent="0.25">
      <c r="H30" s="55" t="s">
        <v>13</v>
      </c>
      <c r="I30" s="95" t="s">
        <v>133</v>
      </c>
      <c r="J30" s="92">
        <f>GETPIVOTDATA(" PC Qty (MT)",$A$3,"PC#","PC 03")</f>
        <v>500</v>
      </c>
      <c r="K30" s="93">
        <f>GETPIVOTDATA(" Container Qty (MT)",$A$3,"PC#","PC 03")</f>
        <v>482.43999999999994</v>
      </c>
      <c r="L30" s="94">
        <f t="shared" si="0"/>
        <v>-17.560000000000059</v>
      </c>
    </row>
    <row r="31" spans="1:16" x14ac:dyDescent="0.25">
      <c r="H31" s="55" t="s">
        <v>82</v>
      </c>
      <c r="I31" s="95" t="s">
        <v>133</v>
      </c>
      <c r="J31" s="92">
        <f>GETPIVOTDATA(" PC Qty (MT)",$A$3,"PC#","PC-2025-000004")</f>
        <v>500</v>
      </c>
      <c r="K31" s="93">
        <f>GETPIVOTDATA(" Container Qty (MT)",$A$3,"PC#","PC-2025-000004")</f>
        <v>481.62000000000006</v>
      </c>
      <c r="L31" s="94">
        <f t="shared" si="0"/>
        <v>-18.379999999999939</v>
      </c>
    </row>
    <row r="32" spans="1:16" x14ac:dyDescent="0.25">
      <c r="H32" s="55" t="s">
        <v>124</v>
      </c>
      <c r="I32" s="95" t="s">
        <v>134</v>
      </c>
      <c r="J32" s="92">
        <f>GETPIVOTDATA(" PC Qty (MT)",$A$3,"PC#","PC-2025-000005")</f>
        <v>500</v>
      </c>
      <c r="K32" s="93">
        <f>GETPIVOTDATA(" Container Qty (MT)",$A$3,"PC#","PC-2025-000005")</f>
        <v>99.41</v>
      </c>
      <c r="L32" s="94">
        <f t="shared" si="0"/>
        <v>0</v>
      </c>
    </row>
    <row r="33" spans="8:12" x14ac:dyDescent="0.25">
      <c r="H33" s="55" t="s">
        <v>173</v>
      </c>
      <c r="I33" s="95" t="s">
        <v>134</v>
      </c>
      <c r="J33" s="92">
        <v>500</v>
      </c>
      <c r="K33" s="93">
        <f>GETPIVOTDATA(" Container Qty (MT)",$A$3,"PC#","PC-2025-000005")</f>
        <v>99.41</v>
      </c>
      <c r="L33" s="94">
        <f>IF(I33="Completed",K33-J33,0)</f>
        <v>0</v>
      </c>
    </row>
    <row r="34" spans="8:12" ht="15.75" thickBot="1" x14ac:dyDescent="0.3">
      <c r="J34" s="13">
        <f>SUM(J28:J33)</f>
        <v>2740</v>
      </c>
      <c r="L34" s="13">
        <f>SUM(L28:L33)</f>
        <v>-50.94999999999996</v>
      </c>
    </row>
    <row r="35" spans="8:12" ht="15.75" thickTop="1" x14ac:dyDescent="0.25"/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7828-23E9-4963-86C3-26036037D938}">
  <dimension ref="A1:J5"/>
  <sheetViews>
    <sheetView workbookViewId="0">
      <selection activeCell="N1" sqref="N1"/>
    </sheetView>
  </sheetViews>
  <sheetFormatPr defaultRowHeight="15" x14ac:dyDescent="0.25"/>
  <cols>
    <col min="1" max="1" width="14.5703125" bestFit="1" customWidth="1"/>
    <col min="2" max="2" width="13.85546875" style="50" bestFit="1" customWidth="1"/>
    <col min="3" max="3" width="9.7109375" customWidth="1"/>
    <col min="4" max="4" width="17.42578125" bestFit="1" customWidth="1"/>
    <col min="5" max="5" width="14" bestFit="1" customWidth="1"/>
    <col min="6" max="6" width="14.7109375" bestFit="1" customWidth="1"/>
    <col min="7" max="7" width="10.5703125" customWidth="1"/>
    <col min="8" max="8" width="12.7109375" customWidth="1"/>
    <col min="9" max="10" width="15.85546875" customWidth="1"/>
  </cols>
  <sheetData>
    <row r="1" spans="1:10" ht="45" x14ac:dyDescent="0.25">
      <c r="A1" s="17" t="s">
        <v>10</v>
      </c>
      <c r="B1" s="22" t="s">
        <v>53</v>
      </c>
      <c r="C1" s="22" t="s">
        <v>52</v>
      </c>
      <c r="D1" s="22" t="s">
        <v>37</v>
      </c>
      <c r="E1" s="22" t="s">
        <v>54</v>
      </c>
      <c r="F1" s="17" t="s">
        <v>3</v>
      </c>
      <c r="G1" s="18" t="s">
        <v>61</v>
      </c>
      <c r="H1" s="18" t="s">
        <v>18</v>
      </c>
      <c r="I1" s="17" t="s">
        <v>15</v>
      </c>
      <c r="J1" s="17" t="s">
        <v>16</v>
      </c>
    </row>
    <row r="2" spans="1:10" x14ac:dyDescent="0.25">
      <c r="A2" t="str">
        <f>_xlfn.XLOOKUP(Table1[[#This Row],[Container Number]],CT[Container Number],CT[Customer])</f>
        <v>URJA</v>
      </c>
      <c r="B2" s="1" t="s">
        <v>185</v>
      </c>
      <c r="C2" s="11">
        <f>_xlfn.XLOOKUP(Table1[[#This Row],[Container Number]],CT[Container Number],CT[Container Qty])</f>
        <v>25.26</v>
      </c>
      <c r="D2" s="1" t="str">
        <f>_xlfn.XLOOKUP(Table1[[#This Row],[Container Number]],CT[Container Number],CT[BL Number])</f>
        <v>SCJUB0810619AA</v>
      </c>
      <c r="E2" s="3">
        <f>_xlfn.XLOOKUP(Table1[[#This Row],[BL Number]],CT[BL Number],CT[SOB Date])</f>
        <v>45897</v>
      </c>
      <c r="F2" s="1" t="str">
        <f>_xlfn.XLOOKUP(Table1[[#This Row],[Container Number]],CT[Container Number],CT[SC'#])</f>
        <v>SC-2025-000006</v>
      </c>
      <c r="G2" s="7">
        <f>_xlfn.XLOOKUP(Table1[[#This Row],[Container Number]],CT[Container Number],CT[Sales Rate/MT (USD)])</f>
        <v>300</v>
      </c>
      <c r="H2" s="7">
        <f>_xlfn.XLOOKUP(Table1[[#This Row],[Container Number]],CT[Container Number],CT[Customer Final Price])</f>
        <v>7578.0000000000009</v>
      </c>
      <c r="I2" s="1" t="str">
        <f>_xlfn.XLOOKUP(Table1[[#This Row],[Container Number]],CT[Container Number],CT[PI'#])</f>
        <v>PI-2025-000007</v>
      </c>
      <c r="J2" s="1" t="str">
        <f>_xlfn.XLOOKUP(Table1[[#This Row],[Container Number]],CT[Container Number],CT[CI'#])</f>
        <v>CI-2025-000011</v>
      </c>
    </row>
    <row r="3" spans="1:10" x14ac:dyDescent="0.25">
      <c r="A3" t="str">
        <f>_xlfn.XLOOKUP(Table1[[#This Row],[Container Number]],CT[Container Number],CT[Customer])</f>
        <v>URJA</v>
      </c>
      <c r="B3" s="1" t="s">
        <v>186</v>
      </c>
      <c r="C3" s="11">
        <f>_xlfn.XLOOKUP(Table1[[#This Row],[Container Number]],CT[Container Number],CT[Container Qty])</f>
        <v>25.86</v>
      </c>
      <c r="D3" s="1" t="str">
        <f>_xlfn.XLOOKUP(Table1[[#This Row],[Container Number]],CT[Container Number],CT[BL Number])</f>
        <v>SCJUB0810619AA</v>
      </c>
      <c r="E3" s="3">
        <f>_xlfn.XLOOKUP(Table1[[#This Row],[BL Number]],CT[BL Number],CT[SOB Date])</f>
        <v>45897</v>
      </c>
      <c r="F3" s="1" t="str">
        <f>_xlfn.XLOOKUP(Table1[[#This Row],[Container Number]],CT[Container Number],CT[SC'#])</f>
        <v>SC-2025-000006</v>
      </c>
      <c r="G3" s="7">
        <f>_xlfn.XLOOKUP(Table1[[#This Row],[Container Number]],CT[Container Number],CT[Sales Rate/MT (USD)])</f>
        <v>300</v>
      </c>
      <c r="H3" s="7">
        <f>_xlfn.XLOOKUP(Table1[[#This Row],[Container Number]],CT[Container Number],CT[Customer Final Price])</f>
        <v>7758</v>
      </c>
      <c r="I3" s="1" t="str">
        <f>_xlfn.XLOOKUP(Table1[[#This Row],[Container Number]],CT[Container Number],CT[PI'#])</f>
        <v>PI-2025-000007</v>
      </c>
      <c r="J3" s="1" t="str">
        <f>_xlfn.XLOOKUP(Table1[[#This Row],[Container Number]],CT[Container Number],CT[CI'#])</f>
        <v>CI-2025-000011</v>
      </c>
    </row>
    <row r="4" spans="1:10" ht="15.75" thickBot="1" x14ac:dyDescent="0.3">
      <c r="A4" s="41" t="s">
        <v>22</v>
      </c>
      <c r="B4" s="49">
        <f>SUBTOTAL(103,Table1[Container Number])</f>
        <v>2</v>
      </c>
      <c r="C4" s="48">
        <f>SUBTOTAL(109,Table1[Container Qty])</f>
        <v>51.120000000000005</v>
      </c>
      <c r="D4" s="23"/>
      <c r="E4" s="23"/>
      <c r="F4" s="23"/>
      <c r="G4" s="41"/>
      <c r="H4" s="16">
        <f>SUBTOTAL(109,Table1[Customer Final Price])</f>
        <v>15336</v>
      </c>
      <c r="I4" s="23"/>
      <c r="J4" s="23">
        <f>SUBTOTAL(103,Table1[CI'#])</f>
        <v>2</v>
      </c>
    </row>
    <row r="5" spans="1:10" ht="15.75" thickTop="1" x14ac:dyDescent="0.25"/>
  </sheetData>
  <conditionalFormatting sqref="B2:B3">
    <cfRule type="duplicateValues" dxfId="30" priority="47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D8CC9-D122-408F-B3F0-8FA8009EA8FB}">
  <dimension ref="A1:F21"/>
  <sheetViews>
    <sheetView workbookViewId="0">
      <selection activeCell="F5" sqref="F5"/>
    </sheetView>
  </sheetViews>
  <sheetFormatPr defaultRowHeight="15" x14ac:dyDescent="0.25"/>
  <cols>
    <col min="1" max="1" width="21.5703125" bestFit="1" customWidth="1"/>
    <col min="2" max="2" width="13.28515625" bestFit="1" customWidth="1"/>
    <col min="3" max="3" width="13.7109375" customWidth="1"/>
    <col min="4" max="4" width="10.5703125" bestFit="1" customWidth="1"/>
    <col min="5" max="5" width="17" bestFit="1" customWidth="1"/>
    <col min="6" max="6" width="13.28515625" bestFit="1" customWidth="1"/>
  </cols>
  <sheetData>
    <row r="1" spans="1:6" s="2" customFormat="1" ht="30" x14ac:dyDescent="0.25">
      <c r="A1" s="105" t="s">
        <v>123</v>
      </c>
      <c r="B1" s="42" t="s">
        <v>119</v>
      </c>
      <c r="C1" s="42" t="s">
        <v>192</v>
      </c>
      <c r="E1" s="104" t="s">
        <v>123</v>
      </c>
      <c r="F1" s="104" t="s">
        <v>119</v>
      </c>
    </row>
    <row r="2" spans="1:6" x14ac:dyDescent="0.25">
      <c r="A2" s="10">
        <v>705119</v>
      </c>
      <c r="B2" s="7">
        <v>4468.9051619999946</v>
      </c>
      <c r="C2" s="109">
        <v>244.26000000000002</v>
      </c>
      <c r="E2" s="55">
        <v>705119</v>
      </c>
      <c r="F2" s="56">
        <v>4910.4418399999959</v>
      </c>
    </row>
    <row r="3" spans="1:6" x14ac:dyDescent="0.25">
      <c r="A3" s="10" t="s">
        <v>12</v>
      </c>
      <c r="B3" s="7">
        <v>10083.218760999998</v>
      </c>
      <c r="C3" s="109">
        <v>480.73</v>
      </c>
      <c r="E3" s="55" t="s">
        <v>12</v>
      </c>
      <c r="F3" s="56">
        <v>11293.580000000011</v>
      </c>
    </row>
    <row r="4" spans="1:6" x14ac:dyDescent="0.25">
      <c r="A4" s="10" t="s">
        <v>13</v>
      </c>
      <c r="B4" s="7">
        <v>9451.1516820000052</v>
      </c>
      <c r="C4" s="109">
        <v>482.43999999999994</v>
      </c>
      <c r="E4" s="55" t="s">
        <v>13</v>
      </c>
      <c r="F4" s="56">
        <v>11377.839999999989</v>
      </c>
    </row>
    <row r="5" spans="1:6" x14ac:dyDescent="0.25">
      <c r="A5" s="10" t="s">
        <v>82</v>
      </c>
      <c r="B5" s="7">
        <v>14160.190576000003</v>
      </c>
      <c r="C5" s="109">
        <v>481.62000000000006</v>
      </c>
      <c r="E5" s="55" t="s">
        <v>82</v>
      </c>
      <c r="F5" s="56">
        <v>16213.940000000004</v>
      </c>
    </row>
    <row r="6" spans="1:6" x14ac:dyDescent="0.25">
      <c r="A6" s="10" t="s">
        <v>124</v>
      </c>
      <c r="B6" s="7">
        <v>3280.5299999999997</v>
      </c>
      <c r="C6" s="109">
        <v>99.41</v>
      </c>
      <c r="E6" s="55"/>
      <c r="F6" s="56"/>
    </row>
    <row r="7" spans="1:6" x14ac:dyDescent="0.25">
      <c r="A7" s="51" t="s">
        <v>127</v>
      </c>
      <c r="B7" s="7">
        <v>0</v>
      </c>
      <c r="C7" s="109"/>
      <c r="E7" s="55"/>
      <c r="F7" s="56"/>
    </row>
    <row r="8" spans="1:6" x14ac:dyDescent="0.25">
      <c r="A8" s="51" t="s">
        <v>202</v>
      </c>
      <c r="B8" s="7">
        <v>781.7700000000001</v>
      </c>
      <c r="C8" s="109">
        <v>23.69</v>
      </c>
      <c r="E8" s="55"/>
      <c r="F8" s="56"/>
    </row>
    <row r="9" spans="1:6" x14ac:dyDescent="0.25">
      <c r="A9" s="51" t="s">
        <v>204</v>
      </c>
      <c r="B9" s="7">
        <v>844.14</v>
      </c>
      <c r="C9" s="109">
        <v>25.58</v>
      </c>
      <c r="E9" s="55"/>
      <c r="F9" s="56"/>
    </row>
    <row r="10" spans="1:6" x14ac:dyDescent="0.25">
      <c r="A10" s="51" t="s">
        <v>206</v>
      </c>
      <c r="B10" s="7">
        <v>874.5</v>
      </c>
      <c r="C10" s="109">
        <v>26.5</v>
      </c>
      <c r="E10" s="55"/>
      <c r="F10" s="56"/>
    </row>
    <row r="11" spans="1:6" x14ac:dyDescent="0.25">
      <c r="A11" s="51" t="s">
        <v>205</v>
      </c>
      <c r="B11" s="7">
        <v>780.12</v>
      </c>
      <c r="C11" s="109">
        <v>23.64</v>
      </c>
      <c r="E11" s="55"/>
      <c r="F11" s="56"/>
    </row>
    <row r="12" spans="1:6" x14ac:dyDescent="0.25">
      <c r="A12" s="10" t="s">
        <v>127</v>
      </c>
      <c r="B12" s="7">
        <v>0</v>
      </c>
      <c r="C12" s="109"/>
      <c r="E12" s="55"/>
      <c r="F12" s="56"/>
    </row>
    <row r="13" spans="1:6" x14ac:dyDescent="0.25">
      <c r="A13" s="51" t="s">
        <v>127</v>
      </c>
      <c r="B13" s="7">
        <v>0</v>
      </c>
      <c r="C13" s="109"/>
      <c r="E13" s="55"/>
      <c r="F13" s="56"/>
    </row>
    <row r="14" spans="1:6" x14ac:dyDescent="0.25">
      <c r="A14" s="10" t="s">
        <v>173</v>
      </c>
      <c r="B14" s="7">
        <v>0</v>
      </c>
      <c r="C14" s="109"/>
      <c r="E14" s="55"/>
      <c r="F14" s="56"/>
    </row>
    <row r="15" spans="1:6" x14ac:dyDescent="0.25">
      <c r="A15" s="51" t="s">
        <v>127</v>
      </c>
      <c r="B15" s="7">
        <v>0</v>
      </c>
      <c r="C15" s="109"/>
      <c r="E15" s="55"/>
      <c r="F15" s="56"/>
    </row>
    <row r="16" spans="1:6" x14ac:dyDescent="0.25">
      <c r="A16" s="10" t="s">
        <v>189</v>
      </c>
      <c r="B16" s="7">
        <v>0</v>
      </c>
      <c r="C16" s="109"/>
      <c r="E16" s="55"/>
      <c r="F16" s="56"/>
    </row>
    <row r="17" spans="1:6" x14ac:dyDescent="0.25">
      <c r="A17" s="51" t="s">
        <v>127</v>
      </c>
      <c r="B17" s="7">
        <v>0</v>
      </c>
      <c r="C17" s="109"/>
      <c r="E17" s="55"/>
      <c r="F17" s="56"/>
    </row>
    <row r="18" spans="1:6" x14ac:dyDescent="0.25">
      <c r="A18" s="10" t="s">
        <v>201</v>
      </c>
      <c r="B18" s="7">
        <v>383.71532000000042</v>
      </c>
      <c r="C18" s="109">
        <v>51.120000000000005</v>
      </c>
      <c r="E18" s="55"/>
      <c r="F18" s="56"/>
    </row>
    <row r="19" spans="1:6" x14ac:dyDescent="0.25">
      <c r="A19" s="51" t="s">
        <v>185</v>
      </c>
      <c r="B19" s="7">
        <v>172.51660765258194</v>
      </c>
      <c r="C19" s="109">
        <v>25.26</v>
      </c>
    </row>
    <row r="20" spans="1:6" x14ac:dyDescent="0.25">
      <c r="A20" s="51" t="s">
        <v>186</v>
      </c>
      <c r="B20" s="7">
        <v>211.19871234741848</v>
      </c>
      <c r="C20" s="109">
        <v>25.86</v>
      </c>
    </row>
    <row r="21" spans="1:6" x14ac:dyDescent="0.25">
      <c r="A21" s="43" t="s">
        <v>20</v>
      </c>
      <c r="B21" s="35">
        <v>41827.711500999991</v>
      </c>
      <c r="C21" s="110">
        <v>1839.58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 data</vt:lpstr>
      <vt:lpstr>Pivot</vt:lpstr>
      <vt:lpstr>Checking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Misbah Khan</dc:creator>
  <cp:lastModifiedBy>Numer Khan</cp:lastModifiedBy>
  <dcterms:created xsi:type="dcterms:W3CDTF">2025-05-08T13:42:01Z</dcterms:created>
  <dcterms:modified xsi:type="dcterms:W3CDTF">2025-10-02T09:38:21Z</dcterms:modified>
</cp:coreProperties>
</file>