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alterheselwood-my.sharepoint.com/personal/misbah_khan_heselwood_com/Documents/Documents/WHL/Misbah/Docs - Misbah/"/>
    </mc:Choice>
  </mc:AlternateContent>
  <xr:revisionPtr revIDLastSave="726" documentId="120_S{3A58C58F-642C-511B-BB69-36D53222445C}" xr6:coauthVersionLast="47" xr6:coauthVersionMax="47" xr10:uidLastSave="{B71428A1-A214-410D-BFA1-03D3DAA9D898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1" l="1"/>
  <c r="V75" i="1"/>
  <c r="V74" i="1"/>
  <c r="V73" i="1"/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3" i="2"/>
  <c r="J32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K28" i="2"/>
  <c r="K29" i="2"/>
  <c r="J29" i="2"/>
  <c r="J30" i="2"/>
  <c r="K31" i="2"/>
  <c r="J28" i="2"/>
  <c r="J31" i="2"/>
  <c r="K30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<sst xmlns="http://schemas.openxmlformats.org/spreadsheetml/2006/main" count="3375" uniqueCount="207">
  <si>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</si>
  <si>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</si>
  <si>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</si>
  <si>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</si>
  <si>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</si>
  <si>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</si>
  <si>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</si>
  <si>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</si>
  <si>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</si>
  <si>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</si>
  <si>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</si>
  <si>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</si>
  <si>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</si>
  <si>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</si>
  <si>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</si>
  <si>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</si>
  <si>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</si>
  <si>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</si>
  <si>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</si>
  <si>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</si>
  <si>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</si>
  <si>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</si>
  <si>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</si>
  <si>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</si>
  <si>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</si>
  <si>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</si>
  <si>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</si>
  <si>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</si>
  <si>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</si>
  <si>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</si>
  <si>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</si>
  <si>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</si>
  <si>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</si>
  <si>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</si>
  <si>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</si>
  <si>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</si>
  <si>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</si>
  <si>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</si>
  <si>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</si>
  <si>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</si>
  <si>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</si>
  <si>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</si>
  <si>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</si>
  <si>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</si>
  <si>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</si>
  <si>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</si>
  <si>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</si>
  <si>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</si>
  <si>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</si>
  <si>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</si>
  <si>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</si>
  <si>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</si>
  <si>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</si>
  <si>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</si>
  <si>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</si>
  <si>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</si>
  <si>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</si>
  <si>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</si>
  <si>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</si>
  <si>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</si>
  <si>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</si>
  <si>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</si>
  <si>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</si>
  <si>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</si>
  <si>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</si>
  <si>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</si>
  <si>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</si>
  <si>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</si>
  <si>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</si>
  <si>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</si>
  <si>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</si>
  <si>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</si>
  <si>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</si>
  <si>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</si>
  <si>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</si>
  <si>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</si>
  <si>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</si>
  <si>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</si>
  <si>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</si>
  <si>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</si>
  <si>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</si>
  <si>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</si>
  <si>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</si>
  <si>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</si>
  <si>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</si>
  <si>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</si>
  <si>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</si>
  <si>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</si>
  <si>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</si>
  <si>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</si>
  <si>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</si>
  <si>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</si>
  <si>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</si>
  <si>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</si>
  <si>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</si>
  <si>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</si>
  <si>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</si>
  <si>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</si>
  <si>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</si>
  <si>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</si>
  <si>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</si>
  <si>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</si>
  <si>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</si>
  <si>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</si>
  <si>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</si>
  <si>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</si>
  <si>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</si>
  <si>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</si>
  <si>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</si>
  <si>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</si>
  <si>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</si>
  <si>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</si>
  <si>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</si>
  <si>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</si>
  <si>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</si>
  <si>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</si>
  <si>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</si>
  <si>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</si>
  <si>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</si>
  <si>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</si>
  <si>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</si>
  <si>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</si>
  <si>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</si>
  <si>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</si>
  <si>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</si>
  <si>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</si>
  <si>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</si>
  <si>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</si>
  <si>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</si>
  <si>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</si>
  <si>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</si>
  <si>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</si>
  <si>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</si>
  <si>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</si>
  <si>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</si>
  <si>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</si>
  <si>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</si>
  <si>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</si>
  <si>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</si>
  <si>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</si>
  <si>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</si>
  <si>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</si>
  <si>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</si>
  <si>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</si>
  <si>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</si>
  <si>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</si>
  <si>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</si>
  <si>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</si>
  <si>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</si>
  <si>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</si>
  <si>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</si>
  <si>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</si>
  <si>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</si>
  <si>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</si>
  <si>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</si>
  <si>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</si>
  <si>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</si>
  <si>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</si>
  <si>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</si>
  <si>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</si>
  <si>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</si>
  <si>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</si>
  <si>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</si>
  <si>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</si>
  <si>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</si>
  <si>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</si>
  <si>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</si>
  <si>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</si>
  <si>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</si>
  <si>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</si>
  <si>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</si>
  <si>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</si>
  <si>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</si>
  <si>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</si>
  <si>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</si>
  <si>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</si>
  <si>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</si>
  <si>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</si>
  <si>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</si>
  <si>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</si>
  <si>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</si>
  <si>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</si>
  <si>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</si>
  <si>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</si>
  <si>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</si>
  <si>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</si>
  <si>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</si>
  <si>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</si>
  <si>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</si>
  <si>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</si>
  <si>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</si>
  <si>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</si>
  <si>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</si>
  <si>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</si>
  <si>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</si>
  <si>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</si>
  <si>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</si>
  <si>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</si>
  <si>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</si>
  <si>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</si>
  <si>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</si>
  <si>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</si>
  <si>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</si>
  <si>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</si>
  <si>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</si>
  <si>
    <t>GLDU5432203</t>
  </si>
  <si>
    <t>UACU3778277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</si>
</sst>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4" formatCode="#,##0.00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7.652885648145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8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s v="UACU3778277"/>
        <s v="GLDU5432203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30.53165903490628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n v="0"/>
    <n v="3.7209787747711496"/>
    <m/>
    <n v="3.7209787747711496"/>
    <n v="29.27902122522886"/>
    <n v="693.62001282567178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m/>
    <n v="0"/>
    <n v="3.7209787747711496"/>
    <m/>
    <n v="3.7209787747711496"/>
    <n v="29.27902122522886"/>
    <n v="748.95736294135418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n v="26.5"/>
    <m/>
    <m/>
    <s v="PENDING"/>
    <s v="July"/>
    <s v="CNF"/>
    <m/>
    <n v="25"/>
    <n v="103"/>
    <n v="302"/>
    <n v="7550"/>
    <n v="8003"/>
    <n v="-543.6"/>
    <n v="1.3451"/>
    <m/>
    <n v="0"/>
    <n v="3.7209787747711496"/>
    <m/>
    <n v="3.7209787747711496"/>
    <n v="29.27902122522886"/>
    <n v="775.89406246856481"/>
    <m/>
    <s v="EVSL"/>
    <s v="SC-2025-000005"/>
    <d v="2025-07-23T00:00:00"/>
    <n v="25"/>
    <n v="335"/>
    <n v="8375"/>
    <n v="8877.5"/>
    <n v="502.5"/>
    <s v="Nhava Sheva"/>
    <s v="PI-2025-000006"/>
    <m/>
    <s v="Pending"/>
  </r>
  <r>
    <s v="Spartan Metals"/>
    <x v="4"/>
    <d v="2025-07-11T00:00:00"/>
    <s v="HMS 80:20"/>
    <x v="73"/>
    <n v="23.64"/>
    <m/>
    <m/>
    <s v="PENDING"/>
    <s v="July"/>
    <s v="CNF"/>
    <m/>
    <n v="25"/>
    <n v="103"/>
    <n v="302"/>
    <n v="7550"/>
    <n v="7139.28"/>
    <n v="492.86400000000026"/>
    <n v="1.3451"/>
    <m/>
    <n v="0"/>
    <n v="3.7209787747711496"/>
    <m/>
    <n v="3.7209787747711496"/>
    <n v="29.27902122522886"/>
    <n v="692.15606176441031"/>
    <m/>
    <s v="EVSL"/>
    <s v="SC-2025-000005"/>
    <d v="2025-07-23T00:00:00"/>
    <n v="25"/>
    <n v="335"/>
    <n v="8375"/>
    <n v="7919.4000000000005"/>
    <n v="-455.59999999999945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5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6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field="1" type="button" dataOnly="0" labelOnly="1" outline="0" axis="axisRow" fieldPosition="0"/>
    </format>
    <format dxfId="111">
      <pivotArea field="1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21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20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 r="1">
      <x v="76"/>
    </i>
    <i r="1">
      <x v="77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field="1" type="button" dataOnly="0" labelOnly="1" outline="0" axis="axisRow" fieldPosition="0"/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34"/>
    <tableColumn id="2" xr3:uid="{83362F31-EF3E-4AAE-8B11-3FBCF177992F}" name="PC#" dataDxfId="160" totalsRowDxfId="33"/>
    <tableColumn id="31" xr3:uid="{7829F6A5-6796-452A-9BD7-D12744B9AFFF}" name="PC Date" dataDxfId="159" totalsRowDxfId="32"/>
    <tableColumn id="5" xr3:uid="{5A0A1D49-0D27-4C74-9975-E0FC5A769739}" name="Commodity" dataDxfId="158" totalsRowDxfId="31"/>
    <tableColumn id="7" xr3:uid="{36259CC8-5FC9-4F31-AA72-5EE1C8AF5AF6}" name="Container Number" dataDxfId="157" totalsRowDxfId="30"/>
    <tableColumn id="8" xr3:uid="{D2693C61-121D-4F50-AB34-6CB7827FF3CB}" name="Container Qty" totalsRowFunction="sum" dataDxfId="156" totalsRowDxfId="29"/>
    <tableColumn id="17" xr3:uid="{402C0598-7DD5-4951-93F9-80925218D5F1}" name="SOB Date" dataDxfId="155" totalsRowDxfId="28"/>
    <tableColumn id="28" xr3:uid="{F9171A37-3C24-426C-8292-5DB5E155C647}" name="ETA Date" totalsRowLabel="Under/-Over loading" dataDxfId="154" totalsRowDxfId="27"/>
    <tableColumn id="29" xr3:uid="{9FC96B94-FA2F-489C-97BE-2CD4A7C4DCE8}" name="BL Number" totalsRowFunction="custom" dataDxfId="153" totalsRowDxfId="26">
      <totalsRowFormula>CT[[#Totals],[PC Qty (MT)]]-CT[[#Totals],[Container Qty]]</totalsRowFormula>
    </tableColumn>
    <tableColumn id="13" xr3:uid="{F040FFA3-393A-4B30-BA39-E77EDABD4152}" name="Shipment Period" dataDxfId="152" totalsRowDxfId="25"/>
    <tableColumn id="14" xr3:uid="{955CFFE3-7761-45D2-A6DB-E11140BF3EF9}" name="Inco term" dataDxfId="151" totalsRowDxfId="24"/>
    <tableColumn id="15" xr3:uid="{A247D1F2-AE76-466D-8861-5611C5052424}" name="POL" dataDxfId="150" totalsRowDxfId="23"/>
    <tableColumn id="6" xr3:uid="{7847100C-BE6B-49A0-9386-1ACF499F3A7F}" name="PC Qty (MT)" totalsRowFunction="sum" dataDxfId="149" totalsRowDxfId="22"/>
    <tableColumn id="30" xr3:uid="{058222D6-B506-40B6-AE69-CAA2F582C187}" name="Supplier Invoice#" dataDxfId="148" totalsRowDxfId="21"/>
    <tableColumn id="10" xr3:uid="{BEDA00A7-12C4-43D1-88A0-07137BA84587}" name="Purchase Rate/MT (USD)" totalsRowFunction="average" dataDxfId="147" totalsRowDxfId="20"/>
    <tableColumn id="22" xr3:uid="{9D4784C2-E20D-4B4C-AE82-C5D53B6CC673}" name="Supplier Prov. Price" totalsRowFunction="sum" dataDxfId="146" totalsRowDxfId="1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45" totalsRowDxfId="1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44" totalsRowDxfId="17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43" totalsRowDxfId="16"/>
    <tableColumn id="34" xr3:uid="{1CB6A8C8-43F6-4F8C-ACE4-0394B85CD159}" name="Date of Inspection" dataDxfId="142" totalsRowDxfId="15"/>
    <tableColumn id="38" xr3:uid="{91AE2ED2-B47F-4A0E-B4E9-FDD2B939062E}" name="Freight Charges" totalsRowFunction="average" dataDxfId="141" totalsRowDxfId="14"/>
    <tableColumn id="35" xr3:uid="{D6CCA4B5-8AB4-446F-9DD7-BF2DA27B477C}" name="Inspection Cost/MT" totalsRowFunction="average" dataDxfId="140" totalsRowDxfId="13"/>
    <tableColumn id="33" xr3:uid="{4CFAF9F1-BF2B-47B1-9703-0848D8B98B90}" name="DHL Charges PMT" totalsRowFunction="average" dataDxfId="139" totalsRowDxfId="12"/>
    <tableColumn id="27" xr3:uid="{A157C635-1638-415E-96E4-D87BB123FF41}" name="Cost Per MT" totalsRowFunction="average" dataDxfId="138" totalsRowDxfId="11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37" totalsRowDxfId="10">
      <calculatedColumnFormula>IFERROR(AF3-(O3+CT[[#This Row],[Cost Per MT]]),"")</calculatedColumnFormula>
    </tableColumn>
    <tableColumn id="9" xr3:uid="{D96A5279-F622-47A9-A739-0C7445DC416A}" name="Gross Margin" totalsRowFunction="sum" dataDxfId="136" totalsRowDxfId="9">
      <calculatedColumnFormula>IFERROR(CT[[#This Row],[Margin/MT]]*CT[[#This Row],[Container Qty]],"")</calculatedColumnFormula>
    </tableColumn>
    <tableColumn id="39" xr3:uid="{97D8F16F-AF1E-43A4-91F8-3B26C8F4B208}" name="Column6" dataDxfId="135" totalsRowDxfId="8"/>
    <tableColumn id="3" xr3:uid="{CE5667C3-6FD3-4B23-ADF2-A2B3FDFD10EF}" name="Customer" dataDxfId="134"/>
    <tableColumn id="4" xr3:uid="{56973FD7-D3C3-497C-B1A6-995797987912}" name="SC#" dataDxfId="133" totalsRowDxfId="7"/>
    <tableColumn id="37" xr3:uid="{A83F1368-99CD-4BEB-80B2-BD2EF1C8C34B}" name="SC Date" dataDxfId="132" totalsRowDxfId="6"/>
    <tableColumn id="20" xr3:uid="{4B14D381-488A-48FA-91E8-8263E0CE7EEC}" name="SC Qty (MT)" totalsRowFunction="sum" dataDxfId="131" totalsRowDxfId="5"/>
    <tableColumn id="11" xr3:uid="{752C03C5-9F27-47CF-99B4-E538CFCBB8E7}" name="Sales Rate/MT (USD)" totalsRowFunction="average" dataDxfId="130" totalsRowDxfId="4"/>
    <tableColumn id="24" xr3:uid="{67B8FF8C-62EA-4FE9-BABD-8832447A7B92}" name="Customer  Prov. Price" totalsRowFunction="sum" dataDxfId="129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28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27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26" totalsRowDxfId="0"/>
    <tableColumn id="19" xr3:uid="{CB759E46-909C-4870-B6BF-78918BAF7A9A}" name="CI#" dataDxfId="125"/>
    <tableColumn id="32" xr3:uid="{1DAFA084-22DF-43B8-A033-C607299233C3}" name="Status" dataDxfId="1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109" dataDxfId="108" totalsRowDxfId="107">
  <autoFilter ref="A1:J3" xr:uid="{B21E3DD8-E0E8-457E-B87E-F5D3BCE90249}"/>
  <tableColumns count="10">
    <tableColumn id="1" xr3:uid="{C0B51119-2989-4579-BC28-53BBDFD4F4F5}" name="Customer" totalsRowLabel="Total" dataDxfId="106" totalsRowDxfId="105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04" totalsRowDxfId="103"/>
    <tableColumn id="3" xr3:uid="{9D6916E7-F685-479B-9B9D-A5CE9D927B03}" name="Container Qty" totalsRowFunction="sum" dataDxfId="102" totalsRowDxfId="101">
      <calculatedColumnFormula>_xlfn.XLOOKUP(Table1[[#This Row],[Container Number]],CT[Container Number],CT[Container Qty])</calculatedColumnFormula>
    </tableColumn>
    <tableColumn id="4" xr3:uid="{2DBDF2DF-300A-4418-A527-88DB243AEC83}" name="BL Number" dataDxfId="100" totalsRowDxfId="99">
      <calculatedColumnFormula>_xlfn.XLOOKUP(Table1[[#This Row],[Container Number]],CT[Container Number],CT[BL Number])</calculatedColumnFormula>
    </tableColumn>
    <tableColumn id="10" xr3:uid="{50E26E01-7539-4A79-8337-E3053AB84CC2}" name="SOB Date" dataDxfId="98" totalsRowDxfId="97">
      <calculatedColumnFormula>_xlfn.XLOOKUP(Table1[[#This Row],[BL Number]],CT[BL Number],CT[SOB Date])</calculatedColumnFormula>
    </tableColumn>
    <tableColumn id="5" xr3:uid="{635B2701-1BD4-4AEE-8978-493B3167D166}" name="SC#" dataDxfId="96" totalsRowDxfId="95">
      <calculatedColumnFormula>_xlfn.XLOOKUP(Table1[[#This Row],[Container Number]],CT[Container Number],CT[SC'#])</calculatedColumnFormula>
    </tableColumn>
    <tableColumn id="6" xr3:uid="{FFABB692-85F9-41BA-BBE7-2829F41B3447}" name="Sales Rate/MT (USD)" dataDxfId="94" totalsRowDxfId="93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92" totalsRowDxfId="91">
      <calculatedColumnFormula>_xlfn.XLOOKUP(Table1[[#This Row],[Container Number]],CT[Container Number],CT[Customer Final Price])</calculatedColumnFormula>
    </tableColumn>
    <tableColumn id="8" xr3:uid="{302AC467-26CA-40DD-B312-F072A9919353}" name="PI#" dataDxfId="90" totalsRowDxfId="89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88" totalsRowDxfId="87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1" activePane="bottomRight" state="frozen"/>
      <selection activeCell="B8" sqref="B8"/>
      <selection pane="topRight" activeCell="B8" sqref="B8"/>
      <selection pane="bottomLeft" activeCell="B8" sqref="B8"/>
      <selection pane="bottomRight" activeCell="E76" sqref="E76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7" t="s">
        <v>196</v>
      </c>
      <c r="V2" s="107" t="s">
        <v>190</v>
      </c>
      <c r="W2" s="107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7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1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6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7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1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6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7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1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6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7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1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6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7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1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6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7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1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6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7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1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6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7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1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6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7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1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6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7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1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6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2" t="s">
        <v>12</v>
      </c>
      <c r="C13" s="81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7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1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6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2" t="s">
        <v>12</v>
      </c>
      <c r="C14" s="81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7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1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6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2" t="s">
        <v>12</v>
      </c>
      <c r="C15" s="81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7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1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6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2" t="s">
        <v>12</v>
      </c>
      <c r="C16" s="81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7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1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6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2" t="s">
        <v>12</v>
      </c>
      <c r="C17" s="81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7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1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6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2" t="s">
        <v>12</v>
      </c>
      <c r="C18" s="81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7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1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6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2" t="s">
        <v>12</v>
      </c>
      <c r="C19" s="81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7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1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6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2" t="s">
        <v>12</v>
      </c>
      <c r="C20" s="81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7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1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6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2" t="s">
        <v>12</v>
      </c>
      <c r="C21" s="81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7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1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6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2" t="s">
        <v>12</v>
      </c>
      <c r="C22" s="81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7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1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6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2" t="s">
        <v>12</v>
      </c>
      <c r="C23" s="81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58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1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6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2" t="s">
        <v>12</v>
      </c>
      <c r="C24" s="81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58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1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6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2" t="s">
        <v>12</v>
      </c>
      <c r="C25" s="81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58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1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6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2" t="s">
        <v>12</v>
      </c>
      <c r="C26" s="81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58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1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6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2" t="s">
        <v>12</v>
      </c>
      <c r="C27" s="81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58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1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6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2" t="s">
        <v>12</v>
      </c>
      <c r="C28" s="81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58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1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6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2" t="s">
        <v>12</v>
      </c>
      <c r="C29" s="81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58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1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6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2" t="s">
        <v>12</v>
      </c>
      <c r="C30" s="81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58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1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6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2" t="s">
        <v>12</v>
      </c>
      <c r="C31" s="81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58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1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6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2" t="s">
        <v>12</v>
      </c>
      <c r="C32" s="81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58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1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6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2" t="s">
        <v>13</v>
      </c>
      <c r="C33" s="81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7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1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6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2" t="s">
        <v>13</v>
      </c>
      <c r="C34" s="81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7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1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6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2" t="s">
        <v>13</v>
      </c>
      <c r="C35" s="81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7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1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6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2" t="s">
        <v>13</v>
      </c>
      <c r="C36" s="81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7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1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6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2" t="s">
        <v>13</v>
      </c>
      <c r="C37" s="81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7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1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6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2" t="s">
        <v>13</v>
      </c>
      <c r="C38" s="81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7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1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6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2" t="s">
        <v>13</v>
      </c>
      <c r="C39" s="81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7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1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6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2" t="s">
        <v>13</v>
      </c>
      <c r="C40" s="81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7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1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6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2" t="s">
        <v>13</v>
      </c>
      <c r="C41" s="81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7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1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6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2" t="s">
        <v>13</v>
      </c>
      <c r="C42" s="81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7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1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6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2" t="s">
        <v>13</v>
      </c>
      <c r="C43" s="81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7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1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6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2" t="s">
        <v>13</v>
      </c>
      <c r="C44" s="81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7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1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6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2" t="s">
        <v>13</v>
      </c>
      <c r="C45" s="81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7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1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6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2" t="s">
        <v>13</v>
      </c>
      <c r="C46" s="81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7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1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6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2" t="s">
        <v>13</v>
      </c>
      <c r="C47" s="81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7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1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6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2" t="s">
        <v>13</v>
      </c>
      <c r="C48" s="81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7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1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6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2" t="s">
        <v>13</v>
      </c>
      <c r="C49" s="81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7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1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6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2" t="s">
        <v>13</v>
      </c>
      <c r="C50" s="81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7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1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6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2" t="s">
        <v>13</v>
      </c>
      <c r="C51" s="81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7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1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6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2" t="s">
        <v>13</v>
      </c>
      <c r="C52" s="81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7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1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6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2" t="s">
        <v>82</v>
      </c>
      <c r="C53" s="81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58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1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6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2" t="s">
        <v>82</v>
      </c>
      <c r="C54" s="81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58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1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6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2" t="s">
        <v>82</v>
      </c>
      <c r="C55" s="81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58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1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6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2" t="s">
        <v>82</v>
      </c>
      <c r="C56" s="81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58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1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6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2" t="s">
        <v>82</v>
      </c>
      <c r="C57" s="81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58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1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6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2" t="s">
        <v>82</v>
      </c>
      <c r="C58" s="81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58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1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6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2" t="s">
        <v>82</v>
      </c>
      <c r="C59" s="81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58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1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6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2" t="s">
        <v>82</v>
      </c>
      <c r="C60" s="81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58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1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6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2" t="s">
        <v>82</v>
      </c>
      <c r="C61" s="81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58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1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6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2" t="s">
        <v>82</v>
      </c>
      <c r="C62" s="81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58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1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6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2" t="s">
        <v>82</v>
      </c>
      <c r="C63" s="81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58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1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6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99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2" t="s">
        <v>82</v>
      </c>
      <c r="C64" s="81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58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1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6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99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2" t="s">
        <v>82</v>
      </c>
      <c r="C65" s="81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58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1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6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99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2" t="s">
        <v>82</v>
      </c>
      <c r="C66" s="81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58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1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6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99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2" t="s">
        <v>82</v>
      </c>
      <c r="C67" s="81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58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1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6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99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2" t="s">
        <v>82</v>
      </c>
      <c r="C68" s="81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58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1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6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99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2" t="s">
        <v>82</v>
      </c>
      <c r="C69" s="81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58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1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6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99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2" t="s">
        <v>82</v>
      </c>
      <c r="C70" s="81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58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1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6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99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2" t="s">
        <v>82</v>
      </c>
      <c r="C71" s="81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58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1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6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99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2" t="s">
        <v>82</v>
      </c>
      <c r="C72" s="81">
        <v>45818</v>
      </c>
      <c r="D72" s="1" t="s">
        <v>67</v>
      </c>
      <c r="E72" s="1" t="s">
        <v>165</v>
      </c>
      <c r="F72" s="90">
        <v>23.11</v>
      </c>
      <c r="G72" s="3">
        <v>45867</v>
      </c>
      <c r="H72" s="3">
        <v>45894</v>
      </c>
      <c r="I72" s="58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1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6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99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2" t="s">
        <v>124</v>
      </c>
      <c r="C73" s="81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1">
        <v>1.3451</v>
      </c>
      <c r="T73" s="3"/>
      <c r="U73" s="7">
        <v>0</v>
      </c>
      <c r="V73" s="7">
        <f>(275*S73)/SUM($F$73:$F$76)</f>
        <v>3.7209787747711496</v>
      </c>
      <c r="W73" s="24"/>
      <c r="X73" s="7">
        <f>IFERROR(CT[[#This Row],[Freight Charges]]+CT[[#This Row],[Inspection Cost/MT]]+CT[[#This Row],[DHL Charges PMT]],"")</f>
        <v>3.7209787747711496</v>
      </c>
      <c r="Y73" s="7">
        <f>IFERROR(AF73-(O73+CT[[#This Row],[Cost Per MT]]),"")</f>
        <v>29.27902122522886</v>
      </c>
      <c r="Z73" s="7">
        <f>IFERROR(CT[[#This Row],[Margin/MT]]*CT[[#This Row],[Container Qty]],"")</f>
        <v>693.62001282567178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0" t="s">
        <v>134</v>
      </c>
    </row>
    <row r="74" spans="1:41" x14ac:dyDescent="0.25">
      <c r="A74" t="s">
        <v>9</v>
      </c>
      <c r="B74" s="102" t="s">
        <v>124</v>
      </c>
      <c r="C74" s="81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1">
        <v>1.3451</v>
      </c>
      <c r="T74" s="3"/>
      <c r="U74" s="7">
        <v>0</v>
      </c>
      <c r="V74" s="7">
        <f>(275*S74)/SUM($F$73:$F$76)</f>
        <v>3.7209787747711496</v>
      </c>
      <c r="W74" s="24"/>
      <c r="X74" s="7">
        <f>IFERROR(CT[[#This Row],[Freight Charges]]+CT[[#This Row],[Inspection Cost/MT]]+CT[[#This Row],[DHL Charges PMT]],"")</f>
        <v>3.7209787747711496</v>
      </c>
      <c r="Y74" s="7">
        <f>IFERROR(AF74-(O74+CT[[#This Row],[Cost Per MT]]),"")</f>
        <v>29.27902122522886</v>
      </c>
      <c r="Z74" s="7">
        <f>IFERROR(CT[[#This Row],[Margin/MT]]*CT[[#This Row],[Container Qty]],"")</f>
        <v>748.95736294135418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0" t="s">
        <v>134</v>
      </c>
    </row>
    <row r="75" spans="1:41" x14ac:dyDescent="0.25">
      <c r="A75" t="s">
        <v>9</v>
      </c>
      <c r="B75" s="102" t="s">
        <v>124</v>
      </c>
      <c r="C75" s="81">
        <v>45849</v>
      </c>
      <c r="D75" s="1" t="s">
        <v>67</v>
      </c>
      <c r="E75" s="1" t="s">
        <v>206</v>
      </c>
      <c r="F75" s="11">
        <v>26.5</v>
      </c>
      <c r="G75" s="3"/>
      <c r="H75" s="3"/>
      <c r="I75" s="1" t="s">
        <v>203</v>
      </c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8003</v>
      </c>
      <c r="R75" s="7">
        <f>IF(CT[[#This Row],[BL Number]]&lt;&gt;0,(CT[[#This Row],[Supplier Prov. Price]]-CT[[#This Row],[Supplier Final Price]])*1.2,"")</f>
        <v>-543.6</v>
      </c>
      <c r="S75" s="101">
        <v>1.3451</v>
      </c>
      <c r="T75" s="3"/>
      <c r="U75" s="7">
        <v>0</v>
      </c>
      <c r="V75" s="7">
        <f>(275*S75)/SUM($F$73:$F$76)</f>
        <v>3.7209787747711496</v>
      </c>
      <c r="W75" s="24"/>
      <c r="X75" s="7">
        <f>IFERROR(CT[[#This Row],[Freight Charges]]+CT[[#This Row],[Inspection Cost/MT]]+CT[[#This Row],[DHL Charges PMT]],"")</f>
        <v>3.7209787747711496</v>
      </c>
      <c r="Y75" s="7">
        <f>IFERROR(AF75-(O75+CT[[#This Row],[Cost Per MT]]),"")</f>
        <v>29.27902122522886</v>
      </c>
      <c r="Z75" s="7">
        <f>IFERROR(CT[[#This Row],[Margin/MT]]*CT[[#This Row],[Container Qty]],"")</f>
        <v>775.89406246856481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>
        <f>IF(CT[[#This Row],[Container Qty]]&lt;&gt;0,CT[[#This Row],[Sales Rate/MT (USD)]]*CT[[#This Row],[Container Qty]],"")</f>
        <v>8877.5</v>
      </c>
      <c r="AI75" s="7">
        <f>IF(CT[[#This Row],[Customer Final Price]]&lt;&gt;"",CT[[#This Row],[Customer Final Price]]-CT[[#This Row],[Customer  Prov. Price]],"")</f>
        <v>502.5</v>
      </c>
      <c r="AJ75" t="s">
        <v>8</v>
      </c>
      <c r="AK75" s="1" t="s">
        <v>159</v>
      </c>
      <c r="AL75" s="1"/>
      <c r="AM75" s="100" t="s">
        <v>134</v>
      </c>
    </row>
    <row r="76" spans="1:41" x14ac:dyDescent="0.25">
      <c r="A76" t="s">
        <v>9</v>
      </c>
      <c r="B76" s="102" t="s">
        <v>124</v>
      </c>
      <c r="C76" s="81">
        <v>45849</v>
      </c>
      <c r="D76" s="1" t="s">
        <v>67</v>
      </c>
      <c r="E76" s="1" t="s">
        <v>205</v>
      </c>
      <c r="F76" s="11">
        <v>23.64</v>
      </c>
      <c r="G76" s="3"/>
      <c r="H76" s="3"/>
      <c r="I76" s="1" t="s">
        <v>203</v>
      </c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7139.28</v>
      </c>
      <c r="R76" s="7">
        <f>IF(CT[[#This Row],[BL Number]]&lt;&gt;0,(CT[[#This Row],[Supplier Prov. Price]]-CT[[#This Row],[Supplier Final Price]])*1.2,"")</f>
        <v>492.86400000000026</v>
      </c>
      <c r="S76" s="101">
        <v>1.3451</v>
      </c>
      <c r="T76" s="3"/>
      <c r="U76" s="7">
        <v>0</v>
      </c>
      <c r="V76" s="7">
        <f>(275*S76)/SUM($F$73:$F$76)</f>
        <v>3.7209787747711496</v>
      </c>
      <c r="W76" s="24"/>
      <c r="X76" s="7">
        <f>IFERROR(CT[[#This Row],[Freight Charges]]+CT[[#This Row],[Inspection Cost/MT]]+CT[[#This Row],[DHL Charges PMT]],"")</f>
        <v>3.7209787747711496</v>
      </c>
      <c r="Y76" s="7">
        <f>IFERROR(AF76-(O76+CT[[#This Row],[Cost Per MT]]),"")</f>
        <v>29.27902122522886</v>
      </c>
      <c r="Z76" s="7">
        <f>IFERROR(CT[[#This Row],[Margin/MT]]*CT[[#This Row],[Container Qty]],"")</f>
        <v>692.15606176441031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>
        <f>IF(CT[[#This Row],[Container Qty]]&lt;&gt;0,CT[[#This Row],[Sales Rate/MT (USD)]]*CT[[#This Row],[Container Qty]],"")</f>
        <v>7919.4000000000005</v>
      </c>
      <c r="AI76" s="7">
        <f>IF(CT[[#This Row],[Customer Final Price]]&lt;&gt;"",CT[[#This Row],[Customer Final Price]]-CT[[#This Row],[Customer  Prov. Price]],"")</f>
        <v>-455.59999999999945</v>
      </c>
      <c r="AJ76" t="s">
        <v>8</v>
      </c>
      <c r="AK76" s="1" t="s">
        <v>159</v>
      </c>
      <c r="AL76" s="1"/>
      <c r="AM76" s="100" t="s">
        <v>134</v>
      </c>
    </row>
    <row r="77" spans="1:41" x14ac:dyDescent="0.25">
      <c r="A77" t="s">
        <v>9</v>
      </c>
      <c r="B77" s="102" t="s">
        <v>124</v>
      </c>
      <c r="C77" s="81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1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0" t="s">
        <v>134</v>
      </c>
    </row>
    <row r="78" spans="1:41" x14ac:dyDescent="0.25">
      <c r="A78" t="s">
        <v>9</v>
      </c>
      <c r="B78" s="102" t="s">
        <v>124</v>
      </c>
      <c r="C78" s="81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1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0" t="s">
        <v>134</v>
      </c>
    </row>
    <row r="79" spans="1:41" x14ac:dyDescent="0.25">
      <c r="A79" t="s">
        <v>9</v>
      </c>
      <c r="B79" s="102" t="s">
        <v>124</v>
      </c>
      <c r="C79" s="81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1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0" t="s">
        <v>134</v>
      </c>
    </row>
    <row r="80" spans="1:41" x14ac:dyDescent="0.25">
      <c r="A80" t="s">
        <v>9</v>
      </c>
      <c r="B80" s="102" t="s">
        <v>124</v>
      </c>
      <c r="C80" s="81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1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0" t="s">
        <v>134</v>
      </c>
    </row>
    <row r="81" spans="1:39" x14ac:dyDescent="0.25">
      <c r="A81" t="s">
        <v>9</v>
      </c>
      <c r="B81" s="102" t="s">
        <v>124</v>
      </c>
      <c r="C81" s="81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1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0" t="s">
        <v>134</v>
      </c>
    </row>
    <row r="82" spans="1:39" x14ac:dyDescent="0.25">
      <c r="A82" t="s">
        <v>9</v>
      </c>
      <c r="B82" s="102" t="s">
        <v>124</v>
      </c>
      <c r="C82" s="81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1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0" t="s">
        <v>134</v>
      </c>
    </row>
    <row r="83" spans="1:39" x14ac:dyDescent="0.25">
      <c r="A83" t="s">
        <v>9</v>
      </c>
      <c r="B83" s="102" t="s">
        <v>124</v>
      </c>
      <c r="C83" s="81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1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0" t="s">
        <v>134</v>
      </c>
    </row>
    <row r="84" spans="1:39" x14ac:dyDescent="0.25">
      <c r="A84" t="s">
        <v>9</v>
      </c>
      <c r="B84" s="102" t="s">
        <v>124</v>
      </c>
      <c r="C84" s="81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1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0" t="s">
        <v>134</v>
      </c>
    </row>
    <row r="85" spans="1:39" x14ac:dyDescent="0.25">
      <c r="A85" t="s">
        <v>9</v>
      </c>
      <c r="B85" s="102" t="s">
        <v>124</v>
      </c>
      <c r="C85" s="81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1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0" t="s">
        <v>134</v>
      </c>
    </row>
    <row r="86" spans="1:39" x14ac:dyDescent="0.25">
      <c r="A86" t="s">
        <v>9</v>
      </c>
      <c r="B86" s="102" t="s">
        <v>124</v>
      </c>
      <c r="C86" s="81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1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0" t="s">
        <v>134</v>
      </c>
    </row>
    <row r="87" spans="1:39" x14ac:dyDescent="0.25">
      <c r="A87" t="s">
        <v>9</v>
      </c>
      <c r="B87" s="102" t="s">
        <v>124</v>
      </c>
      <c r="C87" s="81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1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0" t="s">
        <v>134</v>
      </c>
    </row>
    <row r="88" spans="1:39" x14ac:dyDescent="0.25">
      <c r="A88" t="s">
        <v>9</v>
      </c>
      <c r="B88" s="102" t="s">
        <v>124</v>
      </c>
      <c r="C88" s="81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1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0" t="s">
        <v>134</v>
      </c>
    </row>
    <row r="89" spans="1:39" x14ac:dyDescent="0.25">
      <c r="A89" t="s">
        <v>9</v>
      </c>
      <c r="B89" s="102" t="s">
        <v>124</v>
      </c>
      <c r="C89" s="81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1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0" t="s">
        <v>134</v>
      </c>
    </row>
    <row r="90" spans="1:39" x14ac:dyDescent="0.25">
      <c r="A90" t="s">
        <v>9</v>
      </c>
      <c r="B90" s="102" t="s">
        <v>124</v>
      </c>
      <c r="C90" s="81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1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0" t="s">
        <v>134</v>
      </c>
    </row>
    <row r="91" spans="1:39" x14ac:dyDescent="0.25">
      <c r="A91" t="s">
        <v>9</v>
      </c>
      <c r="B91" s="102" t="s">
        <v>124</v>
      </c>
      <c r="C91" s="81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1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0" t="s">
        <v>134</v>
      </c>
    </row>
    <row r="92" spans="1:39" x14ac:dyDescent="0.25">
      <c r="A92" t="s">
        <v>9</v>
      </c>
      <c r="B92" s="102" t="s">
        <v>124</v>
      </c>
      <c r="C92" s="81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1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0" t="s">
        <v>134</v>
      </c>
    </row>
    <row r="93" spans="1:39" x14ac:dyDescent="0.25">
      <c r="A93" t="s">
        <v>9</v>
      </c>
      <c r="B93" s="102" t="s">
        <v>173</v>
      </c>
      <c r="C93" s="81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1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0" t="s">
        <v>134</v>
      </c>
    </row>
    <row r="94" spans="1:39" x14ac:dyDescent="0.25">
      <c r="A94" t="s">
        <v>9</v>
      </c>
      <c r="B94" s="102" t="s">
        <v>173</v>
      </c>
      <c r="C94" s="81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1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0" t="s">
        <v>134</v>
      </c>
    </row>
    <row r="95" spans="1:39" x14ac:dyDescent="0.25">
      <c r="A95" t="s">
        <v>9</v>
      </c>
      <c r="B95" s="102" t="s">
        <v>173</v>
      </c>
      <c r="C95" s="81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1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0" t="s">
        <v>134</v>
      </c>
    </row>
    <row r="96" spans="1:39" x14ac:dyDescent="0.25">
      <c r="A96" t="s">
        <v>9</v>
      </c>
      <c r="B96" s="102" t="s">
        <v>173</v>
      </c>
      <c r="C96" s="81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1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0" t="s">
        <v>134</v>
      </c>
    </row>
    <row r="97" spans="1:39" x14ac:dyDescent="0.25">
      <c r="A97" t="s">
        <v>9</v>
      </c>
      <c r="B97" s="102" t="s">
        <v>173</v>
      </c>
      <c r="C97" s="81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1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0" t="s">
        <v>134</v>
      </c>
    </row>
    <row r="98" spans="1:39" x14ac:dyDescent="0.25">
      <c r="A98" t="s">
        <v>9</v>
      </c>
      <c r="B98" s="102" t="s">
        <v>173</v>
      </c>
      <c r="C98" s="81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1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0" t="s">
        <v>134</v>
      </c>
    </row>
    <row r="99" spans="1:39" x14ac:dyDescent="0.25">
      <c r="A99" t="s">
        <v>9</v>
      </c>
      <c r="B99" s="102" t="s">
        <v>173</v>
      </c>
      <c r="C99" s="81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1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0" t="s">
        <v>134</v>
      </c>
    </row>
    <row r="100" spans="1:39" x14ac:dyDescent="0.25">
      <c r="A100" t="s">
        <v>9</v>
      </c>
      <c r="B100" s="102" t="s">
        <v>173</v>
      </c>
      <c r="C100" s="81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1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0" t="s">
        <v>134</v>
      </c>
    </row>
    <row r="101" spans="1:39" x14ac:dyDescent="0.25">
      <c r="A101" t="s">
        <v>9</v>
      </c>
      <c r="B101" s="102" t="s">
        <v>173</v>
      </c>
      <c r="C101" s="81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1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0" t="s">
        <v>134</v>
      </c>
    </row>
    <row r="102" spans="1:39" x14ac:dyDescent="0.25">
      <c r="A102" t="s">
        <v>9</v>
      </c>
      <c r="B102" s="102" t="s">
        <v>173</v>
      </c>
      <c r="C102" s="81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1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0" t="s">
        <v>134</v>
      </c>
    </row>
    <row r="103" spans="1:39" x14ac:dyDescent="0.25">
      <c r="A103" t="s">
        <v>9</v>
      </c>
      <c r="B103" s="102" t="s">
        <v>173</v>
      </c>
      <c r="C103" s="81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1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0" t="s">
        <v>134</v>
      </c>
    </row>
    <row r="104" spans="1:39" x14ac:dyDescent="0.25">
      <c r="A104" t="s">
        <v>9</v>
      </c>
      <c r="B104" s="102" t="s">
        <v>173</v>
      </c>
      <c r="C104" s="81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1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0" t="s">
        <v>134</v>
      </c>
    </row>
    <row r="105" spans="1:39" x14ac:dyDescent="0.25">
      <c r="A105" t="s">
        <v>9</v>
      </c>
      <c r="B105" s="102" t="s">
        <v>173</v>
      </c>
      <c r="C105" s="81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1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0" t="s">
        <v>134</v>
      </c>
    </row>
    <row r="106" spans="1:39" x14ac:dyDescent="0.25">
      <c r="A106" t="s">
        <v>9</v>
      </c>
      <c r="B106" s="102" t="s">
        <v>173</v>
      </c>
      <c r="C106" s="81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1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0" t="s">
        <v>134</v>
      </c>
    </row>
    <row r="107" spans="1:39" x14ac:dyDescent="0.25">
      <c r="A107" t="s">
        <v>9</v>
      </c>
      <c r="B107" s="102" t="s">
        <v>173</v>
      </c>
      <c r="C107" s="81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1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0" t="s">
        <v>134</v>
      </c>
    </row>
    <row r="108" spans="1:39" x14ac:dyDescent="0.25">
      <c r="A108" t="s">
        <v>9</v>
      </c>
      <c r="B108" s="102" t="s">
        <v>173</v>
      </c>
      <c r="C108" s="81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1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0" t="s">
        <v>134</v>
      </c>
    </row>
    <row r="109" spans="1:39" x14ac:dyDescent="0.25">
      <c r="A109" t="s">
        <v>9</v>
      </c>
      <c r="B109" s="102" t="s">
        <v>173</v>
      </c>
      <c r="C109" s="81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1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0" t="s">
        <v>134</v>
      </c>
    </row>
    <row r="110" spans="1:39" x14ac:dyDescent="0.25">
      <c r="A110" t="s">
        <v>9</v>
      </c>
      <c r="B110" s="102" t="s">
        <v>173</v>
      </c>
      <c r="C110" s="81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1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0" t="s">
        <v>134</v>
      </c>
    </row>
    <row r="111" spans="1:39" x14ac:dyDescent="0.25">
      <c r="A111" t="s">
        <v>9</v>
      </c>
      <c r="B111" s="102" t="s">
        <v>173</v>
      </c>
      <c r="C111" s="81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1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0" t="s">
        <v>134</v>
      </c>
    </row>
    <row r="112" spans="1:39" x14ac:dyDescent="0.25">
      <c r="A112" t="s">
        <v>9</v>
      </c>
      <c r="B112" s="102" t="s">
        <v>173</v>
      </c>
      <c r="C112" s="81">
        <v>45849</v>
      </c>
      <c r="D112" s="1" t="s">
        <v>67</v>
      </c>
      <c r="F112" s="11"/>
      <c r="G112" s="3"/>
      <c r="H112" s="3"/>
      <c r="I112" s="89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1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0" t="s">
        <v>134</v>
      </c>
    </row>
    <row r="113" spans="1:39" x14ac:dyDescent="0.25">
      <c r="A113" t="s">
        <v>9</v>
      </c>
      <c r="B113" s="102" t="s">
        <v>189</v>
      </c>
      <c r="C113" s="81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1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0" t="s">
        <v>134</v>
      </c>
    </row>
    <row r="114" spans="1:39" x14ac:dyDescent="0.25">
      <c r="A114" t="s">
        <v>9</v>
      </c>
      <c r="B114" s="102" t="s">
        <v>189</v>
      </c>
      <c r="C114" s="81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1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0" t="s">
        <v>134</v>
      </c>
    </row>
    <row r="115" spans="1:39" x14ac:dyDescent="0.25">
      <c r="A115" t="s">
        <v>9</v>
      </c>
      <c r="B115" s="102" t="s">
        <v>189</v>
      </c>
      <c r="C115" s="81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1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0" t="s">
        <v>134</v>
      </c>
    </row>
    <row r="116" spans="1:39" x14ac:dyDescent="0.25">
      <c r="A116" t="s">
        <v>9</v>
      </c>
      <c r="B116" s="102" t="s">
        <v>189</v>
      </c>
      <c r="C116" s="81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1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0" t="s">
        <v>134</v>
      </c>
    </row>
    <row r="117" spans="1:39" x14ac:dyDescent="0.25">
      <c r="A117" t="s">
        <v>9</v>
      </c>
      <c r="B117" s="102" t="s">
        <v>189</v>
      </c>
      <c r="C117" s="81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1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0" t="s">
        <v>134</v>
      </c>
    </row>
    <row r="118" spans="1:39" x14ac:dyDescent="0.25">
      <c r="A118" t="s">
        <v>9</v>
      </c>
      <c r="B118" s="102" t="s">
        <v>189</v>
      </c>
      <c r="C118" s="81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1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0" t="s">
        <v>134</v>
      </c>
    </row>
    <row r="119" spans="1:39" x14ac:dyDescent="0.25">
      <c r="A119" t="s">
        <v>9</v>
      </c>
      <c r="B119" s="102" t="s">
        <v>189</v>
      </c>
      <c r="C119" s="81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1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0" t="s">
        <v>134</v>
      </c>
    </row>
    <row r="120" spans="1:39" x14ac:dyDescent="0.25">
      <c r="A120" t="s">
        <v>9</v>
      </c>
      <c r="B120" s="102" t="s">
        <v>189</v>
      </c>
      <c r="C120" s="81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1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0" t="s">
        <v>134</v>
      </c>
    </row>
    <row r="121" spans="1:39" x14ac:dyDescent="0.25">
      <c r="A121" t="s">
        <v>9</v>
      </c>
      <c r="B121" s="102" t="s">
        <v>189</v>
      </c>
      <c r="C121" s="81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1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0" t="s">
        <v>134</v>
      </c>
    </row>
    <row r="122" spans="1:39" x14ac:dyDescent="0.25">
      <c r="A122" t="s">
        <v>9</v>
      </c>
      <c r="B122" s="102" t="s">
        <v>189</v>
      </c>
      <c r="C122" s="81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1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0" t="s">
        <v>134</v>
      </c>
    </row>
    <row r="123" spans="1:39" x14ac:dyDescent="0.25">
      <c r="A123" t="s">
        <v>9</v>
      </c>
      <c r="B123" s="102" t="s">
        <v>189</v>
      </c>
      <c r="C123" s="81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1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0" t="s">
        <v>134</v>
      </c>
    </row>
    <row r="124" spans="1:39" x14ac:dyDescent="0.25">
      <c r="A124" t="s">
        <v>9</v>
      </c>
      <c r="B124" s="102" t="s">
        <v>189</v>
      </c>
      <c r="C124" s="81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1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0" t="s">
        <v>134</v>
      </c>
    </row>
    <row r="125" spans="1:39" x14ac:dyDescent="0.25">
      <c r="A125" t="s">
        <v>9</v>
      </c>
      <c r="B125" s="102" t="s">
        <v>189</v>
      </c>
      <c r="C125" s="81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1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0" t="s">
        <v>134</v>
      </c>
    </row>
    <row r="126" spans="1:39" x14ac:dyDescent="0.25">
      <c r="A126" t="s">
        <v>9</v>
      </c>
      <c r="B126" s="102" t="s">
        <v>189</v>
      </c>
      <c r="C126" s="81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1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0" t="s">
        <v>134</v>
      </c>
    </row>
    <row r="127" spans="1:39" x14ac:dyDescent="0.25">
      <c r="A127" t="s">
        <v>9</v>
      </c>
      <c r="B127" s="102" t="s">
        <v>189</v>
      </c>
      <c r="C127" s="81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1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0" t="s">
        <v>134</v>
      </c>
    </row>
    <row r="128" spans="1:39" x14ac:dyDescent="0.25">
      <c r="A128" t="s">
        <v>9</v>
      </c>
      <c r="B128" s="102" t="s">
        <v>189</v>
      </c>
      <c r="C128" s="81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1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0" t="s">
        <v>134</v>
      </c>
    </row>
    <row r="129" spans="1:39" x14ac:dyDescent="0.25">
      <c r="A129" t="s">
        <v>9</v>
      </c>
      <c r="B129" s="102" t="s">
        <v>189</v>
      </c>
      <c r="C129" s="81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1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0" t="s">
        <v>134</v>
      </c>
    </row>
    <row r="130" spans="1:39" x14ac:dyDescent="0.25">
      <c r="A130" t="s">
        <v>9</v>
      </c>
      <c r="B130" s="102" t="s">
        <v>189</v>
      </c>
      <c r="C130" s="81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1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0" t="s">
        <v>134</v>
      </c>
    </row>
    <row r="131" spans="1:39" x14ac:dyDescent="0.25">
      <c r="A131" t="s">
        <v>9</v>
      </c>
      <c r="B131" s="102" t="s">
        <v>189</v>
      </c>
      <c r="C131" s="81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1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0" t="s">
        <v>134</v>
      </c>
    </row>
    <row r="132" spans="1:39" x14ac:dyDescent="0.25">
      <c r="A132" t="s">
        <v>9</v>
      </c>
      <c r="B132" s="102" t="s">
        <v>189</v>
      </c>
      <c r="C132" s="81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1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0" t="s">
        <v>134</v>
      </c>
    </row>
    <row r="133" spans="1:39" x14ac:dyDescent="0.25">
      <c r="A133" t="s">
        <v>9</v>
      </c>
      <c r="B133" s="102"/>
      <c r="C133" s="81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1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0" t="s">
        <v>134</v>
      </c>
    </row>
    <row r="134" spans="1:39" x14ac:dyDescent="0.25">
      <c r="A134" t="s">
        <v>9</v>
      </c>
      <c r="B134" s="102"/>
      <c r="C134" s="81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1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0" t="s">
        <v>134</v>
      </c>
    </row>
    <row r="135" spans="1:39" x14ac:dyDescent="0.25">
      <c r="A135" t="s">
        <v>9</v>
      </c>
      <c r="B135" s="102"/>
      <c r="C135" s="81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1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0" t="s">
        <v>134</v>
      </c>
    </row>
    <row r="136" spans="1:39" x14ac:dyDescent="0.25">
      <c r="A136" t="s">
        <v>9</v>
      </c>
      <c r="B136" s="102"/>
      <c r="C136" s="81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1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0" t="s">
        <v>134</v>
      </c>
    </row>
    <row r="137" spans="1:39" x14ac:dyDescent="0.25">
      <c r="A137" t="s">
        <v>9</v>
      </c>
      <c r="B137" s="102"/>
      <c r="C137" s="81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1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0" t="s">
        <v>134</v>
      </c>
    </row>
    <row r="138" spans="1:39" x14ac:dyDescent="0.25">
      <c r="A138" t="s">
        <v>9</v>
      </c>
      <c r="B138" s="102"/>
      <c r="C138" s="81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1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0" t="s">
        <v>134</v>
      </c>
    </row>
    <row r="139" spans="1:39" x14ac:dyDescent="0.25">
      <c r="A139" t="s">
        <v>9</v>
      </c>
      <c r="B139" s="102"/>
      <c r="C139" s="81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1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0" t="s">
        <v>134</v>
      </c>
    </row>
    <row r="140" spans="1:39" x14ac:dyDescent="0.25">
      <c r="A140" t="s">
        <v>9</v>
      </c>
      <c r="B140" s="102"/>
      <c r="C140" s="81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1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0" t="s">
        <v>134</v>
      </c>
    </row>
    <row r="141" spans="1:39" x14ac:dyDescent="0.25">
      <c r="A141" t="s">
        <v>9</v>
      </c>
      <c r="B141" s="102"/>
      <c r="C141" s="81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1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0" t="s">
        <v>134</v>
      </c>
    </row>
    <row r="142" spans="1:39" x14ac:dyDescent="0.25">
      <c r="A142" t="s">
        <v>9</v>
      </c>
      <c r="B142" s="102"/>
      <c r="C142" s="81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1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0" t="s">
        <v>134</v>
      </c>
    </row>
    <row r="143" spans="1:39" x14ac:dyDescent="0.25">
      <c r="A143" t="s">
        <v>9</v>
      </c>
      <c r="B143" s="102"/>
      <c r="C143" s="81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1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0" t="s">
        <v>134</v>
      </c>
    </row>
    <row r="144" spans="1:39" x14ac:dyDescent="0.25">
      <c r="A144" t="s">
        <v>9</v>
      </c>
      <c r="B144" s="102"/>
      <c r="C144" s="81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1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0" t="s">
        <v>134</v>
      </c>
    </row>
    <row r="145" spans="1:39" x14ac:dyDescent="0.25">
      <c r="A145" t="s">
        <v>9</v>
      </c>
      <c r="B145" s="102"/>
      <c r="C145" s="81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1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0" t="s">
        <v>134</v>
      </c>
    </row>
    <row r="146" spans="1:39" x14ac:dyDescent="0.25">
      <c r="A146" t="s">
        <v>9</v>
      </c>
      <c r="B146" s="102"/>
      <c r="C146" s="81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1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0" t="s">
        <v>134</v>
      </c>
    </row>
    <row r="147" spans="1:39" x14ac:dyDescent="0.25">
      <c r="A147" t="s">
        <v>9</v>
      </c>
      <c r="B147" s="102"/>
      <c r="C147" s="81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1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0" t="s">
        <v>134</v>
      </c>
    </row>
    <row r="148" spans="1:39" x14ac:dyDescent="0.25">
      <c r="A148" t="s">
        <v>9</v>
      </c>
      <c r="B148" s="102"/>
      <c r="C148" s="81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1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0" t="s">
        <v>134</v>
      </c>
    </row>
    <row r="149" spans="1:39" x14ac:dyDescent="0.25">
      <c r="A149" t="s">
        <v>9</v>
      </c>
      <c r="B149" s="102"/>
      <c r="C149" s="81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1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0" t="s">
        <v>134</v>
      </c>
    </row>
    <row r="150" spans="1:39" x14ac:dyDescent="0.25">
      <c r="A150" t="s">
        <v>9</v>
      </c>
      <c r="B150" s="102"/>
      <c r="C150" s="81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1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0" t="s">
        <v>134</v>
      </c>
    </row>
    <row r="151" spans="1:39" x14ac:dyDescent="0.25">
      <c r="A151" t="s">
        <v>9</v>
      </c>
      <c r="B151" s="102"/>
      <c r="C151" s="81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1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0" t="s">
        <v>134</v>
      </c>
    </row>
    <row r="152" spans="1:39" x14ac:dyDescent="0.25">
      <c r="A152" t="s">
        <v>9</v>
      </c>
      <c r="B152" s="102"/>
      <c r="C152" s="81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1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0" t="s">
        <v>134</v>
      </c>
    </row>
    <row r="153" spans="1:39" x14ac:dyDescent="0.25">
      <c r="A153" t="s">
        <v>9</v>
      </c>
      <c r="B153" s="102"/>
      <c r="C153" s="81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1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0" t="s">
        <v>134</v>
      </c>
    </row>
    <row r="154" spans="1:39" x14ac:dyDescent="0.25">
      <c r="A154" t="s">
        <v>9</v>
      </c>
      <c r="B154" s="102"/>
      <c r="C154" s="81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1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0" t="s">
        <v>134</v>
      </c>
    </row>
    <row r="155" spans="1:39" x14ac:dyDescent="0.25">
      <c r="A155" t="s">
        <v>9</v>
      </c>
      <c r="B155" s="102"/>
      <c r="C155" s="81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1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0" t="s">
        <v>134</v>
      </c>
    </row>
    <row r="156" spans="1:39" x14ac:dyDescent="0.25">
      <c r="A156" t="s">
        <v>9</v>
      </c>
      <c r="B156" s="102"/>
      <c r="C156" s="81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1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0" t="s">
        <v>134</v>
      </c>
    </row>
    <row r="157" spans="1:39" x14ac:dyDescent="0.25">
      <c r="A157" t="s">
        <v>9</v>
      </c>
      <c r="B157" s="102"/>
      <c r="C157" s="81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1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0" t="s">
        <v>134</v>
      </c>
    </row>
    <row r="158" spans="1:39" x14ac:dyDescent="0.25">
      <c r="A158" t="s">
        <v>9</v>
      </c>
      <c r="B158" s="102"/>
      <c r="C158" s="81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1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0" t="s">
        <v>134</v>
      </c>
    </row>
    <row r="159" spans="1:39" x14ac:dyDescent="0.25">
      <c r="A159" t="s">
        <v>9</v>
      </c>
      <c r="B159" s="102"/>
      <c r="C159" s="81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1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0" t="s">
        <v>134</v>
      </c>
    </row>
    <row r="160" spans="1:39" x14ac:dyDescent="0.25">
      <c r="A160" t="s">
        <v>9</v>
      </c>
      <c r="B160" s="102"/>
      <c r="C160" s="81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1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0" t="s">
        <v>134</v>
      </c>
    </row>
    <row r="161" spans="1:39" x14ac:dyDescent="0.25">
      <c r="A161" t="s">
        <v>9</v>
      </c>
      <c r="B161" s="102"/>
      <c r="C161" s="81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1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0" t="s">
        <v>134</v>
      </c>
    </row>
    <row r="162" spans="1:39" x14ac:dyDescent="0.25">
      <c r="A162" t="s">
        <v>9</v>
      </c>
      <c r="B162" s="102"/>
      <c r="C162" s="81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1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0" t="s">
        <v>134</v>
      </c>
    </row>
    <row r="163" spans="1:39" x14ac:dyDescent="0.25">
      <c r="A163" t="s">
        <v>9</v>
      </c>
      <c r="B163" s="102"/>
      <c r="C163" s="81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1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0" t="s">
        <v>134</v>
      </c>
    </row>
    <row r="164" spans="1:39" x14ac:dyDescent="0.25">
      <c r="A164" t="s">
        <v>9</v>
      </c>
      <c r="B164" s="102"/>
      <c r="C164" s="81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1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0" t="s">
        <v>134</v>
      </c>
    </row>
    <row r="165" spans="1:39" x14ac:dyDescent="0.25">
      <c r="A165" t="s">
        <v>9</v>
      </c>
      <c r="B165" s="102"/>
      <c r="C165" s="81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1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0" t="s">
        <v>134</v>
      </c>
    </row>
    <row r="166" spans="1:39" x14ac:dyDescent="0.25">
      <c r="A166" t="s">
        <v>9</v>
      </c>
      <c r="B166" s="102"/>
      <c r="C166" s="81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1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0" t="s">
        <v>134</v>
      </c>
    </row>
    <row r="167" spans="1:39" x14ac:dyDescent="0.25">
      <c r="A167" t="s">
        <v>9</v>
      </c>
      <c r="B167" s="102"/>
      <c r="C167" s="81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1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0" t="s">
        <v>134</v>
      </c>
    </row>
    <row r="168" spans="1:39" x14ac:dyDescent="0.25">
      <c r="A168" t="s">
        <v>9</v>
      </c>
      <c r="B168" s="102"/>
      <c r="C168" s="81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1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0" t="s">
        <v>134</v>
      </c>
    </row>
    <row r="169" spans="1:39" x14ac:dyDescent="0.25">
      <c r="A169" t="s">
        <v>9</v>
      </c>
      <c r="B169" s="102"/>
      <c r="C169" s="81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1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0" t="s">
        <v>134</v>
      </c>
    </row>
    <row r="170" spans="1:39" x14ac:dyDescent="0.25">
      <c r="A170" t="s">
        <v>9</v>
      </c>
      <c r="B170" s="102"/>
      <c r="C170" s="81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1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0" t="s">
        <v>134</v>
      </c>
    </row>
    <row r="171" spans="1:39" x14ac:dyDescent="0.25">
      <c r="A171" t="s">
        <v>9</v>
      </c>
      <c r="B171" s="102"/>
      <c r="C171" s="81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1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0" t="s">
        <v>134</v>
      </c>
    </row>
    <row r="172" spans="1:39" x14ac:dyDescent="0.25">
      <c r="A172" t="s">
        <v>9</v>
      </c>
      <c r="B172" s="102"/>
      <c r="C172" s="81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1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0" t="s">
        <v>134</v>
      </c>
    </row>
    <row r="173" spans="1:39" x14ac:dyDescent="0.25">
      <c r="A173" t="s">
        <v>9</v>
      </c>
      <c r="B173" s="102"/>
      <c r="C173" s="81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1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0" t="s">
        <v>134</v>
      </c>
    </row>
    <row r="174" spans="1:39" x14ac:dyDescent="0.25">
      <c r="A174" t="s">
        <v>9</v>
      </c>
      <c r="B174" s="102"/>
      <c r="C174" s="81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1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0" t="s">
        <v>134</v>
      </c>
    </row>
    <row r="175" spans="1:39" x14ac:dyDescent="0.25">
      <c r="A175" t="s">
        <v>9</v>
      </c>
      <c r="B175" s="102"/>
      <c r="C175" s="81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1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0" t="s">
        <v>134</v>
      </c>
    </row>
    <row r="176" spans="1:39" x14ac:dyDescent="0.25">
      <c r="A176" t="s">
        <v>9</v>
      </c>
      <c r="B176" s="102"/>
      <c r="C176" s="81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1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0" t="s">
        <v>134</v>
      </c>
    </row>
    <row r="177" spans="1:39" x14ac:dyDescent="0.25">
      <c r="A177" t="s">
        <v>9</v>
      </c>
      <c r="B177" s="102"/>
      <c r="C177" s="81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1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0" t="s">
        <v>134</v>
      </c>
    </row>
    <row r="178" spans="1:39" x14ac:dyDescent="0.25">
      <c r="A178" t="s">
        <v>9</v>
      </c>
      <c r="B178" s="102"/>
      <c r="C178" s="81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1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0" t="s">
        <v>134</v>
      </c>
    </row>
    <row r="179" spans="1:39" x14ac:dyDescent="0.25">
      <c r="A179" t="s">
        <v>9</v>
      </c>
      <c r="B179" s="102"/>
      <c r="C179" s="81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1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0" t="s">
        <v>134</v>
      </c>
    </row>
    <row r="180" spans="1:39" x14ac:dyDescent="0.25">
      <c r="A180" t="s">
        <v>9</v>
      </c>
      <c r="B180" s="102"/>
      <c r="C180" s="81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1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0" t="s">
        <v>134</v>
      </c>
    </row>
    <row r="181" spans="1:39" x14ac:dyDescent="0.25">
      <c r="A181" t="s">
        <v>9</v>
      </c>
      <c r="B181" s="102"/>
      <c r="C181" s="81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1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0" t="s">
        <v>134</v>
      </c>
    </row>
    <row r="182" spans="1:39" x14ac:dyDescent="0.25">
      <c r="A182" t="s">
        <v>9</v>
      </c>
      <c r="B182" s="102"/>
      <c r="C182" s="81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1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0" t="s">
        <v>134</v>
      </c>
    </row>
    <row r="183" spans="1:39" x14ac:dyDescent="0.25">
      <c r="A183" t="s">
        <v>9</v>
      </c>
      <c r="B183" s="102"/>
      <c r="C183" s="81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1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0" t="s">
        <v>134</v>
      </c>
    </row>
    <row r="184" spans="1:39" x14ac:dyDescent="0.25">
      <c r="A184" t="s">
        <v>9</v>
      </c>
      <c r="B184" s="102"/>
      <c r="C184" s="81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1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0" t="s">
        <v>134</v>
      </c>
    </row>
    <row r="185" spans="1:39" x14ac:dyDescent="0.25">
      <c r="A185" t="s">
        <v>9</v>
      </c>
      <c r="B185" s="102"/>
      <c r="C185" s="81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1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0" t="s">
        <v>134</v>
      </c>
    </row>
    <row r="186" spans="1:39" x14ac:dyDescent="0.25">
      <c r="A186" t="s">
        <v>9</v>
      </c>
      <c r="B186" s="102"/>
      <c r="C186" s="81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1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0" t="s">
        <v>134</v>
      </c>
    </row>
    <row r="187" spans="1:39" x14ac:dyDescent="0.25">
      <c r="A187" t="s">
        <v>9</v>
      </c>
      <c r="B187" s="102"/>
      <c r="C187" s="81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1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0" t="s">
        <v>134</v>
      </c>
    </row>
    <row r="188" spans="1:39" x14ac:dyDescent="0.25">
      <c r="A188" t="s">
        <v>9</v>
      </c>
      <c r="B188" s="102"/>
      <c r="C188" s="81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1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0" t="s">
        <v>134</v>
      </c>
    </row>
    <row r="189" spans="1:39" x14ac:dyDescent="0.25">
      <c r="A189" t="s">
        <v>9</v>
      </c>
      <c r="B189" s="102"/>
      <c r="C189" s="81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1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0" t="s">
        <v>134</v>
      </c>
    </row>
    <row r="190" spans="1:39" x14ac:dyDescent="0.25">
      <c r="A190" t="s">
        <v>9</v>
      </c>
      <c r="B190" s="102"/>
      <c r="C190" s="81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1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0" t="s">
        <v>134</v>
      </c>
    </row>
    <row r="191" spans="1:39" x14ac:dyDescent="0.25">
      <c r="A191" t="s">
        <v>9</v>
      </c>
      <c r="B191" s="102"/>
      <c r="C191" s="81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1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0" t="s">
        <v>134</v>
      </c>
    </row>
    <row r="192" spans="1:39" x14ac:dyDescent="0.25">
      <c r="A192" t="s">
        <v>9</v>
      </c>
      <c r="B192" s="102"/>
      <c r="C192" s="81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1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0" t="s">
        <v>134</v>
      </c>
    </row>
    <row r="193" spans="1:39" x14ac:dyDescent="0.25">
      <c r="A193" t="s">
        <v>9</v>
      </c>
      <c r="B193" s="102"/>
      <c r="C193" s="81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1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0" t="s">
        <v>134</v>
      </c>
    </row>
    <row r="194" spans="1:39" x14ac:dyDescent="0.25">
      <c r="A194" t="s">
        <v>9</v>
      </c>
      <c r="B194" s="102"/>
      <c r="C194" s="81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1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0" t="s">
        <v>134</v>
      </c>
    </row>
    <row r="195" spans="1:39" x14ac:dyDescent="0.25">
      <c r="A195" t="s">
        <v>9</v>
      </c>
      <c r="B195" s="102"/>
      <c r="C195" s="81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1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0" t="s">
        <v>134</v>
      </c>
    </row>
    <row r="196" spans="1:39" x14ac:dyDescent="0.25">
      <c r="A196" t="s">
        <v>9</v>
      </c>
      <c r="B196" s="102"/>
      <c r="C196" s="81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1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0" t="s">
        <v>134</v>
      </c>
    </row>
    <row r="197" spans="1:39" x14ac:dyDescent="0.25">
      <c r="A197" t="s">
        <v>9</v>
      </c>
      <c r="B197" s="102"/>
      <c r="C197" s="81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1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0" t="s">
        <v>134</v>
      </c>
    </row>
    <row r="198" spans="1:39" x14ac:dyDescent="0.25">
      <c r="A198" t="s">
        <v>9</v>
      </c>
      <c r="B198" s="102"/>
      <c r="C198" s="81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1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0" t="s">
        <v>134</v>
      </c>
    </row>
    <row r="199" spans="1:39" x14ac:dyDescent="0.25">
      <c r="A199" t="s">
        <v>9</v>
      </c>
      <c r="B199" s="102"/>
      <c r="C199" s="81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1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0" t="s">
        <v>134</v>
      </c>
    </row>
    <row r="200" spans="1:39" x14ac:dyDescent="0.25">
      <c r="A200" t="s">
        <v>9</v>
      </c>
      <c r="B200" s="102"/>
      <c r="C200" s="81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1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0" t="s">
        <v>134</v>
      </c>
    </row>
    <row r="201" spans="1:39" x14ac:dyDescent="0.25">
      <c r="A201" t="s">
        <v>9</v>
      </c>
      <c r="B201" s="102"/>
      <c r="C201" s="81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1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0" t="s">
        <v>134</v>
      </c>
    </row>
    <row r="202" spans="1:39" x14ac:dyDescent="0.25">
      <c r="A202" t="s">
        <v>9</v>
      </c>
      <c r="B202" s="102"/>
      <c r="C202" s="81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1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0" t="s">
        <v>134</v>
      </c>
    </row>
    <row r="203" spans="1:39" x14ac:dyDescent="0.25">
      <c r="A203" t="s">
        <v>9</v>
      </c>
      <c r="B203" s="102"/>
      <c r="C203" s="81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1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0" t="s">
        <v>134</v>
      </c>
    </row>
    <row r="204" spans="1:39" x14ac:dyDescent="0.25">
      <c r="A204" t="s">
        <v>9</v>
      </c>
      <c r="B204" s="102"/>
      <c r="C204" s="81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1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0" t="s">
        <v>134</v>
      </c>
    </row>
    <row r="205" spans="1:39" x14ac:dyDescent="0.25">
      <c r="A205" t="s">
        <v>9</v>
      </c>
      <c r="B205" s="102"/>
      <c r="C205" s="81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1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0" t="s">
        <v>134</v>
      </c>
    </row>
    <row r="206" spans="1:39" x14ac:dyDescent="0.25">
      <c r="A206" t="s">
        <v>9</v>
      </c>
      <c r="B206" s="102"/>
      <c r="C206" s="81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1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0" t="s">
        <v>134</v>
      </c>
    </row>
    <row r="207" spans="1:39" x14ac:dyDescent="0.25">
      <c r="A207" t="s">
        <v>9</v>
      </c>
      <c r="B207" s="102"/>
      <c r="C207" s="81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1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0" t="s">
        <v>134</v>
      </c>
    </row>
    <row r="208" spans="1:39" x14ac:dyDescent="0.25">
      <c r="A208" t="s">
        <v>9</v>
      </c>
      <c r="B208" s="102"/>
      <c r="C208" s="81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1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0" t="s">
        <v>134</v>
      </c>
    </row>
    <row r="209" spans="1:39" x14ac:dyDescent="0.25">
      <c r="A209" t="s">
        <v>9</v>
      </c>
      <c r="B209" s="102"/>
      <c r="C209" s="81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1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0" t="s">
        <v>134</v>
      </c>
    </row>
    <row r="210" spans="1:39" x14ac:dyDescent="0.25">
      <c r="A210" t="s">
        <v>9</v>
      </c>
      <c r="B210" s="102"/>
      <c r="C210" s="81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1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0" t="s">
        <v>134</v>
      </c>
    </row>
    <row r="211" spans="1:39" x14ac:dyDescent="0.25">
      <c r="A211" t="s">
        <v>9</v>
      </c>
      <c r="B211" s="102"/>
      <c r="C211" s="81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1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0" t="s">
        <v>134</v>
      </c>
    </row>
    <row r="212" spans="1:39" x14ac:dyDescent="0.25">
      <c r="A212" t="s">
        <v>9</v>
      </c>
      <c r="B212" s="102"/>
      <c r="C212" s="81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1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0" t="s">
        <v>134</v>
      </c>
    </row>
    <row r="213" spans="1:39" x14ac:dyDescent="0.25">
      <c r="A213" t="s">
        <v>9</v>
      </c>
      <c r="B213" s="102"/>
      <c r="C213" s="81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1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0" t="s">
        <v>134</v>
      </c>
    </row>
    <row r="214" spans="1:39" x14ac:dyDescent="0.25">
      <c r="A214" t="s">
        <v>9</v>
      </c>
      <c r="B214" s="102"/>
      <c r="C214" s="81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1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0" t="s">
        <v>134</v>
      </c>
    </row>
    <row r="215" spans="1:39" x14ac:dyDescent="0.25">
      <c r="A215" t="s">
        <v>9</v>
      </c>
      <c r="B215" s="102"/>
      <c r="C215" s="81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1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0" t="s">
        <v>134</v>
      </c>
    </row>
    <row r="216" spans="1:39" x14ac:dyDescent="0.25">
      <c r="A216" t="s">
        <v>9</v>
      </c>
      <c r="B216" s="102"/>
      <c r="C216" s="81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1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0" t="s">
        <v>134</v>
      </c>
    </row>
    <row r="217" spans="1:39" x14ac:dyDescent="0.25">
      <c r="A217" t="s">
        <v>9</v>
      </c>
      <c r="B217" s="102"/>
      <c r="C217" s="81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1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0" t="s">
        <v>134</v>
      </c>
    </row>
    <row r="218" spans="1:39" x14ac:dyDescent="0.25">
      <c r="A218" t="s">
        <v>9</v>
      </c>
      <c r="B218" s="102"/>
      <c r="C218" s="81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1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0" t="s">
        <v>134</v>
      </c>
    </row>
    <row r="219" spans="1:39" x14ac:dyDescent="0.25">
      <c r="A219" t="s">
        <v>9</v>
      </c>
      <c r="B219" s="102"/>
      <c r="C219" s="81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1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0" t="s">
        <v>134</v>
      </c>
    </row>
    <row r="220" spans="1:39" x14ac:dyDescent="0.25">
      <c r="A220" t="s">
        <v>9</v>
      </c>
      <c r="B220" s="102"/>
      <c r="C220" s="81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1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0" t="s">
        <v>134</v>
      </c>
    </row>
    <row r="221" spans="1:39" x14ac:dyDescent="0.25">
      <c r="A221" t="s">
        <v>9</v>
      </c>
      <c r="B221" s="102"/>
      <c r="C221" s="81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1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0" t="s">
        <v>134</v>
      </c>
    </row>
    <row r="222" spans="1:39" x14ac:dyDescent="0.25">
      <c r="A222" t="s">
        <v>9</v>
      </c>
      <c r="B222" s="102"/>
      <c r="C222" s="81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1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0" t="s">
        <v>134</v>
      </c>
    </row>
    <row r="223" spans="1:39" x14ac:dyDescent="0.25">
      <c r="A223" t="s">
        <v>9</v>
      </c>
      <c r="B223" s="102"/>
      <c r="C223" s="81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1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0" t="s">
        <v>134</v>
      </c>
    </row>
    <row r="224" spans="1:39" x14ac:dyDescent="0.25">
      <c r="A224" t="s">
        <v>9</v>
      </c>
      <c r="B224" s="102"/>
      <c r="C224" s="81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1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0" t="s">
        <v>134</v>
      </c>
    </row>
    <row r="225" spans="1:39" x14ac:dyDescent="0.25">
      <c r="A225" t="s">
        <v>9</v>
      </c>
      <c r="B225" s="102"/>
      <c r="C225" s="81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1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0" t="s">
        <v>134</v>
      </c>
    </row>
    <row r="226" spans="1:39" x14ac:dyDescent="0.25">
      <c r="A226" t="s">
        <v>9</v>
      </c>
      <c r="B226" s="102"/>
      <c r="C226" s="81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1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0" t="s">
        <v>134</v>
      </c>
    </row>
    <row r="227" spans="1:39" x14ac:dyDescent="0.25">
      <c r="A227" t="s">
        <v>9</v>
      </c>
      <c r="B227" s="102"/>
      <c r="C227" s="81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1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0" t="s">
        <v>134</v>
      </c>
    </row>
    <row r="228" spans="1:39" x14ac:dyDescent="0.25">
      <c r="A228" t="s">
        <v>9</v>
      </c>
      <c r="B228" s="102"/>
      <c r="C228" s="81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1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0" t="s">
        <v>134</v>
      </c>
    </row>
    <row r="229" spans="1:39" x14ac:dyDescent="0.25">
      <c r="A229" t="s">
        <v>9</v>
      </c>
      <c r="B229" s="102"/>
      <c r="C229" s="81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1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0" t="s">
        <v>134</v>
      </c>
    </row>
    <row r="230" spans="1:39" x14ac:dyDescent="0.25">
      <c r="A230" t="s">
        <v>9</v>
      </c>
      <c r="B230" s="102"/>
      <c r="C230" s="81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1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0" t="s">
        <v>134</v>
      </c>
    </row>
    <row r="231" spans="1:39" x14ac:dyDescent="0.25">
      <c r="A231" t="s">
        <v>9</v>
      </c>
      <c r="B231" s="102"/>
      <c r="C231" s="81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1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0" t="s">
        <v>134</v>
      </c>
    </row>
    <row r="232" spans="1:39" x14ac:dyDescent="0.25">
      <c r="A232" t="s">
        <v>9</v>
      </c>
      <c r="B232" s="102"/>
      <c r="C232" s="81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1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0" t="s">
        <v>134</v>
      </c>
    </row>
    <row r="233" spans="1:39" x14ac:dyDescent="0.25">
      <c r="A233" t="s">
        <v>9</v>
      </c>
      <c r="B233" s="102"/>
      <c r="C233" s="81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1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0" t="s">
        <v>134</v>
      </c>
    </row>
    <row r="234" spans="1:39" x14ac:dyDescent="0.25">
      <c r="A234" t="s">
        <v>9</v>
      </c>
      <c r="B234" s="102"/>
      <c r="C234" s="81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1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0" t="s">
        <v>134</v>
      </c>
    </row>
    <row r="235" spans="1:39" x14ac:dyDescent="0.25">
      <c r="A235" t="s">
        <v>9</v>
      </c>
      <c r="B235" s="102"/>
      <c r="C235" s="81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1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0" t="s">
        <v>134</v>
      </c>
    </row>
    <row r="236" spans="1:39" x14ac:dyDescent="0.25">
      <c r="A236" t="s">
        <v>9</v>
      </c>
      <c r="B236" s="102"/>
      <c r="C236" s="81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1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0" t="s">
        <v>134</v>
      </c>
    </row>
    <row r="237" spans="1:39" x14ac:dyDescent="0.25">
      <c r="A237" t="s">
        <v>9</v>
      </c>
      <c r="B237" s="102"/>
      <c r="C237" s="81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1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0" t="s">
        <v>134</v>
      </c>
    </row>
    <row r="238" spans="1:39" x14ac:dyDescent="0.25">
      <c r="A238" t="s">
        <v>9</v>
      </c>
      <c r="B238" s="102"/>
      <c r="C238" s="81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1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0" t="s">
        <v>134</v>
      </c>
    </row>
    <row r="239" spans="1:39" x14ac:dyDescent="0.25">
      <c r="A239" t="s">
        <v>9</v>
      </c>
      <c r="B239" s="102"/>
      <c r="C239" s="81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1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0" t="s">
        <v>134</v>
      </c>
    </row>
    <row r="240" spans="1:39" x14ac:dyDescent="0.25">
      <c r="A240" t="s">
        <v>9</v>
      </c>
      <c r="B240" s="102"/>
      <c r="C240" s="81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1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0" t="s">
        <v>134</v>
      </c>
    </row>
    <row r="241" spans="1:39" x14ac:dyDescent="0.25">
      <c r="A241" t="s">
        <v>9</v>
      </c>
      <c r="B241" s="102"/>
      <c r="C241" s="81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1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0" t="s">
        <v>134</v>
      </c>
    </row>
    <row r="242" spans="1:39" x14ac:dyDescent="0.25">
      <c r="A242" t="s">
        <v>9</v>
      </c>
      <c r="B242" s="102"/>
      <c r="C242" s="81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1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0" t="s">
        <v>134</v>
      </c>
    </row>
    <row r="243" spans="1:39" x14ac:dyDescent="0.25">
      <c r="A243" t="s">
        <v>9</v>
      </c>
      <c r="B243" s="102"/>
      <c r="C243" s="81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1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0" t="s">
        <v>134</v>
      </c>
    </row>
    <row r="244" spans="1:39" x14ac:dyDescent="0.25">
      <c r="A244" t="s">
        <v>9</v>
      </c>
      <c r="B244" s="102"/>
      <c r="C244" s="81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1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0" t="s">
        <v>134</v>
      </c>
    </row>
    <row r="245" spans="1:39" x14ac:dyDescent="0.25">
      <c r="A245" t="s">
        <v>9</v>
      </c>
      <c r="B245" s="102"/>
      <c r="C245" s="81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1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0" t="s">
        <v>134</v>
      </c>
    </row>
    <row r="246" spans="1:39" x14ac:dyDescent="0.25">
      <c r="A246" t="s">
        <v>9</v>
      </c>
      <c r="B246" s="102"/>
      <c r="C246" s="81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1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0" t="s">
        <v>134</v>
      </c>
    </row>
    <row r="247" spans="1:39" x14ac:dyDescent="0.25">
      <c r="A247" t="s">
        <v>9</v>
      </c>
      <c r="B247" s="102"/>
      <c r="C247" s="81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1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0" t="s">
        <v>134</v>
      </c>
    </row>
    <row r="248" spans="1:39" x14ac:dyDescent="0.25">
      <c r="A248" t="s">
        <v>9</v>
      </c>
      <c r="B248" s="102"/>
      <c r="C248" s="81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1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0" t="s">
        <v>134</v>
      </c>
    </row>
    <row r="249" spans="1:39" x14ac:dyDescent="0.25">
      <c r="A249" t="s">
        <v>9</v>
      </c>
      <c r="B249" s="102"/>
      <c r="C249" s="81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1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0" t="s">
        <v>134</v>
      </c>
    </row>
    <row r="250" spans="1:39" x14ac:dyDescent="0.25">
      <c r="A250" t="s">
        <v>9</v>
      </c>
      <c r="B250" s="102"/>
      <c r="C250" s="81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1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0" t="s">
        <v>134</v>
      </c>
    </row>
    <row r="251" spans="1:39" x14ac:dyDescent="0.25">
      <c r="A251" t="s">
        <v>9</v>
      </c>
      <c r="B251" s="102"/>
      <c r="C251" s="81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1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0" t="s">
        <v>134</v>
      </c>
    </row>
    <row r="252" spans="1:39" x14ac:dyDescent="0.25">
      <c r="A252" t="s">
        <v>9</v>
      </c>
      <c r="B252" s="102"/>
      <c r="C252" s="81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1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0" t="s">
        <v>134</v>
      </c>
    </row>
    <row r="253" spans="1:39" x14ac:dyDescent="0.25">
      <c r="A253" t="s">
        <v>9</v>
      </c>
      <c r="B253" s="102"/>
      <c r="C253" s="81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1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0" t="s">
        <v>134</v>
      </c>
    </row>
    <row r="254" spans="1:39" x14ac:dyDescent="0.25">
      <c r="A254" t="s">
        <v>9</v>
      </c>
      <c r="B254" s="102"/>
      <c r="C254" s="81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1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0" t="s">
        <v>134</v>
      </c>
    </row>
    <row r="255" spans="1:39" x14ac:dyDescent="0.25">
      <c r="A255" t="s">
        <v>9</v>
      </c>
      <c r="B255" s="102"/>
      <c r="C255" s="81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1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0" t="s">
        <v>134</v>
      </c>
    </row>
    <row r="256" spans="1:39" x14ac:dyDescent="0.25">
      <c r="A256" t="s">
        <v>9</v>
      </c>
      <c r="B256" s="102"/>
      <c r="C256" s="81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1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0" t="s">
        <v>134</v>
      </c>
    </row>
    <row r="257" spans="1:39" x14ac:dyDescent="0.25">
      <c r="A257" t="s">
        <v>9</v>
      </c>
      <c r="B257" s="102"/>
      <c r="C257" s="81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1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0" t="s">
        <v>134</v>
      </c>
    </row>
    <row r="258" spans="1:39" x14ac:dyDescent="0.25">
      <c r="A258" t="s">
        <v>9</v>
      </c>
      <c r="B258" s="102"/>
      <c r="C258" s="81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1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0" t="s">
        <v>134</v>
      </c>
    </row>
    <row r="259" spans="1:39" x14ac:dyDescent="0.25">
      <c r="A259" t="s">
        <v>9</v>
      </c>
      <c r="B259" s="102"/>
      <c r="C259" s="81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1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0" t="s">
        <v>134</v>
      </c>
    </row>
    <row r="260" spans="1:39" x14ac:dyDescent="0.25">
      <c r="A260" t="s">
        <v>9</v>
      </c>
      <c r="B260" s="102"/>
      <c r="C260" s="81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1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0" t="s">
        <v>134</v>
      </c>
    </row>
    <row r="261" spans="1:39" x14ac:dyDescent="0.25">
      <c r="A261" t="s">
        <v>9</v>
      </c>
      <c r="B261" s="102"/>
      <c r="C261" s="81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1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0" t="s">
        <v>134</v>
      </c>
    </row>
    <row r="262" spans="1:39" x14ac:dyDescent="0.25">
      <c r="A262" t="s">
        <v>9</v>
      </c>
      <c r="B262" s="102"/>
      <c r="C262" s="81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1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0" t="s">
        <v>134</v>
      </c>
    </row>
    <row r="263" spans="1:39" x14ac:dyDescent="0.25">
      <c r="A263" t="s">
        <v>9</v>
      </c>
      <c r="B263" s="102"/>
      <c r="C263" s="81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1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0" t="s">
        <v>134</v>
      </c>
    </row>
    <row r="264" spans="1:39" x14ac:dyDescent="0.25">
      <c r="A264" t="s">
        <v>9</v>
      </c>
      <c r="B264" s="102"/>
      <c r="C264" s="81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1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0" t="s">
        <v>134</v>
      </c>
    </row>
    <row r="265" spans="1:39" x14ac:dyDescent="0.25">
      <c r="A265" t="s">
        <v>9</v>
      </c>
      <c r="B265" s="102"/>
      <c r="C265" s="81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1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0" t="s">
        <v>134</v>
      </c>
    </row>
    <row r="266" spans="1:39" x14ac:dyDescent="0.25">
      <c r="A266" t="s">
        <v>9</v>
      </c>
      <c r="B266" s="102"/>
      <c r="C266" s="81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1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0" t="s">
        <v>134</v>
      </c>
    </row>
    <row r="267" spans="1:39" x14ac:dyDescent="0.25">
      <c r="A267" t="s">
        <v>9</v>
      </c>
      <c r="B267" s="102"/>
      <c r="C267" s="81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1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0" t="s">
        <v>134</v>
      </c>
    </row>
    <row r="268" spans="1:39" x14ac:dyDescent="0.25">
      <c r="A268" t="s">
        <v>9</v>
      </c>
      <c r="B268" s="102"/>
      <c r="C268" s="81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1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0" t="s">
        <v>134</v>
      </c>
    </row>
    <row r="269" spans="1:39" x14ac:dyDescent="0.25">
      <c r="A269" t="s">
        <v>9</v>
      </c>
      <c r="B269" s="102"/>
      <c r="C269" s="81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1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0" t="s">
        <v>134</v>
      </c>
    </row>
    <row r="270" spans="1:39" x14ac:dyDescent="0.25">
      <c r="A270" t="s">
        <v>9</v>
      </c>
      <c r="B270" s="102"/>
      <c r="C270" s="81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1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0" t="s">
        <v>134</v>
      </c>
    </row>
    <row r="271" spans="1:39" x14ac:dyDescent="0.25">
      <c r="A271" t="s">
        <v>9</v>
      </c>
      <c r="B271" s="102"/>
      <c r="C271" s="81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1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0" t="s">
        <v>134</v>
      </c>
    </row>
    <row r="272" spans="1:39" x14ac:dyDescent="0.25">
      <c r="A272" t="s">
        <v>9</v>
      </c>
      <c r="B272" s="102"/>
      <c r="C272" s="81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1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0" t="s">
        <v>134</v>
      </c>
    </row>
    <row r="273" spans="1:39" x14ac:dyDescent="0.25">
      <c r="A273" t="s">
        <v>9</v>
      </c>
      <c r="B273" s="102"/>
      <c r="C273" s="81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1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0" t="s">
        <v>134</v>
      </c>
    </row>
    <row r="274" spans="1:39" x14ac:dyDescent="0.25">
      <c r="A274" t="s">
        <v>9</v>
      </c>
      <c r="B274" s="102"/>
      <c r="C274" s="81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1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0" t="s">
        <v>134</v>
      </c>
    </row>
    <row r="275" spans="1:39" x14ac:dyDescent="0.25">
      <c r="A275" t="s">
        <v>9</v>
      </c>
      <c r="B275" s="102"/>
      <c r="C275" s="81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1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0" t="s">
        <v>134</v>
      </c>
    </row>
    <row r="276" spans="1:39" x14ac:dyDescent="0.25">
      <c r="A276" t="s">
        <v>9</v>
      </c>
      <c r="B276" s="102"/>
      <c r="C276" s="81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1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0" t="s">
        <v>134</v>
      </c>
    </row>
    <row r="277" spans="1:39" x14ac:dyDescent="0.25">
      <c r="A277" t="s">
        <v>9</v>
      </c>
      <c r="B277" s="102"/>
      <c r="C277" s="81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1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0" t="s">
        <v>134</v>
      </c>
    </row>
    <row r="278" spans="1:39" x14ac:dyDescent="0.25">
      <c r="A278" t="s">
        <v>9</v>
      </c>
      <c r="B278" s="102"/>
      <c r="C278" s="81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1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0" t="s">
        <v>134</v>
      </c>
    </row>
    <row r="279" spans="1:39" x14ac:dyDescent="0.25">
      <c r="A279" t="s">
        <v>9</v>
      </c>
      <c r="B279" s="102"/>
      <c r="C279" s="81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1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0" t="s">
        <v>134</v>
      </c>
    </row>
    <row r="280" spans="1:39" x14ac:dyDescent="0.25">
      <c r="A280" t="s">
        <v>9</v>
      </c>
      <c r="B280" s="102"/>
      <c r="C280" s="81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1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0" t="s">
        <v>134</v>
      </c>
    </row>
    <row r="281" spans="1:39" x14ac:dyDescent="0.25">
      <c r="A281" t="s">
        <v>9</v>
      </c>
      <c r="B281" s="102"/>
      <c r="C281" s="81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1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0" t="s">
        <v>134</v>
      </c>
    </row>
    <row r="282" spans="1:39" x14ac:dyDescent="0.25">
      <c r="A282" t="s">
        <v>9</v>
      </c>
      <c r="B282" s="102"/>
      <c r="C282" s="81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1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0" t="s">
        <v>134</v>
      </c>
    </row>
    <row r="283" spans="1:39" x14ac:dyDescent="0.25">
      <c r="A283" t="s">
        <v>9</v>
      </c>
      <c r="B283" s="102"/>
      <c r="C283" s="81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1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0" t="s">
        <v>134</v>
      </c>
    </row>
    <row r="284" spans="1:39" x14ac:dyDescent="0.25">
      <c r="A284" t="s">
        <v>9</v>
      </c>
      <c r="B284" s="102"/>
      <c r="C284" s="81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1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0" t="s">
        <v>134</v>
      </c>
    </row>
    <row r="285" spans="1:39" x14ac:dyDescent="0.25">
      <c r="A285" t="s">
        <v>9</v>
      </c>
      <c r="B285" s="102"/>
      <c r="C285" s="81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1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0" t="s">
        <v>134</v>
      </c>
    </row>
    <row r="286" spans="1:39" x14ac:dyDescent="0.25">
      <c r="A286" t="s">
        <v>9</v>
      </c>
      <c r="B286" s="102"/>
      <c r="C286" s="81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1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0" t="s">
        <v>134</v>
      </c>
    </row>
    <row r="287" spans="1:39" x14ac:dyDescent="0.25">
      <c r="A287" t="s">
        <v>9</v>
      </c>
      <c r="B287" s="102"/>
      <c r="C287" s="81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1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0" t="s">
        <v>134</v>
      </c>
    </row>
    <row r="288" spans="1:39" x14ac:dyDescent="0.25">
      <c r="A288" t="s">
        <v>9</v>
      </c>
      <c r="B288" s="102"/>
      <c r="C288" s="81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1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0" t="s">
        <v>134</v>
      </c>
    </row>
    <row r="289" spans="1:39" x14ac:dyDescent="0.25">
      <c r="A289" t="s">
        <v>9</v>
      </c>
      <c r="B289" s="102"/>
      <c r="C289" s="81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1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0" t="s">
        <v>134</v>
      </c>
    </row>
    <row r="290" spans="1:39" x14ac:dyDescent="0.25">
      <c r="A290" t="s">
        <v>9</v>
      </c>
      <c r="B290" s="102"/>
      <c r="C290" s="81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1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0" t="s">
        <v>134</v>
      </c>
    </row>
    <row r="291" spans="1:39" x14ac:dyDescent="0.25">
      <c r="A291" t="s">
        <v>9</v>
      </c>
      <c r="B291" s="102"/>
      <c r="C291" s="81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1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0" t="s">
        <v>134</v>
      </c>
    </row>
    <row r="292" spans="1:39" x14ac:dyDescent="0.25">
      <c r="A292" t="s">
        <v>9</v>
      </c>
      <c r="B292" s="102"/>
      <c r="C292" s="81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1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0" t="s">
        <v>134</v>
      </c>
    </row>
    <row r="293" spans="1:39" x14ac:dyDescent="0.25">
      <c r="A293" t="s">
        <v>9</v>
      </c>
      <c r="B293" s="102"/>
      <c r="C293" s="81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1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0" t="s">
        <v>134</v>
      </c>
    </row>
    <row r="294" spans="1:39" x14ac:dyDescent="0.25">
      <c r="A294" t="s">
        <v>9</v>
      </c>
      <c r="B294" s="102"/>
      <c r="C294" s="81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1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0" t="s">
        <v>134</v>
      </c>
    </row>
    <row r="295" spans="1:39" x14ac:dyDescent="0.25">
      <c r="A295" t="s">
        <v>9</v>
      </c>
      <c r="B295" s="102"/>
      <c r="C295" s="81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1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0" t="s">
        <v>134</v>
      </c>
    </row>
    <row r="296" spans="1:39" x14ac:dyDescent="0.25">
      <c r="A296" t="s">
        <v>9</v>
      </c>
      <c r="B296" s="102"/>
      <c r="C296" s="81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1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0" t="s">
        <v>134</v>
      </c>
    </row>
    <row r="297" spans="1:39" x14ac:dyDescent="0.25">
      <c r="A297" t="s">
        <v>9</v>
      </c>
      <c r="B297" s="102"/>
      <c r="C297" s="81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1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0" t="s">
        <v>134</v>
      </c>
    </row>
    <row r="298" spans="1:39" x14ac:dyDescent="0.25">
      <c r="A298" t="s">
        <v>9</v>
      </c>
      <c r="B298" s="102"/>
      <c r="C298" s="81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1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0" t="s">
        <v>134</v>
      </c>
    </row>
    <row r="299" spans="1:39" x14ac:dyDescent="0.25">
      <c r="A299" t="s">
        <v>9</v>
      </c>
      <c r="B299" s="102"/>
      <c r="C299" s="81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1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0" t="s">
        <v>134</v>
      </c>
    </row>
    <row r="300" spans="1:39" x14ac:dyDescent="0.25">
      <c r="A300" t="s">
        <v>9</v>
      </c>
      <c r="B300" s="102"/>
      <c r="C300" s="81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1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0" t="s">
        <v>134</v>
      </c>
    </row>
    <row r="301" spans="1:39" x14ac:dyDescent="0.25">
      <c r="A301" t="s">
        <v>9</v>
      </c>
      <c r="B301" s="102"/>
      <c r="C301" s="81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1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0" t="s">
        <v>134</v>
      </c>
    </row>
    <row r="302" spans="1:39" x14ac:dyDescent="0.25">
      <c r="A302" t="s">
        <v>9</v>
      </c>
      <c r="B302" s="102"/>
      <c r="C302" s="81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1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0" t="s">
        <v>134</v>
      </c>
    </row>
    <row r="303" spans="1:39" x14ac:dyDescent="0.25">
      <c r="A303" t="s">
        <v>9</v>
      </c>
      <c r="B303" s="102"/>
      <c r="C303" s="81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1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0" t="s">
        <v>134</v>
      </c>
    </row>
    <row r="304" spans="1:39" x14ac:dyDescent="0.25">
      <c r="A304" t="s">
        <v>9</v>
      </c>
      <c r="B304" s="102"/>
      <c r="C304" s="81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1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0" t="s">
        <v>134</v>
      </c>
    </row>
    <row r="305" spans="1:39" x14ac:dyDescent="0.25">
      <c r="A305" t="s">
        <v>9</v>
      </c>
      <c r="B305" s="102"/>
      <c r="C305" s="81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1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0" t="s">
        <v>134</v>
      </c>
    </row>
    <row r="306" spans="1:39" x14ac:dyDescent="0.25">
      <c r="A306" t="s">
        <v>9</v>
      </c>
      <c r="B306" s="102"/>
      <c r="C306" s="81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1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0" t="s">
        <v>134</v>
      </c>
    </row>
    <row r="307" spans="1:39" x14ac:dyDescent="0.25">
      <c r="A307" t="s">
        <v>9</v>
      </c>
      <c r="B307" s="102"/>
      <c r="C307" s="81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1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0" t="s">
        <v>134</v>
      </c>
    </row>
    <row r="308" spans="1:39" x14ac:dyDescent="0.25">
      <c r="A308" t="s">
        <v>9</v>
      </c>
      <c r="B308" s="102"/>
      <c r="C308" s="81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1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0" t="s">
        <v>134</v>
      </c>
    </row>
    <row r="309" spans="1:39" x14ac:dyDescent="0.25">
      <c r="A309" t="s">
        <v>9</v>
      </c>
      <c r="B309" s="102"/>
      <c r="C309" s="81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1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0" t="s">
        <v>134</v>
      </c>
    </row>
    <row r="310" spans="1:39" x14ac:dyDescent="0.25">
      <c r="A310" t="s">
        <v>9</v>
      </c>
      <c r="B310" s="102"/>
      <c r="C310" s="81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1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0" t="s">
        <v>134</v>
      </c>
    </row>
    <row r="311" spans="1:39" x14ac:dyDescent="0.25">
      <c r="A311" t="s">
        <v>9</v>
      </c>
      <c r="B311" s="102"/>
      <c r="C311" s="81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1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0" t="s">
        <v>134</v>
      </c>
    </row>
    <row r="312" spans="1:39" x14ac:dyDescent="0.25">
      <c r="A312" t="s">
        <v>9</v>
      </c>
      <c r="B312" s="102"/>
      <c r="C312" s="81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1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0" t="s">
        <v>134</v>
      </c>
    </row>
    <row r="313" spans="1:39" x14ac:dyDescent="0.25">
      <c r="A313" t="s">
        <v>9</v>
      </c>
      <c r="B313" s="102"/>
      <c r="C313" s="81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1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0" t="s">
        <v>134</v>
      </c>
    </row>
    <row r="314" spans="1:39" x14ac:dyDescent="0.25">
      <c r="A314" t="s">
        <v>9</v>
      </c>
      <c r="B314" s="102"/>
      <c r="C314" s="81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1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0" t="s">
        <v>134</v>
      </c>
    </row>
    <row r="315" spans="1:39" x14ac:dyDescent="0.25">
      <c r="A315" t="s">
        <v>9</v>
      </c>
      <c r="B315" s="102"/>
      <c r="C315" s="81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1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0" t="s">
        <v>134</v>
      </c>
    </row>
    <row r="316" spans="1:39" x14ac:dyDescent="0.25">
      <c r="A316" t="s">
        <v>9</v>
      </c>
      <c r="B316" s="102"/>
      <c r="C316" s="81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1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0" t="s">
        <v>134</v>
      </c>
    </row>
    <row r="317" spans="1:39" x14ac:dyDescent="0.25">
      <c r="A317" t="s">
        <v>9</v>
      </c>
      <c r="B317" s="102"/>
      <c r="C317" s="81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1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0" t="s">
        <v>134</v>
      </c>
    </row>
    <row r="318" spans="1:39" x14ac:dyDescent="0.25">
      <c r="A318" t="s">
        <v>9</v>
      </c>
      <c r="B318" s="102"/>
      <c r="C318" s="81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1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0" t="s">
        <v>134</v>
      </c>
    </row>
    <row r="319" spans="1:39" x14ac:dyDescent="0.25">
      <c r="A319" t="s">
        <v>9</v>
      </c>
      <c r="B319" s="102"/>
      <c r="C319" s="81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1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0" t="s">
        <v>134</v>
      </c>
    </row>
    <row r="320" spans="1:39" x14ac:dyDescent="0.25">
      <c r="A320" t="s">
        <v>9</v>
      </c>
      <c r="B320" s="102"/>
      <c r="C320" s="81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1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0" t="s">
        <v>134</v>
      </c>
    </row>
    <row r="321" spans="1:39" x14ac:dyDescent="0.25">
      <c r="A321" t="s">
        <v>9</v>
      </c>
      <c r="B321" s="102"/>
      <c r="C321" s="81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1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0" t="s">
        <v>134</v>
      </c>
    </row>
    <row r="322" spans="1:39" x14ac:dyDescent="0.25">
      <c r="A322" t="s">
        <v>9</v>
      </c>
      <c r="B322" s="102"/>
      <c r="C322" s="81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1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0" t="s">
        <v>134</v>
      </c>
    </row>
    <row r="323" spans="1:39" x14ac:dyDescent="0.25">
      <c r="A323" t="s">
        <v>9</v>
      </c>
      <c r="B323" s="102"/>
      <c r="C323" s="81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1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0" t="s">
        <v>134</v>
      </c>
    </row>
    <row r="324" spans="1:39" x14ac:dyDescent="0.25">
      <c r="A324" t="s">
        <v>9</v>
      </c>
      <c r="B324" s="102"/>
      <c r="C324" s="81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1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0" t="s">
        <v>134</v>
      </c>
    </row>
    <row r="325" spans="1:39" x14ac:dyDescent="0.25">
      <c r="A325" t="s">
        <v>9</v>
      </c>
      <c r="B325" s="102"/>
      <c r="C325" s="81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1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0" t="s">
        <v>134</v>
      </c>
    </row>
    <row r="326" spans="1:39" x14ac:dyDescent="0.25">
      <c r="A326" t="s">
        <v>9</v>
      </c>
      <c r="B326" s="102"/>
      <c r="C326" s="81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1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0" t="s">
        <v>134</v>
      </c>
    </row>
    <row r="327" spans="1:39" x14ac:dyDescent="0.25">
      <c r="A327" t="s">
        <v>9</v>
      </c>
      <c r="B327" s="102"/>
      <c r="C327" s="81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1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0" t="s">
        <v>134</v>
      </c>
    </row>
    <row r="328" spans="1:39" x14ac:dyDescent="0.25">
      <c r="A328" t="s">
        <v>9</v>
      </c>
      <c r="B328" s="102"/>
      <c r="C328" s="81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1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0" t="s">
        <v>134</v>
      </c>
    </row>
    <row r="329" spans="1:39" x14ac:dyDescent="0.25">
      <c r="A329" t="s">
        <v>9</v>
      </c>
      <c r="B329" s="102"/>
      <c r="C329" s="81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1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0" t="s">
        <v>134</v>
      </c>
    </row>
    <row r="330" spans="1:39" x14ac:dyDescent="0.25">
      <c r="A330" t="s">
        <v>9</v>
      </c>
      <c r="B330" s="102"/>
      <c r="C330" s="81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1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0" t="s">
        <v>134</v>
      </c>
    </row>
    <row r="331" spans="1:39" x14ac:dyDescent="0.25">
      <c r="A331" t="s">
        <v>9</v>
      </c>
      <c r="B331" s="102"/>
      <c r="C331" s="81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1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0" t="s">
        <v>134</v>
      </c>
    </row>
    <row r="332" spans="1:39" x14ac:dyDescent="0.25">
      <c r="A332" t="s">
        <v>9</v>
      </c>
      <c r="B332" s="102"/>
      <c r="C332" s="81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1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0" t="s">
        <v>134</v>
      </c>
    </row>
    <row r="333" spans="1:39" x14ac:dyDescent="0.25">
      <c r="A333" t="s">
        <v>9</v>
      </c>
      <c r="B333" s="102"/>
      <c r="C333" s="81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1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0" t="s">
        <v>134</v>
      </c>
    </row>
    <row r="334" spans="1:39" x14ac:dyDescent="0.25">
      <c r="A334" t="s">
        <v>9</v>
      </c>
      <c r="B334" s="102"/>
      <c r="C334" s="81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1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0" t="s">
        <v>134</v>
      </c>
    </row>
    <row r="335" spans="1:39" x14ac:dyDescent="0.25">
      <c r="A335" t="s">
        <v>9</v>
      </c>
      <c r="B335" s="102"/>
      <c r="C335" s="81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1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0" t="s">
        <v>134</v>
      </c>
    </row>
    <row r="336" spans="1:39" x14ac:dyDescent="0.25">
      <c r="A336" t="s">
        <v>9</v>
      </c>
      <c r="B336" s="102"/>
      <c r="C336" s="81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1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0" t="s">
        <v>134</v>
      </c>
    </row>
    <row r="337" spans="1:39" x14ac:dyDescent="0.25">
      <c r="A337" t="s">
        <v>9</v>
      </c>
      <c r="B337" s="102"/>
      <c r="C337" s="81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1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0" t="s">
        <v>134</v>
      </c>
    </row>
    <row r="338" spans="1:39" x14ac:dyDescent="0.25">
      <c r="A338" t="s">
        <v>9</v>
      </c>
      <c r="B338" s="102"/>
      <c r="C338" s="81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1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0" t="s">
        <v>134</v>
      </c>
    </row>
    <row r="339" spans="1:39" x14ac:dyDescent="0.25">
      <c r="A339" t="s">
        <v>9</v>
      </c>
      <c r="B339" s="102"/>
      <c r="C339" s="81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1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0" t="s">
        <v>134</v>
      </c>
    </row>
    <row r="340" spans="1:39" x14ac:dyDescent="0.25">
      <c r="A340" t="s">
        <v>9</v>
      </c>
      <c r="B340" s="102"/>
      <c r="C340" s="81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1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0" t="s">
        <v>134</v>
      </c>
    </row>
    <row r="341" spans="1:39" x14ac:dyDescent="0.25">
      <c r="A341" t="s">
        <v>9</v>
      </c>
      <c r="B341" s="102"/>
      <c r="C341" s="81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1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0" t="s">
        <v>134</v>
      </c>
    </row>
    <row r="342" spans="1:39" x14ac:dyDescent="0.25">
      <c r="A342" t="s">
        <v>9</v>
      </c>
      <c r="B342" s="102"/>
      <c r="C342" s="81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1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0" t="s">
        <v>134</v>
      </c>
    </row>
    <row r="343" spans="1:39" x14ac:dyDescent="0.25">
      <c r="A343" t="s">
        <v>9</v>
      </c>
      <c r="B343" s="102"/>
      <c r="C343" s="81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1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0" t="s">
        <v>134</v>
      </c>
    </row>
    <row r="344" spans="1:39" x14ac:dyDescent="0.25">
      <c r="A344" t="s">
        <v>9</v>
      </c>
      <c r="B344" s="102"/>
      <c r="C344" s="81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1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0" t="s">
        <v>134</v>
      </c>
    </row>
    <row r="345" spans="1:39" x14ac:dyDescent="0.25">
      <c r="A345" t="s">
        <v>9</v>
      </c>
      <c r="B345" s="102"/>
      <c r="C345" s="81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1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0" t="s">
        <v>134</v>
      </c>
    </row>
    <row r="346" spans="1:39" x14ac:dyDescent="0.25">
      <c r="A346" t="s">
        <v>9</v>
      </c>
      <c r="B346" s="102"/>
      <c r="C346" s="81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1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0" t="s">
        <v>134</v>
      </c>
    </row>
    <row r="347" spans="1:39" x14ac:dyDescent="0.25">
      <c r="A347" t="s">
        <v>9</v>
      </c>
      <c r="B347" s="102"/>
      <c r="C347" s="81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1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0" t="s">
        <v>134</v>
      </c>
    </row>
    <row r="348" spans="1:39" x14ac:dyDescent="0.25">
      <c r="A348" t="s">
        <v>9</v>
      </c>
      <c r="B348" s="102"/>
      <c r="C348" s="81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1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0" t="s">
        <v>134</v>
      </c>
    </row>
    <row r="349" spans="1:39" x14ac:dyDescent="0.25">
      <c r="A349" t="s">
        <v>9</v>
      </c>
      <c r="B349" s="102"/>
      <c r="C349" s="81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1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0" t="s">
        <v>134</v>
      </c>
    </row>
    <row r="350" spans="1:39" x14ac:dyDescent="0.25">
      <c r="A350" t="s">
        <v>9</v>
      </c>
      <c r="B350" s="102"/>
      <c r="C350" s="81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1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0" t="s">
        <v>134</v>
      </c>
    </row>
    <row r="351" spans="1:39" x14ac:dyDescent="0.25">
      <c r="A351" t="s">
        <v>9</v>
      </c>
      <c r="B351" s="102"/>
      <c r="C351" s="81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1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0" t="s">
        <v>134</v>
      </c>
    </row>
    <row r="352" spans="1:39" x14ac:dyDescent="0.25">
      <c r="A352" t="s">
        <v>9</v>
      </c>
      <c r="B352" s="102"/>
      <c r="C352" s="81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1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0" t="s">
        <v>134</v>
      </c>
    </row>
    <row r="353" spans="1:39" x14ac:dyDescent="0.25">
      <c r="A353" t="s">
        <v>9</v>
      </c>
      <c r="B353" s="102"/>
      <c r="C353" s="81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1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0" t="s">
        <v>134</v>
      </c>
    </row>
    <row r="354" spans="1:39" x14ac:dyDescent="0.25">
      <c r="A354" t="s">
        <v>9</v>
      </c>
      <c r="B354" s="102"/>
      <c r="C354" s="81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1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0" t="s">
        <v>134</v>
      </c>
    </row>
    <row r="355" spans="1:39" x14ac:dyDescent="0.25">
      <c r="A355" t="s">
        <v>9</v>
      </c>
      <c r="B355" s="102"/>
      <c r="C355" s="81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1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0" t="s">
        <v>134</v>
      </c>
    </row>
    <row r="356" spans="1:39" x14ac:dyDescent="0.25">
      <c r="A356" t="s">
        <v>9</v>
      </c>
      <c r="B356" s="102"/>
      <c r="C356" s="81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1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0" t="s">
        <v>134</v>
      </c>
    </row>
    <row r="357" spans="1:39" x14ac:dyDescent="0.25">
      <c r="A357" t="s">
        <v>9</v>
      </c>
      <c r="B357" s="102"/>
      <c r="C357" s="81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1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0" t="s">
        <v>134</v>
      </c>
    </row>
    <row r="358" spans="1:39" x14ac:dyDescent="0.25">
      <c r="A358" t="s">
        <v>9</v>
      </c>
      <c r="B358" s="102"/>
      <c r="C358" s="81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1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0" t="s">
        <v>134</v>
      </c>
    </row>
    <row r="359" spans="1:39" x14ac:dyDescent="0.25">
      <c r="A359" t="s">
        <v>9</v>
      </c>
      <c r="B359" s="102"/>
      <c r="C359" s="81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1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0" t="s">
        <v>134</v>
      </c>
    </row>
    <row r="360" spans="1:39" x14ac:dyDescent="0.25">
      <c r="A360" t="s">
        <v>9</v>
      </c>
      <c r="B360" s="102"/>
      <c r="C360" s="81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1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0" t="s">
        <v>134</v>
      </c>
    </row>
    <row r="361" spans="1:39" x14ac:dyDescent="0.25">
      <c r="A361" t="s">
        <v>9</v>
      </c>
      <c r="B361" s="102"/>
      <c r="C361" s="81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1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0" t="s">
        <v>134</v>
      </c>
    </row>
    <row r="362" spans="1:39" x14ac:dyDescent="0.25">
      <c r="A362" t="s">
        <v>9</v>
      </c>
      <c r="B362" s="102"/>
      <c r="C362" s="81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1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0" t="s">
        <v>134</v>
      </c>
    </row>
    <row r="363" spans="1:39" x14ac:dyDescent="0.25">
      <c r="A363" t="s">
        <v>9</v>
      </c>
      <c r="B363" s="102"/>
      <c r="C363" s="81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1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0" t="s">
        <v>134</v>
      </c>
    </row>
    <row r="364" spans="1:39" x14ac:dyDescent="0.25">
      <c r="A364" t="s">
        <v>9</v>
      </c>
      <c r="B364" s="102"/>
      <c r="C364" s="81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1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0" t="s">
        <v>134</v>
      </c>
    </row>
    <row r="365" spans="1:39" x14ac:dyDescent="0.25">
      <c r="A365" t="s">
        <v>9</v>
      </c>
      <c r="B365" s="102"/>
      <c r="C365" s="81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1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0" t="s">
        <v>134</v>
      </c>
    </row>
    <row r="366" spans="1:39" x14ac:dyDescent="0.25">
      <c r="A366" t="s">
        <v>9</v>
      </c>
      <c r="B366" s="102"/>
      <c r="C366" s="81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1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0" t="s">
        <v>134</v>
      </c>
    </row>
    <row r="367" spans="1:39" x14ac:dyDescent="0.25">
      <c r="A367" t="s">
        <v>9</v>
      </c>
      <c r="B367" s="102"/>
      <c r="C367" s="81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1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0" t="s">
        <v>134</v>
      </c>
    </row>
    <row r="368" spans="1:39" x14ac:dyDescent="0.25">
      <c r="A368" t="s">
        <v>9</v>
      </c>
      <c r="B368" s="102"/>
      <c r="C368" s="81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1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0" t="s">
        <v>134</v>
      </c>
    </row>
    <row r="369" spans="1:41" x14ac:dyDescent="0.25">
      <c r="A369" t="s">
        <v>9</v>
      </c>
      <c r="B369" s="102"/>
      <c r="C369" s="81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1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0" t="s">
        <v>134</v>
      </c>
    </row>
    <row r="370" spans="1:41" x14ac:dyDescent="0.25">
      <c r="A370" t="s">
        <v>9</v>
      </c>
      <c r="B370" s="102"/>
      <c r="C370" s="81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1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0" t="s">
        <v>134</v>
      </c>
    </row>
    <row r="371" spans="1:41" x14ac:dyDescent="0.25">
      <c r="A371" t="s">
        <v>9</v>
      </c>
      <c r="B371" s="102"/>
      <c r="C371" s="81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1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0" t="s">
        <v>134</v>
      </c>
    </row>
    <row r="372" spans="1:41" x14ac:dyDescent="0.25">
      <c r="A372" t="s">
        <v>9</v>
      </c>
      <c r="B372" s="102"/>
      <c r="C372" s="81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1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0" t="s">
        <v>134</v>
      </c>
    </row>
    <row r="373" spans="1:41" x14ac:dyDescent="0.25">
      <c r="A373" t="s">
        <v>187</v>
      </c>
      <c r="B373" s="102" t="s">
        <v>201</v>
      </c>
      <c r="C373" s="81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1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99" t="s">
        <v>133</v>
      </c>
    </row>
    <row r="374" spans="1:41" x14ac:dyDescent="0.25">
      <c r="A374" t="s">
        <v>187</v>
      </c>
      <c r="B374" s="102" t="s">
        <v>201</v>
      </c>
      <c r="C374" s="81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1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99" t="s">
        <v>133</v>
      </c>
    </row>
    <row r="375" spans="1:41" ht="15.75" thickBot="1" x14ac:dyDescent="0.3">
      <c r="A375" s="23" t="s">
        <v>22</v>
      </c>
      <c r="C375" s="3"/>
      <c r="F375" s="13">
        <f>SUBTOTAL(109,CT[Container Qty])</f>
        <v>1839.58</v>
      </c>
      <c r="G375" s="1"/>
      <c r="H375" s="31" t="s">
        <v>172</v>
      </c>
      <c r="I375" s="98">
        <f>CT[[#Totals],[PC Qty (MT)]]-CT[[#Totals],[Container Qty]]</f>
        <v>7451.5400000000009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576062.51402400027</v>
      </c>
      <c r="R375" s="16">
        <f>SUBTOTAL(109,CT[Supplier Price Diff. (VAT incl.)])</f>
        <v>22942.358207999987</v>
      </c>
      <c r="S375" s="16"/>
      <c r="T375" s="103"/>
      <c r="U375" s="16">
        <f>SUBTOTAL(101,CT[Freight Charges])</f>
        <v>8.3267768048165429</v>
      </c>
      <c r="V375" s="16">
        <f>SUBTOTAL(101,CT[Inspection Cost/MT])</f>
        <v>4.7883746806226606</v>
      </c>
      <c r="W375" s="16">
        <f>SUBTOTAL(101,CT[DHL Charges PMT])</f>
        <v>0.22374620912652463</v>
      </c>
      <c r="X375" s="16">
        <f>SUBTOTAL(101,CT[Cost Per MT])</f>
        <v>2.7227452686841103</v>
      </c>
      <c r="Y375" s="16">
        <f>SUBTOTAL(101,CT[Margin/MT])</f>
        <v>225.37556279583202</v>
      </c>
      <c r="Z375" s="16">
        <f>SUBTOTAL(109,CT[Gross Margin])</f>
        <v>41457.809000999994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642248.45000000007</v>
      </c>
      <c r="AI375" s="16">
        <f>SUBTOTAL(109,CT[Customer Price Difference])</f>
        <v>-17987.549999999996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31944.682540453068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08" t="s">
        <v>198</v>
      </c>
      <c r="P377" s="108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2"/>
      <c r="AI377" s="23"/>
    </row>
    <row r="378" spans="1:41" x14ac:dyDescent="0.25">
      <c r="L378" s="38"/>
      <c r="N378" s="30" t="s">
        <v>120</v>
      </c>
      <c r="O378" s="84">
        <f>CT[[#Totals],[Supplier Prov. Price]]*0.2</f>
        <v>203716.76917280001</v>
      </c>
      <c r="P378" s="84">
        <f>CT[[#Totals],[Supplier Final Price]]*0.2</f>
        <v>115212.50280480005</v>
      </c>
      <c r="Q378" s="40" cm="1">
        <f t="array" ref="Q378">O378-_xlfn.ANCHORARRAY(P378)</f>
        <v>88504.266367999953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5">
        <f>CT[[#Totals],[Supplier Prov. Price]]+O378</f>
        <v>1222300.6150368</v>
      </c>
      <c r="P379" s="85">
        <f>CT[[#Totals],[Supplier Final Price]]+P378</f>
        <v>691275.01682880032</v>
      </c>
      <c r="Q379" s="40" cm="1">
        <f t="array" ref="Q379">O379-_xlfn.ANCHORARRAY(P379)</f>
        <v>531025.59820799972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4">
        <f>CT[[#Totals],[Supplier Prov. Price]]/M380</f>
        <v>784854.25016489439</v>
      </c>
      <c r="P380" s="84">
        <f>CT[[#Totals],[Supplier Final Price]]/M380</f>
        <v>443876.18587147497</v>
      </c>
      <c r="Q380" s="7"/>
      <c r="R380" s="7"/>
      <c r="V380" s="24"/>
      <c r="X380" s="24"/>
      <c r="Y380" s="7"/>
      <c r="Z380" s="12"/>
      <c r="AC380" s="31" t="s">
        <v>105</v>
      </c>
      <c r="AD380" s="84" t="e">
        <f>CT[[#Totals],[Customer  Prov. Price]]/$Z$380</f>
        <v>#DIV/0!</v>
      </c>
      <c r="AE380" s="84" t="e">
        <f>CT[[#Totals],[Customer Final Price]]/$Z$380</f>
        <v>#DIV/0!</v>
      </c>
    </row>
    <row r="381" spans="1:41" x14ac:dyDescent="0.25">
      <c r="N381" s="31" t="s">
        <v>107</v>
      </c>
      <c r="O381" s="84">
        <f>O380*0.2</f>
        <v>156970.85003297889</v>
      </c>
      <c r="P381" s="84">
        <f>P380*0.2</f>
        <v>88775.237174295005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6">
        <f>O380+O381</f>
        <v>941825.10019787331</v>
      </c>
      <c r="P382" s="86">
        <f>P380+P381</f>
        <v>532651.42304577003</v>
      </c>
      <c r="Q382" s="7"/>
      <c r="R382" s="7"/>
      <c r="S382" s="36"/>
      <c r="T382" s="7"/>
      <c r="U382" s="82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7" t="s">
        <v>105</v>
      </c>
      <c r="O384" s="83">
        <f>CT[[#Totals],[Customer Final Price]]/M380</f>
        <v>494874.74957620591</v>
      </c>
      <c r="P384" s="83">
        <f>CT[[#Totals],[Supplier Final Price]]/M380</f>
        <v>443876.18587147497</v>
      </c>
      <c r="Q384" s="88">
        <f>O384-P384-(CT[[#Totals],[Cost Per MT]]*CT[[#Totals],[Container Qty]])/1.2978</f>
        <v>47139.180331818388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70" priority="42"/>
  </conditionalFormatting>
  <conditionalFormatting sqref="Q376:Q377">
    <cfRule type="containsText" dxfId="69" priority="5" operator="containsText" text="Credit Note">
      <formula>NOT(ISERROR(SEARCH("Credit Note",Q376)))</formula>
    </cfRule>
    <cfRule type="containsText" dxfId="68" priority="6" operator="containsText" text="Debit Note">
      <formula>NOT(ISERROR(SEARCH("Debit Note",Q376)))</formula>
    </cfRule>
  </conditionalFormatting>
  <conditionalFormatting sqref="AI376:AI377">
    <cfRule type="containsText" dxfId="67" priority="2" operator="containsText" text="Credit Note">
      <formula>NOT(ISERROR(SEARCH("Credit Note",AI376)))</formula>
    </cfRule>
    <cfRule type="containsText" dxfId="66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09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09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09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09">
        <v>99.41</v>
      </c>
      <c r="D9" s="39">
        <v>-400.59000000000003</v>
      </c>
      <c r="E9" s="7">
        <v>30021.82</v>
      </c>
      <c r="F9" s="7">
        <v>33302.35</v>
      </c>
      <c r="G9" s="7">
        <v>2910.627500000001</v>
      </c>
    </row>
    <row r="10" spans="1:16" x14ac:dyDescent="0.25">
      <c r="A10" s="10" t="s">
        <v>127</v>
      </c>
      <c r="B10" s="38">
        <v>6000</v>
      </c>
      <c r="C10" s="109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09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09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09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09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09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0" t="s">
        <v>129</v>
      </c>
      <c r="I15" s="61" t="s">
        <v>131</v>
      </c>
      <c r="J15" s="62" t="s">
        <v>60</v>
      </c>
      <c r="K15" s="62" t="s">
        <v>146</v>
      </c>
      <c r="L15" s="61" t="s">
        <v>132</v>
      </c>
      <c r="M15" s="61" t="s">
        <v>147</v>
      </c>
      <c r="N15" s="61" t="s">
        <v>148</v>
      </c>
      <c r="O15" s="63" t="s">
        <v>149</v>
      </c>
      <c r="P15" s="60" t="s">
        <v>16</v>
      </c>
    </row>
    <row r="16" spans="1:16" x14ac:dyDescent="0.25">
      <c r="A16" s="51" t="s">
        <v>186</v>
      </c>
      <c r="B16" s="38">
        <v>25.86</v>
      </c>
      <c r="C16" s="109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4">
        <v>705119</v>
      </c>
      <c r="I16" s="64" t="s">
        <v>133</v>
      </c>
      <c r="J16" s="65">
        <f>SUMIFS(CT[SC Qty (MT)],CT[SC'#],Pivot!H16)</f>
        <v>240</v>
      </c>
      <c r="K16" s="65">
        <f>SUMIFS(CT[Container Qty],CT[SC'#],Pivot!H16)</f>
        <v>244.26000000000002</v>
      </c>
      <c r="L16" s="66">
        <f>_xlfn.XLOOKUP(H16,CT[SC'#],CT[Sales Rate/MT (USD)])</f>
        <v>360</v>
      </c>
      <c r="M16" s="67">
        <f>J16*L16</f>
        <v>86400</v>
      </c>
      <c r="N16" s="67">
        <f>K16*L16</f>
        <v>87933.6</v>
      </c>
      <c r="O16" s="68">
        <f>IF(N16&lt;&gt;0,N16-M16,-M16)</f>
        <v>1533.6000000000058</v>
      </c>
      <c r="P16" s="64" t="s">
        <v>169</v>
      </c>
    </row>
    <row r="17" spans="1:16" x14ac:dyDescent="0.25">
      <c r="A17" s="43" t="s">
        <v>20</v>
      </c>
      <c r="B17" s="44">
        <v>9291.1200000000008</v>
      </c>
      <c r="C17" s="110">
        <v>1839.58</v>
      </c>
      <c r="D17" s="45">
        <v>-7451.5400000000009</v>
      </c>
      <c r="E17" s="35">
        <v>576062.51402400003</v>
      </c>
      <c r="F17" s="35">
        <v>642248.44999999995</v>
      </c>
      <c r="G17" s="35">
        <v>41457.809000999994</v>
      </c>
      <c r="H17" s="69"/>
      <c r="I17" s="70"/>
      <c r="J17" s="71"/>
      <c r="K17" s="71"/>
      <c r="L17" s="72"/>
      <c r="M17" s="73"/>
      <c r="N17" s="73"/>
      <c r="O17" s="74"/>
      <c r="P17" s="75"/>
    </row>
    <row r="18" spans="1:16" x14ac:dyDescent="0.25">
      <c r="H18" s="64">
        <v>705120</v>
      </c>
      <c r="I18" s="64" t="s">
        <v>133</v>
      </c>
      <c r="J18" s="65">
        <f>SUMIFS(CT[SC Qty (MT)],CT[SC'#],Pivot!H18)</f>
        <v>1000</v>
      </c>
      <c r="K18" s="65">
        <f>SUMIFS(CT[Container Qty],CT[SC'#],Pivot!H18)</f>
        <v>963.17000000000007</v>
      </c>
      <c r="L18" s="66">
        <f>_xlfn.XLOOKUP(H18,CT[SC'#],CT[Sales Rate/MT (USD)])</f>
        <v>350</v>
      </c>
      <c r="M18" s="67">
        <f>J18*L18</f>
        <v>350000</v>
      </c>
      <c r="N18" s="67">
        <f>K18*L18</f>
        <v>337109.5</v>
      </c>
      <c r="O18" s="68">
        <f>IF(N18&lt;&gt;0,N18-M18,-M18)</f>
        <v>-12890.5</v>
      </c>
      <c r="P18" s="64" t="s">
        <v>168</v>
      </c>
    </row>
    <row r="19" spans="1:16" x14ac:dyDescent="0.25">
      <c r="H19" s="69"/>
      <c r="I19" s="70"/>
      <c r="J19" s="71"/>
      <c r="K19" s="71"/>
      <c r="L19" s="72"/>
      <c r="M19" s="73"/>
      <c r="N19" s="73"/>
      <c r="O19" s="74"/>
      <c r="P19" s="75"/>
    </row>
    <row r="20" spans="1:16" x14ac:dyDescent="0.25">
      <c r="H20" s="64" t="s">
        <v>81</v>
      </c>
      <c r="I20" s="64" t="s">
        <v>133</v>
      </c>
      <c r="J20" s="65">
        <f>SUMIFS(CT[SC Qty (MT)],CT[SC'#],Pivot!H20)</f>
        <v>500</v>
      </c>
      <c r="K20" s="65">
        <f>SUMIFS(CT[Container Qty],CT[SC'#],Pivot!H20)</f>
        <v>481.62000000000006</v>
      </c>
      <c r="L20" s="66">
        <f>_xlfn.XLOOKUP(H20,CT[SC'#],CT[Sales Rate/MT (USD)])</f>
        <v>350</v>
      </c>
      <c r="M20" s="67">
        <f>J20*L20</f>
        <v>175000</v>
      </c>
      <c r="N20" s="67">
        <f>K20*L20</f>
        <v>168567.00000000003</v>
      </c>
      <c r="O20" s="68">
        <f>IF(N20&lt;&gt;0,N20-M20,-M20)</f>
        <v>-6432.9999999999709</v>
      </c>
      <c r="P20" s="64" t="s">
        <v>170</v>
      </c>
    </row>
    <row r="21" spans="1:16" ht="15.75" thickBot="1" x14ac:dyDescent="0.3">
      <c r="H21" s="69"/>
      <c r="I21" s="70"/>
      <c r="J21" s="71"/>
      <c r="K21" s="71"/>
      <c r="L21" s="72"/>
      <c r="M21" s="73"/>
      <c r="N21" s="73"/>
      <c r="O21" s="97">
        <f>SUM(O16:O20)</f>
        <v>-17789.899999999965</v>
      </c>
      <c r="P21" s="75"/>
    </row>
    <row r="22" spans="1:16" ht="15.75" thickTop="1" x14ac:dyDescent="0.25">
      <c r="H22" s="64" t="s">
        <v>125</v>
      </c>
      <c r="I22" s="64" t="s">
        <v>175</v>
      </c>
      <c r="J22" s="65" t="s">
        <v>175</v>
      </c>
      <c r="K22" s="65" t="s">
        <v>175</v>
      </c>
      <c r="L22" s="66" t="s">
        <v>175</v>
      </c>
      <c r="M22" s="67" t="s">
        <v>175</v>
      </c>
      <c r="N22" s="67" t="s">
        <v>175</v>
      </c>
      <c r="O22" s="96" t="s">
        <v>175</v>
      </c>
      <c r="P22" s="64"/>
    </row>
    <row r="23" spans="1:16" x14ac:dyDescent="0.25">
      <c r="H23" s="69"/>
      <c r="I23" s="70"/>
      <c r="J23" s="71"/>
      <c r="K23" s="71"/>
      <c r="L23" s="72"/>
      <c r="M23" s="73"/>
      <c r="N23" s="73"/>
      <c r="O23" s="74"/>
      <c r="P23" s="75"/>
    </row>
    <row r="24" spans="1:16" x14ac:dyDescent="0.25">
      <c r="H24" s="64" t="s">
        <v>158</v>
      </c>
      <c r="I24" s="64" t="s">
        <v>134</v>
      </c>
      <c r="J24" s="65">
        <v>7462.686567164179</v>
      </c>
      <c r="K24" s="65">
        <f>SUMIFS(CT[Container Qty],CT[SC'#],Pivot!H24)</f>
        <v>99.41</v>
      </c>
      <c r="L24" s="66">
        <f>_xlfn.XLOOKUP(H24,CT[SC'#],CT[Sales Rate/MT (USD)])</f>
        <v>335</v>
      </c>
      <c r="M24" s="67">
        <f>J24*L24</f>
        <v>2500000</v>
      </c>
      <c r="N24" s="67">
        <f>K24*L24</f>
        <v>33302.35</v>
      </c>
      <c r="O24" s="68">
        <f>IF(N24&lt;&gt;0,N24-M24,-M24)</f>
        <v>-2466697.65</v>
      </c>
      <c r="P24" s="64"/>
    </row>
    <row r="25" spans="1:16" ht="15.75" thickBot="1" x14ac:dyDescent="0.3">
      <c r="H25" s="76"/>
      <c r="I25" s="76"/>
      <c r="J25" s="77"/>
      <c r="K25" s="77"/>
      <c r="L25" s="78"/>
      <c r="M25" s="79"/>
      <c r="N25" s="79"/>
      <c r="O25" s="59">
        <f>SUM(O21:O24)</f>
        <v>-2484487.5499999998</v>
      </c>
      <c r="P25" s="80"/>
    </row>
    <row r="26" spans="1:16" ht="15.75" thickTop="1" x14ac:dyDescent="0.25"/>
    <row r="27" spans="1:16" ht="60" x14ac:dyDescent="0.25">
      <c r="H27" s="91" t="s">
        <v>123</v>
      </c>
      <c r="I27" s="91" t="s">
        <v>131</v>
      </c>
      <c r="J27" s="91" t="s">
        <v>116</v>
      </c>
      <c r="K27" s="91" t="s">
        <v>130</v>
      </c>
      <c r="L27" s="91" t="s">
        <v>122</v>
      </c>
    </row>
    <row r="28" spans="1:16" x14ac:dyDescent="0.25">
      <c r="H28" s="55">
        <v>705119</v>
      </c>
      <c r="I28" s="95" t="s">
        <v>133</v>
      </c>
      <c r="J28" s="92">
        <f>GETPIVOTDATA(" PC Qty (MT)",$A$3,"PC#",705119)</f>
        <v>240</v>
      </c>
      <c r="K28" s="93">
        <f>GETPIVOTDATA(" Container Qty (MT)",$A$3,"PC#",705119)</f>
        <v>244.26000000000002</v>
      </c>
      <c r="L28" s="94">
        <f t="shared" ref="L28:L32" si="0">IF(I28="Completed",K28-J28,0)</f>
        <v>4.2600000000000193</v>
      </c>
    </row>
    <row r="29" spans="1:16" x14ac:dyDescent="0.25">
      <c r="H29" s="55" t="s">
        <v>12</v>
      </c>
      <c r="I29" s="95" t="s">
        <v>133</v>
      </c>
      <c r="J29" s="92">
        <f>GETPIVOTDATA(" PC Qty (MT)",$A$3,"PC#","PC 02")</f>
        <v>500</v>
      </c>
      <c r="K29" s="93">
        <f>GETPIVOTDATA(" Container Qty (MT)",$A$3,"PC#","PC 02")</f>
        <v>480.73</v>
      </c>
      <c r="L29" s="94">
        <f t="shared" si="0"/>
        <v>-19.269999999999982</v>
      </c>
    </row>
    <row r="30" spans="1:16" x14ac:dyDescent="0.25">
      <c r="H30" s="55" t="s">
        <v>13</v>
      </c>
      <c r="I30" s="95" t="s">
        <v>133</v>
      </c>
      <c r="J30" s="92">
        <f>GETPIVOTDATA(" PC Qty (MT)",$A$3,"PC#","PC 03")</f>
        <v>500</v>
      </c>
      <c r="K30" s="93">
        <f>GETPIVOTDATA(" Container Qty (MT)",$A$3,"PC#","PC 03")</f>
        <v>482.43999999999994</v>
      </c>
      <c r="L30" s="94">
        <f t="shared" si="0"/>
        <v>-17.560000000000059</v>
      </c>
    </row>
    <row r="31" spans="1:16" x14ac:dyDescent="0.25">
      <c r="H31" s="55" t="s">
        <v>82</v>
      </c>
      <c r="I31" s="95" t="s">
        <v>133</v>
      </c>
      <c r="J31" s="92">
        <f>GETPIVOTDATA(" PC Qty (MT)",$A$3,"PC#","PC-2025-000004")</f>
        <v>500</v>
      </c>
      <c r="K31" s="93">
        <f>GETPIVOTDATA(" Container Qty (MT)",$A$3,"PC#","PC-2025-000004")</f>
        <v>481.62000000000006</v>
      </c>
      <c r="L31" s="94">
        <f t="shared" si="0"/>
        <v>-18.379999999999939</v>
      </c>
    </row>
    <row r="32" spans="1:16" x14ac:dyDescent="0.25">
      <c r="H32" s="55" t="s">
        <v>124</v>
      </c>
      <c r="I32" s="95" t="s">
        <v>134</v>
      </c>
      <c r="J32" s="92">
        <f>GETPIVOTDATA(" PC Qty (MT)",$A$3,"PC#","PC-2025-000005")</f>
        <v>500</v>
      </c>
      <c r="K32" s="93">
        <f>GETPIVOTDATA(" Container Qty (MT)",$A$3,"PC#","PC-2025-000005")</f>
        <v>99.41</v>
      </c>
      <c r="L32" s="94">
        <f t="shared" si="0"/>
        <v>0</v>
      </c>
    </row>
    <row r="33" spans="8:12" x14ac:dyDescent="0.25">
      <c r="H33" s="55" t="s">
        <v>173</v>
      </c>
      <c r="I33" s="95" t="s">
        <v>134</v>
      </c>
      <c r="J33" s="92">
        <v>500</v>
      </c>
      <c r="K33" s="93">
        <f>GETPIVOTDATA(" Container Qty (MT)",$A$3,"PC#","PC-2025-000005")</f>
        <v>99.41</v>
      </c>
      <c r="L33" s="94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65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21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5" t="s">
        <v>123</v>
      </c>
      <c r="B1" s="42" t="s">
        <v>119</v>
      </c>
      <c r="C1" s="42" t="s">
        <v>192</v>
      </c>
      <c r="E1" s="104" t="s">
        <v>123</v>
      </c>
      <c r="F1" s="104" t="s">
        <v>119</v>
      </c>
    </row>
    <row r="2" spans="1:6" x14ac:dyDescent="0.25">
      <c r="A2" s="10">
        <v>705119</v>
      </c>
      <c r="B2" s="7">
        <v>4468.9051619999946</v>
      </c>
      <c r="C2" s="109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09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09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09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2910.627500000001</v>
      </c>
      <c r="C6" s="109">
        <v>99.41</v>
      </c>
      <c r="E6" s="55"/>
      <c r="F6" s="56"/>
    </row>
    <row r="7" spans="1:6" x14ac:dyDescent="0.25">
      <c r="A7" s="51" t="s">
        <v>127</v>
      </c>
      <c r="B7" s="7">
        <v>0</v>
      </c>
      <c r="C7" s="109"/>
      <c r="E7" s="55"/>
      <c r="F7" s="56"/>
    </row>
    <row r="8" spans="1:6" x14ac:dyDescent="0.25">
      <c r="A8" s="51" t="s">
        <v>202</v>
      </c>
      <c r="B8" s="7">
        <v>693.62001282567178</v>
      </c>
      <c r="C8" s="109">
        <v>23.69</v>
      </c>
      <c r="E8" s="55"/>
      <c r="F8" s="56"/>
    </row>
    <row r="9" spans="1:6" x14ac:dyDescent="0.25">
      <c r="A9" s="51" t="s">
        <v>204</v>
      </c>
      <c r="B9" s="7">
        <v>748.95736294135418</v>
      </c>
      <c r="C9" s="109">
        <v>25.58</v>
      </c>
      <c r="E9" s="55"/>
      <c r="F9" s="56"/>
    </row>
    <row r="10" spans="1:6" x14ac:dyDescent="0.25">
      <c r="A10" s="51" t="s">
        <v>206</v>
      </c>
      <c r="B10" s="7">
        <v>775.89406246856481</v>
      </c>
      <c r="C10" s="109">
        <v>26.5</v>
      </c>
      <c r="E10" s="55"/>
      <c r="F10" s="56"/>
    </row>
    <row r="11" spans="1:6" x14ac:dyDescent="0.25">
      <c r="A11" s="51" t="s">
        <v>205</v>
      </c>
      <c r="B11" s="7">
        <v>692.15606176441031</v>
      </c>
      <c r="C11" s="109">
        <v>23.64</v>
      </c>
      <c r="E11" s="55"/>
      <c r="F11" s="56"/>
    </row>
    <row r="12" spans="1:6" x14ac:dyDescent="0.25">
      <c r="A12" s="10" t="s">
        <v>127</v>
      </c>
      <c r="B12" s="7">
        <v>0</v>
      </c>
      <c r="C12" s="109"/>
      <c r="E12" s="55"/>
      <c r="F12" s="56"/>
    </row>
    <row r="13" spans="1:6" x14ac:dyDescent="0.25">
      <c r="A13" s="51" t="s">
        <v>127</v>
      </c>
      <c r="B13" s="7">
        <v>0</v>
      </c>
      <c r="C13" s="109"/>
      <c r="E13" s="55"/>
      <c r="F13" s="56"/>
    </row>
    <row r="14" spans="1:6" x14ac:dyDescent="0.25">
      <c r="A14" s="10" t="s">
        <v>173</v>
      </c>
      <c r="B14" s="7">
        <v>0</v>
      </c>
      <c r="C14" s="109"/>
      <c r="E14" s="55"/>
      <c r="F14" s="56"/>
    </row>
    <row r="15" spans="1:6" x14ac:dyDescent="0.25">
      <c r="A15" s="51" t="s">
        <v>127</v>
      </c>
      <c r="B15" s="7">
        <v>0</v>
      </c>
      <c r="C15" s="109"/>
      <c r="E15" s="55"/>
      <c r="F15" s="56"/>
    </row>
    <row r="16" spans="1:6" x14ac:dyDescent="0.25">
      <c r="A16" s="10" t="s">
        <v>189</v>
      </c>
      <c r="B16" s="7">
        <v>0</v>
      </c>
      <c r="C16" s="109"/>
      <c r="E16" s="55"/>
      <c r="F16" s="56"/>
    </row>
    <row r="17" spans="1:6" x14ac:dyDescent="0.25">
      <c r="A17" s="51" t="s">
        <v>127</v>
      </c>
      <c r="B17" s="7">
        <v>0</v>
      </c>
      <c r="C17" s="109"/>
      <c r="E17" s="55"/>
      <c r="F17" s="56"/>
    </row>
    <row r="18" spans="1:6" x14ac:dyDescent="0.25">
      <c r="A18" s="10" t="s">
        <v>201</v>
      </c>
      <c r="B18" s="7">
        <v>383.71532000000042</v>
      </c>
      <c r="C18" s="109">
        <v>51.120000000000005</v>
      </c>
      <c r="E18" s="55"/>
      <c r="F18" s="56"/>
    </row>
    <row r="19" spans="1:6" x14ac:dyDescent="0.25">
      <c r="A19" s="51" t="s">
        <v>185</v>
      </c>
      <c r="B19" s="7">
        <v>172.51660765258194</v>
      </c>
      <c r="C19" s="109">
        <v>25.26</v>
      </c>
    </row>
    <row r="20" spans="1:6" x14ac:dyDescent="0.25">
      <c r="A20" s="51" t="s">
        <v>186</v>
      </c>
      <c r="B20" s="7">
        <v>211.19871234741848</v>
      </c>
      <c r="C20" s="109">
        <v>25.86</v>
      </c>
    </row>
    <row r="21" spans="1:6" x14ac:dyDescent="0.25">
      <c r="A21" s="43" t="s">
        <v>20</v>
      </c>
      <c r="B21" s="35">
        <v>41457.809001000001</v>
      </c>
      <c r="C21" s="110">
        <v>1839.58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2025-10-07T14:40:59Z</dcterms:modified>
</cp:coreProperties>
</file>