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 Soares\Downloads\"/>
    </mc:Choice>
  </mc:AlternateContent>
  <xr:revisionPtr revIDLastSave="0" documentId="13_ncr:1_{C9BAF5E3-C09B-48D2-8912-519EEC050E16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owid-covid-data" sheetId="1" r:id="rId1"/>
    <sheet name="P1. Y1" sheetId="2" r:id="rId2"/>
    <sheet name="P1. Y2" sheetId="3" r:id="rId3"/>
    <sheet name="P2. Y1" sheetId="4" r:id="rId4"/>
  </sheets>
  <definedNames>
    <definedName name="_xlnm._FilterDatabase" localSheetId="0" hidden="1">'owid-covid-data'!$A$1:$I$44697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12" i="3" l="1"/>
  <c r="M313" i="3"/>
  <c r="M312" i="3"/>
  <c r="M303" i="3"/>
  <c r="M306" i="3" s="1"/>
  <c r="M249" i="3"/>
  <c r="M252" i="3" s="1"/>
  <c r="H313" i="3"/>
  <c r="H314" i="3"/>
  <c r="D320" i="3" s="1"/>
  <c r="D317" i="3"/>
  <c r="D265" i="3"/>
  <c r="D313" i="3"/>
  <c r="P258" i="3"/>
  <c r="M259" i="3"/>
  <c r="M258" i="3"/>
  <c r="D268" i="3"/>
  <c r="D270" i="3" s="1"/>
  <c r="H262" i="3"/>
  <c r="H261" i="3"/>
  <c r="D261" i="3"/>
  <c r="D212" i="3"/>
  <c r="D215" i="3" s="1"/>
  <c r="D217" i="3" s="1"/>
  <c r="P205" i="3"/>
  <c r="M206" i="3"/>
  <c r="M205" i="3"/>
  <c r="M196" i="3"/>
  <c r="M199" i="3" s="1"/>
  <c r="H209" i="3"/>
  <c r="H208" i="3"/>
  <c r="D208" i="3"/>
  <c r="P155" i="3"/>
  <c r="M156" i="3"/>
  <c r="M155" i="3"/>
  <c r="M146" i="3"/>
  <c r="M149" i="3" s="1"/>
  <c r="D166" i="3"/>
  <c r="D164" i="3"/>
  <c r="D161" i="3"/>
  <c r="H158" i="3"/>
  <c r="H157" i="3"/>
  <c r="D108" i="3"/>
  <c r="D157" i="3"/>
  <c r="M90" i="3"/>
  <c r="M35" i="3"/>
  <c r="M38" i="3" s="1"/>
  <c r="M93" i="3"/>
  <c r="D104" i="3"/>
  <c r="C124" i="3"/>
  <c r="F124" i="3" s="1"/>
  <c r="L89" i="2"/>
  <c r="H102" i="2"/>
  <c r="D106" i="2"/>
  <c r="D102" i="2"/>
  <c r="D50" i="3"/>
  <c r="O313" i="2"/>
  <c r="L314" i="2"/>
  <c r="L313" i="2"/>
  <c r="L304" i="2"/>
  <c r="L307" i="2" s="1"/>
  <c r="D325" i="2"/>
  <c r="D323" i="2"/>
  <c r="H317" i="2"/>
  <c r="H316" i="2"/>
  <c r="D320" i="2"/>
  <c r="D265" i="2"/>
  <c r="D268" i="2" s="1"/>
  <c r="D270" i="2" s="1"/>
  <c r="D316" i="2"/>
  <c r="O258" i="2"/>
  <c r="L259" i="2"/>
  <c r="L258" i="2"/>
  <c r="L249" i="2"/>
  <c r="L252" i="2" s="1"/>
  <c r="L195" i="2"/>
  <c r="L198" i="2" s="1"/>
  <c r="H262" i="2"/>
  <c r="H261" i="2"/>
  <c r="D261" i="2"/>
  <c r="O204" i="2"/>
  <c r="L205" i="2"/>
  <c r="L204" i="2"/>
  <c r="D218" i="2"/>
  <c r="D217" i="2"/>
  <c r="D215" i="2"/>
  <c r="H209" i="2"/>
  <c r="H208" i="2"/>
  <c r="D212" i="2"/>
  <c r="D208" i="2"/>
  <c r="O153" i="2"/>
  <c r="L154" i="2"/>
  <c r="L153" i="2"/>
  <c r="L144" i="2"/>
  <c r="L147" i="2" s="1"/>
  <c r="D154" i="2"/>
  <c r="D323" i="3" l="1"/>
  <c r="D322" i="3"/>
  <c r="D271" i="3"/>
  <c r="D218" i="3"/>
  <c r="D167" i="3"/>
  <c r="D271" i="2"/>
  <c r="D326" i="2" l="1"/>
  <c r="M150" i="4" l="1" a="1"/>
  <c r="M150" i="4" s="1"/>
  <c r="C149" i="4" a="1"/>
  <c r="C149" i="4" s="1"/>
  <c r="AG123" i="1" l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2" i="1"/>
  <c r="C281" i="3"/>
  <c r="F281" i="3" s="1"/>
  <c r="AF123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2" i="1"/>
  <c r="C228" i="3"/>
  <c r="C175" i="3"/>
  <c r="F175" i="3" s="1"/>
  <c r="AE123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2" i="1"/>
  <c r="AD12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2" i="1"/>
  <c r="AC12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2" i="1"/>
  <c r="C68" i="3"/>
  <c r="F68" i="3" s="1"/>
  <c r="AB12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2" i="1"/>
  <c r="C15" i="3"/>
  <c r="F15" i="3" s="1"/>
  <c r="C6" i="3"/>
  <c r="C4" i="3"/>
  <c r="Z12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2" i="1"/>
  <c r="C283" i="2"/>
  <c r="F283" i="2" s="1"/>
  <c r="Y12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2" i="1"/>
  <c r="C228" i="2"/>
  <c r="F228" i="2" s="1"/>
  <c r="C175" i="2"/>
  <c r="F175" i="2" s="1"/>
  <c r="X123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2" i="1"/>
  <c r="F122" i="2"/>
  <c r="W12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2" i="1"/>
  <c r="V121" i="1"/>
  <c r="U121" i="1"/>
  <c r="C122" i="2"/>
  <c r="V12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3" i="1"/>
  <c r="V4" i="1"/>
  <c r="V2" i="1"/>
  <c r="U6" i="1"/>
  <c r="U7" i="1"/>
  <c r="U8" i="1"/>
  <c r="U9" i="1"/>
  <c r="U123" i="1" s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3" i="1"/>
  <c r="U4" i="1"/>
  <c r="U5" i="1"/>
  <c r="U2" i="1"/>
  <c r="C67" i="2"/>
  <c r="F67" i="2" s="1"/>
  <c r="R123" i="1"/>
  <c r="Q123" i="1"/>
  <c r="P123" i="1"/>
  <c r="O123" i="1"/>
  <c r="N123" i="1"/>
  <c r="M123" i="1"/>
  <c r="L123" i="1"/>
  <c r="K123" i="1"/>
  <c r="R2" i="1" a="1"/>
  <c r="R2" i="1" s="1"/>
  <c r="Q2" i="1" a="1"/>
  <c r="Q2" i="1" s="1"/>
  <c r="P2" i="1" a="1"/>
  <c r="P2" i="1" s="1"/>
  <c r="O2" i="1" a="1"/>
  <c r="O2" i="1" s="1"/>
  <c r="N2" i="1" a="1"/>
  <c r="N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3" i="1"/>
  <c r="K4" i="1"/>
  <c r="K2" i="1"/>
  <c r="E284" i="3" l="1"/>
  <c r="E127" i="3"/>
  <c r="C8" i="3"/>
  <c r="I7" i="3"/>
  <c r="E178" i="3"/>
  <c r="E72" i="3"/>
  <c r="F181" i="3"/>
  <c r="F22" i="3"/>
  <c r="F287" i="3"/>
  <c r="F234" i="3"/>
  <c r="E18" i="3"/>
  <c r="D54" i="3" s="1"/>
  <c r="F76" i="3"/>
  <c r="F130" i="3"/>
  <c r="F228" i="3"/>
  <c r="E231" i="3" s="1"/>
  <c r="E240" i="3" s="1"/>
  <c r="F3" i="2"/>
  <c r="D5" i="2"/>
  <c r="C14" i="2"/>
  <c r="F14" i="2" s="1"/>
  <c r="M100" i="3" l="1"/>
  <c r="C194" i="3"/>
  <c r="C196" i="3" s="1"/>
  <c r="C247" i="3"/>
  <c r="C249" i="3" s="1"/>
  <c r="M45" i="3"/>
  <c r="E187" i="3"/>
  <c r="C36" i="3"/>
  <c r="E29" i="3"/>
  <c r="C143" i="3"/>
  <c r="E136" i="3"/>
  <c r="C300" i="3"/>
  <c r="E293" i="3"/>
  <c r="E83" i="3"/>
  <c r="C90" i="3"/>
  <c r="L92" i="2"/>
  <c r="L35" i="2"/>
  <c r="L38" i="2" s="1"/>
  <c r="D7" i="2"/>
  <c r="E71" i="2"/>
  <c r="D44" i="2"/>
  <c r="D48" i="2" s="1"/>
  <c r="F234" i="2"/>
  <c r="E286" i="2"/>
  <c r="E231" i="2"/>
  <c r="F289" i="2"/>
  <c r="F181" i="2"/>
  <c r="F128" i="2"/>
  <c r="E178" i="2"/>
  <c r="E125" i="2"/>
  <c r="D158" i="2" s="1"/>
  <c r="H198" i="3"/>
  <c r="G198" i="3"/>
  <c r="H94" i="3"/>
  <c r="I6" i="2"/>
  <c r="F21" i="2"/>
  <c r="E17" i="2"/>
  <c r="F75" i="2"/>
  <c r="C92" i="3" l="1"/>
  <c r="G94" i="3" s="1"/>
  <c r="H104" i="3"/>
  <c r="H105" i="3" s="1"/>
  <c r="C38" i="3"/>
  <c r="G40" i="3" s="1"/>
  <c r="H50" i="3"/>
  <c r="H51" i="3" s="1"/>
  <c r="C145" i="3"/>
  <c r="G147" i="3" s="1"/>
  <c r="H147" i="3"/>
  <c r="C302" i="3"/>
  <c r="G304" i="3" s="1"/>
  <c r="H304" i="3"/>
  <c r="H40" i="3"/>
  <c r="L99" i="2"/>
  <c r="H154" i="2"/>
  <c r="H155" i="2" s="1"/>
  <c r="D161" i="2" s="1"/>
  <c r="D52" i="2"/>
  <c r="L45" i="2"/>
  <c r="C89" i="2"/>
  <c r="C247" i="2"/>
  <c r="E240" i="2"/>
  <c r="C141" i="2"/>
  <c r="E134" i="2"/>
  <c r="C194" i="2"/>
  <c r="E187" i="2"/>
  <c r="C302" i="2"/>
  <c r="E295" i="2"/>
  <c r="H251" i="3"/>
  <c r="G251" i="3"/>
  <c r="E28" i="2"/>
  <c r="C35" i="2"/>
  <c r="E82" i="2"/>
  <c r="D111" i="3" l="1"/>
  <c r="M99" i="3"/>
  <c r="P99" i="3" s="1"/>
  <c r="D57" i="3"/>
  <c r="M44" i="3"/>
  <c r="P44" i="3" s="1"/>
  <c r="H103" i="2"/>
  <c r="D164" i="2"/>
  <c r="D163" i="2"/>
  <c r="H44" i="2"/>
  <c r="H46" i="2" s="1"/>
  <c r="H93" i="2"/>
  <c r="C91" i="2"/>
  <c r="G93" i="2" s="1"/>
  <c r="H198" i="2"/>
  <c r="C196" i="2"/>
  <c r="G198" i="2" s="1"/>
  <c r="H145" i="2"/>
  <c r="C143" i="2"/>
  <c r="G145" i="2" s="1"/>
  <c r="C304" i="2"/>
  <c r="G306" i="2" s="1"/>
  <c r="H306" i="2"/>
  <c r="H251" i="2"/>
  <c r="C249" i="2"/>
  <c r="G251" i="2" s="1"/>
  <c r="H39" i="2"/>
  <c r="C37" i="2"/>
  <c r="D113" i="3" l="1"/>
  <c r="D114" i="3"/>
  <c r="D59" i="3"/>
  <c r="D60" i="3"/>
  <c r="D55" i="2"/>
  <c r="L44" i="2"/>
  <c r="O44" i="2" s="1"/>
  <c r="L98" i="2"/>
  <c r="O98" i="2" s="1"/>
  <c r="D109" i="2"/>
  <c r="G39" i="2"/>
  <c r="D112" i="2" l="1"/>
  <c r="D111" i="2"/>
  <c r="D57" i="2"/>
  <c r="D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<sst xmlns="http://schemas.openxmlformats.org/spreadsheetml/2006/main" count="768" uniqueCount="117">
  <si>
    <t>date</t>
  </si>
  <si>
    <t>new_cases</t>
  </si>
  <si>
    <t>new_deaths</t>
  </si>
  <si>
    <t>reproduction_rate</t>
  </si>
  <si>
    <t>icu_patients</t>
  </si>
  <si>
    <t>hosp_patients</t>
  </si>
  <si>
    <t>new_tests</t>
  </si>
  <si>
    <t>positive_rate</t>
  </si>
  <si>
    <t>people_fully_vaccinated</t>
  </si>
  <si>
    <t xml:space="preserve"> </t>
  </si>
  <si>
    <t>y1</t>
  </si>
  <si>
    <t>y2</t>
  </si>
  <si>
    <t>Y1 : new_cases</t>
  </si>
  <si>
    <t>X1 : reproduction_rate</t>
  </si>
  <si>
    <t xml:space="preserve">n = </t>
  </si>
  <si>
    <t xml:space="preserve">     &gt;&gt; ^2</t>
  </si>
  <si>
    <t>SUM</t>
  </si>
  <si>
    <t>y1*x1</t>
  </si>
  <si>
    <t>Y1 new_cases</t>
  </si>
  <si>
    <t>Y2 new_deaths</t>
  </si>
  <si>
    <t>X1 reproduction_rate</t>
  </si>
  <si>
    <t xml:space="preserve">         =</t>
  </si>
  <si>
    <t>Coeficiente de correlação</t>
  </si>
  <si>
    <t xml:space="preserve">b = </t>
  </si>
  <si>
    <t xml:space="preserve">a = </t>
  </si>
  <si>
    <t>Parâmetros para a reta de regressão (mínimos quadrados)</t>
  </si>
  <si>
    <t xml:space="preserve">Equação da reta de regressão : </t>
  </si>
  <si>
    <t xml:space="preserve">                    &lt;=&gt;</t>
  </si>
  <si>
    <t>X2 : icu_patients</t>
  </si>
  <si>
    <t>x1</t>
  </si>
  <si>
    <t>x2</t>
  </si>
  <si>
    <t>x3</t>
  </si>
  <si>
    <t>x4</t>
  </si>
  <si>
    <t>x5</t>
  </si>
  <si>
    <t>x6</t>
  </si>
  <si>
    <t xml:space="preserve">             </t>
  </si>
  <si>
    <t xml:space="preserve">           </t>
  </si>
  <si>
    <t xml:space="preserve">        </t>
  </si>
  <si>
    <t>y1*x2</t>
  </si>
  <si>
    <t>X3 : hosp_patients</t>
  </si>
  <si>
    <t>y1*x3</t>
  </si>
  <si>
    <t>X4 : new_tests</t>
  </si>
  <si>
    <t>y1*x4</t>
  </si>
  <si>
    <t>X5 : positive_rate</t>
  </si>
  <si>
    <t>y1*x5</t>
  </si>
  <si>
    <t>X6 : people_fully_vaccinated</t>
  </si>
  <si>
    <t>y1*x6</t>
  </si>
  <si>
    <t>Y2 : new_deaths</t>
  </si>
  <si>
    <t>y2*x1</t>
  </si>
  <si>
    <t>y2*x2</t>
  </si>
  <si>
    <t>y2*x3</t>
  </si>
  <si>
    <t>y2*x4</t>
  </si>
  <si>
    <t>y2*x5</t>
  </si>
  <si>
    <t>y2*x6</t>
  </si>
  <si>
    <t>RLM</t>
  </si>
  <si>
    <t>Matriz X</t>
  </si>
  <si>
    <t>Matriz transposta x matriz normal</t>
  </si>
  <si>
    <t>Matriz transposta de X:</t>
  </si>
  <si>
    <t xml:space="preserve">Matriz inversa de </t>
  </si>
  <si>
    <t>Intervalo de confiança a 95%</t>
  </si>
  <si>
    <t>nível de confiança</t>
  </si>
  <si>
    <t>⍺=</t>
  </si>
  <si>
    <t>Δ=</t>
  </si>
  <si>
    <t xml:space="preserve">SE = </t>
  </si>
  <si>
    <t xml:space="preserve">S = </t>
  </si>
  <si>
    <t>linf</t>
  </si>
  <si>
    <t>lsup</t>
  </si>
  <si>
    <t>Testar as hipóteses</t>
  </si>
  <si>
    <t>Para b= 0</t>
  </si>
  <si>
    <t>1- Hipóteses</t>
  </si>
  <si>
    <t>H0: b=0   v.s.  H1:b≠0</t>
  </si>
  <si>
    <t>2-Estatística de teste</t>
  </si>
  <si>
    <t>3-Região crítica</t>
  </si>
  <si>
    <t>RC=</t>
  </si>
  <si>
    <t>4-Cálculo do valor observado da estatística de teste</t>
  </si>
  <si>
    <r>
      <t>b</t>
    </r>
    <r>
      <rPr>
        <vertAlign val="subscript"/>
        <sz val="11"/>
        <color theme="1"/>
        <rFont val="Calibri (corpo)"/>
      </rPr>
      <t>0</t>
    </r>
    <r>
      <rPr>
        <sz val="10"/>
        <rFont val="Arial"/>
        <family val="2"/>
      </rPr>
      <t>=</t>
    </r>
  </si>
  <si>
    <t>Valor observado da estatística de teste</t>
  </si>
  <si>
    <t>S=</t>
  </si>
  <si>
    <t>tb=</t>
  </si>
  <si>
    <t>5-Decisão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</si>
  <si>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</si>
  <si>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</si>
  <si>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</si>
  <si>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</si>
  <si>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</si>
  <si>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</si>
  <si>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</si>
  <si>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</si>
  <si>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</si>
  <si>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</si>
  <si>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</si>
  <si>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</si>
  <si>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</si>
  <si>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</si>
  <si>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</si>
  <si>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</si>
  <si>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</si>
  <si>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</si>
  <si>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</si>
  <si>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</si>
  <si>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</si>
  <si>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</si>
  <si>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</si>
  <si>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</si>
  <si>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</si>
  <si>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|-4,9245| &gt; 1,98, logo rejeita-se H0. Para um nível de significancia de 5% há evidência para concluir que o declive é não nulo</t>
  </si>
  <si>
    <t>|13,2452| &gt; 1,98, logo rejeita-se H0. Para um nível de significancia de 5% há evidência para concluir que o declive é não nulo</t>
  </si>
  <si>
    <t>|17,9817| &gt; 1,98, logo rejeita-se H0. Para um nível de significancia de 5% há evidência para concluir que o declive é não nulo</t>
  </si>
  <si>
    <t>|0,62642| &lt; 1,98, logo não se rejeita H0. Para um nível de significancia de 5% há evidência para concluir que o declive é nulo</t>
  </si>
  <si>
    <t>|26,7157| &gt; 1,98, logo rejeita-se H0. Para um nível de significancia de 5% há evidência para concluir que o declive é não nulo</t>
  </si>
  <si>
    <t>|-5,429| &gt; 1,98, logo rejeita-se H0. Para um nível de significancia de 5% há evidência para concluir que o declive é não nulo</t>
  </si>
  <si>
    <t>|-7,7322| &gt; 1,98, logo rejeita-se H0. Para um nível de significancia de 5% há evidência para concluir que o declive é não nulo</t>
  </si>
  <si>
    <t>|24,6774| &gt; 1,98, logo rejeita-se H0. Para um nível de significancia de 5% há evidência para concluir que o declive é não nulo</t>
  </si>
  <si>
    <t>|46,5578| &gt; 1,98, logo rejeita-se H0. Para um nível de significancia de 5% há evidência para concluir que o declive é não nulo</t>
  </si>
  <si>
    <t>|-6,789E-05| &gt; 1,98, logo rejeita-se H0. Para um nível de significancia de 5% há evidência para concluir que o declive é não nulo</t>
  </si>
  <si>
    <t>|0,0893| &lt; 1,98, logo rejeita-se H0. Para um nível de significancia de 5% há evidência para concluir que o declive é nulo</t>
  </si>
  <si>
    <t>|-7,3192| &gt; 1,98, logo rejeita-se H0. Para um nível de significancia de 5% há evidência para concluir que o declive é não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</si>
</sst>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/mm/dd"/>
    <numFmt numFmtId="165" formatCode="0.0000"/>
    <numFmt numFmtId="166" formatCode="0.00000"/>
    <numFmt numFmtId="167" formatCode="0.000000"/>
    <numFmt numFmtId="168" formatCode="0.0000000"/>
    <numFmt numFmtId="169" formatCode="0.00000000"/>
    <numFmt numFmtId="170" formatCode="0.000"/>
    <numFmt numFmtId="171" formatCode="0.000E+00"/>
  </numFmts>
  <fonts count="8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3"/>
      <name val="Arial"/>
      <family val="2"/>
    </font>
    <font>
      <vertAlign val="subscript"/>
      <sz val="11"/>
      <color theme="1"/>
      <name val="Calibri (corpo)"/>
    </font>
    <font>
      <b/>
      <sz val="14"/>
      <name val="Arial"/>
      <family val="2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3" fillId="0" borderId="0" xfId="0" applyFont="1"/>
    <xf numFmtId="0" fontId="0" fillId="2" borderId="0" xfId="0" applyFill="1"/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3" borderId="0" xfId="0" applyFill="1"/>
    <xf numFmtId="0" fontId="1" fillId="3" borderId="0" xfId="0" applyFont="1" applyFill="1"/>
    <xf numFmtId="0" fontId="4" fillId="0" borderId="0" xfId="0" applyFont="1"/>
    <xf numFmtId="170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70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1" fontId="0" fillId="0" borderId="0" xfId="0" applyNumberFormat="1"/>
    <xf numFmtId="0" fontId="0" fillId="0" borderId="0" xfId="0" applyNumberFormat="1"/>
    <xf numFmtId="170" fontId="0" fillId="0" borderId="0" xfId="0" applyNumberFormat="1"/>
    <xf numFmtId="167" fontId="3" fillId="0" borderId="0" xfId="0" applyNumberFormat="1" applyFont="1" applyAlignment="1">
      <alignment horizontal="right"/>
    </xf>
    <xf numFmtId="14" fontId="0" fillId="0" borderId="0" xfId="0" applyNumberFormat="1"/>
    <xf numFmtId="0" fontId="0" fillId="4" borderId="0" xfId="0" applyFill="1"/>
    <xf numFmtId="2" fontId="0" fillId="4" borderId="0" xfId="0" applyNumberFormat="1" applyFill="1"/>
    <xf numFmtId="170" fontId="0" fillId="4" borderId="0" xfId="0" applyNumberFormat="1" applyFill="1"/>
    <xf numFmtId="1" fontId="0" fillId="4" borderId="0" xfId="0" applyNumberFormat="1" applyFill="1"/>
    <xf numFmtId="11" fontId="0" fillId="4" borderId="0" xfId="0" applyNumberFormat="1" applyFill="1"/>
    <xf numFmtId="171" fontId="0" fillId="4" borderId="0" xfId="0" applyNumberFormat="1" applyFill="1"/>
    <xf numFmtId="0" fontId="0" fillId="5" borderId="0" xfId="0" applyFill="1"/>
    <xf numFmtId="0" fontId="0" fillId="0" borderId="0" xfId="0" applyBorder="1"/>
    <xf numFmtId="0" fontId="0" fillId="7" borderId="0" xfId="0" applyFill="1"/>
    <xf numFmtId="0" fontId="0" fillId="0" borderId="2" xfId="0" applyBorder="1"/>
    <xf numFmtId="0" fontId="1" fillId="8" borderId="4" xfId="0" applyFont="1" applyFill="1" applyBorder="1"/>
    <xf numFmtId="0" fontId="0" fillId="3" borderId="3" xfId="0" applyFill="1" applyBorder="1"/>
    <xf numFmtId="0" fontId="1" fillId="8" borderId="5" xfId="0" applyFont="1" applyFill="1" applyBorder="1"/>
    <xf numFmtId="0" fontId="0" fillId="0" borderId="3" xfId="0" applyBorder="1"/>
    <xf numFmtId="0" fontId="0" fillId="9" borderId="0" xfId="0" applyFill="1"/>
    <xf numFmtId="1" fontId="0" fillId="9" borderId="0" xfId="0" applyNumberFormat="1" applyFill="1"/>
    <xf numFmtId="0" fontId="0" fillId="0" borderId="6" xfId="0" applyBorder="1"/>
    <xf numFmtId="0" fontId="0" fillId="0" borderId="7" xfId="0" applyBorder="1"/>
    <xf numFmtId="0" fontId="0" fillId="10" borderId="0" xfId="0" applyFill="1"/>
    <xf numFmtId="0" fontId="0" fillId="6" borderId="0" xfId="0" applyFill="1"/>
    <xf numFmtId="0" fontId="0" fillId="0" borderId="8" xfId="0" applyBorder="1"/>
    <xf numFmtId="0" fontId="1" fillId="8" borderId="9" xfId="0" applyFont="1" applyFill="1" applyBorder="1"/>
    <xf numFmtId="0" fontId="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7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165" fontId="0" fillId="6" borderId="0" xfId="0" applyNumberFormat="1" applyFill="1"/>
    <xf numFmtId="17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329005</xdr:colOff>
      <xdr:row>12</xdr:row>
      <xdr:rowOff>151280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5E038F-5EB9-EA8A-B981-A5DC2CEAB7C3}"/>
                </a:ext>
              </a:extLst>
            </xdr:cNvPr>
            <xdr:cNvSpPr txBox="1"/>
          </xdr:nvSpPr>
          <xdr:spPr>
            <a:xfrm>
              <a:off x="938605" y="2195233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5E038F-5EB9-EA8A-B981-A5DC2CEAB7C3}"/>
                </a:ext>
              </a:extLst>
            </xdr:cNvPr>
            <xdr:cNvSpPr txBox="1"/>
          </xdr:nvSpPr>
          <xdr:spPr>
            <a:xfrm>
              <a:off x="938605" y="2195233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2</xdr:col>
      <xdr:colOff>276562</xdr:colOff>
      <xdr:row>3</xdr:row>
      <xdr:rowOff>140970</xdr:rowOff>
    </xdr:from>
    <xdr:ext cx="335280" cy="407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9E6F972-FD1B-65DB-5231-DACDA3FAA7D2}"/>
                </a:ext>
              </a:extLst>
            </xdr:cNvPr>
            <xdr:cNvSpPr txBox="1"/>
          </xdr:nvSpPr>
          <xdr:spPr>
            <a:xfrm>
              <a:off x="1612303" y="651958"/>
              <a:ext cx="335280" cy="407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pt-PT" sz="1300" b="0"/>
            </a:p>
            <a:p>
              <a:endParaRPr lang="pt-PT" sz="13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9E6F972-FD1B-65DB-5231-DACDA3FAA7D2}"/>
                </a:ext>
              </a:extLst>
            </xdr:cNvPr>
            <xdr:cNvSpPr txBox="1"/>
          </xdr:nvSpPr>
          <xdr:spPr>
            <a:xfrm>
              <a:off x="1612303" y="651958"/>
              <a:ext cx="335280" cy="407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𝑦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 </a:t>
              </a:r>
              <a:endParaRPr lang="pt-PT" sz="1300" b="0"/>
            </a:p>
            <a:p>
              <a:pPr/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235323</xdr:colOff>
      <xdr:row>15</xdr:row>
      <xdr:rowOff>112956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D69ED25-606E-1236-E98C-9AF3DBEC7BF9}"/>
                </a:ext>
              </a:extLst>
            </xdr:cNvPr>
            <xdr:cNvSpPr txBox="1"/>
          </xdr:nvSpPr>
          <xdr:spPr>
            <a:xfrm>
              <a:off x="844923" y="2667897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D69ED25-606E-1236-E98C-9AF3DBEC7BF9}"/>
                </a:ext>
              </a:extLst>
            </xdr:cNvPr>
            <xdr:cNvSpPr txBox="1"/>
          </xdr:nvSpPr>
          <xdr:spPr>
            <a:xfrm>
              <a:off x="844923" y="2667897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373380</xdr:colOff>
      <xdr:row>4</xdr:row>
      <xdr:rowOff>125506</xdr:rowOff>
    </xdr:from>
    <xdr:ext cx="378101" cy="322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C8B471-B96E-45AA-6446-D77E6F20884F}"/>
                </a:ext>
              </a:extLst>
            </xdr:cNvPr>
            <xdr:cNvSpPr txBox="1"/>
          </xdr:nvSpPr>
          <xdr:spPr>
            <a:xfrm>
              <a:off x="3833756" y="806824"/>
              <a:ext cx="378101" cy="3228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𝑦𝑦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C8B471-B96E-45AA-6446-D77E6F20884F}"/>
                </a:ext>
              </a:extLst>
            </xdr:cNvPr>
            <xdr:cNvSpPr txBox="1"/>
          </xdr:nvSpPr>
          <xdr:spPr>
            <a:xfrm>
              <a:off x="3833756" y="806824"/>
              <a:ext cx="378101" cy="3228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𝑦𝑦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448234</xdr:colOff>
      <xdr:row>15</xdr:row>
      <xdr:rowOff>11144</xdr:rowOff>
    </xdr:from>
    <xdr:ext cx="1762461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086C15F-1D14-8659-D03A-377AECDDC1A8}"/>
                </a:ext>
              </a:extLst>
            </xdr:cNvPr>
            <xdr:cNvSpPr txBox="1"/>
          </xdr:nvSpPr>
          <xdr:spPr>
            <a:xfrm>
              <a:off x="1057834" y="2566085"/>
              <a:ext cx="1762461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086C15F-1D14-8659-D03A-377AECDDC1A8}"/>
                </a:ext>
              </a:extLst>
            </xdr:cNvPr>
            <xdr:cNvSpPr txBox="1"/>
          </xdr:nvSpPr>
          <xdr:spPr>
            <a:xfrm>
              <a:off x="1057834" y="2566085"/>
              <a:ext cx="1762461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5</xdr:col>
      <xdr:colOff>663389</xdr:colOff>
      <xdr:row>4</xdr:row>
      <xdr:rowOff>24205</xdr:rowOff>
    </xdr:from>
    <xdr:ext cx="1721052" cy="475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151D982-CBA1-43BB-A40C-29A50E5765FD}"/>
                </a:ext>
              </a:extLst>
            </xdr:cNvPr>
            <xdr:cNvSpPr txBox="1"/>
          </xdr:nvSpPr>
          <xdr:spPr>
            <a:xfrm>
              <a:off x="4123765" y="705523"/>
              <a:ext cx="1721052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 =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151D982-CBA1-43BB-A40C-29A50E5765FD}"/>
                </a:ext>
              </a:extLst>
            </xdr:cNvPr>
            <xdr:cNvSpPr txBox="1"/>
          </xdr:nvSpPr>
          <xdr:spPr>
            <a:xfrm>
              <a:off x="4123765" y="705523"/>
              <a:ext cx="1721052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 ̅𝑖 −𝑦</a:t>
              </a:r>
              <a:r>
                <a:rPr lang="pt-PT" sz="1100" b="0" i="0">
                  <a:latin typeface="Cambria Math" panose="02040503050406030204" pitchFamily="18" charset="0"/>
                </a:rPr>
                <a:t>)〗^2    = 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160020</xdr:colOff>
      <xdr:row>19</xdr:row>
      <xdr:rowOff>99060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1064AB-277D-42CC-B9AA-2AB461EAB64C}"/>
                </a:ext>
              </a:extLst>
            </xdr:cNvPr>
            <xdr:cNvSpPr txBox="1"/>
          </xdr:nvSpPr>
          <xdr:spPr>
            <a:xfrm>
              <a:off x="769620" y="3284220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1064AB-277D-42CC-B9AA-2AB461EAB64C}"/>
                </a:ext>
              </a:extLst>
            </xdr:cNvPr>
            <xdr:cNvSpPr txBox="1"/>
          </xdr:nvSpPr>
          <xdr:spPr>
            <a:xfrm>
              <a:off x="769620" y="3284220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4</xdr:col>
      <xdr:colOff>181087</xdr:colOff>
      <xdr:row>12</xdr:row>
      <xdr:rowOff>152400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06BDD53-77BE-44EF-A9D3-05E090C5752B}"/>
                </a:ext>
              </a:extLst>
            </xdr:cNvPr>
            <xdr:cNvSpPr txBox="1"/>
          </xdr:nvSpPr>
          <xdr:spPr>
            <a:xfrm>
              <a:off x="2816711" y="2196353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06BDD53-77BE-44EF-A9D3-05E090C5752B}"/>
                </a:ext>
              </a:extLst>
            </xdr:cNvPr>
            <xdr:cNvSpPr txBox="1"/>
          </xdr:nvSpPr>
          <xdr:spPr>
            <a:xfrm>
              <a:off x="2816711" y="2196353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2</xdr:col>
      <xdr:colOff>225912</xdr:colOff>
      <xdr:row>5</xdr:row>
      <xdr:rowOff>155090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E4D8F00-465F-4232-8201-91765C4FDBC4}"/>
                </a:ext>
              </a:extLst>
            </xdr:cNvPr>
            <xdr:cNvSpPr txBox="1"/>
          </xdr:nvSpPr>
          <xdr:spPr>
            <a:xfrm>
              <a:off x="1561653" y="1006737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3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PT" sz="13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acc>
                        <m:accPr>
                          <m:chr m:val="̅"/>
                          <m:ctrlPr>
                            <a:rPr lang="pt-PT" sz="13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pt-PT" sz="13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acc>
                    </m:e>
                    <m:sup>
                      <m:r>
                        <a:rPr lang="pt-PT" sz="13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t-PT" sz="1300"/>
                <a:t> =</a:t>
              </a: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E4D8F00-465F-4232-8201-91765C4FDBC4}"/>
                </a:ext>
              </a:extLst>
            </xdr:cNvPr>
            <xdr:cNvSpPr txBox="1"/>
          </xdr:nvSpPr>
          <xdr:spPr>
            <a:xfrm>
              <a:off x="1561653" y="1006737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̅〗^2</a:t>
              </a:r>
              <a:r>
                <a:rPr lang="pt-PT" sz="1300"/>
                <a:t> =</a:t>
              </a:r>
            </a:p>
          </xdr:txBody>
        </xdr:sp>
      </mc:Fallback>
    </mc:AlternateContent>
    <xdr:clientData/>
  </xdr:oneCellAnchor>
  <xdr:oneCellAnchor>
    <xdr:from>
      <xdr:col>1</xdr:col>
      <xdr:colOff>323557</xdr:colOff>
      <xdr:row>19</xdr:row>
      <xdr:rowOff>49823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471E854-807F-4B2C-9A8C-DAAA4F773903}"/>
                </a:ext>
              </a:extLst>
            </xdr:cNvPr>
            <xdr:cNvSpPr txBox="1"/>
          </xdr:nvSpPr>
          <xdr:spPr>
            <a:xfrm>
              <a:off x="933157" y="3279531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𝑦𝑖</m:t>
                            </m:r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471E854-807F-4B2C-9A8C-DAAA4F773903}"/>
                </a:ext>
              </a:extLst>
            </xdr:cNvPr>
            <xdr:cNvSpPr txBox="1"/>
          </xdr:nvSpPr>
          <xdr:spPr>
            <a:xfrm>
              <a:off x="933157" y="3279531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̅𝑖)〗^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26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20482EC-701E-53DA-4750-BC337A410798}"/>
                </a:ext>
              </a:extLst>
            </xdr:cNvPr>
            <xdr:cNvSpPr txBox="1"/>
          </xdr:nvSpPr>
          <xdr:spPr>
            <a:xfrm>
              <a:off x="1007300" y="449957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20482EC-701E-53DA-4750-BC337A410798}"/>
                </a:ext>
              </a:extLst>
            </xdr:cNvPr>
            <xdr:cNvSpPr txBox="1"/>
          </xdr:nvSpPr>
          <xdr:spPr>
            <a:xfrm>
              <a:off x="1007300" y="449957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37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A6C9F04-90BE-4596-7A46-A799F6711246}"/>
                </a:ext>
              </a:extLst>
            </xdr:cNvPr>
            <xdr:cNvSpPr txBox="1"/>
          </xdr:nvSpPr>
          <xdr:spPr>
            <a:xfrm>
              <a:off x="2411505" y="6454588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A6C9F04-90BE-4596-7A46-A799F6711246}"/>
                </a:ext>
              </a:extLst>
            </xdr:cNvPr>
            <xdr:cNvSpPr txBox="1"/>
          </xdr:nvSpPr>
          <xdr:spPr>
            <a:xfrm>
              <a:off x="2411505" y="6454588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37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A1415F3-4CE0-4627-91F7-302752F828E6}"/>
                </a:ext>
              </a:extLst>
            </xdr:cNvPr>
            <xdr:cNvSpPr txBox="1"/>
          </xdr:nvSpPr>
          <xdr:spPr>
            <a:xfrm>
              <a:off x="3496234" y="6463554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b="0" i="0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A1415F3-4CE0-4627-91F7-302752F828E6}"/>
                </a:ext>
              </a:extLst>
            </xdr:cNvPr>
            <xdr:cNvSpPr txBox="1"/>
          </xdr:nvSpPr>
          <xdr:spPr>
            <a:xfrm>
              <a:off x="3496234" y="6463554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t-PT" sz="1300" b="0" i="0">
                  <a:latin typeface="Cambria Math" panose="02040503050406030204" pitchFamily="18" charset="0"/>
                </a:rPr>
                <a:t>  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762001</xdr:colOff>
      <xdr:row>37</xdr:row>
      <xdr:rowOff>152400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00E004-010D-44C6-948D-F5F30D93D976}"/>
                </a:ext>
              </a:extLst>
            </xdr:cNvPr>
            <xdr:cNvSpPr txBox="1"/>
          </xdr:nvSpPr>
          <xdr:spPr>
            <a:xfrm>
              <a:off x="5827060" y="6454588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/>
                <a:t>)</a:t>
              </a:r>
              <a14:m>
                <m:oMath xmlns:m="http://schemas.openxmlformats.org/officeDocument/2006/math">
                  <m:r>
                    <a:rPr lang="pt-PT" sz="130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endParaRPr lang="pt-PT" sz="13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00E004-010D-44C6-948D-F5F30D93D976}"/>
                </a:ext>
              </a:extLst>
            </xdr:cNvPr>
            <xdr:cNvSpPr txBox="1"/>
          </xdr:nvSpPr>
          <xdr:spPr>
            <a:xfrm>
              <a:off x="5827060" y="6454588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/>
                <a:t>)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591670</xdr:colOff>
      <xdr:row>37</xdr:row>
      <xdr:rowOff>161365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A48968F-34DB-4FA6-A1BB-C9450FE687DA}"/>
                </a:ext>
              </a:extLst>
            </xdr:cNvPr>
            <xdr:cNvSpPr txBox="1"/>
          </xdr:nvSpPr>
          <xdr:spPr>
            <a:xfrm>
              <a:off x="4876799" y="6463553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+(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A48968F-34DB-4FA6-A1BB-C9450FE687DA}"/>
                </a:ext>
              </a:extLst>
            </xdr:cNvPr>
            <xdr:cNvSpPr txBox="1"/>
          </xdr:nvSpPr>
          <xdr:spPr>
            <a:xfrm>
              <a:off x="4876799" y="6463553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+(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358588</xdr:colOff>
      <xdr:row>65</xdr:row>
      <xdr:rowOff>161364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036655B-07C7-4ADB-B2B1-7F7C481A192F}"/>
                </a:ext>
              </a:extLst>
            </xdr:cNvPr>
            <xdr:cNvSpPr txBox="1"/>
          </xdr:nvSpPr>
          <xdr:spPr>
            <a:xfrm>
              <a:off x="968188" y="7664823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036655B-07C7-4ADB-B2B1-7F7C481A192F}"/>
                </a:ext>
              </a:extLst>
            </xdr:cNvPr>
            <xdr:cNvSpPr txBox="1"/>
          </xdr:nvSpPr>
          <xdr:spPr>
            <a:xfrm>
              <a:off x="968188" y="7664823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69</xdr:row>
      <xdr:rowOff>0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6F15C23-F92C-405C-9271-44A59E092C45}"/>
                </a:ext>
              </a:extLst>
            </xdr:cNvPr>
            <xdr:cNvSpPr txBox="1"/>
          </xdr:nvSpPr>
          <xdr:spPr>
            <a:xfrm>
              <a:off x="869576" y="8184776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6F15C23-F92C-405C-9271-44A59E092C45}"/>
                </a:ext>
              </a:extLst>
            </xdr:cNvPr>
            <xdr:cNvSpPr txBox="1"/>
          </xdr:nvSpPr>
          <xdr:spPr>
            <a:xfrm>
              <a:off x="869576" y="8184776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259977</xdr:colOff>
      <xdr:row>69</xdr:row>
      <xdr:rowOff>98612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EDF4CD7-5824-4462-8E60-7F19823C9700}"/>
                </a:ext>
              </a:extLst>
            </xdr:cNvPr>
            <xdr:cNvSpPr txBox="1"/>
          </xdr:nvSpPr>
          <xdr:spPr>
            <a:xfrm>
              <a:off x="869577" y="8283388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EDF4CD7-5824-4462-8E60-7F19823C9700}"/>
                </a:ext>
              </a:extLst>
            </xdr:cNvPr>
            <xdr:cNvSpPr txBox="1"/>
          </xdr:nvSpPr>
          <xdr:spPr>
            <a:xfrm>
              <a:off x="869577" y="8283388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4</xdr:col>
      <xdr:colOff>295836</xdr:colOff>
      <xdr:row>65</xdr:row>
      <xdr:rowOff>143435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0AE3326-EE63-4854-8123-817054637EC5}"/>
                </a:ext>
              </a:extLst>
            </xdr:cNvPr>
            <xdr:cNvSpPr txBox="1"/>
          </xdr:nvSpPr>
          <xdr:spPr>
            <a:xfrm>
              <a:off x="2931460" y="7646894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0AE3326-EE63-4854-8123-817054637EC5}"/>
                </a:ext>
              </a:extLst>
            </xdr:cNvPr>
            <xdr:cNvSpPr txBox="1"/>
          </xdr:nvSpPr>
          <xdr:spPr>
            <a:xfrm>
              <a:off x="2931460" y="7646894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251011</xdr:colOff>
      <xdr:row>73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A5346FDE-14F0-47B6-B7DB-C70ACFD42085}"/>
                </a:ext>
              </a:extLst>
            </xdr:cNvPr>
            <xdr:cNvSpPr txBox="1"/>
          </xdr:nvSpPr>
          <xdr:spPr>
            <a:xfrm>
              <a:off x="860611" y="8964706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A5346FDE-14F0-47B6-B7DB-C70ACFD42085}"/>
                </a:ext>
              </a:extLst>
            </xdr:cNvPr>
            <xdr:cNvSpPr txBox="1"/>
          </xdr:nvSpPr>
          <xdr:spPr>
            <a:xfrm>
              <a:off x="860611" y="8964706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73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A46F56A-F49F-472A-9290-397B229F7D41}"/>
                </a:ext>
              </a:extLst>
            </xdr:cNvPr>
            <xdr:cNvSpPr txBox="1"/>
          </xdr:nvSpPr>
          <xdr:spPr>
            <a:xfrm>
              <a:off x="1237130" y="8892988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A46F56A-F49F-472A-9290-397B229F7D41}"/>
                </a:ext>
              </a:extLst>
            </xdr:cNvPr>
            <xdr:cNvSpPr txBox="1"/>
          </xdr:nvSpPr>
          <xdr:spPr>
            <a:xfrm>
              <a:off x="1237130" y="8892988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80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451FE1C-5583-408E-8E79-A3135055F058}"/>
                </a:ext>
              </a:extLst>
            </xdr:cNvPr>
            <xdr:cNvSpPr txBox="1"/>
          </xdr:nvSpPr>
          <xdr:spPr>
            <a:xfrm>
              <a:off x="1007300" y="4508543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451FE1C-5583-408E-8E79-A3135055F058}"/>
                </a:ext>
              </a:extLst>
            </xdr:cNvPr>
            <xdr:cNvSpPr txBox="1"/>
          </xdr:nvSpPr>
          <xdr:spPr>
            <a:xfrm>
              <a:off x="1007300" y="4508543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91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D290898-4F36-47CF-8D3E-6A9A0370EC21}"/>
                </a:ext>
              </a:extLst>
            </xdr:cNvPr>
            <xdr:cNvSpPr txBox="1"/>
          </xdr:nvSpPr>
          <xdr:spPr>
            <a:xfrm>
              <a:off x="2411505" y="6454588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D290898-4F36-47CF-8D3E-6A9A0370EC21}"/>
                </a:ext>
              </a:extLst>
            </xdr:cNvPr>
            <xdr:cNvSpPr txBox="1"/>
          </xdr:nvSpPr>
          <xdr:spPr>
            <a:xfrm>
              <a:off x="2411505" y="6454588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91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B2F74CB5-8F28-4C63-B249-CD30FD617FDE}"/>
                </a:ext>
              </a:extLst>
            </xdr:cNvPr>
            <xdr:cNvSpPr txBox="1"/>
          </xdr:nvSpPr>
          <xdr:spPr>
            <a:xfrm>
              <a:off x="3496234" y="6463554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b="0" i="0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B2F74CB5-8F28-4C63-B249-CD30FD617FDE}"/>
                </a:ext>
              </a:extLst>
            </xdr:cNvPr>
            <xdr:cNvSpPr txBox="1"/>
          </xdr:nvSpPr>
          <xdr:spPr>
            <a:xfrm>
              <a:off x="3496234" y="6463554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t-PT" sz="1300" b="0" i="0">
                  <a:latin typeface="Cambria Math" panose="02040503050406030204" pitchFamily="18" charset="0"/>
                </a:rPr>
                <a:t>  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609600</xdr:colOff>
      <xdr:row>91</xdr:row>
      <xdr:rowOff>161365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0034555-EBF5-4F77-A933-5617A10DAA26}"/>
                </a:ext>
              </a:extLst>
            </xdr:cNvPr>
            <xdr:cNvSpPr txBox="1"/>
          </xdr:nvSpPr>
          <xdr:spPr>
            <a:xfrm>
              <a:off x="5674659" y="12093389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0034555-EBF5-4F77-A933-5617A10DAA26}"/>
                </a:ext>
              </a:extLst>
            </xdr:cNvPr>
            <xdr:cNvSpPr txBox="1"/>
          </xdr:nvSpPr>
          <xdr:spPr>
            <a:xfrm>
              <a:off x="5674659" y="12093389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618564</xdr:colOff>
      <xdr:row>91</xdr:row>
      <xdr:rowOff>161365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D1968BE-2681-44D8-AB81-4751932F47A3}"/>
                </a:ext>
              </a:extLst>
            </xdr:cNvPr>
            <xdr:cNvSpPr txBox="1"/>
          </xdr:nvSpPr>
          <xdr:spPr>
            <a:xfrm>
              <a:off x="4903693" y="12093389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D1968BE-2681-44D8-AB81-4751932F47A3}"/>
                </a:ext>
              </a:extLst>
            </xdr:cNvPr>
            <xdr:cNvSpPr txBox="1"/>
          </xdr:nvSpPr>
          <xdr:spPr>
            <a:xfrm>
              <a:off x="4903693" y="12093389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286871</xdr:colOff>
      <xdr:row>120</xdr:row>
      <xdr:rowOff>143436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2CB11E83-13C2-4A88-B5CD-FE9B4FAEC12E}"/>
                </a:ext>
              </a:extLst>
            </xdr:cNvPr>
            <xdr:cNvSpPr txBox="1"/>
          </xdr:nvSpPr>
          <xdr:spPr>
            <a:xfrm>
              <a:off x="896471" y="13276730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2CB11E83-13C2-4A88-B5CD-FE9B4FAEC12E}"/>
                </a:ext>
              </a:extLst>
            </xdr:cNvPr>
            <xdr:cNvSpPr txBox="1"/>
          </xdr:nvSpPr>
          <xdr:spPr>
            <a:xfrm>
              <a:off x="896471" y="13276730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206189</xdr:colOff>
      <xdr:row>123</xdr:row>
      <xdr:rowOff>107576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5E05582-6969-4975-9BF3-6F46B8BDB930}"/>
                </a:ext>
              </a:extLst>
            </xdr:cNvPr>
            <xdr:cNvSpPr txBox="1"/>
          </xdr:nvSpPr>
          <xdr:spPr>
            <a:xfrm>
              <a:off x="815789" y="13581529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5E05582-6969-4975-9BF3-6F46B8BDB930}"/>
                </a:ext>
              </a:extLst>
            </xdr:cNvPr>
            <xdr:cNvSpPr txBox="1"/>
          </xdr:nvSpPr>
          <xdr:spPr>
            <a:xfrm>
              <a:off x="815789" y="13581529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123</xdr:row>
      <xdr:rowOff>17929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F9EBC67-41CB-498B-A6A9-271BD92A1A40}"/>
                </a:ext>
              </a:extLst>
            </xdr:cNvPr>
            <xdr:cNvSpPr txBox="1"/>
          </xdr:nvSpPr>
          <xdr:spPr>
            <a:xfrm>
              <a:off x="869576" y="13491882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F9EBC67-41CB-498B-A6A9-271BD92A1A40}"/>
                </a:ext>
              </a:extLst>
            </xdr:cNvPr>
            <xdr:cNvSpPr txBox="1"/>
          </xdr:nvSpPr>
          <xdr:spPr>
            <a:xfrm>
              <a:off x="869576" y="13491882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251011</xdr:colOff>
      <xdr:row>126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B0DC8D8-5E48-47E8-8047-8E356C915335}"/>
                </a:ext>
              </a:extLst>
            </xdr:cNvPr>
            <xdr:cNvSpPr txBox="1"/>
          </xdr:nvSpPr>
          <xdr:spPr>
            <a:xfrm>
              <a:off x="860611" y="8964706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B0DC8D8-5E48-47E8-8047-8E356C915335}"/>
                </a:ext>
              </a:extLst>
            </xdr:cNvPr>
            <xdr:cNvSpPr txBox="1"/>
          </xdr:nvSpPr>
          <xdr:spPr>
            <a:xfrm>
              <a:off x="860611" y="8964706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126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2ED78661-1BEE-4E52-A176-E55544D916FC}"/>
                </a:ext>
              </a:extLst>
            </xdr:cNvPr>
            <xdr:cNvSpPr txBox="1"/>
          </xdr:nvSpPr>
          <xdr:spPr>
            <a:xfrm>
              <a:off x="1237130" y="8892988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2ED78661-1BEE-4E52-A176-E55544D916FC}"/>
                </a:ext>
              </a:extLst>
            </xdr:cNvPr>
            <xdr:cNvSpPr txBox="1"/>
          </xdr:nvSpPr>
          <xdr:spPr>
            <a:xfrm>
              <a:off x="1237130" y="8892988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132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E9EF3A12-7B9B-469A-B428-EA34D72F6076}"/>
                </a:ext>
              </a:extLst>
            </xdr:cNvPr>
            <xdr:cNvSpPr txBox="1"/>
          </xdr:nvSpPr>
          <xdr:spPr>
            <a:xfrm>
              <a:off x="1007300" y="1013837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E9EF3A12-7B9B-469A-B428-EA34D72F6076}"/>
                </a:ext>
              </a:extLst>
            </xdr:cNvPr>
            <xdr:cNvSpPr txBox="1"/>
          </xdr:nvSpPr>
          <xdr:spPr>
            <a:xfrm>
              <a:off x="1007300" y="1013837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143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AC36158-D2C7-4F20-BB0F-57E765667387}"/>
                </a:ext>
              </a:extLst>
            </xdr:cNvPr>
            <xdr:cNvSpPr txBox="1"/>
          </xdr:nvSpPr>
          <xdr:spPr>
            <a:xfrm>
              <a:off x="2411505" y="12084424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AC36158-D2C7-4F20-BB0F-57E765667387}"/>
                </a:ext>
              </a:extLst>
            </xdr:cNvPr>
            <xdr:cNvSpPr txBox="1"/>
          </xdr:nvSpPr>
          <xdr:spPr>
            <a:xfrm>
              <a:off x="2411505" y="12084424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143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5BEA4582-4B2F-4EA4-B8CF-60A0888C97B8}"/>
                </a:ext>
              </a:extLst>
            </xdr:cNvPr>
            <xdr:cNvSpPr txBox="1"/>
          </xdr:nvSpPr>
          <xdr:spPr>
            <a:xfrm>
              <a:off x="3496234" y="12093390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b="0" i="0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5BEA4582-4B2F-4EA4-B8CF-60A0888C97B8}"/>
                </a:ext>
              </a:extLst>
            </xdr:cNvPr>
            <xdr:cNvSpPr txBox="1"/>
          </xdr:nvSpPr>
          <xdr:spPr>
            <a:xfrm>
              <a:off x="3496234" y="12093390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t-PT" sz="1300" b="0" i="0">
                  <a:latin typeface="Cambria Math" panose="02040503050406030204" pitchFamily="18" charset="0"/>
                </a:rPr>
                <a:t>  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609600</xdr:colOff>
      <xdr:row>143</xdr:row>
      <xdr:rowOff>161365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439D279-6C93-4F3B-B969-FCD9844D3941}"/>
                </a:ext>
              </a:extLst>
            </xdr:cNvPr>
            <xdr:cNvSpPr txBox="1"/>
          </xdr:nvSpPr>
          <xdr:spPr>
            <a:xfrm>
              <a:off x="5674659" y="12093389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439D279-6C93-4F3B-B969-FCD9844D3941}"/>
                </a:ext>
              </a:extLst>
            </xdr:cNvPr>
            <xdr:cNvSpPr txBox="1"/>
          </xdr:nvSpPr>
          <xdr:spPr>
            <a:xfrm>
              <a:off x="5674659" y="12093389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618564</xdr:colOff>
      <xdr:row>143</xdr:row>
      <xdr:rowOff>161365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A9D60642-6596-405D-875E-0C258277D26C}"/>
                </a:ext>
              </a:extLst>
            </xdr:cNvPr>
            <xdr:cNvSpPr txBox="1"/>
          </xdr:nvSpPr>
          <xdr:spPr>
            <a:xfrm>
              <a:off x="4903693" y="12093389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A9D60642-6596-405D-875E-0C258277D26C}"/>
                </a:ext>
              </a:extLst>
            </xdr:cNvPr>
            <xdr:cNvSpPr txBox="1"/>
          </xdr:nvSpPr>
          <xdr:spPr>
            <a:xfrm>
              <a:off x="4903693" y="12093389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286870</xdr:colOff>
      <xdr:row>120</xdr:row>
      <xdr:rowOff>161365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B5F32AE4-5521-4F25-9F86-CFF038E72048}"/>
                </a:ext>
              </a:extLst>
            </xdr:cNvPr>
            <xdr:cNvSpPr txBox="1"/>
          </xdr:nvSpPr>
          <xdr:spPr>
            <a:xfrm>
              <a:off x="2922494" y="13294659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B5F32AE4-5521-4F25-9F86-CFF038E72048}"/>
                </a:ext>
              </a:extLst>
            </xdr:cNvPr>
            <xdr:cNvSpPr txBox="1"/>
          </xdr:nvSpPr>
          <xdr:spPr>
            <a:xfrm>
              <a:off x="2922494" y="13294659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286871</xdr:colOff>
      <xdr:row>173</xdr:row>
      <xdr:rowOff>143436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08AE53AB-A24B-47A5-B74E-1BD7D682A0AC}"/>
                </a:ext>
              </a:extLst>
            </xdr:cNvPr>
            <xdr:cNvSpPr txBox="1"/>
          </xdr:nvSpPr>
          <xdr:spPr>
            <a:xfrm>
              <a:off x="896471" y="13276730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08AE53AB-A24B-47A5-B74E-1BD7D682A0AC}"/>
                </a:ext>
              </a:extLst>
            </xdr:cNvPr>
            <xdr:cNvSpPr txBox="1"/>
          </xdr:nvSpPr>
          <xdr:spPr>
            <a:xfrm>
              <a:off x="896471" y="13276730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206189</xdr:colOff>
      <xdr:row>176</xdr:row>
      <xdr:rowOff>107576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340A8788-ABE9-41F5-870C-00EBDB4ED7AC}"/>
                </a:ext>
              </a:extLst>
            </xdr:cNvPr>
            <xdr:cNvSpPr txBox="1"/>
          </xdr:nvSpPr>
          <xdr:spPr>
            <a:xfrm>
              <a:off x="815789" y="13751858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340A8788-ABE9-41F5-870C-00EBDB4ED7AC}"/>
                </a:ext>
              </a:extLst>
            </xdr:cNvPr>
            <xdr:cNvSpPr txBox="1"/>
          </xdr:nvSpPr>
          <xdr:spPr>
            <a:xfrm>
              <a:off x="815789" y="13751858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176</xdr:row>
      <xdr:rowOff>17929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971BCE2E-D3C0-4780-ADCE-D1E22D1D2221}"/>
                </a:ext>
              </a:extLst>
            </xdr:cNvPr>
            <xdr:cNvSpPr txBox="1"/>
          </xdr:nvSpPr>
          <xdr:spPr>
            <a:xfrm>
              <a:off x="869576" y="13662211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971BCE2E-D3C0-4780-ADCE-D1E22D1D2221}"/>
                </a:ext>
              </a:extLst>
            </xdr:cNvPr>
            <xdr:cNvSpPr txBox="1"/>
          </xdr:nvSpPr>
          <xdr:spPr>
            <a:xfrm>
              <a:off x="869576" y="13662211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251011</xdr:colOff>
      <xdr:row>179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359E2E50-E1EA-4D6C-85E6-A84E3B743A99}"/>
                </a:ext>
              </a:extLst>
            </xdr:cNvPr>
            <xdr:cNvSpPr txBox="1"/>
          </xdr:nvSpPr>
          <xdr:spPr>
            <a:xfrm>
              <a:off x="860611" y="14253883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359E2E50-E1EA-4D6C-85E6-A84E3B743A99}"/>
                </a:ext>
              </a:extLst>
            </xdr:cNvPr>
            <xdr:cNvSpPr txBox="1"/>
          </xdr:nvSpPr>
          <xdr:spPr>
            <a:xfrm>
              <a:off x="860611" y="14253883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179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0E3F024-97C8-4970-944B-12DF33089EDA}"/>
                </a:ext>
              </a:extLst>
            </xdr:cNvPr>
            <xdr:cNvSpPr txBox="1"/>
          </xdr:nvSpPr>
          <xdr:spPr>
            <a:xfrm>
              <a:off x="1237130" y="14182165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0E3F024-97C8-4970-944B-12DF33089EDA}"/>
                </a:ext>
              </a:extLst>
            </xdr:cNvPr>
            <xdr:cNvSpPr txBox="1"/>
          </xdr:nvSpPr>
          <xdr:spPr>
            <a:xfrm>
              <a:off x="1237130" y="14182165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185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122157E8-A614-495C-901C-F866FC7B5AB2}"/>
                </a:ext>
              </a:extLst>
            </xdr:cNvPr>
            <xdr:cNvSpPr txBox="1"/>
          </xdr:nvSpPr>
          <xdr:spPr>
            <a:xfrm>
              <a:off x="1007300" y="15257225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122157E8-A614-495C-901C-F866FC7B5AB2}"/>
                </a:ext>
              </a:extLst>
            </xdr:cNvPr>
            <xdr:cNvSpPr txBox="1"/>
          </xdr:nvSpPr>
          <xdr:spPr>
            <a:xfrm>
              <a:off x="1007300" y="15257225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196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EF523A96-D4C6-44DB-BAD7-5A94F09C6C06}"/>
                </a:ext>
              </a:extLst>
            </xdr:cNvPr>
            <xdr:cNvSpPr txBox="1"/>
          </xdr:nvSpPr>
          <xdr:spPr>
            <a:xfrm>
              <a:off x="2411505" y="17203271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EF523A96-D4C6-44DB-BAD7-5A94F09C6C06}"/>
                </a:ext>
              </a:extLst>
            </xdr:cNvPr>
            <xdr:cNvSpPr txBox="1"/>
          </xdr:nvSpPr>
          <xdr:spPr>
            <a:xfrm>
              <a:off x="2411505" y="17203271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196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4F756753-0856-45D6-A757-1DCB794655A2}"/>
                </a:ext>
              </a:extLst>
            </xdr:cNvPr>
            <xdr:cNvSpPr txBox="1"/>
          </xdr:nvSpPr>
          <xdr:spPr>
            <a:xfrm>
              <a:off x="3496234" y="17212237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b="0" i="0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4F756753-0856-45D6-A757-1DCB794655A2}"/>
                </a:ext>
              </a:extLst>
            </xdr:cNvPr>
            <xdr:cNvSpPr txBox="1"/>
          </xdr:nvSpPr>
          <xdr:spPr>
            <a:xfrm>
              <a:off x="3496234" y="17212237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t-PT" sz="1300" b="0" i="0">
                  <a:latin typeface="Cambria Math" panose="02040503050406030204" pitchFamily="18" charset="0"/>
                </a:rPr>
                <a:t>  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609600</xdr:colOff>
      <xdr:row>196</xdr:row>
      <xdr:rowOff>161365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2E8EBC7E-1408-4F50-875A-7F4B48C19256}"/>
                </a:ext>
              </a:extLst>
            </xdr:cNvPr>
            <xdr:cNvSpPr txBox="1"/>
          </xdr:nvSpPr>
          <xdr:spPr>
            <a:xfrm>
              <a:off x="5674659" y="17212236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2E8EBC7E-1408-4F50-875A-7F4B48C19256}"/>
                </a:ext>
              </a:extLst>
            </xdr:cNvPr>
            <xdr:cNvSpPr txBox="1"/>
          </xdr:nvSpPr>
          <xdr:spPr>
            <a:xfrm>
              <a:off x="5674659" y="17212236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618564</xdr:colOff>
      <xdr:row>196</xdr:row>
      <xdr:rowOff>161365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AA63F1E9-9EB9-47D8-8559-B1DD745E1193}"/>
                </a:ext>
              </a:extLst>
            </xdr:cNvPr>
            <xdr:cNvSpPr txBox="1"/>
          </xdr:nvSpPr>
          <xdr:spPr>
            <a:xfrm>
              <a:off x="4903693" y="17212236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AA63F1E9-9EB9-47D8-8559-B1DD745E1193}"/>
                </a:ext>
              </a:extLst>
            </xdr:cNvPr>
            <xdr:cNvSpPr txBox="1"/>
          </xdr:nvSpPr>
          <xdr:spPr>
            <a:xfrm>
              <a:off x="4903693" y="17212236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286870</xdr:colOff>
      <xdr:row>173</xdr:row>
      <xdr:rowOff>161365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180897A8-B589-418E-9BEC-B6E4CA89EA3B}"/>
                </a:ext>
              </a:extLst>
            </xdr:cNvPr>
            <xdr:cNvSpPr txBox="1"/>
          </xdr:nvSpPr>
          <xdr:spPr>
            <a:xfrm>
              <a:off x="2922494" y="13294659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180897A8-B589-418E-9BEC-B6E4CA89EA3B}"/>
                </a:ext>
              </a:extLst>
            </xdr:cNvPr>
            <xdr:cNvSpPr txBox="1"/>
          </xdr:nvSpPr>
          <xdr:spPr>
            <a:xfrm>
              <a:off x="2922494" y="13294659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286871</xdr:colOff>
      <xdr:row>226</xdr:row>
      <xdr:rowOff>143436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894F889F-13AA-4EE5-A03D-6E716EFFC756}"/>
                </a:ext>
              </a:extLst>
            </xdr:cNvPr>
            <xdr:cNvSpPr txBox="1"/>
          </xdr:nvSpPr>
          <xdr:spPr>
            <a:xfrm>
              <a:off x="896471" y="18225248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894F889F-13AA-4EE5-A03D-6E716EFFC756}"/>
                </a:ext>
              </a:extLst>
            </xdr:cNvPr>
            <xdr:cNvSpPr txBox="1"/>
          </xdr:nvSpPr>
          <xdr:spPr>
            <a:xfrm>
              <a:off x="896471" y="18225248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206189</xdr:colOff>
      <xdr:row>229</xdr:row>
      <xdr:rowOff>107576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03F5EE6F-3EBD-431E-A314-08B01AAF361D}"/>
                </a:ext>
              </a:extLst>
            </xdr:cNvPr>
            <xdr:cNvSpPr txBox="1"/>
          </xdr:nvSpPr>
          <xdr:spPr>
            <a:xfrm>
              <a:off x="815789" y="1870037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03F5EE6F-3EBD-431E-A314-08B01AAF361D}"/>
                </a:ext>
              </a:extLst>
            </xdr:cNvPr>
            <xdr:cNvSpPr txBox="1"/>
          </xdr:nvSpPr>
          <xdr:spPr>
            <a:xfrm>
              <a:off x="815789" y="1870037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229</xdr:row>
      <xdr:rowOff>17929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2347E938-42DB-48CB-9E6F-9B117F8BEF2A}"/>
                </a:ext>
              </a:extLst>
            </xdr:cNvPr>
            <xdr:cNvSpPr txBox="1"/>
          </xdr:nvSpPr>
          <xdr:spPr>
            <a:xfrm>
              <a:off x="869576" y="1861072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2347E938-42DB-48CB-9E6F-9B117F8BEF2A}"/>
                </a:ext>
              </a:extLst>
            </xdr:cNvPr>
            <xdr:cNvSpPr txBox="1"/>
          </xdr:nvSpPr>
          <xdr:spPr>
            <a:xfrm>
              <a:off x="869576" y="1861072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251011</xdr:colOff>
      <xdr:row>232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59146615-644F-4090-BB29-8C60CA75A80B}"/>
                </a:ext>
              </a:extLst>
            </xdr:cNvPr>
            <xdr:cNvSpPr txBox="1"/>
          </xdr:nvSpPr>
          <xdr:spPr>
            <a:xfrm>
              <a:off x="860611" y="19202400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59146615-644F-4090-BB29-8C60CA75A80B}"/>
                </a:ext>
              </a:extLst>
            </xdr:cNvPr>
            <xdr:cNvSpPr txBox="1"/>
          </xdr:nvSpPr>
          <xdr:spPr>
            <a:xfrm>
              <a:off x="860611" y="19202400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232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35325D06-9BF0-4028-B632-EA56376A7EC0}"/>
                </a:ext>
              </a:extLst>
            </xdr:cNvPr>
            <xdr:cNvSpPr txBox="1"/>
          </xdr:nvSpPr>
          <xdr:spPr>
            <a:xfrm>
              <a:off x="1237130" y="19130682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35325D06-9BF0-4028-B632-EA56376A7EC0}"/>
                </a:ext>
              </a:extLst>
            </xdr:cNvPr>
            <xdr:cNvSpPr txBox="1"/>
          </xdr:nvSpPr>
          <xdr:spPr>
            <a:xfrm>
              <a:off x="1237130" y="19130682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238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4622829-604A-45AE-8175-8B56E908A076}"/>
                </a:ext>
              </a:extLst>
            </xdr:cNvPr>
            <xdr:cNvSpPr txBox="1"/>
          </xdr:nvSpPr>
          <xdr:spPr>
            <a:xfrm>
              <a:off x="1007300" y="20205743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4622829-604A-45AE-8175-8B56E908A076}"/>
                </a:ext>
              </a:extLst>
            </xdr:cNvPr>
            <xdr:cNvSpPr txBox="1"/>
          </xdr:nvSpPr>
          <xdr:spPr>
            <a:xfrm>
              <a:off x="1007300" y="20205743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249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75E348A6-E699-46DA-927B-D11010F1228B}"/>
                </a:ext>
              </a:extLst>
            </xdr:cNvPr>
            <xdr:cNvSpPr txBox="1"/>
          </xdr:nvSpPr>
          <xdr:spPr>
            <a:xfrm>
              <a:off x="2411505" y="22151788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75E348A6-E699-46DA-927B-D11010F1228B}"/>
                </a:ext>
              </a:extLst>
            </xdr:cNvPr>
            <xdr:cNvSpPr txBox="1"/>
          </xdr:nvSpPr>
          <xdr:spPr>
            <a:xfrm>
              <a:off x="2411505" y="22151788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249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F148F391-3E2E-49A2-B7CC-CE7F98F7FAD0}"/>
                </a:ext>
              </a:extLst>
            </xdr:cNvPr>
            <xdr:cNvSpPr txBox="1"/>
          </xdr:nvSpPr>
          <xdr:spPr>
            <a:xfrm>
              <a:off x="3496234" y="22160754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b="0" i="0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F148F391-3E2E-49A2-B7CC-CE7F98F7FAD0}"/>
                </a:ext>
              </a:extLst>
            </xdr:cNvPr>
            <xdr:cNvSpPr txBox="1"/>
          </xdr:nvSpPr>
          <xdr:spPr>
            <a:xfrm>
              <a:off x="3496234" y="22160754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t-PT" sz="1300" b="0" i="0">
                  <a:latin typeface="Cambria Math" panose="02040503050406030204" pitchFamily="18" charset="0"/>
                </a:rPr>
                <a:t>  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564777</xdr:colOff>
      <xdr:row>249</xdr:row>
      <xdr:rowOff>161365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2008B3C4-B544-4E6F-BB94-DB45C4964ED2}"/>
                </a:ext>
              </a:extLst>
            </xdr:cNvPr>
            <xdr:cNvSpPr txBox="1"/>
          </xdr:nvSpPr>
          <xdr:spPr>
            <a:xfrm>
              <a:off x="5629836" y="27109271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2008B3C4-B544-4E6F-BB94-DB45C4964ED2}"/>
                </a:ext>
              </a:extLst>
            </xdr:cNvPr>
            <xdr:cNvSpPr txBox="1"/>
          </xdr:nvSpPr>
          <xdr:spPr>
            <a:xfrm>
              <a:off x="5629836" y="27109271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618564</xdr:colOff>
      <xdr:row>249</xdr:row>
      <xdr:rowOff>161365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D66E9BC4-7562-4AA3-984C-40DCDF95C525}"/>
                </a:ext>
              </a:extLst>
            </xdr:cNvPr>
            <xdr:cNvSpPr txBox="1"/>
          </xdr:nvSpPr>
          <xdr:spPr>
            <a:xfrm>
              <a:off x="4903693" y="22160753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D66E9BC4-7562-4AA3-984C-40DCDF95C525}"/>
                </a:ext>
              </a:extLst>
            </xdr:cNvPr>
            <xdr:cNvSpPr txBox="1"/>
          </xdr:nvSpPr>
          <xdr:spPr>
            <a:xfrm>
              <a:off x="4903693" y="22160753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286870</xdr:colOff>
      <xdr:row>226</xdr:row>
      <xdr:rowOff>161365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56E169A0-694E-4988-A1B8-6C87FBFED2C5}"/>
                </a:ext>
              </a:extLst>
            </xdr:cNvPr>
            <xdr:cNvSpPr txBox="1"/>
          </xdr:nvSpPr>
          <xdr:spPr>
            <a:xfrm>
              <a:off x="2922494" y="18243177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56E169A0-694E-4988-A1B8-6C87FBFED2C5}"/>
                </a:ext>
              </a:extLst>
            </xdr:cNvPr>
            <xdr:cNvSpPr txBox="1"/>
          </xdr:nvSpPr>
          <xdr:spPr>
            <a:xfrm>
              <a:off x="2922494" y="18243177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286871</xdr:colOff>
      <xdr:row>281</xdr:row>
      <xdr:rowOff>143436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7E72E292-7659-4EDD-90CB-DFCBD7CFDCA1}"/>
                </a:ext>
              </a:extLst>
            </xdr:cNvPr>
            <xdr:cNvSpPr txBox="1"/>
          </xdr:nvSpPr>
          <xdr:spPr>
            <a:xfrm>
              <a:off x="896471" y="23173765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7E72E292-7659-4EDD-90CB-DFCBD7CFDCA1}"/>
                </a:ext>
              </a:extLst>
            </xdr:cNvPr>
            <xdr:cNvSpPr txBox="1"/>
          </xdr:nvSpPr>
          <xdr:spPr>
            <a:xfrm>
              <a:off x="896471" y="23173765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206189</xdr:colOff>
      <xdr:row>284</xdr:row>
      <xdr:rowOff>107576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39E76254-DD30-48CB-B3D2-77A93D2D8C84}"/>
                </a:ext>
              </a:extLst>
            </xdr:cNvPr>
            <xdr:cNvSpPr txBox="1"/>
          </xdr:nvSpPr>
          <xdr:spPr>
            <a:xfrm>
              <a:off x="815789" y="23648894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39E76254-DD30-48CB-B3D2-77A93D2D8C84}"/>
                </a:ext>
              </a:extLst>
            </xdr:cNvPr>
            <xdr:cNvSpPr txBox="1"/>
          </xdr:nvSpPr>
          <xdr:spPr>
            <a:xfrm>
              <a:off x="815789" y="23648894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284</xdr:row>
      <xdr:rowOff>17929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35820835-E826-4C97-ACDE-B6B0418C3FB5}"/>
                </a:ext>
              </a:extLst>
            </xdr:cNvPr>
            <xdr:cNvSpPr txBox="1"/>
          </xdr:nvSpPr>
          <xdr:spPr>
            <a:xfrm>
              <a:off x="869576" y="23559247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35820835-E826-4C97-ACDE-B6B0418C3FB5}"/>
                </a:ext>
              </a:extLst>
            </xdr:cNvPr>
            <xdr:cNvSpPr txBox="1"/>
          </xdr:nvSpPr>
          <xdr:spPr>
            <a:xfrm>
              <a:off x="869576" y="23559247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251011</xdr:colOff>
      <xdr:row>287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D6E26812-2A35-4948-A1D9-F029ADCD22AE}"/>
                </a:ext>
              </a:extLst>
            </xdr:cNvPr>
            <xdr:cNvSpPr txBox="1"/>
          </xdr:nvSpPr>
          <xdr:spPr>
            <a:xfrm>
              <a:off x="860611" y="24150918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D6E26812-2A35-4948-A1D9-F029ADCD22AE}"/>
                </a:ext>
              </a:extLst>
            </xdr:cNvPr>
            <xdr:cNvSpPr txBox="1"/>
          </xdr:nvSpPr>
          <xdr:spPr>
            <a:xfrm>
              <a:off x="860611" y="24150918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287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8A55824E-A707-464A-BE16-86BD584BE0CB}"/>
                </a:ext>
              </a:extLst>
            </xdr:cNvPr>
            <xdr:cNvSpPr txBox="1"/>
          </xdr:nvSpPr>
          <xdr:spPr>
            <a:xfrm>
              <a:off x="1237130" y="24079200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8A55824E-A707-464A-BE16-86BD584BE0CB}"/>
                </a:ext>
              </a:extLst>
            </xdr:cNvPr>
            <xdr:cNvSpPr txBox="1"/>
          </xdr:nvSpPr>
          <xdr:spPr>
            <a:xfrm>
              <a:off x="1237130" y="24079200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293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66F8AC37-0B7B-45D9-97D1-E82EFA126065}"/>
                </a:ext>
              </a:extLst>
            </xdr:cNvPr>
            <xdr:cNvSpPr txBox="1"/>
          </xdr:nvSpPr>
          <xdr:spPr>
            <a:xfrm>
              <a:off x="1007300" y="25154260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66F8AC37-0B7B-45D9-97D1-E82EFA126065}"/>
                </a:ext>
              </a:extLst>
            </xdr:cNvPr>
            <xdr:cNvSpPr txBox="1"/>
          </xdr:nvSpPr>
          <xdr:spPr>
            <a:xfrm>
              <a:off x="1007300" y="25154260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304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53B2E6A0-277C-48A3-A64A-E91B09E101A1}"/>
                </a:ext>
              </a:extLst>
            </xdr:cNvPr>
            <xdr:cNvSpPr txBox="1"/>
          </xdr:nvSpPr>
          <xdr:spPr>
            <a:xfrm>
              <a:off x="2411505" y="27100306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53B2E6A0-277C-48A3-A64A-E91B09E101A1}"/>
                </a:ext>
              </a:extLst>
            </xdr:cNvPr>
            <xdr:cNvSpPr txBox="1"/>
          </xdr:nvSpPr>
          <xdr:spPr>
            <a:xfrm>
              <a:off x="2411505" y="27100306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304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ADBBA19D-E9B3-4C3A-8A13-BADA49EB96DC}"/>
                </a:ext>
              </a:extLst>
            </xdr:cNvPr>
            <xdr:cNvSpPr txBox="1"/>
          </xdr:nvSpPr>
          <xdr:spPr>
            <a:xfrm>
              <a:off x="3496234" y="27109272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b="0" i="0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ADBBA19D-E9B3-4C3A-8A13-BADA49EB96DC}"/>
                </a:ext>
              </a:extLst>
            </xdr:cNvPr>
            <xdr:cNvSpPr txBox="1"/>
          </xdr:nvSpPr>
          <xdr:spPr>
            <a:xfrm>
              <a:off x="3496234" y="27109272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t-PT" sz="1300" b="0" i="0">
                  <a:latin typeface="Cambria Math" panose="02040503050406030204" pitchFamily="18" charset="0"/>
                </a:rPr>
                <a:t>  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564777</xdr:colOff>
      <xdr:row>304</xdr:row>
      <xdr:rowOff>161365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EB6876E1-50D2-43FB-8941-D1F7E4E69C02}"/>
                </a:ext>
              </a:extLst>
            </xdr:cNvPr>
            <xdr:cNvSpPr txBox="1"/>
          </xdr:nvSpPr>
          <xdr:spPr>
            <a:xfrm>
              <a:off x="5629836" y="27109271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EB6876E1-50D2-43FB-8941-D1F7E4E69C02}"/>
                </a:ext>
              </a:extLst>
            </xdr:cNvPr>
            <xdr:cNvSpPr txBox="1"/>
          </xdr:nvSpPr>
          <xdr:spPr>
            <a:xfrm>
              <a:off x="5629836" y="27109271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latin typeface="Cambria Math" panose="02040503050406030204" pitchFamily="18" charset="0"/>
                </a:rPr>
                <a:t>)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618564</xdr:colOff>
      <xdr:row>304</xdr:row>
      <xdr:rowOff>161365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38BE48D3-5258-4626-B1BF-6C77E7AECA16}"/>
                </a:ext>
              </a:extLst>
            </xdr:cNvPr>
            <xdr:cNvSpPr txBox="1"/>
          </xdr:nvSpPr>
          <xdr:spPr>
            <a:xfrm>
              <a:off x="4903693" y="27109271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 (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38BE48D3-5258-4626-B1BF-6C77E7AECA16}"/>
                </a:ext>
              </a:extLst>
            </xdr:cNvPr>
            <xdr:cNvSpPr txBox="1"/>
          </xdr:nvSpPr>
          <xdr:spPr>
            <a:xfrm>
              <a:off x="4903693" y="27109271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 (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286870</xdr:colOff>
      <xdr:row>281</xdr:row>
      <xdr:rowOff>161365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13D0FD37-7B44-4AA3-AC01-07CA3BCAD314}"/>
                </a:ext>
              </a:extLst>
            </xdr:cNvPr>
            <xdr:cNvSpPr txBox="1"/>
          </xdr:nvSpPr>
          <xdr:spPr>
            <a:xfrm>
              <a:off x="2922494" y="23191694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13D0FD37-7B44-4AA3-AC01-07CA3BCAD314}"/>
                </a:ext>
              </a:extLst>
            </xdr:cNvPr>
            <xdr:cNvSpPr txBox="1"/>
          </xdr:nvSpPr>
          <xdr:spPr>
            <a:xfrm>
              <a:off x="2922494" y="23191694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439270</xdr:colOff>
      <xdr:row>46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517558CE-C142-4FAE-9EFD-BBB5776392A4}"/>
                </a:ext>
              </a:extLst>
            </xdr:cNvPr>
            <xdr:cNvSpPr txBox="1"/>
          </xdr:nvSpPr>
          <xdr:spPr>
            <a:xfrm>
              <a:off x="7117976" y="3021106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96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517558CE-C142-4FAE-9EFD-BBB5776392A4}"/>
                </a:ext>
              </a:extLst>
            </xdr:cNvPr>
            <xdr:cNvSpPr txBox="1"/>
          </xdr:nvSpPr>
          <xdr:spPr>
            <a:xfrm>
              <a:off x="7117976" y="3021106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twoCellAnchor editAs="oneCell">
    <xdr:from>
      <xdr:col>1</xdr:col>
      <xdr:colOff>391886</xdr:colOff>
      <xdr:row>50</xdr:row>
      <xdr:rowOff>0</xdr:rowOff>
    </xdr:from>
    <xdr:to>
      <xdr:col>2</xdr:col>
      <xdr:colOff>668262</xdr:colOff>
      <xdr:row>53</xdr:row>
      <xdr:rowOff>11260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BB61AA0-F01E-4F7A-9EE5-95768F395D49}"/>
                </a:ext>
              </a:extLst>
            </xdr:cNvPr>
            <xdr:cNvSpPr txBox="1"/>
          </xdr:nvSpPr>
          <xdr:spPr>
            <a:xfrm>
              <a:off x="1001486" y="8175171"/>
              <a:ext cx="1005719" cy="501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97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0BB61AA0-F01E-4F7A-9EE5-95768F395D49}"/>
                </a:ext>
              </a:extLst>
            </xdr:cNvPr>
            <xdr:cNvSpPr txBox="1"/>
          </xdr:nvSpPr>
          <xdr:spPr>
            <a:xfrm>
              <a:off x="1001486" y="8175171"/>
              <a:ext cx="1005719" cy="501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twoCellAnchor>
  <xdr:oneCellAnchor>
    <xdr:from>
      <xdr:col>1</xdr:col>
      <xdr:colOff>439270</xdr:colOff>
      <xdr:row>100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6FBDE67E-B7C5-4266-8019-3B96047C1268}"/>
                </a:ext>
              </a:extLst>
            </xdr:cNvPr>
            <xdr:cNvSpPr txBox="1"/>
          </xdr:nvSpPr>
          <xdr:spPr>
            <a:xfrm>
              <a:off x="1048870" y="7787070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02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6FBDE67E-B7C5-4266-8019-3B96047C1268}"/>
                </a:ext>
              </a:extLst>
            </xdr:cNvPr>
            <xdr:cNvSpPr txBox="1"/>
          </xdr:nvSpPr>
          <xdr:spPr>
            <a:xfrm>
              <a:off x="1048870" y="7787070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104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1C6C4B52-0CBC-4497-AC8B-6A54A2E7F8DF}"/>
                </a:ext>
              </a:extLst>
            </xdr:cNvPr>
            <xdr:cNvSpPr txBox="1"/>
          </xdr:nvSpPr>
          <xdr:spPr>
            <a:xfrm>
              <a:off x="1001486" y="8326582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03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1C6C4B52-0CBC-4497-AC8B-6A54A2E7F8DF}"/>
                </a:ext>
              </a:extLst>
            </xdr:cNvPr>
            <xdr:cNvSpPr txBox="1"/>
          </xdr:nvSpPr>
          <xdr:spPr>
            <a:xfrm>
              <a:off x="1001486" y="8326582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twoCellAnchor editAs="oneCell">
    <xdr:from>
      <xdr:col>11</xdr:col>
      <xdr:colOff>75820</xdr:colOff>
      <xdr:row>25</xdr:row>
      <xdr:rowOff>104255</xdr:rowOff>
    </xdr:from>
    <xdr:to>
      <xdr:col>12</xdr:col>
      <xdr:colOff>559368</xdr:colOff>
      <xdr:row>28</xdr:row>
      <xdr:rowOff>39386</xdr:rowOff>
    </xdr:to>
    <xdr:pic>
      <xdr:nvPicPr>
        <xdr:cNvPr id="104" name="Imagem 7">
          <a:extLst>
            <a:ext uri="{FF2B5EF4-FFF2-40B4-BE49-F238E27FC236}">
              <a16:creationId xmlns:a16="http://schemas.microsoft.com/office/drawing/2014/main" id="{75840F41-359D-491A-B607-483444E03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260" y="15435695"/>
          <a:ext cx="1451288" cy="448937"/>
        </a:xfrm>
        <a:prstGeom prst="rect">
          <a:avLst/>
        </a:prstGeom>
      </xdr:spPr>
    </xdr:pic>
    <xdr:clientData/>
  </xdr:twoCellAnchor>
  <xdr:oneCellAnchor>
    <xdr:from>
      <xdr:col>9</xdr:col>
      <xdr:colOff>213871</xdr:colOff>
      <xdr:row>33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A1F98262-5D05-4BC6-964F-9B46CEAA7DAD}"/>
                </a:ext>
              </a:extLst>
            </xdr:cNvPr>
            <xdr:cNvSpPr txBox="1"/>
          </xdr:nvSpPr>
          <xdr:spPr>
            <a:xfrm>
              <a:off x="7071871" y="5785297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05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A1F98262-5D05-4BC6-964F-9B46CEAA7DAD}"/>
                </a:ext>
              </a:extLst>
            </xdr:cNvPr>
            <xdr:cNvSpPr txBox="1"/>
          </xdr:nvSpPr>
          <xdr:spPr>
            <a:xfrm>
              <a:off x="7071871" y="5785297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10</xdr:col>
      <xdr:colOff>246417</xdr:colOff>
      <xdr:row>43</xdr:row>
      <xdr:rowOff>113730</xdr:rowOff>
    </xdr:from>
    <xdr:ext cx="982133" cy="50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ABECC4A1-AA05-4295-A78B-40306FBEE387}"/>
                </a:ext>
              </a:extLst>
            </xdr:cNvPr>
            <xdr:cNvSpPr txBox="1"/>
          </xdr:nvSpPr>
          <xdr:spPr>
            <a:xfrm>
              <a:off x="246417" y="18066450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107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ABECC4A1-AA05-4295-A78B-40306FBEE387}"/>
                </a:ext>
              </a:extLst>
            </xdr:cNvPr>
            <xdr:cNvSpPr txBox="1"/>
          </xdr:nvSpPr>
          <xdr:spPr>
            <a:xfrm>
              <a:off x="246417" y="18066450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11</xdr:col>
      <xdr:colOff>75820</xdr:colOff>
      <xdr:row>79</xdr:row>
      <xdr:rowOff>104255</xdr:rowOff>
    </xdr:from>
    <xdr:ext cx="1452377" cy="435874"/>
    <xdr:pic>
      <xdr:nvPicPr>
        <xdr:cNvPr id="108" name="Imagem 7">
          <a:extLst>
            <a:ext uri="{FF2B5EF4-FFF2-40B4-BE49-F238E27FC236}">
              <a16:creationId xmlns:a16="http://schemas.microsoft.com/office/drawing/2014/main" id="{08CDA651-B06B-4F59-BA11-7FD61B6E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4791" y="4229941"/>
          <a:ext cx="1452377" cy="435874"/>
        </a:xfrm>
        <a:prstGeom prst="rect">
          <a:avLst/>
        </a:prstGeom>
      </xdr:spPr>
    </xdr:pic>
    <xdr:clientData/>
  </xdr:oneCellAnchor>
  <xdr:oneCellAnchor>
    <xdr:from>
      <xdr:col>9</xdr:col>
      <xdr:colOff>213871</xdr:colOff>
      <xdr:row>87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A143D2BF-51E5-4778-8440-AA245F6CCE25}"/>
                </a:ext>
              </a:extLst>
            </xdr:cNvPr>
            <xdr:cNvSpPr txBox="1"/>
          </xdr:nvSpPr>
          <xdr:spPr>
            <a:xfrm>
              <a:off x="7093642" y="5591275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09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A143D2BF-51E5-4778-8440-AA245F6CCE25}"/>
                </a:ext>
              </a:extLst>
            </xdr:cNvPr>
            <xdr:cNvSpPr txBox="1"/>
          </xdr:nvSpPr>
          <xdr:spPr>
            <a:xfrm>
              <a:off x="7093642" y="5591275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10</xdr:col>
      <xdr:colOff>246417</xdr:colOff>
      <xdr:row>97</xdr:row>
      <xdr:rowOff>113730</xdr:rowOff>
    </xdr:from>
    <xdr:ext cx="982133" cy="50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4BED35CD-FAD0-4C0B-B138-5F0B075B0089}"/>
                </a:ext>
              </a:extLst>
            </xdr:cNvPr>
            <xdr:cNvSpPr txBox="1"/>
          </xdr:nvSpPr>
          <xdr:spPr>
            <a:xfrm>
              <a:off x="7735788" y="7276530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110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4BED35CD-FAD0-4C0B-B138-5F0B075B0089}"/>
                </a:ext>
              </a:extLst>
            </xdr:cNvPr>
            <xdr:cNvSpPr txBox="1"/>
          </xdr:nvSpPr>
          <xdr:spPr>
            <a:xfrm>
              <a:off x="7735788" y="7276530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152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8D6D572E-B88D-46D5-86B5-82FA7EF57AF3}"/>
                </a:ext>
              </a:extLst>
            </xdr:cNvPr>
            <xdr:cNvSpPr txBox="1"/>
          </xdr:nvSpPr>
          <xdr:spPr>
            <a:xfrm>
              <a:off x="1048870" y="16758877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11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8D6D572E-B88D-46D5-86B5-82FA7EF57AF3}"/>
                </a:ext>
              </a:extLst>
            </xdr:cNvPr>
            <xdr:cNvSpPr txBox="1"/>
          </xdr:nvSpPr>
          <xdr:spPr>
            <a:xfrm>
              <a:off x="1048870" y="16758877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156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3B407E17-BE85-419B-BF2B-415493DACA7E}"/>
                </a:ext>
              </a:extLst>
            </xdr:cNvPr>
            <xdr:cNvSpPr txBox="1"/>
          </xdr:nvSpPr>
          <xdr:spPr>
            <a:xfrm>
              <a:off x="1001486" y="17308286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12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3B407E17-BE85-419B-BF2B-415493DACA7E}"/>
                </a:ext>
              </a:extLst>
            </xdr:cNvPr>
            <xdr:cNvSpPr txBox="1"/>
          </xdr:nvSpPr>
          <xdr:spPr>
            <a:xfrm>
              <a:off x="1001486" y="17308286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75820</xdr:colOff>
      <xdr:row>134</xdr:row>
      <xdr:rowOff>104255</xdr:rowOff>
    </xdr:from>
    <xdr:ext cx="1452377" cy="435874"/>
    <xdr:pic>
      <xdr:nvPicPr>
        <xdr:cNvPr id="116" name="Imagem 7">
          <a:extLst>
            <a:ext uri="{FF2B5EF4-FFF2-40B4-BE49-F238E27FC236}">
              <a16:creationId xmlns:a16="http://schemas.microsoft.com/office/drawing/2014/main" id="{534CE164-AEDF-4250-99FC-DDE66CF1A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420" y="13210655"/>
          <a:ext cx="1452377" cy="435874"/>
        </a:xfrm>
        <a:prstGeom prst="rect">
          <a:avLst/>
        </a:prstGeom>
      </xdr:spPr>
    </xdr:pic>
    <xdr:clientData/>
  </xdr:oneCellAnchor>
  <xdr:oneCellAnchor>
    <xdr:from>
      <xdr:col>9</xdr:col>
      <xdr:colOff>213871</xdr:colOff>
      <xdr:row>142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FD49B40-B2D3-45A4-A9D4-2882D9CBD904}"/>
                </a:ext>
              </a:extLst>
            </xdr:cNvPr>
            <xdr:cNvSpPr txBox="1"/>
          </xdr:nvSpPr>
          <xdr:spPr>
            <a:xfrm>
              <a:off x="7224271" y="14571989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17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7FD49B40-B2D3-45A4-A9D4-2882D9CBD904}"/>
                </a:ext>
              </a:extLst>
            </xdr:cNvPr>
            <xdr:cNvSpPr txBox="1"/>
          </xdr:nvSpPr>
          <xdr:spPr>
            <a:xfrm>
              <a:off x="7224271" y="14571989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10</xdr:col>
      <xdr:colOff>246417</xdr:colOff>
      <xdr:row>152</xdr:row>
      <xdr:rowOff>113730</xdr:rowOff>
    </xdr:from>
    <xdr:ext cx="982133" cy="50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1F68B0C6-5717-4AD9-B20E-CD944A714AE3}"/>
                </a:ext>
              </a:extLst>
            </xdr:cNvPr>
            <xdr:cNvSpPr txBox="1"/>
          </xdr:nvSpPr>
          <xdr:spPr>
            <a:xfrm>
              <a:off x="7866417" y="16257244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118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1F68B0C6-5717-4AD9-B20E-CD944A714AE3}"/>
                </a:ext>
              </a:extLst>
            </xdr:cNvPr>
            <xdr:cNvSpPr txBox="1"/>
          </xdr:nvSpPr>
          <xdr:spPr>
            <a:xfrm>
              <a:off x="7866417" y="16257244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206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4EF22821-387D-4188-A3EC-FA3E4C4294D4}"/>
                </a:ext>
              </a:extLst>
            </xdr:cNvPr>
            <xdr:cNvSpPr txBox="1"/>
          </xdr:nvSpPr>
          <xdr:spPr>
            <a:xfrm>
              <a:off x="1048870" y="25413020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19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4EF22821-387D-4188-A3EC-FA3E4C4294D4}"/>
                </a:ext>
              </a:extLst>
            </xdr:cNvPr>
            <xdr:cNvSpPr txBox="1"/>
          </xdr:nvSpPr>
          <xdr:spPr>
            <a:xfrm>
              <a:off x="1048870" y="25413020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210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E139A916-3D94-4765-8E40-8E30B1CF3F3F}"/>
                </a:ext>
              </a:extLst>
            </xdr:cNvPr>
            <xdr:cNvSpPr txBox="1"/>
          </xdr:nvSpPr>
          <xdr:spPr>
            <a:xfrm>
              <a:off x="1001486" y="25962429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20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E139A916-3D94-4765-8E40-8E30B1CF3F3F}"/>
                </a:ext>
              </a:extLst>
            </xdr:cNvPr>
            <xdr:cNvSpPr txBox="1"/>
          </xdr:nvSpPr>
          <xdr:spPr>
            <a:xfrm>
              <a:off x="1001486" y="25962429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75820</xdr:colOff>
      <xdr:row>185</xdr:row>
      <xdr:rowOff>104255</xdr:rowOff>
    </xdr:from>
    <xdr:ext cx="1452377" cy="435874"/>
    <xdr:pic>
      <xdr:nvPicPr>
        <xdr:cNvPr id="121" name="Imagem 7">
          <a:extLst>
            <a:ext uri="{FF2B5EF4-FFF2-40B4-BE49-F238E27FC236}">
              <a16:creationId xmlns:a16="http://schemas.microsoft.com/office/drawing/2014/main" id="{85AED158-77B1-4A6A-814D-2BBD567CD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420" y="22354655"/>
          <a:ext cx="1452377" cy="435874"/>
        </a:xfrm>
        <a:prstGeom prst="rect">
          <a:avLst/>
        </a:prstGeom>
      </xdr:spPr>
    </xdr:pic>
    <xdr:clientData/>
  </xdr:oneCellAnchor>
  <xdr:oneCellAnchor>
    <xdr:from>
      <xdr:col>9</xdr:col>
      <xdr:colOff>213871</xdr:colOff>
      <xdr:row>193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5DF7484-47BE-4DFA-86A7-2C56AF898803}"/>
                </a:ext>
              </a:extLst>
            </xdr:cNvPr>
            <xdr:cNvSpPr txBox="1"/>
          </xdr:nvSpPr>
          <xdr:spPr>
            <a:xfrm>
              <a:off x="7224271" y="23715989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22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B5DF7484-47BE-4DFA-86A7-2C56AF898803}"/>
                </a:ext>
              </a:extLst>
            </xdr:cNvPr>
            <xdr:cNvSpPr txBox="1"/>
          </xdr:nvSpPr>
          <xdr:spPr>
            <a:xfrm>
              <a:off x="7224271" y="23715989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10</xdr:col>
      <xdr:colOff>246417</xdr:colOff>
      <xdr:row>203</xdr:row>
      <xdr:rowOff>113730</xdr:rowOff>
    </xdr:from>
    <xdr:ext cx="982133" cy="50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D4ED05D-C3D1-48B6-8326-E7B8DB1756ED}"/>
                </a:ext>
              </a:extLst>
            </xdr:cNvPr>
            <xdr:cNvSpPr txBox="1"/>
          </xdr:nvSpPr>
          <xdr:spPr>
            <a:xfrm>
              <a:off x="7866417" y="25401244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123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CD4ED05D-C3D1-48B6-8326-E7B8DB1756ED}"/>
                </a:ext>
              </a:extLst>
            </xdr:cNvPr>
            <xdr:cNvSpPr txBox="1"/>
          </xdr:nvSpPr>
          <xdr:spPr>
            <a:xfrm>
              <a:off x="7866417" y="25401244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259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83FFF38D-3792-4471-9EC6-45D606A24C64}"/>
                </a:ext>
              </a:extLst>
            </xdr:cNvPr>
            <xdr:cNvSpPr txBox="1"/>
          </xdr:nvSpPr>
          <xdr:spPr>
            <a:xfrm>
              <a:off x="1048870" y="34393735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24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83FFF38D-3792-4471-9EC6-45D606A24C64}"/>
                </a:ext>
              </a:extLst>
            </xdr:cNvPr>
            <xdr:cNvSpPr txBox="1"/>
          </xdr:nvSpPr>
          <xdr:spPr>
            <a:xfrm>
              <a:off x="1048870" y="34393735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263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5C0482FF-9CE5-42B7-99CC-0F8A321F0152}"/>
                </a:ext>
              </a:extLst>
            </xdr:cNvPr>
            <xdr:cNvSpPr txBox="1"/>
          </xdr:nvSpPr>
          <xdr:spPr>
            <a:xfrm>
              <a:off x="1001486" y="34943143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25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5C0482FF-9CE5-42B7-99CC-0F8A321F0152}"/>
                </a:ext>
              </a:extLst>
            </xdr:cNvPr>
            <xdr:cNvSpPr txBox="1"/>
          </xdr:nvSpPr>
          <xdr:spPr>
            <a:xfrm>
              <a:off x="1001486" y="34943143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75820</xdr:colOff>
      <xdr:row>239</xdr:row>
      <xdr:rowOff>104255</xdr:rowOff>
    </xdr:from>
    <xdr:ext cx="1452377" cy="435874"/>
    <xdr:pic>
      <xdr:nvPicPr>
        <xdr:cNvPr id="126" name="Imagem 7">
          <a:extLst>
            <a:ext uri="{FF2B5EF4-FFF2-40B4-BE49-F238E27FC236}">
              <a16:creationId xmlns:a16="http://schemas.microsoft.com/office/drawing/2014/main" id="{A2A1C1F2-92F8-4FBB-9A2C-0680BE63D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420" y="30845512"/>
          <a:ext cx="1452377" cy="435874"/>
        </a:xfrm>
        <a:prstGeom prst="rect">
          <a:avLst/>
        </a:prstGeom>
      </xdr:spPr>
    </xdr:pic>
    <xdr:clientData/>
  </xdr:oneCellAnchor>
  <xdr:oneCellAnchor>
    <xdr:from>
      <xdr:col>9</xdr:col>
      <xdr:colOff>213871</xdr:colOff>
      <xdr:row>247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DC15B7C6-489E-47DA-8D2B-8DD76D397E5A}"/>
                </a:ext>
              </a:extLst>
            </xdr:cNvPr>
            <xdr:cNvSpPr txBox="1"/>
          </xdr:nvSpPr>
          <xdr:spPr>
            <a:xfrm>
              <a:off x="7224271" y="32206846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27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DC15B7C6-489E-47DA-8D2B-8DD76D397E5A}"/>
                </a:ext>
              </a:extLst>
            </xdr:cNvPr>
            <xdr:cNvSpPr txBox="1"/>
          </xdr:nvSpPr>
          <xdr:spPr>
            <a:xfrm>
              <a:off x="7224271" y="32206846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10</xdr:col>
      <xdr:colOff>246417</xdr:colOff>
      <xdr:row>257</xdr:row>
      <xdr:rowOff>113730</xdr:rowOff>
    </xdr:from>
    <xdr:ext cx="982133" cy="50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E520D27D-39AE-4A7F-A29C-CC2C53E8C14C}"/>
                </a:ext>
              </a:extLst>
            </xdr:cNvPr>
            <xdr:cNvSpPr txBox="1"/>
          </xdr:nvSpPr>
          <xdr:spPr>
            <a:xfrm>
              <a:off x="7866417" y="33892101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128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E520D27D-39AE-4A7F-A29C-CC2C53E8C14C}"/>
                </a:ext>
              </a:extLst>
            </xdr:cNvPr>
            <xdr:cNvSpPr txBox="1"/>
          </xdr:nvSpPr>
          <xdr:spPr>
            <a:xfrm>
              <a:off x="7866417" y="33892101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314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BF851EA-1788-46AA-85CF-77B8E27D5939}"/>
                </a:ext>
              </a:extLst>
            </xdr:cNvPr>
            <xdr:cNvSpPr txBox="1"/>
          </xdr:nvSpPr>
          <xdr:spPr>
            <a:xfrm>
              <a:off x="1048870" y="43211163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29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0BF851EA-1788-46AA-85CF-77B8E27D5939}"/>
                </a:ext>
              </a:extLst>
            </xdr:cNvPr>
            <xdr:cNvSpPr txBox="1"/>
          </xdr:nvSpPr>
          <xdr:spPr>
            <a:xfrm>
              <a:off x="1048870" y="43211163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318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E3D97BAF-F17A-45AA-8DE4-ABC9C188E8BB}"/>
                </a:ext>
              </a:extLst>
            </xdr:cNvPr>
            <xdr:cNvSpPr txBox="1"/>
          </xdr:nvSpPr>
          <xdr:spPr>
            <a:xfrm>
              <a:off x="1001486" y="43760571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30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E3D97BAF-F17A-45AA-8DE4-ABC9C188E8BB}"/>
                </a:ext>
              </a:extLst>
            </xdr:cNvPr>
            <xdr:cNvSpPr txBox="1"/>
          </xdr:nvSpPr>
          <xdr:spPr>
            <a:xfrm>
              <a:off x="1001486" y="43760571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75820</xdr:colOff>
      <xdr:row>294</xdr:row>
      <xdr:rowOff>104255</xdr:rowOff>
    </xdr:from>
    <xdr:ext cx="1452377" cy="435874"/>
    <xdr:pic>
      <xdr:nvPicPr>
        <xdr:cNvPr id="131" name="Imagem 7">
          <a:extLst>
            <a:ext uri="{FF2B5EF4-FFF2-40B4-BE49-F238E27FC236}">
              <a16:creationId xmlns:a16="http://schemas.microsoft.com/office/drawing/2014/main" id="{68123EE4-9B05-45A8-B412-42B5349E2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420" y="39826226"/>
          <a:ext cx="1452377" cy="435874"/>
        </a:xfrm>
        <a:prstGeom prst="rect">
          <a:avLst/>
        </a:prstGeom>
      </xdr:spPr>
    </xdr:pic>
    <xdr:clientData/>
  </xdr:oneCellAnchor>
  <xdr:oneCellAnchor>
    <xdr:from>
      <xdr:col>9</xdr:col>
      <xdr:colOff>213871</xdr:colOff>
      <xdr:row>302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2A48DF2D-4536-42BF-AFE9-77AC331DC302}"/>
                </a:ext>
              </a:extLst>
            </xdr:cNvPr>
            <xdr:cNvSpPr txBox="1"/>
          </xdr:nvSpPr>
          <xdr:spPr>
            <a:xfrm>
              <a:off x="7224271" y="41187561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32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2A48DF2D-4536-42BF-AFE9-77AC331DC302}"/>
                </a:ext>
              </a:extLst>
            </xdr:cNvPr>
            <xdr:cNvSpPr txBox="1"/>
          </xdr:nvSpPr>
          <xdr:spPr>
            <a:xfrm>
              <a:off x="7224271" y="41187561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10</xdr:col>
      <xdr:colOff>246417</xdr:colOff>
      <xdr:row>312</xdr:row>
      <xdr:rowOff>113730</xdr:rowOff>
    </xdr:from>
    <xdr:ext cx="982133" cy="50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D50468F3-C747-477A-B540-781260D9D37E}"/>
                </a:ext>
              </a:extLst>
            </xdr:cNvPr>
            <xdr:cNvSpPr txBox="1"/>
          </xdr:nvSpPr>
          <xdr:spPr>
            <a:xfrm>
              <a:off x="7866417" y="42872816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133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D50468F3-C747-477A-B540-781260D9D37E}"/>
                </a:ext>
              </a:extLst>
            </xdr:cNvPr>
            <xdr:cNvSpPr txBox="1"/>
          </xdr:nvSpPr>
          <xdr:spPr>
            <a:xfrm>
              <a:off x="7866417" y="42872816"/>
              <a:ext cx="982133" cy="5080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213360</xdr:colOff>
      <xdr:row>4</xdr:row>
      <xdr:rowOff>160020</xdr:rowOff>
    </xdr:from>
    <xdr:ext cx="335280" cy="407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F2DD39-0CD4-467D-ABF0-E4D506DAE5F0}"/>
                </a:ext>
              </a:extLst>
            </xdr:cNvPr>
            <xdr:cNvSpPr txBox="1"/>
          </xdr:nvSpPr>
          <xdr:spPr>
            <a:xfrm>
              <a:off x="822960" y="830580"/>
              <a:ext cx="335280" cy="407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pt-PT" sz="1300" b="0"/>
            </a:p>
            <a:p>
              <a:endParaRPr lang="pt-PT" sz="13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F2DD39-0CD4-467D-ABF0-E4D506DAE5F0}"/>
                </a:ext>
              </a:extLst>
            </xdr:cNvPr>
            <xdr:cNvSpPr txBox="1"/>
          </xdr:nvSpPr>
          <xdr:spPr>
            <a:xfrm>
              <a:off x="822960" y="830580"/>
              <a:ext cx="335280" cy="407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𝑦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 </a:t>
              </a:r>
              <a:endParaRPr lang="pt-PT" sz="1300" b="0"/>
            </a:p>
            <a:p>
              <a:pPr/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175260</xdr:colOff>
      <xdr:row>6</xdr:row>
      <xdr:rowOff>144780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D524EBB-94B5-4603-A486-AC1F18C37382}"/>
                </a:ext>
              </a:extLst>
            </xdr:cNvPr>
            <xdr:cNvSpPr txBox="1"/>
          </xdr:nvSpPr>
          <xdr:spPr>
            <a:xfrm>
              <a:off x="784860" y="1150620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3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PT" sz="13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acc>
                        <m:accPr>
                          <m:chr m:val="̅"/>
                          <m:ctrlPr>
                            <a:rPr lang="pt-PT" sz="13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pt-PT" sz="13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acc>
                    </m:e>
                    <m:sup>
                      <m:r>
                        <a:rPr lang="pt-PT" sz="13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t-PT" sz="1300"/>
                <a:t> =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D524EBB-94B5-4603-A486-AC1F18C37382}"/>
                </a:ext>
              </a:extLst>
            </xdr:cNvPr>
            <xdr:cNvSpPr txBox="1"/>
          </xdr:nvSpPr>
          <xdr:spPr>
            <a:xfrm>
              <a:off x="784860" y="1150620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̅〗^2</a:t>
              </a:r>
              <a:r>
                <a:rPr lang="pt-PT" sz="1300"/>
                <a:t> =</a:t>
              </a:r>
            </a:p>
          </xdr:txBody>
        </xdr:sp>
      </mc:Fallback>
    </mc:AlternateContent>
    <xdr:clientData/>
  </xdr:oneCellAnchor>
  <xdr:oneCellAnchor>
    <xdr:from>
      <xdr:col>5</xdr:col>
      <xdr:colOff>121920</xdr:colOff>
      <xdr:row>5</xdr:row>
      <xdr:rowOff>114300</xdr:rowOff>
    </xdr:from>
    <xdr:ext cx="378101" cy="322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349230-D53C-4E33-ACFB-D4B77811D6AB}"/>
                </a:ext>
              </a:extLst>
            </xdr:cNvPr>
            <xdr:cNvSpPr txBox="1"/>
          </xdr:nvSpPr>
          <xdr:spPr>
            <a:xfrm>
              <a:off x="3169920" y="952500"/>
              <a:ext cx="378101" cy="3228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𝑦𝑦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349230-D53C-4E33-ACFB-D4B77811D6AB}"/>
                </a:ext>
              </a:extLst>
            </xdr:cNvPr>
            <xdr:cNvSpPr txBox="1"/>
          </xdr:nvSpPr>
          <xdr:spPr>
            <a:xfrm>
              <a:off x="3169920" y="952500"/>
              <a:ext cx="378101" cy="3228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𝑦𝑦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228600</xdr:colOff>
      <xdr:row>5</xdr:row>
      <xdr:rowOff>22860</xdr:rowOff>
    </xdr:from>
    <xdr:ext cx="1721052" cy="475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8DACADD-A576-4D38-839A-346C295ADF6C}"/>
                </a:ext>
              </a:extLst>
            </xdr:cNvPr>
            <xdr:cNvSpPr txBox="1"/>
          </xdr:nvSpPr>
          <xdr:spPr>
            <a:xfrm>
              <a:off x="3276600" y="861060"/>
              <a:ext cx="1721052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 =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8DACADD-A576-4D38-839A-346C295ADF6C}"/>
                </a:ext>
              </a:extLst>
            </xdr:cNvPr>
            <xdr:cNvSpPr txBox="1"/>
          </xdr:nvSpPr>
          <xdr:spPr>
            <a:xfrm>
              <a:off x="3276600" y="861060"/>
              <a:ext cx="1721052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 ̅𝑖 −𝑦</a:t>
              </a:r>
              <a:r>
                <a:rPr lang="pt-PT" sz="1100" b="0" i="0">
                  <a:latin typeface="Cambria Math" panose="02040503050406030204" pitchFamily="18" charset="0"/>
                </a:rPr>
                <a:t>)〗^2    = 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329005</xdr:colOff>
      <xdr:row>13</xdr:row>
      <xdr:rowOff>151280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1C884BC-38C8-4055-BB56-4B508CC64C6E}"/>
                </a:ext>
              </a:extLst>
            </xdr:cNvPr>
            <xdr:cNvSpPr txBox="1"/>
          </xdr:nvSpPr>
          <xdr:spPr>
            <a:xfrm>
              <a:off x="938605" y="2162960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1C884BC-38C8-4055-BB56-4B508CC64C6E}"/>
                </a:ext>
              </a:extLst>
            </xdr:cNvPr>
            <xdr:cNvSpPr txBox="1"/>
          </xdr:nvSpPr>
          <xdr:spPr>
            <a:xfrm>
              <a:off x="938605" y="2162960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235323</xdr:colOff>
      <xdr:row>16</xdr:row>
      <xdr:rowOff>112956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5DF0A98-780E-4224-87E2-22CCD0DA7F35}"/>
                </a:ext>
              </a:extLst>
            </xdr:cNvPr>
            <xdr:cNvSpPr txBox="1"/>
          </xdr:nvSpPr>
          <xdr:spPr>
            <a:xfrm>
              <a:off x="844923" y="262755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5DF0A98-780E-4224-87E2-22CCD0DA7F35}"/>
                </a:ext>
              </a:extLst>
            </xdr:cNvPr>
            <xdr:cNvSpPr txBox="1"/>
          </xdr:nvSpPr>
          <xdr:spPr>
            <a:xfrm>
              <a:off x="844923" y="262755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448234</xdr:colOff>
      <xdr:row>16</xdr:row>
      <xdr:rowOff>11144</xdr:rowOff>
    </xdr:from>
    <xdr:ext cx="1762461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343B7CE-C34E-4A3A-9A9C-53BAB934ED50}"/>
                </a:ext>
              </a:extLst>
            </xdr:cNvPr>
            <xdr:cNvSpPr txBox="1"/>
          </xdr:nvSpPr>
          <xdr:spPr>
            <a:xfrm>
              <a:off x="1057834" y="2525744"/>
              <a:ext cx="1762461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343B7CE-C34E-4A3A-9A9C-53BAB934ED50}"/>
                </a:ext>
              </a:extLst>
            </xdr:cNvPr>
            <xdr:cNvSpPr txBox="1"/>
          </xdr:nvSpPr>
          <xdr:spPr>
            <a:xfrm>
              <a:off x="1057834" y="2525744"/>
              <a:ext cx="1762461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160020</xdr:colOff>
      <xdr:row>20</xdr:row>
      <xdr:rowOff>99060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70B5EDE-2B28-4692-8E5D-FDDA0D393BA2}"/>
                </a:ext>
              </a:extLst>
            </xdr:cNvPr>
            <xdr:cNvSpPr txBox="1"/>
          </xdr:nvSpPr>
          <xdr:spPr>
            <a:xfrm>
              <a:off x="769620" y="3284220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70B5EDE-2B28-4692-8E5D-FDDA0D393BA2}"/>
                </a:ext>
              </a:extLst>
            </xdr:cNvPr>
            <xdr:cNvSpPr txBox="1"/>
          </xdr:nvSpPr>
          <xdr:spPr>
            <a:xfrm>
              <a:off x="769620" y="3284220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4</xdr:col>
      <xdr:colOff>181087</xdr:colOff>
      <xdr:row>13</xdr:row>
      <xdr:rowOff>152400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4BBB4DC-45F0-4E22-B21A-CCE520607474}"/>
                </a:ext>
              </a:extLst>
            </xdr:cNvPr>
            <xdr:cNvSpPr txBox="1"/>
          </xdr:nvSpPr>
          <xdr:spPr>
            <a:xfrm>
              <a:off x="2817607" y="2164080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4BBB4DC-45F0-4E22-B21A-CCE520607474}"/>
                </a:ext>
              </a:extLst>
            </xdr:cNvPr>
            <xdr:cNvSpPr txBox="1"/>
          </xdr:nvSpPr>
          <xdr:spPr>
            <a:xfrm>
              <a:off x="2817607" y="2164080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323557</xdr:colOff>
      <xdr:row>20</xdr:row>
      <xdr:rowOff>49823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AD61277-AACF-4E82-AE06-78F964BD05BB}"/>
                </a:ext>
              </a:extLst>
            </xdr:cNvPr>
            <xdr:cNvSpPr txBox="1"/>
          </xdr:nvSpPr>
          <xdr:spPr>
            <a:xfrm>
              <a:off x="933157" y="3234983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𝑦𝑖</m:t>
                            </m:r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AD61277-AACF-4E82-AE06-78F964BD05BB}"/>
                </a:ext>
              </a:extLst>
            </xdr:cNvPr>
            <xdr:cNvSpPr txBox="1"/>
          </xdr:nvSpPr>
          <xdr:spPr>
            <a:xfrm>
              <a:off x="933157" y="3234983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̅𝑖)〗^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27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A564832-45AA-4762-8203-66B5FFAB8D73}"/>
                </a:ext>
              </a:extLst>
            </xdr:cNvPr>
            <xdr:cNvSpPr txBox="1"/>
          </xdr:nvSpPr>
          <xdr:spPr>
            <a:xfrm>
              <a:off x="1007300" y="443861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A564832-45AA-4762-8203-66B5FFAB8D73}"/>
                </a:ext>
              </a:extLst>
            </xdr:cNvPr>
            <xdr:cNvSpPr txBox="1"/>
          </xdr:nvSpPr>
          <xdr:spPr>
            <a:xfrm>
              <a:off x="1007300" y="443861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568361</xdr:colOff>
      <xdr:row>38</xdr:row>
      <xdr:rowOff>144780</xdr:rowOff>
    </xdr:from>
    <xdr:ext cx="803239" cy="220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BE5D959-A7B4-4D2E-BD9B-17C4F10B86B6}"/>
                </a:ext>
              </a:extLst>
            </xdr:cNvPr>
            <xdr:cNvSpPr txBox="1"/>
          </xdr:nvSpPr>
          <xdr:spPr>
            <a:xfrm>
              <a:off x="2397161" y="6515100"/>
              <a:ext cx="803239" cy="220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BE5D959-A7B4-4D2E-BD9B-17C4F10B86B6}"/>
                </a:ext>
              </a:extLst>
            </xdr:cNvPr>
            <xdr:cNvSpPr txBox="1"/>
          </xdr:nvSpPr>
          <xdr:spPr>
            <a:xfrm>
              <a:off x="2397161" y="6515100"/>
              <a:ext cx="803239" cy="220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38</xdr:row>
      <xdr:rowOff>146126</xdr:rowOff>
    </xdr:from>
    <xdr:ext cx="968189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626AC73-1B16-4D07-94E6-51E7959F3CC5}"/>
                </a:ext>
              </a:extLst>
            </xdr:cNvPr>
            <xdr:cNvSpPr txBox="1"/>
          </xdr:nvSpPr>
          <xdr:spPr>
            <a:xfrm>
              <a:off x="3083858" y="6516446"/>
              <a:ext cx="968189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15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5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15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15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626AC73-1B16-4D07-94E6-51E7959F3CC5}"/>
                </a:ext>
              </a:extLst>
            </xdr:cNvPr>
            <xdr:cNvSpPr txBox="1"/>
          </xdr:nvSpPr>
          <xdr:spPr>
            <a:xfrm>
              <a:off x="3083858" y="6516446"/>
              <a:ext cx="968189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50" i="0">
                  <a:latin typeface="Cambria Math" panose="02040503050406030204" pitchFamily="18" charset="0"/>
                </a:rPr>
                <a:t>𝛾</a:t>
              </a:r>
              <a:r>
                <a:rPr lang="pt-PT" sz="115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150" i="0">
                  <a:latin typeface="Cambria Math" panose="02040503050406030204" pitchFamily="18" charset="0"/>
                </a:rPr>
                <a:t>=</a:t>
              </a:r>
              <a:endParaRPr lang="pt-PT" sz="1150"/>
            </a:p>
          </xdr:txBody>
        </xdr:sp>
      </mc:Fallback>
    </mc:AlternateContent>
    <xdr:clientData/>
  </xdr:oneCellAnchor>
  <xdr:oneCellAnchor>
    <xdr:from>
      <xdr:col>7</xdr:col>
      <xdr:colOff>762001</xdr:colOff>
      <xdr:row>38</xdr:row>
      <xdr:rowOff>152400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D123F02-E3DC-447C-AA37-67C737629DE6}"/>
                </a:ext>
              </a:extLst>
            </xdr:cNvPr>
            <xdr:cNvSpPr txBox="1"/>
          </xdr:nvSpPr>
          <xdr:spPr>
            <a:xfrm>
              <a:off x="5890261" y="6355080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/>
                <a:t>)</a:t>
              </a:r>
              <a14:m>
                <m:oMath xmlns:m="http://schemas.openxmlformats.org/officeDocument/2006/math">
                  <m:r>
                    <a:rPr lang="pt-PT" sz="130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endParaRPr lang="pt-PT" sz="13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D123F02-E3DC-447C-AA37-67C737629DE6}"/>
                </a:ext>
              </a:extLst>
            </xdr:cNvPr>
            <xdr:cNvSpPr txBox="1"/>
          </xdr:nvSpPr>
          <xdr:spPr>
            <a:xfrm>
              <a:off x="5890261" y="6355080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/>
                <a:t>)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553570</xdr:colOff>
      <xdr:row>38</xdr:row>
      <xdr:rowOff>144781</xdr:rowOff>
    </xdr:from>
    <xdr:ext cx="307490" cy="204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455A60-A0DC-4C71-B0D3-D05C27C95748}"/>
                </a:ext>
              </a:extLst>
            </xdr:cNvPr>
            <xdr:cNvSpPr txBox="1"/>
          </xdr:nvSpPr>
          <xdr:spPr>
            <a:xfrm>
              <a:off x="4157830" y="6515101"/>
              <a:ext cx="307490" cy="20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+(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455A60-A0DC-4C71-B0D3-D05C27C95748}"/>
                </a:ext>
              </a:extLst>
            </xdr:cNvPr>
            <xdr:cNvSpPr txBox="1"/>
          </xdr:nvSpPr>
          <xdr:spPr>
            <a:xfrm>
              <a:off x="4157830" y="6515101"/>
              <a:ext cx="307490" cy="20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+(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358588</xdr:colOff>
      <xdr:row>66</xdr:row>
      <xdr:rowOff>161364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7104D4E-1BB2-4AC6-B7AF-7BD13235D0EF}"/>
                </a:ext>
              </a:extLst>
            </xdr:cNvPr>
            <xdr:cNvSpPr txBox="1"/>
          </xdr:nvSpPr>
          <xdr:spPr>
            <a:xfrm>
              <a:off x="968188" y="7545144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7104D4E-1BB2-4AC6-B7AF-7BD13235D0EF}"/>
                </a:ext>
              </a:extLst>
            </xdr:cNvPr>
            <xdr:cNvSpPr txBox="1"/>
          </xdr:nvSpPr>
          <xdr:spPr>
            <a:xfrm>
              <a:off x="968188" y="7545144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70</xdr:row>
      <xdr:rowOff>0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3A1DC5D-5324-4BD2-95F1-2E5FDF2C1ADE}"/>
                </a:ext>
              </a:extLst>
            </xdr:cNvPr>
            <xdr:cNvSpPr txBox="1"/>
          </xdr:nvSpPr>
          <xdr:spPr>
            <a:xfrm>
              <a:off x="869576" y="8054340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3A1DC5D-5324-4BD2-95F1-2E5FDF2C1ADE}"/>
                </a:ext>
              </a:extLst>
            </xdr:cNvPr>
            <xdr:cNvSpPr txBox="1"/>
          </xdr:nvSpPr>
          <xdr:spPr>
            <a:xfrm>
              <a:off x="869576" y="8054340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259977</xdr:colOff>
      <xdr:row>70</xdr:row>
      <xdr:rowOff>98612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C9E5B94-F354-4C9A-A63E-56AA86C83FB2}"/>
                </a:ext>
              </a:extLst>
            </xdr:cNvPr>
            <xdr:cNvSpPr txBox="1"/>
          </xdr:nvSpPr>
          <xdr:spPr>
            <a:xfrm>
              <a:off x="869577" y="8152952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C9E5B94-F354-4C9A-A63E-56AA86C83FB2}"/>
                </a:ext>
              </a:extLst>
            </xdr:cNvPr>
            <xdr:cNvSpPr txBox="1"/>
          </xdr:nvSpPr>
          <xdr:spPr>
            <a:xfrm>
              <a:off x="869577" y="8152952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4</xdr:col>
      <xdr:colOff>295836</xdr:colOff>
      <xdr:row>66</xdr:row>
      <xdr:rowOff>143435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BBB6284-26C0-4DBA-9726-8B78476D59D1}"/>
                </a:ext>
              </a:extLst>
            </xdr:cNvPr>
            <xdr:cNvSpPr txBox="1"/>
          </xdr:nvSpPr>
          <xdr:spPr>
            <a:xfrm>
              <a:off x="2932356" y="752721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BBB6284-26C0-4DBA-9726-8B78476D59D1}"/>
                </a:ext>
              </a:extLst>
            </xdr:cNvPr>
            <xdr:cNvSpPr txBox="1"/>
          </xdr:nvSpPr>
          <xdr:spPr>
            <a:xfrm>
              <a:off x="2932356" y="752721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251011</xdr:colOff>
      <xdr:row>74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38B1D92-F31A-4E1E-8550-02FB501CC997}"/>
                </a:ext>
              </a:extLst>
            </xdr:cNvPr>
            <xdr:cNvSpPr txBox="1"/>
          </xdr:nvSpPr>
          <xdr:spPr>
            <a:xfrm>
              <a:off x="860611" y="882351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38B1D92-F31A-4E1E-8550-02FB501CC997}"/>
                </a:ext>
              </a:extLst>
            </xdr:cNvPr>
            <xdr:cNvSpPr txBox="1"/>
          </xdr:nvSpPr>
          <xdr:spPr>
            <a:xfrm>
              <a:off x="860611" y="882351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74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4C6BBDF-FB9D-4916-9FA3-7D82F65BBB9A}"/>
                </a:ext>
              </a:extLst>
            </xdr:cNvPr>
            <xdr:cNvSpPr txBox="1"/>
          </xdr:nvSpPr>
          <xdr:spPr>
            <a:xfrm>
              <a:off x="1237130" y="875179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4C6BBDF-FB9D-4916-9FA3-7D82F65BBB9A}"/>
                </a:ext>
              </a:extLst>
            </xdr:cNvPr>
            <xdr:cNvSpPr txBox="1"/>
          </xdr:nvSpPr>
          <xdr:spPr>
            <a:xfrm>
              <a:off x="1237130" y="875179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81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B0CF714-15EF-4B83-99DA-A9D2D7B9A47F}"/>
                </a:ext>
              </a:extLst>
            </xdr:cNvPr>
            <xdr:cNvSpPr txBox="1"/>
          </xdr:nvSpPr>
          <xdr:spPr>
            <a:xfrm>
              <a:off x="1007300" y="997835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B0CF714-15EF-4B83-99DA-A9D2D7B9A47F}"/>
                </a:ext>
              </a:extLst>
            </xdr:cNvPr>
            <xdr:cNvSpPr txBox="1"/>
          </xdr:nvSpPr>
          <xdr:spPr>
            <a:xfrm>
              <a:off x="1007300" y="997835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548640</xdr:colOff>
      <xdr:row>92</xdr:row>
      <xdr:rowOff>137160</xdr:rowOff>
    </xdr:from>
    <xdr:ext cx="888850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22C35AE-F977-4E16-8F35-55055451844F}"/>
                </a:ext>
              </a:extLst>
            </xdr:cNvPr>
            <xdr:cNvSpPr txBox="1"/>
          </xdr:nvSpPr>
          <xdr:spPr>
            <a:xfrm>
              <a:off x="2377440" y="11879580"/>
              <a:ext cx="888850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22C35AE-F977-4E16-8F35-55055451844F}"/>
                </a:ext>
              </a:extLst>
            </xdr:cNvPr>
            <xdr:cNvSpPr txBox="1"/>
          </xdr:nvSpPr>
          <xdr:spPr>
            <a:xfrm>
              <a:off x="2377440" y="11879580"/>
              <a:ext cx="888850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43478</xdr:colOff>
      <xdr:row>92</xdr:row>
      <xdr:rowOff>153746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C3968F1-65AD-4F3D-A19A-2E167AF0A461}"/>
                </a:ext>
              </a:extLst>
            </xdr:cNvPr>
            <xdr:cNvSpPr txBox="1"/>
          </xdr:nvSpPr>
          <xdr:spPr>
            <a:xfrm>
              <a:off x="3091478" y="11896166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C3968F1-65AD-4F3D-A19A-2E167AF0A461}"/>
                </a:ext>
              </a:extLst>
            </xdr:cNvPr>
            <xdr:cNvSpPr txBox="1"/>
          </xdr:nvSpPr>
          <xdr:spPr>
            <a:xfrm>
              <a:off x="3091478" y="11896166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510540</xdr:colOff>
      <xdr:row>92</xdr:row>
      <xdr:rowOff>161365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E20C2CD-4286-4AA2-B0EB-D9D1186ABA2B}"/>
                </a:ext>
              </a:extLst>
            </xdr:cNvPr>
            <xdr:cNvSpPr txBox="1"/>
          </xdr:nvSpPr>
          <xdr:spPr>
            <a:xfrm>
              <a:off x="4892040" y="1190378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E20C2CD-4286-4AA2-B0EB-D9D1186ABA2B}"/>
                </a:ext>
              </a:extLst>
            </xdr:cNvPr>
            <xdr:cNvSpPr txBox="1"/>
          </xdr:nvSpPr>
          <xdr:spPr>
            <a:xfrm>
              <a:off x="4892040" y="1190378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519504</xdr:colOff>
      <xdr:row>92</xdr:row>
      <xdr:rowOff>153745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8690CF2-568F-4E76-91F6-DC1F5CD5E44F}"/>
                </a:ext>
              </a:extLst>
            </xdr:cNvPr>
            <xdr:cNvSpPr txBox="1"/>
          </xdr:nvSpPr>
          <xdr:spPr>
            <a:xfrm>
              <a:off x="4192344" y="1189616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8690CF2-568F-4E76-91F6-DC1F5CD5E44F}"/>
                </a:ext>
              </a:extLst>
            </xdr:cNvPr>
            <xdr:cNvSpPr txBox="1"/>
          </xdr:nvSpPr>
          <xdr:spPr>
            <a:xfrm>
              <a:off x="4192344" y="1189616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286871</xdr:colOff>
      <xdr:row>122</xdr:row>
      <xdr:rowOff>143436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8E62AF4-D64C-4C70-8BAA-A7FD8B5A6664}"/>
                </a:ext>
              </a:extLst>
            </xdr:cNvPr>
            <xdr:cNvSpPr txBox="1"/>
          </xdr:nvSpPr>
          <xdr:spPr>
            <a:xfrm>
              <a:off x="896471" y="13066956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8E62AF4-D64C-4C70-8BAA-A7FD8B5A6664}"/>
                </a:ext>
              </a:extLst>
            </xdr:cNvPr>
            <xdr:cNvSpPr txBox="1"/>
          </xdr:nvSpPr>
          <xdr:spPr>
            <a:xfrm>
              <a:off x="896471" y="13066956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206189</xdr:colOff>
      <xdr:row>125</xdr:row>
      <xdr:rowOff>107576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263CDE4-3B58-4F87-93B3-C9022FE31402}"/>
                </a:ext>
              </a:extLst>
            </xdr:cNvPr>
            <xdr:cNvSpPr txBox="1"/>
          </xdr:nvSpPr>
          <xdr:spPr>
            <a:xfrm>
              <a:off x="815789" y="1353401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263CDE4-3B58-4F87-93B3-C9022FE31402}"/>
                </a:ext>
              </a:extLst>
            </xdr:cNvPr>
            <xdr:cNvSpPr txBox="1"/>
          </xdr:nvSpPr>
          <xdr:spPr>
            <a:xfrm>
              <a:off x="815789" y="1353401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125</xdr:row>
      <xdr:rowOff>17929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5BAB45A-39E8-489D-9943-BF5EB4923746}"/>
                </a:ext>
              </a:extLst>
            </xdr:cNvPr>
            <xdr:cNvSpPr txBox="1"/>
          </xdr:nvSpPr>
          <xdr:spPr>
            <a:xfrm>
              <a:off x="869576" y="1344436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5BAB45A-39E8-489D-9943-BF5EB4923746}"/>
                </a:ext>
              </a:extLst>
            </xdr:cNvPr>
            <xdr:cNvSpPr txBox="1"/>
          </xdr:nvSpPr>
          <xdr:spPr>
            <a:xfrm>
              <a:off x="869576" y="1344436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251011</xdr:colOff>
      <xdr:row>128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E9E3E39-2AA2-420D-A0F7-EC68B2625FD1}"/>
                </a:ext>
              </a:extLst>
            </xdr:cNvPr>
            <xdr:cNvSpPr txBox="1"/>
          </xdr:nvSpPr>
          <xdr:spPr>
            <a:xfrm>
              <a:off x="860611" y="1402797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E9E3E39-2AA2-420D-A0F7-EC68B2625FD1}"/>
                </a:ext>
              </a:extLst>
            </xdr:cNvPr>
            <xdr:cNvSpPr txBox="1"/>
          </xdr:nvSpPr>
          <xdr:spPr>
            <a:xfrm>
              <a:off x="860611" y="1402797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128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25C6A76-8B1C-4B98-976D-7CAAC900428B}"/>
                </a:ext>
              </a:extLst>
            </xdr:cNvPr>
            <xdr:cNvSpPr txBox="1"/>
          </xdr:nvSpPr>
          <xdr:spPr>
            <a:xfrm>
              <a:off x="1237130" y="1395625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25C6A76-8B1C-4B98-976D-7CAAC900428B}"/>
                </a:ext>
              </a:extLst>
            </xdr:cNvPr>
            <xdr:cNvSpPr txBox="1"/>
          </xdr:nvSpPr>
          <xdr:spPr>
            <a:xfrm>
              <a:off x="1237130" y="1395625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134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C0CAE81-BD4B-438E-9F63-288BC37748DC}"/>
                </a:ext>
              </a:extLst>
            </xdr:cNvPr>
            <xdr:cNvSpPr txBox="1"/>
          </xdr:nvSpPr>
          <xdr:spPr>
            <a:xfrm>
              <a:off x="1007300" y="1501517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C0CAE81-BD4B-438E-9F63-288BC37748DC}"/>
                </a:ext>
              </a:extLst>
            </xdr:cNvPr>
            <xdr:cNvSpPr txBox="1"/>
          </xdr:nvSpPr>
          <xdr:spPr>
            <a:xfrm>
              <a:off x="1007300" y="1501517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586740</xdr:colOff>
      <xdr:row>145</xdr:row>
      <xdr:rowOff>144780</xdr:rowOff>
    </xdr:from>
    <xdr:ext cx="797410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CFA37E2-10AC-4159-9A96-3CA37EDB4782}"/>
                </a:ext>
              </a:extLst>
            </xdr:cNvPr>
            <xdr:cNvSpPr txBox="1"/>
          </xdr:nvSpPr>
          <xdr:spPr>
            <a:xfrm>
              <a:off x="2415540" y="16924020"/>
              <a:ext cx="797410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CFA37E2-10AC-4159-9A96-3CA37EDB4782}"/>
                </a:ext>
              </a:extLst>
            </xdr:cNvPr>
            <xdr:cNvSpPr txBox="1"/>
          </xdr:nvSpPr>
          <xdr:spPr>
            <a:xfrm>
              <a:off x="2415540" y="16924020"/>
              <a:ext cx="797410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28238</xdr:colOff>
      <xdr:row>146</xdr:row>
      <xdr:rowOff>8966</xdr:rowOff>
    </xdr:from>
    <xdr:ext cx="96818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AC2EE330-0F06-4F60-AFF1-50AF219BD30D}"/>
                </a:ext>
              </a:extLst>
            </xdr:cNvPr>
            <xdr:cNvSpPr txBox="1"/>
          </xdr:nvSpPr>
          <xdr:spPr>
            <a:xfrm>
              <a:off x="3099098" y="16955846"/>
              <a:ext cx="96818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2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2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2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AC2EE330-0F06-4F60-AFF1-50AF219BD30D}"/>
                </a:ext>
              </a:extLst>
            </xdr:cNvPr>
            <xdr:cNvSpPr txBox="1"/>
          </xdr:nvSpPr>
          <xdr:spPr>
            <a:xfrm>
              <a:off x="3099098" y="16955846"/>
              <a:ext cx="96818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200" i="0">
                  <a:latin typeface="Cambria Math" panose="02040503050406030204" pitchFamily="18" charset="0"/>
                </a:rPr>
                <a:t>𝛾</a:t>
              </a:r>
              <a:r>
                <a:rPr lang="pt-PT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200" i="0">
                  <a:latin typeface="Cambria Math" panose="02040503050406030204" pitchFamily="18" charset="0"/>
                </a:rPr>
                <a:t>=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7</xdr:col>
      <xdr:colOff>487680</xdr:colOff>
      <xdr:row>146</xdr:row>
      <xdr:rowOff>1345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3C88515-73CC-4E94-A1CB-BFEA6A417C05}"/>
                </a:ext>
              </a:extLst>
            </xdr:cNvPr>
            <xdr:cNvSpPr txBox="1"/>
          </xdr:nvSpPr>
          <xdr:spPr>
            <a:xfrm>
              <a:off x="4892040" y="1694822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3C88515-73CC-4E94-A1CB-BFEA6A417C05}"/>
                </a:ext>
              </a:extLst>
            </xdr:cNvPr>
            <xdr:cNvSpPr txBox="1"/>
          </xdr:nvSpPr>
          <xdr:spPr>
            <a:xfrm>
              <a:off x="4892040" y="1694822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527124</xdr:colOff>
      <xdr:row>145</xdr:row>
      <xdr:rowOff>161365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413FB3D-31EC-425E-A60D-C684FE5943E5}"/>
                </a:ext>
              </a:extLst>
            </xdr:cNvPr>
            <xdr:cNvSpPr txBox="1"/>
          </xdr:nvSpPr>
          <xdr:spPr>
            <a:xfrm>
              <a:off x="4222824" y="1694060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413FB3D-31EC-425E-A60D-C684FE5943E5}"/>
                </a:ext>
              </a:extLst>
            </xdr:cNvPr>
            <xdr:cNvSpPr txBox="1"/>
          </xdr:nvSpPr>
          <xdr:spPr>
            <a:xfrm>
              <a:off x="4222824" y="1694060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286870</xdr:colOff>
      <xdr:row>122</xdr:row>
      <xdr:rowOff>161365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353E97B-950A-4E8F-AD8D-975F19B59D3F}"/>
                </a:ext>
              </a:extLst>
            </xdr:cNvPr>
            <xdr:cNvSpPr txBox="1"/>
          </xdr:nvSpPr>
          <xdr:spPr>
            <a:xfrm>
              <a:off x="2923390" y="1308488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353E97B-950A-4E8F-AD8D-975F19B59D3F}"/>
                </a:ext>
              </a:extLst>
            </xdr:cNvPr>
            <xdr:cNvSpPr txBox="1"/>
          </xdr:nvSpPr>
          <xdr:spPr>
            <a:xfrm>
              <a:off x="2923390" y="1308488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286871</xdr:colOff>
      <xdr:row>173</xdr:row>
      <xdr:rowOff>143436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2251E47-FC20-48C6-9605-F098941C1E07}"/>
                </a:ext>
              </a:extLst>
            </xdr:cNvPr>
            <xdr:cNvSpPr txBox="1"/>
          </xdr:nvSpPr>
          <xdr:spPr>
            <a:xfrm>
              <a:off x="896471" y="17936136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2251E47-FC20-48C6-9605-F098941C1E07}"/>
                </a:ext>
              </a:extLst>
            </xdr:cNvPr>
            <xdr:cNvSpPr txBox="1"/>
          </xdr:nvSpPr>
          <xdr:spPr>
            <a:xfrm>
              <a:off x="896471" y="17936136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206189</xdr:colOff>
      <xdr:row>176</xdr:row>
      <xdr:rowOff>107576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FA0E1A0-8185-400F-9628-2AB47CC0F543}"/>
                </a:ext>
              </a:extLst>
            </xdr:cNvPr>
            <xdr:cNvSpPr txBox="1"/>
          </xdr:nvSpPr>
          <xdr:spPr>
            <a:xfrm>
              <a:off x="815789" y="1840319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FA0E1A0-8185-400F-9628-2AB47CC0F543}"/>
                </a:ext>
              </a:extLst>
            </xdr:cNvPr>
            <xdr:cNvSpPr txBox="1"/>
          </xdr:nvSpPr>
          <xdr:spPr>
            <a:xfrm>
              <a:off x="815789" y="1840319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176</xdr:row>
      <xdr:rowOff>17929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7BD03B6-1755-4007-A6C4-913DB186A628}"/>
                </a:ext>
              </a:extLst>
            </xdr:cNvPr>
            <xdr:cNvSpPr txBox="1"/>
          </xdr:nvSpPr>
          <xdr:spPr>
            <a:xfrm>
              <a:off x="869576" y="1831354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7BD03B6-1755-4007-A6C4-913DB186A628}"/>
                </a:ext>
              </a:extLst>
            </xdr:cNvPr>
            <xdr:cNvSpPr txBox="1"/>
          </xdr:nvSpPr>
          <xdr:spPr>
            <a:xfrm>
              <a:off x="869576" y="1831354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251011</xdr:colOff>
      <xdr:row>179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896F3BB-10A4-410B-A359-02F3B3AEB470}"/>
                </a:ext>
              </a:extLst>
            </xdr:cNvPr>
            <xdr:cNvSpPr txBox="1"/>
          </xdr:nvSpPr>
          <xdr:spPr>
            <a:xfrm>
              <a:off x="860611" y="1889715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896F3BB-10A4-410B-A359-02F3B3AEB470}"/>
                </a:ext>
              </a:extLst>
            </xdr:cNvPr>
            <xdr:cNvSpPr txBox="1"/>
          </xdr:nvSpPr>
          <xdr:spPr>
            <a:xfrm>
              <a:off x="860611" y="1889715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179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BAD2C95C-993B-43BB-BF93-D105E7D1554A}"/>
                </a:ext>
              </a:extLst>
            </xdr:cNvPr>
            <xdr:cNvSpPr txBox="1"/>
          </xdr:nvSpPr>
          <xdr:spPr>
            <a:xfrm>
              <a:off x="1237130" y="1882543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BAD2C95C-993B-43BB-BF93-D105E7D1554A}"/>
                </a:ext>
              </a:extLst>
            </xdr:cNvPr>
            <xdr:cNvSpPr txBox="1"/>
          </xdr:nvSpPr>
          <xdr:spPr>
            <a:xfrm>
              <a:off x="1237130" y="1882543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185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0A10BC8-CF36-4DFE-A6F9-72ED5A9C718D}"/>
                </a:ext>
              </a:extLst>
            </xdr:cNvPr>
            <xdr:cNvSpPr txBox="1"/>
          </xdr:nvSpPr>
          <xdr:spPr>
            <a:xfrm>
              <a:off x="1007300" y="1988435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0A10BC8-CF36-4DFE-A6F9-72ED5A9C718D}"/>
                </a:ext>
              </a:extLst>
            </xdr:cNvPr>
            <xdr:cNvSpPr txBox="1"/>
          </xdr:nvSpPr>
          <xdr:spPr>
            <a:xfrm>
              <a:off x="1007300" y="1988435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196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1E9DA9A-839A-4ACB-8884-22B835A19B0E}"/>
                </a:ext>
              </a:extLst>
            </xdr:cNvPr>
            <xdr:cNvSpPr txBox="1"/>
          </xdr:nvSpPr>
          <xdr:spPr>
            <a:xfrm>
              <a:off x="2412401" y="21800820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1E9DA9A-839A-4ACB-8884-22B835A19B0E}"/>
                </a:ext>
              </a:extLst>
            </xdr:cNvPr>
            <xdr:cNvSpPr txBox="1"/>
          </xdr:nvSpPr>
          <xdr:spPr>
            <a:xfrm>
              <a:off x="2412401" y="21800820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196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B5FC212-ABB6-4B8C-B522-2641495AE6B6}"/>
                </a:ext>
              </a:extLst>
            </xdr:cNvPr>
            <xdr:cNvSpPr txBox="1"/>
          </xdr:nvSpPr>
          <xdr:spPr>
            <a:xfrm>
              <a:off x="3495338" y="21809786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b="0" i="0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B5FC212-ABB6-4B8C-B522-2641495AE6B6}"/>
                </a:ext>
              </a:extLst>
            </xdr:cNvPr>
            <xdr:cNvSpPr txBox="1"/>
          </xdr:nvSpPr>
          <xdr:spPr>
            <a:xfrm>
              <a:off x="3495338" y="21809786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t-PT" sz="1300" b="0" i="0">
                  <a:latin typeface="Cambria Math" panose="02040503050406030204" pitchFamily="18" charset="0"/>
                </a:rPr>
                <a:t>  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487680</xdr:colOff>
      <xdr:row>196</xdr:row>
      <xdr:rowOff>146125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4786136-53D1-46AA-A8DF-3F01C440DD6D}"/>
                </a:ext>
              </a:extLst>
            </xdr:cNvPr>
            <xdr:cNvSpPr txBox="1"/>
          </xdr:nvSpPr>
          <xdr:spPr>
            <a:xfrm>
              <a:off x="5311140" y="2196218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4786136-53D1-46AA-A8DF-3F01C440DD6D}"/>
                </a:ext>
              </a:extLst>
            </xdr:cNvPr>
            <xdr:cNvSpPr txBox="1"/>
          </xdr:nvSpPr>
          <xdr:spPr>
            <a:xfrm>
              <a:off x="5311140" y="2196218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latin typeface="Cambria Math" panose="02040503050406030204" pitchFamily="18" charset="0"/>
                </a:rPr>
                <a:t>) 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588084</xdr:colOff>
      <xdr:row>196</xdr:row>
      <xdr:rowOff>153745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9FB5C09-5888-4391-97D6-659B04913ED7}"/>
                </a:ext>
              </a:extLst>
            </xdr:cNvPr>
            <xdr:cNvSpPr txBox="1"/>
          </xdr:nvSpPr>
          <xdr:spPr>
            <a:xfrm>
              <a:off x="4702884" y="2196980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300" b="0" i="1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+</m:t>
                  </m:r>
                </m:oMath>
              </a14:m>
              <a:r>
                <a:rPr lang="pt-PT" sz="1300">
                  <a:solidFill>
                    <a:schemeClr val="tx1"/>
                  </a:solidFill>
                </a:rPr>
                <a:t> (</a:t>
              </a:r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9FB5C09-5888-4391-97D6-659B04913ED7}"/>
                </a:ext>
              </a:extLst>
            </xdr:cNvPr>
            <xdr:cNvSpPr txBox="1"/>
          </xdr:nvSpPr>
          <xdr:spPr>
            <a:xfrm>
              <a:off x="4702884" y="2196980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</a:t>
              </a:r>
              <a:r>
                <a:rPr lang="pt-PT" sz="1300">
                  <a:solidFill>
                    <a:schemeClr val="tx1"/>
                  </a:solidFill>
                </a:rPr>
                <a:t> (</a:t>
              </a:r>
            </a:p>
          </xdr:txBody>
        </xdr:sp>
      </mc:Fallback>
    </mc:AlternateContent>
    <xdr:clientData/>
  </xdr:oneCellAnchor>
  <xdr:oneCellAnchor>
    <xdr:from>
      <xdr:col>4</xdr:col>
      <xdr:colOff>286870</xdr:colOff>
      <xdr:row>173</xdr:row>
      <xdr:rowOff>161365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6B975C4B-B001-470E-BF89-8951C7265739}"/>
                </a:ext>
              </a:extLst>
            </xdr:cNvPr>
            <xdr:cNvSpPr txBox="1"/>
          </xdr:nvSpPr>
          <xdr:spPr>
            <a:xfrm>
              <a:off x="2923390" y="1795406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6B975C4B-B001-470E-BF89-8951C7265739}"/>
                </a:ext>
              </a:extLst>
            </xdr:cNvPr>
            <xdr:cNvSpPr txBox="1"/>
          </xdr:nvSpPr>
          <xdr:spPr>
            <a:xfrm>
              <a:off x="2923390" y="1795406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286871</xdr:colOff>
      <xdr:row>226</xdr:row>
      <xdr:rowOff>143436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40A8750-F14D-4E74-9F70-78588E5D9996}"/>
                </a:ext>
              </a:extLst>
            </xdr:cNvPr>
            <xdr:cNvSpPr txBox="1"/>
          </xdr:nvSpPr>
          <xdr:spPr>
            <a:xfrm>
              <a:off x="896471" y="22805316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40A8750-F14D-4E74-9F70-78588E5D9996}"/>
                </a:ext>
              </a:extLst>
            </xdr:cNvPr>
            <xdr:cNvSpPr txBox="1"/>
          </xdr:nvSpPr>
          <xdr:spPr>
            <a:xfrm>
              <a:off x="896471" y="22805316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206189</xdr:colOff>
      <xdr:row>229</xdr:row>
      <xdr:rowOff>107576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96A9474F-927C-410A-A07C-F117A35C9183}"/>
                </a:ext>
              </a:extLst>
            </xdr:cNvPr>
            <xdr:cNvSpPr txBox="1"/>
          </xdr:nvSpPr>
          <xdr:spPr>
            <a:xfrm>
              <a:off x="815789" y="2327237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96A9474F-927C-410A-A07C-F117A35C9183}"/>
                </a:ext>
              </a:extLst>
            </xdr:cNvPr>
            <xdr:cNvSpPr txBox="1"/>
          </xdr:nvSpPr>
          <xdr:spPr>
            <a:xfrm>
              <a:off x="815789" y="2327237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229</xdr:row>
      <xdr:rowOff>17929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B8FC5FC5-A3EB-4EDD-9414-9167117CEE92}"/>
                </a:ext>
              </a:extLst>
            </xdr:cNvPr>
            <xdr:cNvSpPr txBox="1"/>
          </xdr:nvSpPr>
          <xdr:spPr>
            <a:xfrm>
              <a:off x="869576" y="2318272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B8FC5FC5-A3EB-4EDD-9414-9167117CEE92}"/>
                </a:ext>
              </a:extLst>
            </xdr:cNvPr>
            <xdr:cNvSpPr txBox="1"/>
          </xdr:nvSpPr>
          <xdr:spPr>
            <a:xfrm>
              <a:off x="869576" y="2318272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251011</xdr:colOff>
      <xdr:row>232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59E5127B-5774-4DB6-B994-05C30134F31A}"/>
                </a:ext>
              </a:extLst>
            </xdr:cNvPr>
            <xdr:cNvSpPr txBox="1"/>
          </xdr:nvSpPr>
          <xdr:spPr>
            <a:xfrm>
              <a:off x="860611" y="2376633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59E5127B-5774-4DB6-B994-05C30134F31A}"/>
                </a:ext>
              </a:extLst>
            </xdr:cNvPr>
            <xdr:cNvSpPr txBox="1"/>
          </xdr:nvSpPr>
          <xdr:spPr>
            <a:xfrm>
              <a:off x="860611" y="2376633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232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5D785E84-533A-4273-A692-41A66FC7FE9C}"/>
                </a:ext>
              </a:extLst>
            </xdr:cNvPr>
            <xdr:cNvSpPr txBox="1"/>
          </xdr:nvSpPr>
          <xdr:spPr>
            <a:xfrm>
              <a:off x="1237130" y="2369461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5D785E84-533A-4273-A692-41A66FC7FE9C}"/>
                </a:ext>
              </a:extLst>
            </xdr:cNvPr>
            <xdr:cNvSpPr txBox="1"/>
          </xdr:nvSpPr>
          <xdr:spPr>
            <a:xfrm>
              <a:off x="1237130" y="2369461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238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841E992F-6517-4336-B47D-64709A645E14}"/>
                </a:ext>
              </a:extLst>
            </xdr:cNvPr>
            <xdr:cNvSpPr txBox="1"/>
          </xdr:nvSpPr>
          <xdr:spPr>
            <a:xfrm>
              <a:off x="1007300" y="2475353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841E992F-6517-4336-B47D-64709A645E14}"/>
                </a:ext>
              </a:extLst>
            </xdr:cNvPr>
            <xdr:cNvSpPr txBox="1"/>
          </xdr:nvSpPr>
          <xdr:spPr>
            <a:xfrm>
              <a:off x="1007300" y="2475353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249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C5BBEAF-D550-4E43-972E-121FD4346D2C}"/>
                </a:ext>
              </a:extLst>
            </xdr:cNvPr>
            <xdr:cNvSpPr txBox="1"/>
          </xdr:nvSpPr>
          <xdr:spPr>
            <a:xfrm>
              <a:off x="2412401" y="26670000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C5BBEAF-D550-4E43-972E-121FD4346D2C}"/>
                </a:ext>
              </a:extLst>
            </xdr:cNvPr>
            <xdr:cNvSpPr txBox="1"/>
          </xdr:nvSpPr>
          <xdr:spPr>
            <a:xfrm>
              <a:off x="2412401" y="26670000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73958</xdr:colOff>
      <xdr:row>249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B0EB8A07-51A9-4C1B-AD8B-7D151FA47D87}"/>
                </a:ext>
              </a:extLst>
            </xdr:cNvPr>
            <xdr:cNvSpPr txBox="1"/>
          </xdr:nvSpPr>
          <xdr:spPr>
            <a:xfrm>
              <a:off x="3464858" y="27014246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B0EB8A07-51A9-4C1B-AD8B-7D151FA47D87}"/>
                </a:ext>
              </a:extLst>
            </xdr:cNvPr>
            <xdr:cNvSpPr txBox="1"/>
          </xdr:nvSpPr>
          <xdr:spPr>
            <a:xfrm>
              <a:off x="3464858" y="27014246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465717</xdr:colOff>
      <xdr:row>249</xdr:row>
      <xdr:rowOff>153745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274B892A-2513-43DB-8398-E59919B6A96A}"/>
                </a:ext>
              </a:extLst>
            </xdr:cNvPr>
            <xdr:cNvSpPr txBox="1"/>
          </xdr:nvSpPr>
          <xdr:spPr>
            <a:xfrm>
              <a:off x="5289177" y="2700662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274B892A-2513-43DB-8398-E59919B6A96A}"/>
                </a:ext>
              </a:extLst>
            </xdr:cNvPr>
            <xdr:cNvSpPr txBox="1"/>
          </xdr:nvSpPr>
          <xdr:spPr>
            <a:xfrm>
              <a:off x="5289177" y="2700662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534744</xdr:colOff>
      <xdr:row>249</xdr:row>
      <xdr:rowOff>146125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47F52AC7-3176-43CB-99EC-0C72E033D6C4}"/>
                </a:ext>
              </a:extLst>
            </xdr:cNvPr>
            <xdr:cNvSpPr txBox="1"/>
          </xdr:nvSpPr>
          <xdr:spPr>
            <a:xfrm>
              <a:off x="4649544" y="2699900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47F52AC7-3176-43CB-99EC-0C72E033D6C4}"/>
                </a:ext>
              </a:extLst>
            </xdr:cNvPr>
            <xdr:cNvSpPr txBox="1"/>
          </xdr:nvSpPr>
          <xdr:spPr>
            <a:xfrm>
              <a:off x="4649544" y="2699900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286870</xdr:colOff>
      <xdr:row>226</xdr:row>
      <xdr:rowOff>161365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FF6B456A-49D8-4FFA-9EE2-05BA6477FE70}"/>
                </a:ext>
              </a:extLst>
            </xdr:cNvPr>
            <xdr:cNvSpPr txBox="1"/>
          </xdr:nvSpPr>
          <xdr:spPr>
            <a:xfrm>
              <a:off x="2923390" y="2282324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FF6B456A-49D8-4FFA-9EE2-05BA6477FE70}"/>
                </a:ext>
              </a:extLst>
            </xdr:cNvPr>
            <xdr:cNvSpPr txBox="1"/>
          </xdr:nvSpPr>
          <xdr:spPr>
            <a:xfrm>
              <a:off x="2923390" y="2282324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286871</xdr:colOff>
      <xdr:row>279</xdr:row>
      <xdr:rowOff>143436</xdr:rowOff>
    </xdr:from>
    <xdr:ext cx="320040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9C7A727C-3DA5-4FB1-82F5-E2DC23E97690}"/>
                </a:ext>
              </a:extLst>
            </xdr:cNvPr>
            <xdr:cNvSpPr txBox="1"/>
          </xdr:nvSpPr>
          <xdr:spPr>
            <a:xfrm>
              <a:off x="896471" y="27842136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PT" sz="13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9C7A727C-3DA5-4FB1-82F5-E2DC23E97690}"/>
                </a:ext>
              </a:extLst>
            </xdr:cNvPr>
            <xdr:cNvSpPr txBox="1"/>
          </xdr:nvSpPr>
          <xdr:spPr>
            <a:xfrm>
              <a:off x="896471" y="27842136"/>
              <a:ext cx="32004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t-PT" sz="1300" b="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206189</xdr:colOff>
      <xdr:row>282</xdr:row>
      <xdr:rowOff>107576</xdr:rowOff>
    </xdr:from>
    <xdr:ext cx="39851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A24A5C5F-E42E-4301-8D4D-F45ACE5C97F1}"/>
                </a:ext>
              </a:extLst>
            </xdr:cNvPr>
            <xdr:cNvSpPr txBox="1"/>
          </xdr:nvSpPr>
          <xdr:spPr>
            <a:xfrm>
              <a:off x="815789" y="2830919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A24A5C5F-E42E-4301-8D4D-F45ACE5C97F1}"/>
                </a:ext>
              </a:extLst>
            </xdr:cNvPr>
            <xdr:cNvSpPr txBox="1"/>
          </xdr:nvSpPr>
          <xdr:spPr>
            <a:xfrm>
              <a:off x="815789" y="28309196"/>
              <a:ext cx="39851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i="0">
                  <a:latin typeface="Cambria Math" panose="02040503050406030204" pitchFamily="18" charset="0"/>
                </a:rPr>
                <a:t>𝑥𝑥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259976</xdr:colOff>
      <xdr:row>282</xdr:row>
      <xdr:rowOff>17929</xdr:rowOff>
    </xdr:from>
    <xdr:ext cx="1889760" cy="64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1ABDF31A-8EB0-4CDD-AD2E-5FA6E40B2E1B}"/>
                </a:ext>
              </a:extLst>
            </xdr:cNvPr>
            <xdr:cNvSpPr txBox="1"/>
          </xdr:nvSpPr>
          <xdr:spPr>
            <a:xfrm>
              <a:off x="869576" y="2821954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acc>
                              <m:accPr>
                                <m:chr m:val="̅"/>
                                <m:ctrlP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pt-PT" sz="1100" b="0" i="1">
                        <a:latin typeface="Cambria Math" panose="02040503050406030204" pitchFamily="18" charset="0"/>
                      </a:rPr>
                      <m:t> = </m:t>
                    </m:r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1ABDF31A-8EB0-4CDD-AD2E-5FA6E40B2E1B}"/>
                </a:ext>
              </a:extLst>
            </xdr:cNvPr>
            <xdr:cNvSpPr txBox="1"/>
          </xdr:nvSpPr>
          <xdr:spPr>
            <a:xfrm>
              <a:off x="869576" y="28219549"/>
              <a:ext cx="1889760" cy="64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=∑</a:t>
              </a:r>
              <a:r>
                <a:rPr lang="pt-PT" sz="1100" b="0" i="0">
                  <a:latin typeface="Cambria Math" panose="02040503050406030204" pitchFamily="18" charset="0"/>
                </a:rPr>
                <a:t>_(𝑛</a:t>
              </a:r>
              <a:r>
                <a:rPr lang="pt-PT" sz="1100" i="0">
                  <a:latin typeface="Cambria Math" panose="02040503050406030204" pitchFamily="18" charset="0"/>
                </a:rPr>
                <a:t>=</a:t>
              </a:r>
              <a:r>
                <a:rPr lang="pt-PT" sz="1100" b="0" i="0">
                  <a:latin typeface="Cambria Math" panose="02040503050406030204" pitchFamily="18" charset="0"/>
                </a:rPr>
                <a:t>1)^120▒〖(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−𝑥</a:t>
              </a:r>
              <a:r>
                <a:rPr lang="pt-PT" sz="1100" b="0" i="0">
                  <a:latin typeface="Cambria Math" panose="02040503050406030204" pitchFamily="18" charset="0"/>
                </a:rPr>
                <a:t>)〗^2   = </a:t>
              </a:r>
              <a:endParaRPr lang="pt-PT" sz="1100" b="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251011</xdr:colOff>
      <xdr:row>285</xdr:row>
      <xdr:rowOff>98612</xdr:rowOff>
    </xdr:from>
    <xdr:ext cx="480060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85F4327F-EEB7-4756-9C27-4D58A70B3F92}"/>
                </a:ext>
              </a:extLst>
            </xdr:cNvPr>
            <xdr:cNvSpPr txBox="1"/>
          </xdr:nvSpPr>
          <xdr:spPr>
            <a:xfrm>
              <a:off x="860611" y="2880315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pt-PT" sz="13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85F4327F-EEB7-4756-9C27-4D58A70B3F92}"/>
                </a:ext>
              </a:extLst>
            </xdr:cNvPr>
            <xdr:cNvSpPr txBox="1"/>
          </xdr:nvSpPr>
          <xdr:spPr>
            <a:xfrm>
              <a:off x="860611" y="28803152"/>
              <a:ext cx="480060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300" i="0">
                  <a:latin typeface="Cambria Math" panose="02040503050406030204" pitchFamily="18" charset="0"/>
                </a:rPr>
                <a:t>𝑠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300" b="0" i="0">
                  <a:latin typeface="Cambria Math" panose="02040503050406030204" pitchFamily="18" charset="0"/>
                </a:rPr>
                <a:t>𝑥𝑦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627530</xdr:colOff>
      <xdr:row>285</xdr:row>
      <xdr:rowOff>26894</xdr:rowOff>
    </xdr:from>
    <xdr:ext cx="1925447" cy="432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9E78C270-9DED-4B5A-806E-E02EB72516BB}"/>
                </a:ext>
              </a:extLst>
            </xdr:cNvPr>
            <xdr:cNvSpPr txBox="1"/>
          </xdr:nvSpPr>
          <xdr:spPr>
            <a:xfrm>
              <a:off x="1237130" y="2873143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120</m:t>
                        </m:r>
                      </m:sup>
                      <m:e>
                        <m:sSup>
                          <m:sSupPr>
                            <m:ctrlPr>
                              <a:rPr lang="pt-PT" sz="1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𝑥𝑖</m:t>
                            </m:r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pt-PT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PT" sz="1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p>
                        </m:sSup>
                        <m:sSup>
                          <m:sSupPr>
                            <m:ctrlPr>
                              <a:rPr lang="pt-PT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𝑦𝑖</m:t>
                                </m:r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PT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  <m:r>
                              <a:rPr lang="pt-PT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=</m:t>
                            </m:r>
                          </m:e>
                          <m:sup>
                            <m:r>
                              <a:rPr lang="pt-PT" sz="10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t-PT" sz="1000"/>
            </a:p>
          </xdr:txBody>
        </xdr:sp>
      </mc:Choice>
      <mc:Fallback xmlns="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9E78C270-9DED-4B5A-806E-E02EB72516BB}"/>
                </a:ext>
              </a:extLst>
            </xdr:cNvPr>
            <xdr:cNvSpPr txBox="1"/>
          </xdr:nvSpPr>
          <xdr:spPr>
            <a:xfrm>
              <a:off x="1237130" y="28731434"/>
              <a:ext cx="1925447" cy="432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 </a:t>
              </a:r>
              <a:r>
                <a:rPr lang="pt-PT" sz="1000" i="0">
                  <a:latin typeface="Cambria Math" panose="02040503050406030204" pitchFamily="18" charset="0"/>
                </a:rPr>
                <a:t>∑</a:t>
              </a:r>
              <a:r>
                <a:rPr lang="pt-PT" sz="1000" b="0" i="0">
                  <a:latin typeface="Cambria Math" panose="02040503050406030204" pitchFamily="18" charset="0"/>
                </a:rPr>
                <a:t>_(𝑛</a:t>
              </a:r>
              <a:r>
                <a:rPr lang="pt-PT" sz="1000" i="0">
                  <a:latin typeface="Cambria Math" panose="02040503050406030204" pitchFamily="18" charset="0"/>
                </a:rPr>
                <a:t>=</a:t>
              </a:r>
              <a:r>
                <a:rPr lang="pt-PT" sz="1000" b="0" i="0">
                  <a:latin typeface="Cambria Math" panose="02040503050406030204" pitchFamily="18" charset="0"/>
                </a:rPr>
                <a:t>1)^120▒〖〖(𝑥𝑖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𝑥) ̅</a:t>
              </a:r>
              <a:r>
                <a:rPr lang="pt-PT" sz="1000" b="0" i="0">
                  <a:latin typeface="Cambria Math" panose="02040503050406030204" pitchFamily="18" charset="0"/>
                </a:rPr>
                <a:t>)〗^</a:t>
              </a:r>
              <a:r>
                <a:rPr lang="pt-PT" sz="10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𝑝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(𝑦𝑖 −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 ̅𝑖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 =</a:t>
              </a:r>
              <a:r>
                <a:rPr lang="pt-PT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PT" sz="10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〗</a:t>
              </a:r>
              <a:endParaRPr lang="pt-PT" sz="1000"/>
            </a:p>
          </xdr:txBody>
        </xdr:sp>
      </mc:Fallback>
    </mc:AlternateContent>
    <xdr:clientData/>
  </xdr:oneCellAnchor>
  <xdr:oneCellAnchor>
    <xdr:from>
      <xdr:col>1</xdr:col>
      <xdr:colOff>397700</xdr:colOff>
      <xdr:row>291</xdr:row>
      <xdr:rowOff>79978</xdr:rowOff>
    </xdr:from>
    <xdr:ext cx="1060098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A25DBF0-737C-4F0B-B2D9-F7BBA6D3775A}"/>
                </a:ext>
              </a:extLst>
            </xdr:cNvPr>
            <xdr:cNvSpPr txBox="1"/>
          </xdr:nvSpPr>
          <xdr:spPr>
            <a:xfrm>
              <a:off x="1007300" y="2979035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p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𝑆𝑥𝑥</m:t>
                            </m:r>
                          </m:e>
                        </m:rad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ad>
                          <m:radPr>
                            <m:degHide m:val="on"/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𝑆𝑦𝑦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A25DBF0-737C-4F0B-B2D9-F7BBA6D3775A}"/>
                </a:ext>
              </a:extLst>
            </xdr:cNvPr>
            <xdr:cNvSpPr txBox="1"/>
          </xdr:nvSpPr>
          <xdr:spPr>
            <a:xfrm>
              <a:off x="1007300" y="29790358"/>
              <a:ext cx="1060098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𝑅^</a:t>
              </a:r>
              <a:r>
                <a:rPr lang="pt-P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.</a:t>
              </a:r>
              <a:r>
                <a:rPr lang="pt-PT" sz="1100" i="0">
                  <a:latin typeface="Cambria Math" panose="02040503050406030204" pitchFamily="18" charset="0"/>
                </a:rPr>
                <a:t>=𝑆</a:t>
              </a:r>
              <a:r>
                <a:rPr lang="pt-PT" sz="1100" b="0" i="0">
                  <a:latin typeface="Cambria Math" panose="02040503050406030204" pitchFamily="18" charset="0"/>
                </a:rPr>
                <a:t>𝑥𝑦/(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√𝑆𝑥𝑥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√𝑆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𝑦𝑦)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385481</xdr:colOff>
      <xdr:row>302</xdr:row>
      <xdr:rowOff>152400</xdr:rowOff>
    </xdr:from>
    <xdr:ext cx="968189" cy="218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8148C381-880A-4ACC-87AC-9900683E0D15}"/>
                </a:ext>
              </a:extLst>
            </xdr:cNvPr>
            <xdr:cNvSpPr txBox="1"/>
          </xdr:nvSpPr>
          <xdr:spPr>
            <a:xfrm>
              <a:off x="2412401" y="31706820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3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8148C381-880A-4ACC-87AC-9900683E0D15}"/>
                </a:ext>
              </a:extLst>
            </xdr:cNvPr>
            <xdr:cNvSpPr txBox="1"/>
          </xdr:nvSpPr>
          <xdr:spPr>
            <a:xfrm>
              <a:off x="2412401" y="31706820"/>
              <a:ext cx="968189" cy="218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=𝑎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+𝑏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5</xdr:col>
      <xdr:colOff>35858</xdr:colOff>
      <xdr:row>302</xdr:row>
      <xdr:rowOff>161366</xdr:rowOff>
    </xdr:from>
    <xdr:ext cx="968189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9F6A076F-91BF-489D-AE7F-CD194AEA9CD6}"/>
                </a:ext>
              </a:extLst>
            </xdr:cNvPr>
            <xdr:cNvSpPr txBox="1"/>
          </xdr:nvSpPr>
          <xdr:spPr>
            <a:xfrm>
              <a:off x="3495338" y="31715786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3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3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</m:acc>
                    <m:r>
                      <a:rPr lang="pt-PT" sz="1300" b="0" i="0"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PT" sz="13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9F6A076F-91BF-489D-AE7F-CD194AEA9CD6}"/>
                </a:ext>
              </a:extLst>
            </xdr:cNvPr>
            <xdr:cNvSpPr txBox="1"/>
          </xdr:nvSpPr>
          <xdr:spPr>
            <a:xfrm>
              <a:off x="3495338" y="31715786"/>
              <a:ext cx="968189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i="0">
                  <a:latin typeface="Cambria Math" panose="02040503050406030204" pitchFamily="18" charset="0"/>
                </a:rPr>
                <a:t>𝛾</a:t>
              </a:r>
              <a:r>
                <a:rPr lang="pt-PT" sz="13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pt-PT" sz="13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t-PT" sz="1300" b="0" i="0">
                  <a:latin typeface="Cambria Math" panose="02040503050406030204" pitchFamily="18" charset="0"/>
                </a:rPr>
                <a:t>  </a:t>
              </a:r>
              <a:r>
                <a:rPr lang="pt-PT" sz="1300" i="0">
                  <a:latin typeface="Cambria Math" panose="02040503050406030204" pitchFamily="18" charset="0"/>
                </a:rPr>
                <a:t>=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7</xdr:col>
      <xdr:colOff>526677</xdr:colOff>
      <xdr:row>302</xdr:row>
      <xdr:rowOff>146125</xdr:rowOff>
    </xdr:from>
    <xdr:ext cx="502024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C8A29D87-48AC-4CD7-995F-86DEDB13F9BC}"/>
                </a:ext>
              </a:extLst>
            </xdr:cNvPr>
            <xdr:cNvSpPr txBox="1"/>
          </xdr:nvSpPr>
          <xdr:spPr>
            <a:xfrm>
              <a:off x="5365377" y="3186818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pt-PT" sz="13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C8A29D87-48AC-4CD7-995F-86DEDB13F9BC}"/>
                </a:ext>
              </a:extLst>
            </xdr:cNvPr>
            <xdr:cNvSpPr txBox="1"/>
          </xdr:nvSpPr>
          <xdr:spPr>
            <a:xfrm>
              <a:off x="5365377" y="31868185"/>
              <a:ext cx="502024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latin typeface="Cambria Math" panose="02040503050406030204" pitchFamily="18" charset="0"/>
                </a:rPr>
                <a:t>)</a:t>
              </a:r>
              <a:r>
                <a:rPr lang="pt-PT" sz="1300" i="0">
                  <a:latin typeface="Cambria Math" panose="02040503050406030204" pitchFamily="18" charset="0"/>
                </a:rPr>
                <a:t>𝑥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6</xdr:col>
      <xdr:colOff>527124</xdr:colOff>
      <xdr:row>302</xdr:row>
      <xdr:rowOff>153745</xdr:rowOff>
    </xdr:from>
    <xdr:ext cx="358588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13C1B0CA-B414-419F-A7AF-2E4518C1B0BA}"/>
                </a:ext>
              </a:extLst>
            </xdr:cNvPr>
            <xdr:cNvSpPr txBox="1"/>
          </xdr:nvSpPr>
          <xdr:spPr>
            <a:xfrm>
              <a:off x="4657164" y="3187580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3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+(</m:t>
                    </m:r>
                  </m:oMath>
                </m:oMathPara>
              </a14:m>
              <a:endParaRPr lang="pt-PT" sz="13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13C1B0CA-B414-419F-A7AF-2E4518C1B0BA}"/>
                </a:ext>
              </a:extLst>
            </xdr:cNvPr>
            <xdr:cNvSpPr txBox="1"/>
          </xdr:nvSpPr>
          <xdr:spPr>
            <a:xfrm>
              <a:off x="4657164" y="31875805"/>
              <a:ext cx="358588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3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+(</a:t>
              </a:r>
              <a:endParaRPr lang="pt-PT" sz="13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286870</xdr:colOff>
      <xdr:row>279</xdr:row>
      <xdr:rowOff>161365</xdr:rowOff>
    </xdr:from>
    <xdr:ext cx="426720" cy="212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E049DC8F-3F48-4E06-8588-DE22EBA6866C}"/>
                </a:ext>
              </a:extLst>
            </xdr:cNvPr>
            <xdr:cNvSpPr txBox="1"/>
          </xdr:nvSpPr>
          <xdr:spPr>
            <a:xfrm>
              <a:off x="2923390" y="2786006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3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acc>
                          <m:accPr>
                            <m:chr m:val="̅"/>
                            <m:ctrlP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PT" sz="13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pt-PT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3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pt-PT" sz="1300"/>
            </a:p>
          </xdr:txBody>
        </xdr:sp>
      </mc:Choice>
      <mc:Fallback xmlns="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E049DC8F-3F48-4E06-8588-DE22EBA6866C}"/>
                </a:ext>
              </a:extLst>
            </xdr:cNvPr>
            <xdr:cNvSpPr txBox="1"/>
          </xdr:nvSpPr>
          <xdr:spPr>
            <a:xfrm>
              <a:off x="2923390" y="27860065"/>
              <a:ext cx="426720" cy="21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3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̅〗^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PT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endParaRPr lang="pt-PT" sz="1300"/>
            </a:p>
          </xdr:txBody>
        </xdr:sp>
      </mc:Fallback>
    </mc:AlternateContent>
    <xdr:clientData/>
  </xdr:oneCellAnchor>
  <xdr:oneCellAnchor>
    <xdr:from>
      <xdr:col>1</xdr:col>
      <xdr:colOff>439270</xdr:colOff>
      <xdr:row>48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2F2AEC9A-A15C-433B-88B6-1361607FF082}"/>
                </a:ext>
              </a:extLst>
            </xdr:cNvPr>
            <xdr:cNvSpPr txBox="1"/>
          </xdr:nvSpPr>
          <xdr:spPr>
            <a:xfrm>
              <a:off x="1048870" y="17118106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74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2F2AEC9A-A15C-433B-88B6-1361607FF082}"/>
                </a:ext>
              </a:extLst>
            </xdr:cNvPr>
            <xdr:cNvSpPr txBox="1"/>
          </xdr:nvSpPr>
          <xdr:spPr>
            <a:xfrm>
              <a:off x="1048870" y="17118106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52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E4A1D105-8B4A-4532-9948-E8F415F3467A}"/>
                </a:ext>
              </a:extLst>
            </xdr:cNvPr>
            <xdr:cNvSpPr txBox="1"/>
          </xdr:nvSpPr>
          <xdr:spPr>
            <a:xfrm>
              <a:off x="1001486" y="17678400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75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E4A1D105-8B4A-4532-9948-E8F415F3467A}"/>
                </a:ext>
              </a:extLst>
            </xdr:cNvPr>
            <xdr:cNvSpPr txBox="1"/>
          </xdr:nvSpPr>
          <xdr:spPr>
            <a:xfrm>
              <a:off x="1001486" y="17678400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12</xdr:col>
      <xdr:colOff>75820</xdr:colOff>
      <xdr:row>25</xdr:row>
      <xdr:rowOff>104255</xdr:rowOff>
    </xdr:from>
    <xdr:ext cx="1452377" cy="435874"/>
    <xdr:pic>
      <xdr:nvPicPr>
        <xdr:cNvPr id="76" name="Imagem 7">
          <a:extLst>
            <a:ext uri="{FF2B5EF4-FFF2-40B4-BE49-F238E27FC236}">
              <a16:creationId xmlns:a16="http://schemas.microsoft.com/office/drawing/2014/main" id="{83D72F1F-B0CB-4672-B400-8AAE62DC4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560" y="13500215"/>
          <a:ext cx="1452377" cy="435874"/>
        </a:xfrm>
        <a:prstGeom prst="rect">
          <a:avLst/>
        </a:prstGeom>
      </xdr:spPr>
    </xdr:pic>
    <xdr:clientData/>
  </xdr:oneCellAnchor>
  <xdr:oneCellAnchor>
    <xdr:from>
      <xdr:col>10</xdr:col>
      <xdr:colOff>213871</xdr:colOff>
      <xdr:row>33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588C68E6-4F72-4596-A547-BA1A8DCD097B}"/>
                </a:ext>
              </a:extLst>
            </xdr:cNvPr>
            <xdr:cNvSpPr txBox="1"/>
          </xdr:nvSpPr>
          <xdr:spPr>
            <a:xfrm>
              <a:off x="7201411" y="14889852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77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588C68E6-4F72-4596-A547-BA1A8DCD097B}"/>
                </a:ext>
              </a:extLst>
            </xdr:cNvPr>
            <xdr:cNvSpPr txBox="1"/>
          </xdr:nvSpPr>
          <xdr:spPr>
            <a:xfrm>
              <a:off x="7201411" y="14889852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246417</xdr:colOff>
      <xdr:row>43</xdr:row>
      <xdr:rowOff>101600</xdr:rowOff>
    </xdr:from>
    <xdr:ext cx="782283" cy="520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A6639E98-1FBD-4D1F-9A03-67A775293F06}"/>
                </a:ext>
              </a:extLst>
            </xdr:cNvPr>
            <xdr:cNvSpPr txBox="1"/>
          </xdr:nvSpPr>
          <xdr:spPr>
            <a:xfrm>
              <a:off x="7752117" y="7302500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78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A6639E98-1FBD-4D1F-9A03-67A775293F06}"/>
                </a:ext>
              </a:extLst>
            </xdr:cNvPr>
            <xdr:cNvSpPr txBox="1"/>
          </xdr:nvSpPr>
          <xdr:spPr>
            <a:xfrm>
              <a:off x="7752117" y="7302500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102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CB31484-0BC4-4565-9A05-EEA705654B9E}"/>
                </a:ext>
              </a:extLst>
            </xdr:cNvPr>
            <xdr:cNvSpPr txBox="1"/>
          </xdr:nvSpPr>
          <xdr:spPr>
            <a:xfrm>
              <a:off x="1048870" y="8126506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81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7CB31484-0BC4-4565-9A05-EEA705654B9E}"/>
                </a:ext>
              </a:extLst>
            </xdr:cNvPr>
            <xdr:cNvSpPr txBox="1"/>
          </xdr:nvSpPr>
          <xdr:spPr>
            <a:xfrm>
              <a:off x="1048870" y="8126506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106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9ABD426-F569-4A44-BB0B-F32A4E765B6C}"/>
                </a:ext>
              </a:extLst>
            </xdr:cNvPr>
            <xdr:cNvSpPr txBox="1"/>
          </xdr:nvSpPr>
          <xdr:spPr>
            <a:xfrm>
              <a:off x="1001486" y="8654143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82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C9ABD426-F569-4A44-BB0B-F32A4E765B6C}"/>
                </a:ext>
              </a:extLst>
            </xdr:cNvPr>
            <xdr:cNvSpPr txBox="1"/>
          </xdr:nvSpPr>
          <xdr:spPr>
            <a:xfrm>
              <a:off x="1001486" y="8654143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12</xdr:col>
      <xdr:colOff>75820</xdr:colOff>
      <xdr:row>80</xdr:row>
      <xdr:rowOff>104255</xdr:rowOff>
    </xdr:from>
    <xdr:ext cx="1452377" cy="435874"/>
    <xdr:pic>
      <xdr:nvPicPr>
        <xdr:cNvPr id="83" name="Imagem 7">
          <a:extLst>
            <a:ext uri="{FF2B5EF4-FFF2-40B4-BE49-F238E27FC236}">
              <a16:creationId xmlns:a16="http://schemas.microsoft.com/office/drawing/2014/main" id="{0397B712-A8C9-42FC-86E5-664FE19A2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7449" y="4229941"/>
          <a:ext cx="1452377" cy="435874"/>
        </a:xfrm>
        <a:prstGeom prst="rect">
          <a:avLst/>
        </a:prstGeom>
      </xdr:spPr>
    </xdr:pic>
    <xdr:clientData/>
  </xdr:oneCellAnchor>
  <xdr:oneCellAnchor>
    <xdr:from>
      <xdr:col>10</xdr:col>
      <xdr:colOff>213871</xdr:colOff>
      <xdr:row>88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2EBAD319-E60E-4F33-9FD9-54B0889F2D6D}"/>
                </a:ext>
              </a:extLst>
            </xdr:cNvPr>
            <xdr:cNvSpPr txBox="1"/>
          </xdr:nvSpPr>
          <xdr:spPr>
            <a:xfrm>
              <a:off x="7126300" y="5591275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84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2EBAD319-E60E-4F33-9FD9-54B0889F2D6D}"/>
                </a:ext>
              </a:extLst>
            </xdr:cNvPr>
            <xdr:cNvSpPr txBox="1"/>
          </xdr:nvSpPr>
          <xdr:spPr>
            <a:xfrm>
              <a:off x="7126300" y="5591275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246417</xdr:colOff>
      <xdr:row>98</xdr:row>
      <xdr:rowOff>101600</xdr:rowOff>
    </xdr:from>
    <xdr:ext cx="782283" cy="520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E52C59B-1DC5-4EE6-A5B9-E9DFD834587C}"/>
                </a:ext>
              </a:extLst>
            </xdr:cNvPr>
            <xdr:cNvSpPr txBox="1"/>
          </xdr:nvSpPr>
          <xdr:spPr>
            <a:xfrm>
              <a:off x="7768446" y="7264400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85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0E52C59B-1DC5-4EE6-A5B9-E9DFD834587C}"/>
                </a:ext>
              </a:extLst>
            </xdr:cNvPr>
            <xdr:cNvSpPr txBox="1"/>
          </xdr:nvSpPr>
          <xdr:spPr>
            <a:xfrm>
              <a:off x="7768446" y="7264400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155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404F8362-01D8-46E8-92E7-E58F799F0376}"/>
                </a:ext>
              </a:extLst>
            </xdr:cNvPr>
            <xdr:cNvSpPr txBox="1"/>
          </xdr:nvSpPr>
          <xdr:spPr>
            <a:xfrm>
              <a:off x="1048870" y="17107220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86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404F8362-01D8-46E8-92E7-E58F799F0376}"/>
                </a:ext>
              </a:extLst>
            </xdr:cNvPr>
            <xdr:cNvSpPr txBox="1"/>
          </xdr:nvSpPr>
          <xdr:spPr>
            <a:xfrm>
              <a:off x="1048870" y="17107220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159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AEAD15D-EE55-47BD-A9E6-C4263A46C20A}"/>
                </a:ext>
              </a:extLst>
            </xdr:cNvPr>
            <xdr:cNvSpPr txBox="1"/>
          </xdr:nvSpPr>
          <xdr:spPr>
            <a:xfrm>
              <a:off x="1001486" y="17634857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87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BAEAD15D-EE55-47BD-A9E6-C4263A46C20A}"/>
                </a:ext>
              </a:extLst>
            </xdr:cNvPr>
            <xdr:cNvSpPr txBox="1"/>
          </xdr:nvSpPr>
          <xdr:spPr>
            <a:xfrm>
              <a:off x="1001486" y="17634857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12</xdr:col>
      <xdr:colOff>75820</xdr:colOff>
      <xdr:row>136</xdr:row>
      <xdr:rowOff>104255</xdr:rowOff>
    </xdr:from>
    <xdr:ext cx="1452377" cy="435874"/>
    <xdr:pic>
      <xdr:nvPicPr>
        <xdr:cNvPr id="88" name="Imagem 7">
          <a:extLst>
            <a:ext uri="{FF2B5EF4-FFF2-40B4-BE49-F238E27FC236}">
              <a16:creationId xmlns:a16="http://schemas.microsoft.com/office/drawing/2014/main" id="{422AF198-C78F-47D7-AA81-7E876D385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4277" y="13373941"/>
          <a:ext cx="1452377" cy="435874"/>
        </a:xfrm>
        <a:prstGeom prst="rect">
          <a:avLst/>
        </a:prstGeom>
      </xdr:spPr>
    </xdr:pic>
    <xdr:clientData/>
  </xdr:oneCellAnchor>
  <xdr:oneCellAnchor>
    <xdr:from>
      <xdr:col>10</xdr:col>
      <xdr:colOff>213871</xdr:colOff>
      <xdr:row>144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6F14829-9A40-4DBA-8404-3CB3875C9911}"/>
                </a:ext>
              </a:extLst>
            </xdr:cNvPr>
            <xdr:cNvSpPr txBox="1"/>
          </xdr:nvSpPr>
          <xdr:spPr>
            <a:xfrm>
              <a:off x="7333128" y="14735275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89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76F14829-9A40-4DBA-8404-3CB3875C9911}"/>
                </a:ext>
              </a:extLst>
            </xdr:cNvPr>
            <xdr:cNvSpPr txBox="1"/>
          </xdr:nvSpPr>
          <xdr:spPr>
            <a:xfrm>
              <a:off x="7333128" y="14735275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246417</xdr:colOff>
      <xdr:row>154</xdr:row>
      <xdr:rowOff>101600</xdr:rowOff>
    </xdr:from>
    <xdr:ext cx="782283" cy="520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A5376C95-B14D-4E06-8F06-02ACE347A026}"/>
                </a:ext>
              </a:extLst>
            </xdr:cNvPr>
            <xdr:cNvSpPr txBox="1"/>
          </xdr:nvSpPr>
          <xdr:spPr>
            <a:xfrm>
              <a:off x="7975274" y="16408400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90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A5376C95-B14D-4E06-8F06-02ACE347A026}"/>
                </a:ext>
              </a:extLst>
            </xdr:cNvPr>
            <xdr:cNvSpPr txBox="1"/>
          </xdr:nvSpPr>
          <xdr:spPr>
            <a:xfrm>
              <a:off x="7975274" y="16408400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206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23DA224D-E17C-4F63-97A0-F079AF647F2B}"/>
                </a:ext>
              </a:extLst>
            </xdr:cNvPr>
            <xdr:cNvSpPr txBox="1"/>
          </xdr:nvSpPr>
          <xdr:spPr>
            <a:xfrm>
              <a:off x="1048870" y="25902877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91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23DA224D-E17C-4F63-97A0-F079AF647F2B}"/>
                </a:ext>
              </a:extLst>
            </xdr:cNvPr>
            <xdr:cNvSpPr txBox="1"/>
          </xdr:nvSpPr>
          <xdr:spPr>
            <a:xfrm>
              <a:off x="1048870" y="25902877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210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D62F740C-DC90-493F-9391-1B0F157C709E}"/>
                </a:ext>
              </a:extLst>
            </xdr:cNvPr>
            <xdr:cNvSpPr txBox="1"/>
          </xdr:nvSpPr>
          <xdr:spPr>
            <a:xfrm>
              <a:off x="1001486" y="26452286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92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D62F740C-DC90-493F-9391-1B0F157C709E}"/>
                </a:ext>
              </a:extLst>
            </xdr:cNvPr>
            <xdr:cNvSpPr txBox="1"/>
          </xdr:nvSpPr>
          <xdr:spPr>
            <a:xfrm>
              <a:off x="1001486" y="26452286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12</xdr:col>
      <xdr:colOff>75820</xdr:colOff>
      <xdr:row>186</xdr:row>
      <xdr:rowOff>104255</xdr:rowOff>
    </xdr:from>
    <xdr:ext cx="1452377" cy="435874"/>
    <xdr:pic>
      <xdr:nvPicPr>
        <xdr:cNvPr id="93" name="Imagem 7">
          <a:extLst>
            <a:ext uri="{FF2B5EF4-FFF2-40B4-BE49-F238E27FC236}">
              <a16:creationId xmlns:a16="http://schemas.microsoft.com/office/drawing/2014/main" id="{DA494C1F-17DF-488D-981C-83B43F718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4277" y="22681226"/>
          <a:ext cx="1452377" cy="435874"/>
        </a:xfrm>
        <a:prstGeom prst="rect">
          <a:avLst/>
        </a:prstGeom>
      </xdr:spPr>
    </xdr:pic>
    <xdr:clientData/>
  </xdr:oneCellAnchor>
  <xdr:oneCellAnchor>
    <xdr:from>
      <xdr:col>10</xdr:col>
      <xdr:colOff>213871</xdr:colOff>
      <xdr:row>194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327FAF2-679F-48EE-B59D-61AD5C93F53E}"/>
                </a:ext>
              </a:extLst>
            </xdr:cNvPr>
            <xdr:cNvSpPr txBox="1"/>
          </xdr:nvSpPr>
          <xdr:spPr>
            <a:xfrm>
              <a:off x="7333128" y="24042561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94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B327FAF2-679F-48EE-B59D-61AD5C93F53E}"/>
                </a:ext>
              </a:extLst>
            </xdr:cNvPr>
            <xdr:cNvSpPr txBox="1"/>
          </xdr:nvSpPr>
          <xdr:spPr>
            <a:xfrm>
              <a:off x="7333128" y="24042561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246417</xdr:colOff>
      <xdr:row>204</xdr:row>
      <xdr:rowOff>101600</xdr:rowOff>
    </xdr:from>
    <xdr:ext cx="782283" cy="520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47431F0-8F16-4E6A-83A4-FD282A7670A9}"/>
                </a:ext>
              </a:extLst>
            </xdr:cNvPr>
            <xdr:cNvSpPr txBox="1"/>
          </xdr:nvSpPr>
          <xdr:spPr>
            <a:xfrm>
              <a:off x="7975274" y="25715686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95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C47431F0-8F16-4E6A-83A4-FD282A7670A9}"/>
                </a:ext>
              </a:extLst>
            </xdr:cNvPr>
            <xdr:cNvSpPr txBox="1"/>
          </xdr:nvSpPr>
          <xdr:spPr>
            <a:xfrm>
              <a:off x="7975274" y="25715686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259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8C8FE29-CA82-475A-86CF-0409954FFF25}"/>
                </a:ext>
              </a:extLst>
            </xdr:cNvPr>
            <xdr:cNvSpPr txBox="1"/>
          </xdr:nvSpPr>
          <xdr:spPr>
            <a:xfrm>
              <a:off x="1048870" y="34393735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96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78C8FE29-CA82-475A-86CF-0409954FFF25}"/>
                </a:ext>
              </a:extLst>
            </xdr:cNvPr>
            <xdr:cNvSpPr txBox="1"/>
          </xdr:nvSpPr>
          <xdr:spPr>
            <a:xfrm>
              <a:off x="1048870" y="34393735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263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E7D0F76-F69F-48C7-91D5-25CF3EE7BF13}"/>
                </a:ext>
              </a:extLst>
            </xdr:cNvPr>
            <xdr:cNvSpPr txBox="1"/>
          </xdr:nvSpPr>
          <xdr:spPr>
            <a:xfrm>
              <a:off x="1001486" y="34943143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97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0E7D0F76-F69F-48C7-91D5-25CF3EE7BF13}"/>
                </a:ext>
              </a:extLst>
            </xdr:cNvPr>
            <xdr:cNvSpPr txBox="1"/>
          </xdr:nvSpPr>
          <xdr:spPr>
            <a:xfrm>
              <a:off x="1001486" y="34943143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12</xdr:col>
      <xdr:colOff>75820</xdr:colOff>
      <xdr:row>239</xdr:row>
      <xdr:rowOff>104255</xdr:rowOff>
    </xdr:from>
    <xdr:ext cx="1452377" cy="435874"/>
    <xdr:pic>
      <xdr:nvPicPr>
        <xdr:cNvPr id="98" name="Imagem 7">
          <a:extLst>
            <a:ext uri="{FF2B5EF4-FFF2-40B4-BE49-F238E27FC236}">
              <a16:creationId xmlns:a16="http://schemas.microsoft.com/office/drawing/2014/main" id="{549EC1D4-4728-4221-BDF5-7AAF251D2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4277" y="31008798"/>
          <a:ext cx="1452377" cy="435874"/>
        </a:xfrm>
        <a:prstGeom prst="rect">
          <a:avLst/>
        </a:prstGeom>
      </xdr:spPr>
    </xdr:pic>
    <xdr:clientData/>
  </xdr:oneCellAnchor>
  <xdr:oneCellAnchor>
    <xdr:from>
      <xdr:col>10</xdr:col>
      <xdr:colOff>213871</xdr:colOff>
      <xdr:row>247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4EA5D8E-B1F1-4CB5-B6EF-31809B281327}"/>
                </a:ext>
              </a:extLst>
            </xdr:cNvPr>
            <xdr:cNvSpPr txBox="1"/>
          </xdr:nvSpPr>
          <xdr:spPr>
            <a:xfrm>
              <a:off x="7333128" y="32370132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99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C4EA5D8E-B1F1-4CB5-B6EF-31809B281327}"/>
                </a:ext>
              </a:extLst>
            </xdr:cNvPr>
            <xdr:cNvSpPr txBox="1"/>
          </xdr:nvSpPr>
          <xdr:spPr>
            <a:xfrm>
              <a:off x="7333128" y="32370132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246417</xdr:colOff>
      <xdr:row>257</xdr:row>
      <xdr:rowOff>101600</xdr:rowOff>
    </xdr:from>
    <xdr:ext cx="782283" cy="520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389C1B2B-1B88-4BB4-B5DF-F33789390598}"/>
                </a:ext>
              </a:extLst>
            </xdr:cNvPr>
            <xdr:cNvSpPr txBox="1"/>
          </xdr:nvSpPr>
          <xdr:spPr>
            <a:xfrm>
              <a:off x="7975274" y="34043257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100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389C1B2B-1B88-4BB4-B5DF-F33789390598}"/>
                </a:ext>
              </a:extLst>
            </xdr:cNvPr>
            <xdr:cNvSpPr txBox="1"/>
          </xdr:nvSpPr>
          <xdr:spPr>
            <a:xfrm>
              <a:off x="7975274" y="34043257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  <xdr:oneCellAnchor>
    <xdr:from>
      <xdr:col>1</xdr:col>
      <xdr:colOff>439270</xdr:colOff>
      <xdr:row>311</xdr:row>
      <xdr:rowOff>125506</xdr:rowOff>
    </xdr:from>
    <xdr:ext cx="905933" cy="314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24CA597E-3253-4717-B44B-EB00DDFFAB80}"/>
                </a:ext>
              </a:extLst>
            </xdr:cNvPr>
            <xdr:cNvSpPr txBox="1"/>
          </xdr:nvSpPr>
          <xdr:spPr>
            <a:xfrm>
              <a:off x="1048870" y="43211163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01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24CA597E-3253-4717-B44B-EB00DDFFAB80}"/>
                </a:ext>
              </a:extLst>
            </xdr:cNvPr>
            <xdr:cNvSpPr txBox="1"/>
          </xdr:nvSpPr>
          <xdr:spPr>
            <a:xfrm>
              <a:off x="1048870" y="43211163"/>
              <a:ext cx="905933" cy="31411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391886</xdr:colOff>
      <xdr:row>315</xdr:row>
      <xdr:rowOff>0</xdr:rowOff>
    </xdr:from>
    <xdr:ext cx="996812" cy="510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7DF32F8-4291-4176-AD93-988E431CD591}"/>
                </a:ext>
              </a:extLst>
            </xdr:cNvPr>
            <xdr:cNvSpPr txBox="1"/>
          </xdr:nvSpPr>
          <xdr:spPr>
            <a:xfrm>
              <a:off x="1001486" y="43760571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9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PT" sz="9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pt-PT" sz="900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900" b="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9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9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02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07DF32F8-4291-4176-AD93-988E431CD591}"/>
                </a:ext>
              </a:extLst>
            </xdr:cNvPr>
            <xdr:cNvSpPr txBox="1"/>
          </xdr:nvSpPr>
          <xdr:spPr>
            <a:xfrm>
              <a:off x="1001486" y="43760571"/>
              <a:ext cx="996812" cy="51002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1/𝑛+(𝑥_0−𝑥 ̅ )^2/𝑆_𝑥𝑥 )=</a:t>
              </a:r>
              <a:endParaRPr lang="pt-PT" sz="900" b="0">
                <a:solidFill>
                  <a:srgbClr val="000000"/>
                </a:solidFill>
              </a:endParaRP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12</xdr:col>
      <xdr:colOff>75820</xdr:colOff>
      <xdr:row>293</xdr:row>
      <xdr:rowOff>104255</xdr:rowOff>
    </xdr:from>
    <xdr:ext cx="1452377" cy="435874"/>
    <xdr:pic>
      <xdr:nvPicPr>
        <xdr:cNvPr id="103" name="Imagem 7">
          <a:extLst>
            <a:ext uri="{FF2B5EF4-FFF2-40B4-BE49-F238E27FC236}">
              <a16:creationId xmlns:a16="http://schemas.microsoft.com/office/drawing/2014/main" id="{E278B0A3-3E3C-4798-A84C-6AD0F98EA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4277" y="39826226"/>
          <a:ext cx="1452377" cy="435874"/>
        </a:xfrm>
        <a:prstGeom prst="rect">
          <a:avLst/>
        </a:prstGeom>
      </xdr:spPr>
    </xdr:pic>
    <xdr:clientData/>
  </xdr:oneCellAnchor>
  <xdr:oneCellAnchor>
    <xdr:from>
      <xdr:col>10</xdr:col>
      <xdr:colOff>213871</xdr:colOff>
      <xdr:row>301</xdr:row>
      <xdr:rowOff>137532</xdr:rowOff>
    </xdr:from>
    <xdr:ext cx="1032222" cy="345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24ED27D3-AEAD-449B-84E9-44F46DB91CCA}"/>
                </a:ext>
              </a:extLst>
            </xdr:cNvPr>
            <xdr:cNvSpPr txBox="1"/>
          </xdr:nvSpPr>
          <xdr:spPr>
            <a:xfrm>
              <a:off x="7333128" y="41187561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12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12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−2</m:t>
                      </m:r>
                    </m:e>
                  </m:d>
                </m:oMath>
              </a14:m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04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24ED27D3-AEAD-449B-84E9-44F46DB91CCA}"/>
                </a:ext>
              </a:extLst>
            </xdr:cNvPr>
            <xdr:cNvSpPr txBox="1"/>
          </xdr:nvSpPr>
          <xdr:spPr>
            <a:xfrm>
              <a:off x="7333128" y="41187561"/>
              <a:ext cx="1032222" cy="345922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(𝑛−2)</a:t>
              </a:r>
              <a:r>
                <a:rPr lang="pt-PT" sz="12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11</xdr:col>
      <xdr:colOff>246417</xdr:colOff>
      <xdr:row>311</xdr:row>
      <xdr:rowOff>101600</xdr:rowOff>
    </xdr:from>
    <xdr:ext cx="782283" cy="520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8C6BFE4-AB1B-44B5-AF08-252CAFD802E3}"/>
                </a:ext>
              </a:extLst>
            </xdr:cNvPr>
            <xdr:cNvSpPr txBox="1"/>
          </xdr:nvSpPr>
          <xdr:spPr>
            <a:xfrm>
              <a:off x="7975274" y="42860686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7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7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PT" sz="7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pt-PT" sz="7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Choice>
      <mc:Fallback xmlns="">
        <xdr:sp macro="" textlink="">
          <xdr:nvSpPr>
            <xdr:cNvPr id="105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78C6BFE4-AB1B-44B5-AF08-252CAFD802E3}"/>
                </a:ext>
              </a:extLst>
            </xdr:cNvPr>
            <xdr:cNvSpPr txBox="1"/>
          </xdr:nvSpPr>
          <xdr:spPr>
            <a:xfrm>
              <a:off x="7975274" y="42860686"/>
              <a:ext cx="782283" cy="52013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7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7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1/𝑆_𝑥𝑥 )=</a:t>
              </a:r>
              <a:endParaRPr lang="pt-PT" sz="700" b="0">
                <a:solidFill>
                  <a:srgbClr val="000000"/>
                </a:solidFill>
              </a:endParaRPr>
            </a:p>
            <a:p>
              <a:endParaRPr lang="pt-PT" sz="700">
                <a:solidFill>
                  <a:srgbClr val="000000"/>
                </a:solidFill>
              </a:endParaRPr>
            </a:p>
            <a:p>
              <a:endParaRPr lang="pt-PT" sz="7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65314</xdr:colOff>
      <xdr:row>147</xdr:row>
      <xdr:rowOff>103413</xdr:rowOff>
    </xdr:from>
    <xdr:ext cx="598714" cy="3537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3AFF98-B98E-57DF-3CFD-E55DDC68B135}"/>
                </a:ext>
              </a:extLst>
            </xdr:cNvPr>
            <xdr:cNvSpPr txBox="1"/>
          </xdr:nvSpPr>
          <xdr:spPr>
            <a:xfrm>
              <a:off x="674914" y="24106413"/>
              <a:ext cx="598714" cy="3537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6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6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PT" sz="160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pt-PT" sz="160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pt-PT" sz="1600"/>
                <a:t> =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3AFF98-B98E-57DF-3CFD-E55DDC68B135}"/>
                </a:ext>
              </a:extLst>
            </xdr:cNvPr>
            <xdr:cNvSpPr txBox="1"/>
          </xdr:nvSpPr>
          <xdr:spPr>
            <a:xfrm>
              <a:off x="674914" y="24106413"/>
              <a:ext cx="598714" cy="3537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600" i="0">
                  <a:latin typeface="Cambria Math" panose="02040503050406030204" pitchFamily="18" charset="0"/>
                </a:rPr>
                <a:t>𝑥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600" i="0">
                  <a:latin typeface="Cambria Math" panose="02040503050406030204" pitchFamily="18" charset="0"/>
                </a:rPr>
                <a:t>𝑇 𝑥</a:t>
              </a:r>
              <a:r>
                <a:rPr lang="pt-PT" sz="1600"/>
                <a:t> =</a:t>
              </a:r>
            </a:p>
          </xdr:txBody>
        </xdr:sp>
      </mc:Fallback>
    </mc:AlternateContent>
    <xdr:clientData/>
  </xdr:oneCellAnchor>
  <xdr:oneCellAnchor>
    <xdr:from>
      <xdr:col>3</xdr:col>
      <xdr:colOff>108857</xdr:colOff>
      <xdr:row>134</xdr:row>
      <xdr:rowOff>119743</xdr:rowOff>
    </xdr:from>
    <xdr:ext cx="598714" cy="3537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2E002D-AAB3-420E-AF3D-423233027344}"/>
                </a:ext>
              </a:extLst>
            </xdr:cNvPr>
            <xdr:cNvSpPr txBox="1"/>
          </xdr:nvSpPr>
          <xdr:spPr>
            <a:xfrm>
              <a:off x="2579914" y="22000029"/>
              <a:ext cx="598714" cy="3537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6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6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PT" sz="160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</m:oMath>
              </a14:m>
              <a:r>
                <a:rPr lang="pt-PT" sz="1600"/>
                <a:t> =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2E002D-AAB3-420E-AF3D-423233027344}"/>
                </a:ext>
              </a:extLst>
            </xdr:cNvPr>
            <xdr:cNvSpPr txBox="1"/>
          </xdr:nvSpPr>
          <xdr:spPr>
            <a:xfrm>
              <a:off x="2579914" y="22000029"/>
              <a:ext cx="598714" cy="3537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600" i="0">
                  <a:latin typeface="Cambria Math" panose="02040503050406030204" pitchFamily="18" charset="0"/>
                </a:rPr>
                <a:t>𝑥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600" i="0">
                  <a:latin typeface="Cambria Math" panose="02040503050406030204" pitchFamily="18" charset="0"/>
                </a:rPr>
                <a:t>𝑇</a:t>
              </a:r>
              <a:r>
                <a:rPr lang="pt-PT" sz="1600"/>
                <a:t> =</a:t>
              </a:r>
            </a:p>
          </xdr:txBody>
        </xdr:sp>
      </mc:Fallback>
    </mc:AlternateContent>
    <xdr:clientData/>
  </xdr:oneCellAnchor>
  <xdr:oneCellAnchor>
    <xdr:from>
      <xdr:col>11</xdr:col>
      <xdr:colOff>119743</xdr:colOff>
      <xdr:row>145</xdr:row>
      <xdr:rowOff>108858</xdr:rowOff>
    </xdr:from>
    <xdr:ext cx="598714" cy="3537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1D8102D-28E4-4F2D-9DA3-8B66D743ECCB}"/>
                </a:ext>
              </a:extLst>
            </xdr:cNvPr>
            <xdr:cNvSpPr txBox="1"/>
          </xdr:nvSpPr>
          <xdr:spPr>
            <a:xfrm>
              <a:off x="11821886" y="23785287"/>
              <a:ext cx="598714" cy="3537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6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6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PT" sz="160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pt-PT" sz="1600" b="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pt-PT" sz="1600"/>
                <a:t>  :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1D8102D-28E4-4F2D-9DA3-8B66D743ECCB}"/>
                </a:ext>
              </a:extLst>
            </xdr:cNvPr>
            <xdr:cNvSpPr txBox="1"/>
          </xdr:nvSpPr>
          <xdr:spPr>
            <a:xfrm>
              <a:off x="11821886" y="23785287"/>
              <a:ext cx="598714" cy="3537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600" i="0">
                  <a:latin typeface="Cambria Math" panose="02040503050406030204" pitchFamily="18" charset="0"/>
                </a:rPr>
                <a:t>𝑥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600" i="0">
                  <a:latin typeface="Cambria Math" panose="02040503050406030204" pitchFamily="18" charset="0"/>
                </a:rPr>
                <a:t>𝑇</a:t>
              </a:r>
              <a:r>
                <a:rPr lang="pt-PT" sz="1600" b="0" i="0">
                  <a:latin typeface="Cambria Math" panose="02040503050406030204" pitchFamily="18" charset="0"/>
                </a:rPr>
                <a:t> 𝑥</a:t>
              </a:r>
              <a:r>
                <a:rPr lang="pt-PT" sz="1600"/>
                <a:t>  :</a:t>
              </a:r>
            </a:p>
          </xdr:txBody>
        </xdr:sp>
      </mc:Fallback>
    </mc:AlternateContent>
    <xdr:clientData/>
  </xdr:oneCellAnchor>
  <xdr:oneCellAnchor>
    <xdr:from>
      <xdr:col>11</xdr:col>
      <xdr:colOff>119742</xdr:colOff>
      <xdr:row>148</xdr:row>
      <xdr:rowOff>97970</xdr:rowOff>
    </xdr:from>
    <xdr:ext cx="990600" cy="451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EF2BB4-6724-43A0-84C7-EDEAF28D5FAA}"/>
                </a:ext>
              </a:extLst>
            </xdr:cNvPr>
            <xdr:cNvSpPr txBox="1"/>
          </xdr:nvSpPr>
          <xdr:spPr>
            <a:xfrm>
              <a:off x="1426028" y="26060399"/>
              <a:ext cx="990600" cy="451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6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600" b="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6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pt-PT" sz="160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sSup>
                    <m:sSupPr>
                      <m:ctrlPr>
                        <a:rPr lang="pt-PT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PT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pt-PT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t-PT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pt-PT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pt-PT" sz="1600"/>
                <a:t> </a:t>
              </a: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EF2BB4-6724-43A0-84C7-EDEAF28D5FAA}"/>
                </a:ext>
              </a:extLst>
            </xdr:cNvPr>
            <xdr:cNvSpPr txBox="1"/>
          </xdr:nvSpPr>
          <xdr:spPr>
            <a:xfrm>
              <a:off x="1426028" y="26060399"/>
              <a:ext cx="990600" cy="451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pt-PT" sz="16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600" i="0">
                  <a:latin typeface="Cambria Math" panose="02040503050406030204" pitchFamily="18" charset="0"/>
                </a:rPr>
                <a:t>𝑥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lang="pt-PT" sz="1600" i="0">
                  <a:latin typeface="Cambria Math" panose="02040503050406030204" pitchFamily="18" charset="0"/>
                </a:rPr>
                <a:t>𝑇</a:t>
              </a:r>
              <a:r>
                <a:rPr lang="pt-PT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〖𝑥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〗^(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pt-PT" sz="16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697"/>
  <sheetViews>
    <sheetView zoomScale="85" zoomScaleNormal="85" workbookViewId="0">
      <selection activeCell="E126" sqref="E126"/>
    </sheetView>
  </sheetViews>
  <sheetFormatPr defaultColWidth="11.5546875" defaultRowHeight="13.2"/>
  <cols>
    <col min="1" max="1" width="13.6640625" customWidth="1"/>
    <col min="2" max="2" width="10.5546875" customWidth="1"/>
    <col min="3" max="3" width="11.109375" customWidth="1"/>
    <col min="4" max="4" width="15.44140625" customWidth="1"/>
    <col min="5" max="5" width="11.33203125" customWidth="1"/>
    <col min="6" max="6" width="12.88671875" customWidth="1"/>
    <col min="7" max="7" width="9.6640625" customWidth="1"/>
    <col min="8" max="8" width="11.88671875" customWidth="1"/>
    <col min="9" max="9" width="20.88671875" customWidth="1"/>
    <col min="13" max="13" width="13.33203125" customWidth="1"/>
    <col min="16" max="16" width="12.33203125" bestFit="1" customWidth="1"/>
    <col min="18" max="18" width="12.33203125" bestFit="1" customWidth="1"/>
    <col min="26" max="26" width="12.44140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18</v>
      </c>
      <c r="L1" t="s">
        <v>19</v>
      </c>
      <c r="M1" t="s">
        <v>20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U1" t="s">
        <v>17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</row>
    <row r="2" spans="1:33">
      <c r="A2" s="1">
        <v>44228</v>
      </c>
      <c r="B2">
        <v>5805</v>
      </c>
      <c r="C2">
        <v>275</v>
      </c>
      <c r="D2">
        <v>0.82</v>
      </c>
      <c r="E2">
        <v>865</v>
      </c>
      <c r="F2">
        <v>6869</v>
      </c>
      <c r="G2">
        <v>47369</v>
      </c>
      <c r="H2">
        <v>0.2036</v>
      </c>
      <c r="I2">
        <v>80488</v>
      </c>
      <c r="K2">
        <f>POWER( B2,2)</f>
        <v>33698025</v>
      </c>
      <c r="L2">
        <f>POWER(C2,2)</f>
        <v>75625</v>
      </c>
      <c r="M2">
        <f>POWER(D2,2)</f>
        <v>0.67239999999999989</v>
      </c>
      <c r="N2" cm="1">
        <f t="array" ref="N2:N121">POWER(E2:E121,2)</f>
        <v>748225</v>
      </c>
      <c r="O2" cm="1">
        <f t="array" ref="O2:O121">POWER(F2:F121,2)</f>
        <v>47183161</v>
      </c>
      <c r="P2" cm="1">
        <f t="array" ref="P2:P121">POWER(G2:G121,2)</f>
        <v>2243822161</v>
      </c>
      <c r="Q2" cm="1">
        <f t="array" ref="Q2:Q121">POWER(H2:H121,2)</f>
        <v>4.1452960000000004E-2</v>
      </c>
      <c r="R2" cm="1">
        <f t="array" ref="R2:R121">POWER(I2:I121,2)</f>
        <v>6478318144</v>
      </c>
      <c r="U2">
        <f t="shared" ref="U2:U33" si="0">B2*D2</f>
        <v>4760.0999999999995</v>
      </c>
      <c r="V2">
        <f t="shared" ref="V2:V33" si="1">B2*E2</f>
        <v>5021325</v>
      </c>
      <c r="W2">
        <f>B2*F2</f>
        <v>39874545</v>
      </c>
      <c r="X2">
        <f>B2*G2</f>
        <v>274977045</v>
      </c>
      <c r="Y2">
        <f>B2*H2</f>
        <v>1181.8979999999999</v>
      </c>
      <c r="Z2">
        <f>B2*I2</f>
        <v>467232840</v>
      </c>
      <c r="AB2">
        <f>C2*D2</f>
        <v>225.5</v>
      </c>
      <c r="AC2">
        <f>C2*E2</f>
        <v>237875</v>
      </c>
      <c r="AD2">
        <f>C2*F2</f>
        <v>1888975</v>
      </c>
      <c r="AE2">
        <f>C2*G2</f>
        <v>13026475</v>
      </c>
      <c r="AF2">
        <f>C2*H2</f>
        <v>55.99</v>
      </c>
      <c r="AG2">
        <f>C2*I2</f>
        <v>22134200</v>
      </c>
    </row>
    <row r="3" spans="1:33">
      <c r="A3" s="1">
        <v>44229</v>
      </c>
      <c r="B3">
        <v>5540</v>
      </c>
      <c r="C3">
        <v>260</v>
      </c>
      <c r="D3">
        <v>0.76</v>
      </c>
      <c r="E3">
        <v>852</v>
      </c>
      <c r="F3">
        <v>6775</v>
      </c>
      <c r="G3">
        <v>57995</v>
      </c>
      <c r="H3">
        <v>0.19889999999999999</v>
      </c>
      <c r="I3">
        <v>82431</v>
      </c>
      <c r="K3">
        <f t="shared" ref="K3:K66" si="2">POWER( B3,2)</f>
        <v>30691600</v>
      </c>
      <c r="L3">
        <f t="shared" ref="L3:L66" si="3">POWER(C3,2)</f>
        <v>67600</v>
      </c>
      <c r="M3">
        <f t="shared" ref="M3:M66" si="4">POWER(D3,2)</f>
        <v>0.5776</v>
      </c>
      <c r="N3">
        <v>725904</v>
      </c>
      <c r="O3">
        <v>45900625</v>
      </c>
      <c r="P3">
        <v>3363420025</v>
      </c>
      <c r="Q3">
        <v>3.9561209999999999E-2</v>
      </c>
      <c r="R3">
        <v>6794869761</v>
      </c>
      <c r="U3">
        <f t="shared" si="0"/>
        <v>4210.3999999999996</v>
      </c>
      <c r="V3">
        <f t="shared" si="1"/>
        <v>4720080</v>
      </c>
      <c r="W3">
        <f t="shared" ref="W3:W66" si="5">B3*F3</f>
        <v>37533500</v>
      </c>
      <c r="X3">
        <f t="shared" ref="X3:X66" si="6">B3*G3</f>
        <v>321292300</v>
      </c>
      <c r="Y3">
        <f t="shared" ref="Y3:Y66" si="7">B3*H3</f>
        <v>1101.9059999999999</v>
      </c>
      <c r="Z3">
        <f t="shared" ref="Z3:Z66" si="8">B3*I3</f>
        <v>456667740</v>
      </c>
      <c r="AB3">
        <f t="shared" ref="AB3:AB66" si="9">C3*D3</f>
        <v>197.6</v>
      </c>
      <c r="AC3">
        <f t="shared" ref="AC3:AC66" si="10">C3*E3</f>
        <v>221520</v>
      </c>
      <c r="AD3">
        <f t="shared" ref="AD3:AD66" si="11">C3*F3</f>
        <v>1761500</v>
      </c>
      <c r="AE3">
        <f t="shared" ref="AE3:AE66" si="12">C3*G3</f>
        <v>15078700</v>
      </c>
      <c r="AF3">
        <f t="shared" ref="AF3:AF66" si="13">C3*H3</f>
        <v>51.713999999999999</v>
      </c>
      <c r="AG3">
        <f t="shared" ref="AG3:AG66" si="14">C3*I3</f>
        <v>21432060</v>
      </c>
    </row>
    <row r="4" spans="1:33">
      <c r="A4" s="1">
        <v>44230</v>
      </c>
      <c r="B4">
        <v>9083</v>
      </c>
      <c r="C4">
        <v>240</v>
      </c>
      <c r="D4">
        <v>0.71</v>
      </c>
      <c r="E4">
        <v>877</v>
      </c>
      <c r="F4">
        <v>6684</v>
      </c>
      <c r="G4">
        <v>53401</v>
      </c>
      <c r="H4">
        <v>0.19259999999999999</v>
      </c>
      <c r="I4">
        <v>87588</v>
      </c>
      <c r="K4">
        <f t="shared" si="2"/>
        <v>82500889</v>
      </c>
      <c r="L4">
        <f t="shared" si="3"/>
        <v>57600</v>
      </c>
      <c r="M4">
        <f t="shared" si="4"/>
        <v>0.50409999999999999</v>
      </c>
      <c r="N4">
        <v>769129</v>
      </c>
      <c r="O4">
        <v>44675856</v>
      </c>
      <c r="P4">
        <v>2851666801</v>
      </c>
      <c r="Q4">
        <v>3.7094759999999997E-2</v>
      </c>
      <c r="R4">
        <v>7671657744</v>
      </c>
      <c r="U4">
        <f t="shared" si="0"/>
        <v>6448.9299999999994</v>
      </c>
      <c r="V4">
        <f t="shared" si="1"/>
        <v>7965791</v>
      </c>
      <c r="W4">
        <f t="shared" si="5"/>
        <v>60710772</v>
      </c>
      <c r="X4">
        <f t="shared" si="6"/>
        <v>485041283</v>
      </c>
      <c r="Y4">
        <f t="shared" si="7"/>
        <v>1749.3858</v>
      </c>
      <c r="Z4">
        <f t="shared" si="8"/>
        <v>795561804</v>
      </c>
      <c r="AB4">
        <f t="shared" si="9"/>
        <v>170.39999999999998</v>
      </c>
      <c r="AC4">
        <f t="shared" si="10"/>
        <v>210480</v>
      </c>
      <c r="AD4">
        <f t="shared" si="11"/>
        <v>1604160</v>
      </c>
      <c r="AE4">
        <f t="shared" si="12"/>
        <v>12816240</v>
      </c>
      <c r="AF4">
        <f t="shared" si="13"/>
        <v>46.223999999999997</v>
      </c>
      <c r="AG4">
        <f t="shared" si="14"/>
        <v>21021120</v>
      </c>
    </row>
    <row r="5" spans="1:33">
      <c r="A5" s="1">
        <v>44231</v>
      </c>
      <c r="B5">
        <v>7914</v>
      </c>
      <c r="C5">
        <v>225</v>
      </c>
      <c r="D5">
        <v>0.67</v>
      </c>
      <c r="E5">
        <v>863</v>
      </c>
      <c r="F5">
        <v>6496</v>
      </c>
      <c r="G5">
        <v>50384</v>
      </c>
      <c r="H5">
        <v>0.17910000000000001</v>
      </c>
      <c r="I5">
        <v>96711</v>
      </c>
      <c r="K5">
        <f t="shared" si="2"/>
        <v>62631396</v>
      </c>
      <c r="L5">
        <f t="shared" si="3"/>
        <v>50625</v>
      </c>
      <c r="M5">
        <f t="shared" si="4"/>
        <v>0.44890000000000008</v>
      </c>
      <c r="N5">
        <v>744769</v>
      </c>
      <c r="O5">
        <v>42198016</v>
      </c>
      <c r="P5">
        <v>2538547456</v>
      </c>
      <c r="Q5">
        <v>3.2076810000000004E-2</v>
      </c>
      <c r="R5">
        <v>9353017521</v>
      </c>
      <c r="U5">
        <f t="shared" si="0"/>
        <v>5302.38</v>
      </c>
      <c r="V5">
        <f t="shared" si="1"/>
        <v>6829782</v>
      </c>
      <c r="W5">
        <f t="shared" si="5"/>
        <v>51409344</v>
      </c>
      <c r="X5">
        <f t="shared" si="6"/>
        <v>398738976</v>
      </c>
      <c r="Y5">
        <f t="shared" si="7"/>
        <v>1417.3974000000001</v>
      </c>
      <c r="Z5">
        <f t="shared" si="8"/>
        <v>765370854</v>
      </c>
      <c r="AB5">
        <f t="shared" si="9"/>
        <v>150.75</v>
      </c>
      <c r="AC5">
        <f t="shared" si="10"/>
        <v>194175</v>
      </c>
      <c r="AD5">
        <f t="shared" si="11"/>
        <v>1461600</v>
      </c>
      <c r="AE5">
        <f t="shared" si="12"/>
        <v>11336400</v>
      </c>
      <c r="AF5">
        <f t="shared" si="13"/>
        <v>40.297499999999999</v>
      </c>
      <c r="AG5">
        <f t="shared" si="14"/>
        <v>21759975</v>
      </c>
    </row>
    <row r="6" spans="1:33">
      <c r="A6" s="1">
        <v>44232</v>
      </c>
      <c r="B6">
        <v>6916</v>
      </c>
      <c r="C6">
        <v>258</v>
      </c>
      <c r="D6">
        <v>0.64</v>
      </c>
      <c r="E6">
        <v>904</v>
      </c>
      <c r="F6">
        <v>6412</v>
      </c>
      <c r="G6">
        <v>49625</v>
      </c>
      <c r="H6">
        <v>0.17030000000000001</v>
      </c>
      <c r="I6">
        <v>106652</v>
      </c>
      <c r="K6">
        <f t="shared" si="2"/>
        <v>47831056</v>
      </c>
      <c r="L6">
        <f t="shared" si="3"/>
        <v>66564</v>
      </c>
      <c r="M6">
        <f t="shared" si="4"/>
        <v>0.40960000000000002</v>
      </c>
      <c r="N6">
        <v>817216</v>
      </c>
      <c r="O6">
        <v>41113744</v>
      </c>
      <c r="P6">
        <v>2462640625</v>
      </c>
      <c r="Q6">
        <v>2.9002090000000001E-2</v>
      </c>
      <c r="R6">
        <v>11374649104</v>
      </c>
      <c r="U6">
        <f t="shared" si="0"/>
        <v>4426.24</v>
      </c>
      <c r="V6">
        <f t="shared" si="1"/>
        <v>6252064</v>
      </c>
      <c r="W6">
        <f t="shared" si="5"/>
        <v>44345392</v>
      </c>
      <c r="X6">
        <f t="shared" si="6"/>
        <v>343206500</v>
      </c>
      <c r="Y6">
        <f t="shared" si="7"/>
        <v>1177.7948000000001</v>
      </c>
      <c r="Z6">
        <f t="shared" si="8"/>
        <v>737605232</v>
      </c>
      <c r="AB6">
        <f t="shared" si="9"/>
        <v>165.12</v>
      </c>
      <c r="AC6">
        <f t="shared" si="10"/>
        <v>233232</v>
      </c>
      <c r="AD6">
        <f t="shared" si="11"/>
        <v>1654296</v>
      </c>
      <c r="AE6">
        <f t="shared" si="12"/>
        <v>12803250</v>
      </c>
      <c r="AF6">
        <f t="shared" si="13"/>
        <v>43.937400000000004</v>
      </c>
      <c r="AG6">
        <f t="shared" si="14"/>
        <v>27516216</v>
      </c>
    </row>
    <row r="7" spans="1:33">
      <c r="A7" s="1">
        <v>44233</v>
      </c>
      <c r="B7">
        <v>6132</v>
      </c>
      <c r="C7">
        <v>214</v>
      </c>
      <c r="D7">
        <v>0.62</v>
      </c>
      <c r="E7">
        <v>891</v>
      </c>
      <c r="F7">
        <v>6158</v>
      </c>
      <c r="G7">
        <v>30356</v>
      </c>
      <c r="H7">
        <v>0.16170000000000001</v>
      </c>
      <c r="I7">
        <v>115522</v>
      </c>
      <c r="K7">
        <f t="shared" si="2"/>
        <v>37601424</v>
      </c>
      <c r="L7">
        <f t="shared" si="3"/>
        <v>45796</v>
      </c>
      <c r="M7">
        <f t="shared" si="4"/>
        <v>0.38440000000000002</v>
      </c>
      <c r="N7">
        <v>793881</v>
      </c>
      <c r="O7">
        <v>37920964</v>
      </c>
      <c r="P7">
        <v>921486736</v>
      </c>
      <c r="Q7">
        <v>2.6146890000000002E-2</v>
      </c>
      <c r="R7">
        <v>13345332484</v>
      </c>
      <c r="U7">
        <f t="shared" si="0"/>
        <v>3801.84</v>
      </c>
      <c r="V7">
        <f t="shared" si="1"/>
        <v>5463612</v>
      </c>
      <c r="W7">
        <f t="shared" si="5"/>
        <v>37760856</v>
      </c>
      <c r="X7">
        <f t="shared" si="6"/>
        <v>186142992</v>
      </c>
      <c r="Y7">
        <f t="shared" si="7"/>
        <v>991.54440000000011</v>
      </c>
      <c r="Z7">
        <f t="shared" si="8"/>
        <v>708380904</v>
      </c>
      <c r="AB7">
        <f t="shared" si="9"/>
        <v>132.68</v>
      </c>
      <c r="AC7">
        <f t="shared" si="10"/>
        <v>190674</v>
      </c>
      <c r="AD7">
        <f t="shared" si="11"/>
        <v>1317812</v>
      </c>
      <c r="AE7">
        <f t="shared" si="12"/>
        <v>6496184</v>
      </c>
      <c r="AF7">
        <f t="shared" si="13"/>
        <v>34.6038</v>
      </c>
      <c r="AG7">
        <f t="shared" si="14"/>
        <v>24721708</v>
      </c>
    </row>
    <row r="8" spans="1:33">
      <c r="A8" s="1">
        <v>44234</v>
      </c>
      <c r="B8">
        <v>3508</v>
      </c>
      <c r="C8">
        <v>204</v>
      </c>
      <c r="D8">
        <v>0.59</v>
      </c>
      <c r="E8">
        <v>865</v>
      </c>
      <c r="F8">
        <v>6248</v>
      </c>
      <c r="G8">
        <v>15085</v>
      </c>
      <c r="H8">
        <v>0.14760000000000001</v>
      </c>
      <c r="I8">
        <v>116262</v>
      </c>
      <c r="K8">
        <f t="shared" si="2"/>
        <v>12306064</v>
      </c>
      <c r="L8">
        <f t="shared" si="3"/>
        <v>41616</v>
      </c>
      <c r="M8">
        <f t="shared" si="4"/>
        <v>0.34809999999999997</v>
      </c>
      <c r="N8">
        <v>748225</v>
      </c>
      <c r="O8">
        <v>39037504</v>
      </c>
      <c r="P8">
        <v>227557225</v>
      </c>
      <c r="Q8">
        <v>2.1785760000000001E-2</v>
      </c>
      <c r="R8">
        <v>13516852644</v>
      </c>
      <c r="U8">
        <f t="shared" si="0"/>
        <v>2069.7199999999998</v>
      </c>
      <c r="V8">
        <f t="shared" si="1"/>
        <v>3034420</v>
      </c>
      <c r="W8">
        <f t="shared" si="5"/>
        <v>21917984</v>
      </c>
      <c r="X8">
        <f t="shared" si="6"/>
        <v>52918180</v>
      </c>
      <c r="Y8">
        <f t="shared" si="7"/>
        <v>517.7808</v>
      </c>
      <c r="Z8">
        <f t="shared" si="8"/>
        <v>407847096</v>
      </c>
      <c r="AB8">
        <f t="shared" si="9"/>
        <v>120.36</v>
      </c>
      <c r="AC8">
        <f t="shared" si="10"/>
        <v>176460</v>
      </c>
      <c r="AD8">
        <f t="shared" si="11"/>
        <v>1274592</v>
      </c>
      <c r="AE8">
        <f t="shared" si="12"/>
        <v>3077340</v>
      </c>
      <c r="AF8">
        <f t="shared" si="13"/>
        <v>30.110400000000002</v>
      </c>
      <c r="AG8">
        <f t="shared" si="14"/>
        <v>23717448</v>
      </c>
    </row>
    <row r="9" spans="1:33">
      <c r="A9" s="1">
        <v>44235</v>
      </c>
      <c r="B9">
        <v>2505</v>
      </c>
      <c r="C9">
        <v>196</v>
      </c>
      <c r="D9">
        <v>0.56000000000000005</v>
      </c>
      <c r="E9">
        <v>877</v>
      </c>
      <c r="F9">
        <v>6344</v>
      </c>
      <c r="G9">
        <v>34923</v>
      </c>
      <c r="H9">
        <v>0.1426</v>
      </c>
      <c r="I9">
        <v>118172</v>
      </c>
      <c r="K9">
        <f t="shared" si="2"/>
        <v>6275025</v>
      </c>
      <c r="L9">
        <f t="shared" si="3"/>
        <v>38416</v>
      </c>
      <c r="M9">
        <f t="shared" si="4"/>
        <v>0.31360000000000005</v>
      </c>
      <c r="N9">
        <v>769129</v>
      </c>
      <c r="O9">
        <v>40246336</v>
      </c>
      <c r="P9">
        <v>1219615929</v>
      </c>
      <c r="Q9">
        <v>2.033476E-2</v>
      </c>
      <c r="R9">
        <v>13964621584</v>
      </c>
      <c r="U9">
        <f t="shared" si="0"/>
        <v>1402.8000000000002</v>
      </c>
      <c r="V9">
        <f t="shared" si="1"/>
        <v>2196885</v>
      </c>
      <c r="W9">
        <f t="shared" si="5"/>
        <v>15891720</v>
      </c>
      <c r="X9">
        <f t="shared" si="6"/>
        <v>87482115</v>
      </c>
      <c r="Y9">
        <f t="shared" si="7"/>
        <v>357.21300000000002</v>
      </c>
      <c r="Z9">
        <f t="shared" si="8"/>
        <v>296020860</v>
      </c>
      <c r="AB9">
        <f t="shared" si="9"/>
        <v>109.76</v>
      </c>
      <c r="AC9">
        <f t="shared" si="10"/>
        <v>171892</v>
      </c>
      <c r="AD9">
        <f t="shared" si="11"/>
        <v>1243424</v>
      </c>
      <c r="AE9">
        <f t="shared" si="12"/>
        <v>6844908</v>
      </c>
      <c r="AF9">
        <f t="shared" si="13"/>
        <v>27.9496</v>
      </c>
      <c r="AG9">
        <f t="shared" si="14"/>
        <v>23161712</v>
      </c>
    </row>
    <row r="10" spans="1:33">
      <c r="A10" s="1">
        <v>44236</v>
      </c>
      <c r="B10">
        <v>2583</v>
      </c>
      <c r="C10">
        <v>203</v>
      </c>
      <c r="D10">
        <v>0.53</v>
      </c>
      <c r="E10">
        <v>862</v>
      </c>
      <c r="F10">
        <v>6070</v>
      </c>
      <c r="G10">
        <v>38694</v>
      </c>
      <c r="H10">
        <v>0.14180000000000001</v>
      </c>
      <c r="I10">
        <v>119614</v>
      </c>
      <c r="K10">
        <f t="shared" si="2"/>
        <v>6671889</v>
      </c>
      <c r="L10">
        <f t="shared" si="3"/>
        <v>41209</v>
      </c>
      <c r="M10">
        <f t="shared" si="4"/>
        <v>0.28090000000000004</v>
      </c>
      <c r="N10">
        <v>743044</v>
      </c>
      <c r="O10">
        <v>36844900</v>
      </c>
      <c r="P10">
        <v>1497225636</v>
      </c>
      <c r="Q10">
        <v>2.0107240000000002E-2</v>
      </c>
      <c r="R10">
        <v>14307508996</v>
      </c>
      <c r="U10">
        <f t="shared" si="0"/>
        <v>1368.99</v>
      </c>
      <c r="V10">
        <f t="shared" si="1"/>
        <v>2226546</v>
      </c>
      <c r="W10">
        <f t="shared" si="5"/>
        <v>15678810</v>
      </c>
      <c r="X10">
        <f t="shared" si="6"/>
        <v>99946602</v>
      </c>
      <c r="Y10">
        <f t="shared" si="7"/>
        <v>366.26940000000002</v>
      </c>
      <c r="Z10">
        <f t="shared" si="8"/>
        <v>308962962</v>
      </c>
      <c r="AB10">
        <f t="shared" si="9"/>
        <v>107.59</v>
      </c>
      <c r="AC10">
        <f t="shared" si="10"/>
        <v>174986</v>
      </c>
      <c r="AD10">
        <f t="shared" si="11"/>
        <v>1232210</v>
      </c>
      <c r="AE10">
        <f t="shared" si="12"/>
        <v>7854882</v>
      </c>
      <c r="AF10">
        <f t="shared" si="13"/>
        <v>28.785400000000003</v>
      </c>
      <c r="AG10">
        <f t="shared" si="14"/>
        <v>24281642</v>
      </c>
    </row>
    <row r="11" spans="1:33">
      <c r="A11" s="1">
        <v>44237</v>
      </c>
      <c r="B11">
        <v>4387</v>
      </c>
      <c r="C11">
        <v>161</v>
      </c>
      <c r="D11">
        <v>0.51</v>
      </c>
      <c r="E11">
        <v>853</v>
      </c>
      <c r="F11">
        <v>5829</v>
      </c>
      <c r="G11">
        <v>37621</v>
      </c>
      <c r="H11">
        <v>0.13220000000000001</v>
      </c>
      <c r="I11">
        <v>130118</v>
      </c>
      <c r="K11">
        <f t="shared" si="2"/>
        <v>19245769</v>
      </c>
      <c r="L11">
        <f t="shared" si="3"/>
        <v>25921</v>
      </c>
      <c r="M11">
        <f t="shared" si="4"/>
        <v>0.2601</v>
      </c>
      <c r="N11">
        <v>727609</v>
      </c>
      <c r="O11">
        <v>33977241</v>
      </c>
      <c r="P11">
        <v>1415339641</v>
      </c>
      <c r="Q11">
        <v>1.7476840000000004E-2</v>
      </c>
      <c r="R11">
        <v>16930693924</v>
      </c>
      <c r="U11">
        <f t="shared" si="0"/>
        <v>2237.37</v>
      </c>
      <c r="V11">
        <f t="shared" si="1"/>
        <v>3742111</v>
      </c>
      <c r="W11">
        <f t="shared" si="5"/>
        <v>25571823</v>
      </c>
      <c r="X11">
        <f t="shared" si="6"/>
        <v>165043327</v>
      </c>
      <c r="Y11">
        <f t="shared" si="7"/>
        <v>579.96140000000003</v>
      </c>
      <c r="Z11">
        <f t="shared" si="8"/>
        <v>570827666</v>
      </c>
      <c r="AB11">
        <f t="shared" si="9"/>
        <v>82.11</v>
      </c>
      <c r="AC11">
        <f t="shared" si="10"/>
        <v>137333</v>
      </c>
      <c r="AD11">
        <f t="shared" si="11"/>
        <v>938469</v>
      </c>
      <c r="AE11">
        <f t="shared" si="12"/>
        <v>6056981</v>
      </c>
      <c r="AF11">
        <f t="shared" si="13"/>
        <v>21.284200000000002</v>
      </c>
      <c r="AG11">
        <f t="shared" si="14"/>
        <v>20948998</v>
      </c>
    </row>
    <row r="12" spans="1:33">
      <c r="A12" s="1">
        <v>44238</v>
      </c>
      <c r="B12">
        <v>3480</v>
      </c>
      <c r="C12">
        <v>167</v>
      </c>
      <c r="D12">
        <v>0.49</v>
      </c>
      <c r="E12">
        <v>836</v>
      </c>
      <c r="F12">
        <v>5570</v>
      </c>
      <c r="G12">
        <v>37347</v>
      </c>
      <c r="H12">
        <v>0.1211</v>
      </c>
      <c r="I12">
        <v>146637</v>
      </c>
      <c r="K12">
        <f t="shared" si="2"/>
        <v>12110400</v>
      </c>
      <c r="L12">
        <f t="shared" si="3"/>
        <v>27889</v>
      </c>
      <c r="M12">
        <f t="shared" si="4"/>
        <v>0.24009999999999998</v>
      </c>
      <c r="N12">
        <v>698896</v>
      </c>
      <c r="O12">
        <v>31024900</v>
      </c>
      <c r="P12">
        <v>1394798409</v>
      </c>
      <c r="Q12">
        <v>1.466521E-2</v>
      </c>
      <c r="R12">
        <v>21502409769</v>
      </c>
      <c r="U12">
        <f t="shared" si="0"/>
        <v>1705.2</v>
      </c>
      <c r="V12">
        <f t="shared" si="1"/>
        <v>2909280</v>
      </c>
      <c r="W12">
        <f t="shared" si="5"/>
        <v>19383600</v>
      </c>
      <c r="X12">
        <f t="shared" si="6"/>
        <v>129967560</v>
      </c>
      <c r="Y12">
        <f t="shared" si="7"/>
        <v>421.428</v>
      </c>
      <c r="Z12">
        <f t="shared" si="8"/>
        <v>510296760</v>
      </c>
      <c r="AB12">
        <f t="shared" si="9"/>
        <v>81.83</v>
      </c>
      <c r="AC12">
        <f t="shared" si="10"/>
        <v>139612</v>
      </c>
      <c r="AD12">
        <f t="shared" si="11"/>
        <v>930190</v>
      </c>
      <c r="AE12">
        <f t="shared" si="12"/>
        <v>6236949</v>
      </c>
      <c r="AF12">
        <f t="shared" si="13"/>
        <v>20.223700000000001</v>
      </c>
      <c r="AG12">
        <f t="shared" si="14"/>
        <v>24488379</v>
      </c>
    </row>
    <row r="13" spans="1:33">
      <c r="A13" s="1">
        <v>44239</v>
      </c>
      <c r="B13">
        <v>2854</v>
      </c>
      <c r="C13">
        <v>149</v>
      </c>
      <c r="D13">
        <v>0.48</v>
      </c>
      <c r="E13">
        <v>846</v>
      </c>
      <c r="F13">
        <v>5230</v>
      </c>
      <c r="G13">
        <v>38752</v>
      </c>
      <c r="H13">
        <v>0.10929999999999999</v>
      </c>
      <c r="I13">
        <v>171163</v>
      </c>
      <c r="K13">
        <f t="shared" si="2"/>
        <v>8145316</v>
      </c>
      <c r="L13">
        <f t="shared" si="3"/>
        <v>22201</v>
      </c>
      <c r="M13">
        <f t="shared" si="4"/>
        <v>0.23039999999999999</v>
      </c>
      <c r="N13">
        <v>715716</v>
      </c>
      <c r="O13">
        <v>27352900</v>
      </c>
      <c r="P13">
        <v>1501717504</v>
      </c>
      <c r="Q13">
        <v>1.1946489999999999E-2</v>
      </c>
      <c r="R13">
        <v>29296772569</v>
      </c>
      <c r="U13">
        <f t="shared" si="0"/>
        <v>1369.9199999999998</v>
      </c>
      <c r="V13">
        <f t="shared" si="1"/>
        <v>2414484</v>
      </c>
      <c r="W13">
        <f t="shared" si="5"/>
        <v>14926420</v>
      </c>
      <c r="X13">
        <f t="shared" si="6"/>
        <v>110598208</v>
      </c>
      <c r="Y13">
        <f t="shared" si="7"/>
        <v>311.94219999999996</v>
      </c>
      <c r="Z13">
        <f t="shared" si="8"/>
        <v>488499202</v>
      </c>
      <c r="AB13">
        <f t="shared" si="9"/>
        <v>71.52</v>
      </c>
      <c r="AC13">
        <f t="shared" si="10"/>
        <v>126054</v>
      </c>
      <c r="AD13">
        <f t="shared" si="11"/>
        <v>779270</v>
      </c>
      <c r="AE13">
        <f t="shared" si="12"/>
        <v>5774048</v>
      </c>
      <c r="AF13">
        <f t="shared" si="13"/>
        <v>16.285699999999999</v>
      </c>
      <c r="AG13">
        <f t="shared" si="14"/>
        <v>25503287</v>
      </c>
    </row>
    <row r="14" spans="1:33">
      <c r="A14" s="1">
        <v>44240</v>
      </c>
      <c r="B14">
        <v>2856</v>
      </c>
      <c r="C14">
        <v>149</v>
      </c>
      <c r="D14">
        <v>0.48</v>
      </c>
      <c r="E14">
        <v>803</v>
      </c>
      <c r="F14">
        <v>4850</v>
      </c>
      <c r="G14">
        <v>21483</v>
      </c>
      <c r="H14">
        <v>9.9000000000000005E-2</v>
      </c>
      <c r="I14">
        <v>198253</v>
      </c>
      <c r="K14">
        <f t="shared" si="2"/>
        <v>8156736</v>
      </c>
      <c r="L14">
        <f t="shared" si="3"/>
        <v>22201</v>
      </c>
      <c r="M14">
        <f t="shared" si="4"/>
        <v>0.23039999999999999</v>
      </c>
      <c r="N14">
        <v>644809</v>
      </c>
      <c r="O14">
        <v>23522500</v>
      </c>
      <c r="P14">
        <v>461519289</v>
      </c>
      <c r="Q14">
        <v>9.8010000000000007E-3</v>
      </c>
      <c r="R14">
        <v>39304252009</v>
      </c>
      <c r="U14">
        <f t="shared" si="0"/>
        <v>1370.8799999999999</v>
      </c>
      <c r="V14">
        <f t="shared" si="1"/>
        <v>2293368</v>
      </c>
      <c r="W14">
        <f t="shared" si="5"/>
        <v>13851600</v>
      </c>
      <c r="X14">
        <f t="shared" si="6"/>
        <v>61355448</v>
      </c>
      <c r="Y14">
        <f t="shared" si="7"/>
        <v>282.74400000000003</v>
      </c>
      <c r="Z14">
        <f t="shared" si="8"/>
        <v>566210568</v>
      </c>
      <c r="AB14">
        <f t="shared" si="9"/>
        <v>71.52</v>
      </c>
      <c r="AC14">
        <f t="shared" si="10"/>
        <v>119647</v>
      </c>
      <c r="AD14">
        <f t="shared" si="11"/>
        <v>722650</v>
      </c>
      <c r="AE14">
        <f t="shared" si="12"/>
        <v>3200967</v>
      </c>
      <c r="AF14">
        <f t="shared" si="13"/>
        <v>14.751000000000001</v>
      </c>
      <c r="AG14">
        <f t="shared" si="14"/>
        <v>29539697</v>
      </c>
    </row>
    <row r="15" spans="1:33">
      <c r="A15" s="1">
        <v>44241</v>
      </c>
      <c r="B15">
        <v>1677</v>
      </c>
      <c r="C15">
        <v>138</v>
      </c>
      <c r="D15">
        <v>0.48</v>
      </c>
      <c r="E15">
        <v>795</v>
      </c>
      <c r="F15">
        <v>4826</v>
      </c>
      <c r="G15">
        <v>12100</v>
      </c>
      <c r="H15">
        <v>9.2100000000000001E-2</v>
      </c>
      <c r="I15">
        <v>208089</v>
      </c>
      <c r="K15">
        <f t="shared" si="2"/>
        <v>2812329</v>
      </c>
      <c r="L15">
        <f t="shared" si="3"/>
        <v>19044</v>
      </c>
      <c r="M15">
        <f t="shared" si="4"/>
        <v>0.23039999999999999</v>
      </c>
      <c r="N15">
        <v>632025</v>
      </c>
      <c r="O15">
        <v>23290276</v>
      </c>
      <c r="P15">
        <v>146410000</v>
      </c>
      <c r="Q15">
        <v>8.482410000000001E-3</v>
      </c>
      <c r="R15">
        <v>43301031921</v>
      </c>
      <c r="U15">
        <f t="shared" si="0"/>
        <v>804.95999999999992</v>
      </c>
      <c r="V15">
        <f t="shared" si="1"/>
        <v>1333215</v>
      </c>
      <c r="W15">
        <f t="shared" si="5"/>
        <v>8093202</v>
      </c>
      <c r="X15">
        <f t="shared" si="6"/>
        <v>20291700</v>
      </c>
      <c r="Y15">
        <f t="shared" si="7"/>
        <v>154.45169999999999</v>
      </c>
      <c r="Z15">
        <f t="shared" si="8"/>
        <v>348965253</v>
      </c>
      <c r="AB15">
        <f t="shared" si="9"/>
        <v>66.239999999999995</v>
      </c>
      <c r="AC15">
        <f t="shared" si="10"/>
        <v>109710</v>
      </c>
      <c r="AD15">
        <f t="shared" si="11"/>
        <v>665988</v>
      </c>
      <c r="AE15">
        <f t="shared" si="12"/>
        <v>1669800</v>
      </c>
      <c r="AF15">
        <f t="shared" si="13"/>
        <v>12.7098</v>
      </c>
      <c r="AG15">
        <f t="shared" si="14"/>
        <v>28716282</v>
      </c>
    </row>
    <row r="16" spans="1:33">
      <c r="A16" s="1">
        <v>44242</v>
      </c>
      <c r="B16">
        <v>1303</v>
      </c>
      <c r="C16">
        <v>90</v>
      </c>
      <c r="D16">
        <v>0.48</v>
      </c>
      <c r="E16">
        <v>784</v>
      </c>
      <c r="F16">
        <v>4832</v>
      </c>
      <c r="G16">
        <v>33135</v>
      </c>
      <c r="H16">
        <v>8.7300000000000003E-2</v>
      </c>
      <c r="I16">
        <v>218125</v>
      </c>
      <c r="K16">
        <f t="shared" si="2"/>
        <v>1697809</v>
      </c>
      <c r="L16">
        <f t="shared" si="3"/>
        <v>8100</v>
      </c>
      <c r="M16">
        <f t="shared" si="4"/>
        <v>0.23039999999999999</v>
      </c>
      <c r="N16">
        <v>614656</v>
      </c>
      <c r="O16">
        <v>23348224</v>
      </c>
      <c r="P16">
        <v>1097928225</v>
      </c>
      <c r="Q16">
        <v>7.6212900000000002E-3</v>
      </c>
      <c r="R16">
        <v>47578515625</v>
      </c>
      <c r="U16">
        <f t="shared" si="0"/>
        <v>625.43999999999994</v>
      </c>
      <c r="V16">
        <f t="shared" si="1"/>
        <v>1021552</v>
      </c>
      <c r="W16">
        <f t="shared" si="5"/>
        <v>6296096</v>
      </c>
      <c r="X16">
        <f t="shared" si="6"/>
        <v>43174905</v>
      </c>
      <c r="Y16">
        <f t="shared" si="7"/>
        <v>113.75190000000001</v>
      </c>
      <c r="Z16">
        <f t="shared" si="8"/>
        <v>284216875</v>
      </c>
      <c r="AB16">
        <f t="shared" si="9"/>
        <v>43.199999999999996</v>
      </c>
      <c r="AC16">
        <f t="shared" si="10"/>
        <v>70560</v>
      </c>
      <c r="AD16">
        <f t="shared" si="11"/>
        <v>434880</v>
      </c>
      <c r="AE16">
        <f t="shared" si="12"/>
        <v>2982150</v>
      </c>
      <c r="AF16">
        <f t="shared" si="13"/>
        <v>7.8570000000000002</v>
      </c>
      <c r="AG16">
        <f t="shared" si="14"/>
        <v>19631250</v>
      </c>
    </row>
    <row r="17" spans="1:33">
      <c r="A17" s="1">
        <v>44243</v>
      </c>
      <c r="B17">
        <v>1502</v>
      </c>
      <c r="C17">
        <v>111</v>
      </c>
      <c r="D17">
        <v>0.47</v>
      </c>
      <c r="E17">
        <v>752</v>
      </c>
      <c r="F17">
        <v>4482</v>
      </c>
      <c r="G17">
        <v>32083</v>
      </c>
      <c r="H17">
        <v>8.5000000000000006E-2</v>
      </c>
      <c r="I17">
        <v>223711</v>
      </c>
      <c r="K17">
        <f t="shared" si="2"/>
        <v>2256004</v>
      </c>
      <c r="L17">
        <f t="shared" si="3"/>
        <v>12321</v>
      </c>
      <c r="M17">
        <f t="shared" si="4"/>
        <v>0.22089999999999999</v>
      </c>
      <c r="N17">
        <v>565504</v>
      </c>
      <c r="O17">
        <v>20088324</v>
      </c>
      <c r="P17">
        <v>1029318889</v>
      </c>
      <c r="Q17">
        <v>7.2250000000000014E-3</v>
      </c>
      <c r="R17">
        <v>50046611521</v>
      </c>
      <c r="U17">
        <f t="shared" si="0"/>
        <v>705.93999999999994</v>
      </c>
      <c r="V17">
        <f t="shared" si="1"/>
        <v>1129504</v>
      </c>
      <c r="W17">
        <f t="shared" si="5"/>
        <v>6731964</v>
      </c>
      <c r="X17">
        <f t="shared" si="6"/>
        <v>48188666</v>
      </c>
      <c r="Y17">
        <f t="shared" si="7"/>
        <v>127.67000000000002</v>
      </c>
      <c r="Z17">
        <f t="shared" si="8"/>
        <v>336013922</v>
      </c>
      <c r="AB17">
        <f t="shared" si="9"/>
        <v>52.169999999999995</v>
      </c>
      <c r="AC17">
        <f t="shared" si="10"/>
        <v>83472</v>
      </c>
      <c r="AD17">
        <f t="shared" si="11"/>
        <v>497502</v>
      </c>
      <c r="AE17">
        <f t="shared" si="12"/>
        <v>3561213</v>
      </c>
      <c r="AF17">
        <f t="shared" si="13"/>
        <v>9.4350000000000005</v>
      </c>
      <c r="AG17">
        <f t="shared" si="14"/>
        <v>24831921</v>
      </c>
    </row>
    <row r="18" spans="1:33">
      <c r="A18" s="1">
        <v>44244</v>
      </c>
      <c r="B18">
        <v>2324</v>
      </c>
      <c r="C18">
        <v>127</v>
      </c>
      <c r="D18">
        <v>0.47</v>
      </c>
      <c r="E18">
        <v>719</v>
      </c>
      <c r="F18">
        <v>4137</v>
      </c>
      <c r="G18">
        <v>34354</v>
      </c>
      <c r="H18">
        <v>7.6399999999999996E-2</v>
      </c>
      <c r="I18">
        <v>229743</v>
      </c>
      <c r="K18">
        <f t="shared" si="2"/>
        <v>5400976</v>
      </c>
      <c r="L18">
        <f t="shared" si="3"/>
        <v>16129</v>
      </c>
      <c r="M18">
        <f t="shared" si="4"/>
        <v>0.22089999999999999</v>
      </c>
      <c r="N18">
        <v>516961</v>
      </c>
      <c r="O18">
        <v>17114769</v>
      </c>
      <c r="P18">
        <v>1180197316</v>
      </c>
      <c r="Q18">
        <v>5.8369599999999995E-3</v>
      </c>
      <c r="R18">
        <v>52781846049</v>
      </c>
      <c r="U18">
        <f t="shared" si="0"/>
        <v>1092.28</v>
      </c>
      <c r="V18">
        <f t="shared" si="1"/>
        <v>1670956</v>
      </c>
      <c r="W18">
        <f t="shared" si="5"/>
        <v>9614388</v>
      </c>
      <c r="X18">
        <f t="shared" si="6"/>
        <v>79838696</v>
      </c>
      <c r="Y18">
        <f t="shared" si="7"/>
        <v>177.55359999999999</v>
      </c>
      <c r="Z18">
        <f t="shared" si="8"/>
        <v>533922732</v>
      </c>
      <c r="AB18">
        <f t="shared" si="9"/>
        <v>59.69</v>
      </c>
      <c r="AC18">
        <f t="shared" si="10"/>
        <v>91313</v>
      </c>
      <c r="AD18">
        <f t="shared" si="11"/>
        <v>525399</v>
      </c>
      <c r="AE18">
        <f t="shared" si="12"/>
        <v>4362958</v>
      </c>
      <c r="AF18">
        <f t="shared" si="13"/>
        <v>9.7027999999999999</v>
      </c>
      <c r="AG18">
        <f t="shared" si="14"/>
        <v>29177361</v>
      </c>
    </row>
    <row r="19" spans="1:33">
      <c r="A19" s="1">
        <v>44245</v>
      </c>
      <c r="B19">
        <v>1944</v>
      </c>
      <c r="C19">
        <v>105</v>
      </c>
      <c r="D19">
        <v>0.47</v>
      </c>
      <c r="E19">
        <v>688</v>
      </c>
      <c r="F19">
        <v>3819</v>
      </c>
      <c r="G19">
        <v>33985</v>
      </c>
      <c r="H19">
        <v>7.0199999999999999E-2</v>
      </c>
      <c r="I19">
        <v>237696</v>
      </c>
      <c r="K19">
        <f t="shared" si="2"/>
        <v>3779136</v>
      </c>
      <c r="L19">
        <f t="shared" si="3"/>
        <v>11025</v>
      </c>
      <c r="M19">
        <f t="shared" si="4"/>
        <v>0.22089999999999999</v>
      </c>
      <c r="N19">
        <v>473344</v>
      </c>
      <c r="O19">
        <v>14584761</v>
      </c>
      <c r="P19">
        <v>1154980225</v>
      </c>
      <c r="Q19">
        <v>4.9280399999999999E-3</v>
      </c>
      <c r="R19">
        <v>56499388416</v>
      </c>
      <c r="U19">
        <f t="shared" si="0"/>
        <v>913.68</v>
      </c>
      <c r="V19">
        <f t="shared" si="1"/>
        <v>1337472</v>
      </c>
      <c r="W19">
        <f t="shared" si="5"/>
        <v>7424136</v>
      </c>
      <c r="X19">
        <f>B19*G19</f>
        <v>66066840</v>
      </c>
      <c r="Y19">
        <f t="shared" si="7"/>
        <v>136.46879999999999</v>
      </c>
      <c r="Z19">
        <f t="shared" si="8"/>
        <v>462081024</v>
      </c>
      <c r="AB19">
        <f t="shared" si="9"/>
        <v>49.349999999999994</v>
      </c>
      <c r="AC19">
        <f t="shared" si="10"/>
        <v>72240</v>
      </c>
      <c r="AD19">
        <f t="shared" si="11"/>
        <v>400995</v>
      </c>
      <c r="AE19">
        <f t="shared" si="12"/>
        <v>3568425</v>
      </c>
      <c r="AF19">
        <f t="shared" si="13"/>
        <v>7.3709999999999996</v>
      </c>
      <c r="AG19">
        <f t="shared" si="14"/>
        <v>24958080</v>
      </c>
    </row>
    <row r="20" spans="1:33">
      <c r="A20" s="1">
        <v>44246</v>
      </c>
      <c r="B20">
        <v>1940</v>
      </c>
      <c r="C20">
        <v>67</v>
      </c>
      <c r="D20">
        <v>0.48</v>
      </c>
      <c r="E20">
        <v>669</v>
      </c>
      <c r="F20">
        <v>3584</v>
      </c>
      <c r="G20">
        <v>33887</v>
      </c>
      <c r="H20">
        <v>6.7400000000000002E-2</v>
      </c>
      <c r="I20">
        <v>250400</v>
      </c>
      <c r="K20">
        <f t="shared" si="2"/>
        <v>3763600</v>
      </c>
      <c r="L20">
        <f t="shared" si="3"/>
        <v>4489</v>
      </c>
      <c r="M20">
        <f t="shared" si="4"/>
        <v>0.23039999999999999</v>
      </c>
      <c r="N20">
        <v>447561</v>
      </c>
      <c r="O20">
        <v>12845056</v>
      </c>
      <c r="P20">
        <v>1148328769</v>
      </c>
      <c r="Q20">
        <v>4.5427599999999999E-3</v>
      </c>
      <c r="R20">
        <v>62700160000</v>
      </c>
      <c r="U20">
        <f t="shared" si="0"/>
        <v>931.19999999999993</v>
      </c>
      <c r="V20">
        <f t="shared" si="1"/>
        <v>1297860</v>
      </c>
      <c r="W20">
        <f t="shared" si="5"/>
        <v>6952960</v>
      </c>
      <c r="X20">
        <f t="shared" si="6"/>
        <v>65740780</v>
      </c>
      <c r="Y20">
        <f t="shared" si="7"/>
        <v>130.756</v>
      </c>
      <c r="Z20">
        <f t="shared" si="8"/>
        <v>485776000</v>
      </c>
      <c r="AB20">
        <f t="shared" si="9"/>
        <v>32.159999999999997</v>
      </c>
      <c r="AC20">
        <f t="shared" si="10"/>
        <v>44823</v>
      </c>
      <c r="AD20">
        <f t="shared" si="11"/>
        <v>240128</v>
      </c>
      <c r="AE20">
        <f t="shared" si="12"/>
        <v>2270429</v>
      </c>
      <c r="AF20">
        <f t="shared" si="13"/>
        <v>4.5158000000000005</v>
      </c>
      <c r="AG20">
        <f t="shared" si="14"/>
        <v>16776800</v>
      </c>
    </row>
    <row r="21" spans="1:33">
      <c r="A21" s="1">
        <v>44247</v>
      </c>
      <c r="B21">
        <v>1570</v>
      </c>
      <c r="C21">
        <v>76</v>
      </c>
      <c r="D21">
        <v>0.48</v>
      </c>
      <c r="E21">
        <v>656</v>
      </c>
      <c r="F21">
        <v>3284</v>
      </c>
      <c r="G21">
        <v>21848</v>
      </c>
      <c r="H21">
        <v>6.0900000000000003E-2</v>
      </c>
      <c r="I21">
        <v>263354</v>
      </c>
      <c r="K21">
        <f t="shared" si="2"/>
        <v>2464900</v>
      </c>
      <c r="L21">
        <f t="shared" si="3"/>
        <v>5776</v>
      </c>
      <c r="M21">
        <f t="shared" si="4"/>
        <v>0.23039999999999999</v>
      </c>
      <c r="N21">
        <v>430336</v>
      </c>
      <c r="O21">
        <v>10784656</v>
      </c>
      <c r="P21">
        <v>477335104</v>
      </c>
      <c r="Q21">
        <v>3.7088100000000003E-3</v>
      </c>
      <c r="R21">
        <v>69355329316</v>
      </c>
      <c r="U21">
        <f t="shared" si="0"/>
        <v>753.6</v>
      </c>
      <c r="V21">
        <f t="shared" si="1"/>
        <v>1029920</v>
      </c>
      <c r="W21">
        <f t="shared" si="5"/>
        <v>5155880</v>
      </c>
      <c r="X21">
        <f t="shared" si="6"/>
        <v>34301360</v>
      </c>
      <c r="Y21">
        <f t="shared" si="7"/>
        <v>95.613</v>
      </c>
      <c r="Z21">
        <f t="shared" si="8"/>
        <v>413465780</v>
      </c>
      <c r="AB21">
        <f t="shared" si="9"/>
        <v>36.479999999999997</v>
      </c>
      <c r="AC21">
        <f t="shared" si="10"/>
        <v>49856</v>
      </c>
      <c r="AD21">
        <f t="shared" si="11"/>
        <v>249584</v>
      </c>
      <c r="AE21">
        <f t="shared" si="12"/>
        <v>1660448</v>
      </c>
      <c r="AF21">
        <f t="shared" si="13"/>
        <v>4.6284000000000001</v>
      </c>
      <c r="AG21">
        <f t="shared" si="14"/>
        <v>20014904</v>
      </c>
    </row>
    <row r="22" spans="1:33">
      <c r="A22" s="1">
        <v>44248</v>
      </c>
      <c r="B22">
        <v>1186</v>
      </c>
      <c r="C22">
        <v>65</v>
      </c>
      <c r="D22">
        <v>0.49</v>
      </c>
      <c r="E22">
        <v>638</v>
      </c>
      <c r="F22">
        <v>3316</v>
      </c>
      <c r="G22">
        <v>10854</v>
      </c>
      <c r="H22">
        <v>5.8799999999999998E-2</v>
      </c>
      <c r="I22">
        <v>266858</v>
      </c>
      <c r="K22">
        <f t="shared" si="2"/>
        <v>1406596</v>
      </c>
      <c r="L22">
        <f t="shared" si="3"/>
        <v>4225</v>
      </c>
      <c r="M22">
        <f t="shared" si="4"/>
        <v>0.24009999999999998</v>
      </c>
      <c r="N22">
        <v>407044</v>
      </c>
      <c r="O22">
        <v>10995856</v>
      </c>
      <c r="P22">
        <v>117809316</v>
      </c>
      <c r="Q22">
        <v>3.45744E-3</v>
      </c>
      <c r="R22">
        <v>71213192164</v>
      </c>
      <c r="U22">
        <f t="shared" si="0"/>
        <v>581.14</v>
      </c>
      <c r="V22">
        <f t="shared" si="1"/>
        <v>756668</v>
      </c>
      <c r="W22">
        <f t="shared" si="5"/>
        <v>3932776</v>
      </c>
      <c r="X22">
        <f t="shared" si="6"/>
        <v>12872844</v>
      </c>
      <c r="Y22">
        <f t="shared" si="7"/>
        <v>69.736800000000002</v>
      </c>
      <c r="Z22">
        <f t="shared" si="8"/>
        <v>316493588</v>
      </c>
      <c r="AB22">
        <f t="shared" si="9"/>
        <v>31.849999999999998</v>
      </c>
      <c r="AC22">
        <f t="shared" si="10"/>
        <v>41470</v>
      </c>
      <c r="AD22">
        <f t="shared" si="11"/>
        <v>215540</v>
      </c>
      <c r="AE22">
        <f t="shared" si="12"/>
        <v>705510</v>
      </c>
      <c r="AF22">
        <f t="shared" si="13"/>
        <v>3.8220000000000001</v>
      </c>
      <c r="AG22">
        <f t="shared" si="14"/>
        <v>17345770</v>
      </c>
    </row>
    <row r="23" spans="1:33">
      <c r="A23" s="1">
        <v>44249</v>
      </c>
      <c r="B23">
        <v>549</v>
      </c>
      <c r="C23">
        <v>61</v>
      </c>
      <c r="D23">
        <v>0.49</v>
      </c>
      <c r="E23">
        <v>627</v>
      </c>
      <c r="F23">
        <v>3322</v>
      </c>
      <c r="G23">
        <v>31296</v>
      </c>
      <c r="H23">
        <v>5.5500000000000001E-2</v>
      </c>
      <c r="I23">
        <v>269203</v>
      </c>
      <c r="K23">
        <f t="shared" si="2"/>
        <v>301401</v>
      </c>
      <c r="L23">
        <f t="shared" si="3"/>
        <v>3721</v>
      </c>
      <c r="M23">
        <f t="shared" si="4"/>
        <v>0.24009999999999998</v>
      </c>
      <c r="N23">
        <v>393129</v>
      </c>
      <c r="O23">
        <v>11035684</v>
      </c>
      <c r="P23">
        <v>979439616</v>
      </c>
      <c r="Q23">
        <v>3.0802500000000001E-3</v>
      </c>
      <c r="R23">
        <v>72470255209</v>
      </c>
      <c r="U23">
        <f t="shared" si="0"/>
        <v>269.01</v>
      </c>
      <c r="V23">
        <f t="shared" si="1"/>
        <v>344223</v>
      </c>
      <c r="W23">
        <f t="shared" si="5"/>
        <v>1823778</v>
      </c>
      <c r="X23">
        <f t="shared" si="6"/>
        <v>17181504</v>
      </c>
      <c r="Y23">
        <f t="shared" si="7"/>
        <v>30.4695</v>
      </c>
      <c r="Z23">
        <f t="shared" si="8"/>
        <v>147792447</v>
      </c>
      <c r="AB23">
        <f t="shared" si="9"/>
        <v>29.89</v>
      </c>
      <c r="AC23">
        <f t="shared" si="10"/>
        <v>38247</v>
      </c>
      <c r="AD23">
        <f t="shared" si="11"/>
        <v>202642</v>
      </c>
      <c r="AE23">
        <f t="shared" si="12"/>
        <v>1909056</v>
      </c>
      <c r="AF23">
        <f t="shared" si="13"/>
        <v>3.3855</v>
      </c>
      <c r="AG23">
        <f t="shared" si="14"/>
        <v>16421383</v>
      </c>
    </row>
    <row r="24" spans="1:33">
      <c r="A24" s="1">
        <v>44250</v>
      </c>
      <c r="B24">
        <v>1032</v>
      </c>
      <c r="C24">
        <v>63</v>
      </c>
      <c r="D24">
        <v>0.49</v>
      </c>
      <c r="E24">
        <v>597</v>
      </c>
      <c r="F24">
        <v>3012</v>
      </c>
      <c r="G24">
        <v>31577</v>
      </c>
      <c r="H24">
        <v>5.33E-2</v>
      </c>
      <c r="I24">
        <v>270927</v>
      </c>
      <c r="K24">
        <f t="shared" si="2"/>
        <v>1065024</v>
      </c>
      <c r="L24">
        <f t="shared" si="3"/>
        <v>3969</v>
      </c>
      <c r="M24">
        <f t="shared" si="4"/>
        <v>0.24009999999999998</v>
      </c>
      <c r="N24">
        <v>356409</v>
      </c>
      <c r="O24">
        <v>9072144</v>
      </c>
      <c r="P24">
        <v>997106929</v>
      </c>
      <c r="Q24">
        <v>2.84089E-3</v>
      </c>
      <c r="R24">
        <v>73401439329</v>
      </c>
      <c r="U24">
        <f t="shared" si="0"/>
        <v>505.68</v>
      </c>
      <c r="V24">
        <f t="shared" si="1"/>
        <v>616104</v>
      </c>
      <c r="W24">
        <f t="shared" si="5"/>
        <v>3108384</v>
      </c>
      <c r="X24">
        <f t="shared" si="6"/>
        <v>32587464</v>
      </c>
      <c r="Y24">
        <f t="shared" si="7"/>
        <v>55.005600000000001</v>
      </c>
      <c r="Z24">
        <f t="shared" si="8"/>
        <v>279596664</v>
      </c>
      <c r="AB24">
        <f t="shared" si="9"/>
        <v>30.87</v>
      </c>
      <c r="AC24">
        <f t="shared" si="10"/>
        <v>37611</v>
      </c>
      <c r="AD24">
        <f t="shared" si="11"/>
        <v>189756</v>
      </c>
      <c r="AE24">
        <f t="shared" si="12"/>
        <v>1989351</v>
      </c>
      <c r="AF24">
        <f t="shared" si="13"/>
        <v>3.3578999999999999</v>
      </c>
      <c r="AG24">
        <f t="shared" si="14"/>
        <v>17068401</v>
      </c>
    </row>
    <row r="25" spans="1:33">
      <c r="A25" s="1">
        <v>44251</v>
      </c>
      <c r="B25">
        <v>1480</v>
      </c>
      <c r="C25">
        <v>50</v>
      </c>
      <c r="D25">
        <v>0.5</v>
      </c>
      <c r="E25">
        <v>567</v>
      </c>
      <c r="F25">
        <v>2767</v>
      </c>
      <c r="G25">
        <v>31235</v>
      </c>
      <c r="H25">
        <v>4.9799999999999997E-2</v>
      </c>
      <c r="I25">
        <v>273148</v>
      </c>
      <c r="K25">
        <f t="shared" si="2"/>
        <v>2190400</v>
      </c>
      <c r="L25">
        <f t="shared" si="3"/>
        <v>2500</v>
      </c>
      <c r="M25">
        <f t="shared" si="4"/>
        <v>0.25</v>
      </c>
      <c r="N25">
        <v>321489</v>
      </c>
      <c r="O25">
        <v>7656289</v>
      </c>
      <c r="P25">
        <v>975625225</v>
      </c>
      <c r="Q25">
        <v>2.4800399999999998E-3</v>
      </c>
      <c r="R25">
        <v>74609829904</v>
      </c>
      <c r="U25">
        <f t="shared" si="0"/>
        <v>740</v>
      </c>
      <c r="V25">
        <f t="shared" si="1"/>
        <v>839160</v>
      </c>
      <c r="W25">
        <f t="shared" si="5"/>
        <v>4095160</v>
      </c>
      <c r="X25">
        <f t="shared" si="6"/>
        <v>46227800</v>
      </c>
      <c r="Y25">
        <f t="shared" si="7"/>
        <v>73.703999999999994</v>
      </c>
      <c r="Z25">
        <f t="shared" si="8"/>
        <v>404259040</v>
      </c>
      <c r="AB25">
        <f t="shared" si="9"/>
        <v>25</v>
      </c>
      <c r="AC25">
        <f t="shared" si="10"/>
        <v>28350</v>
      </c>
      <c r="AD25">
        <f t="shared" si="11"/>
        <v>138350</v>
      </c>
      <c r="AE25">
        <f t="shared" si="12"/>
        <v>1561750</v>
      </c>
      <c r="AF25">
        <f t="shared" si="13"/>
        <v>2.4899999999999998</v>
      </c>
      <c r="AG25">
        <f t="shared" si="14"/>
        <v>13657400</v>
      </c>
    </row>
    <row r="26" spans="1:33">
      <c r="A26" s="1">
        <v>44252</v>
      </c>
      <c r="B26">
        <v>1160</v>
      </c>
      <c r="C26">
        <v>49</v>
      </c>
      <c r="D26">
        <v>0.5</v>
      </c>
      <c r="E26">
        <v>536</v>
      </c>
      <c r="F26">
        <v>2613</v>
      </c>
      <c r="G26">
        <v>30974</v>
      </c>
      <c r="H26">
        <v>4.65E-2</v>
      </c>
      <c r="I26">
        <v>276637</v>
      </c>
      <c r="K26">
        <f t="shared" si="2"/>
        <v>1345600</v>
      </c>
      <c r="L26">
        <f t="shared" si="3"/>
        <v>2401</v>
      </c>
      <c r="M26">
        <f t="shared" si="4"/>
        <v>0.25</v>
      </c>
      <c r="N26">
        <v>287296</v>
      </c>
      <c r="O26">
        <v>6827769</v>
      </c>
      <c r="P26">
        <v>959388676</v>
      </c>
      <c r="Q26">
        <v>2.1622500000000001E-3</v>
      </c>
      <c r="R26">
        <v>76528029769</v>
      </c>
      <c r="U26">
        <f t="shared" si="0"/>
        <v>580</v>
      </c>
      <c r="V26">
        <f t="shared" si="1"/>
        <v>621760</v>
      </c>
      <c r="W26">
        <f t="shared" si="5"/>
        <v>3031080</v>
      </c>
      <c r="X26">
        <f t="shared" si="6"/>
        <v>35929840</v>
      </c>
      <c r="Y26">
        <f t="shared" si="7"/>
        <v>53.94</v>
      </c>
      <c r="Z26">
        <f t="shared" si="8"/>
        <v>320898920</v>
      </c>
      <c r="AB26">
        <f t="shared" si="9"/>
        <v>24.5</v>
      </c>
      <c r="AC26">
        <f t="shared" si="10"/>
        <v>26264</v>
      </c>
      <c r="AD26">
        <f t="shared" si="11"/>
        <v>128037</v>
      </c>
      <c r="AE26">
        <f t="shared" si="12"/>
        <v>1517726</v>
      </c>
      <c r="AF26">
        <f t="shared" si="13"/>
        <v>2.2785000000000002</v>
      </c>
      <c r="AG26">
        <f t="shared" si="14"/>
        <v>13555213</v>
      </c>
    </row>
    <row r="27" spans="1:33">
      <c r="A27" s="1">
        <v>44253</v>
      </c>
      <c r="B27">
        <v>1027</v>
      </c>
      <c r="C27">
        <v>58</v>
      </c>
      <c r="D27">
        <v>0.51</v>
      </c>
      <c r="E27">
        <v>522</v>
      </c>
      <c r="F27">
        <v>2404</v>
      </c>
      <c r="G27">
        <v>32910</v>
      </c>
      <c r="H27">
        <v>4.2000000000000003E-2</v>
      </c>
      <c r="I27">
        <v>279729</v>
      </c>
      <c r="K27">
        <f t="shared" si="2"/>
        <v>1054729</v>
      </c>
      <c r="L27">
        <f t="shared" si="3"/>
        <v>3364</v>
      </c>
      <c r="M27">
        <f t="shared" si="4"/>
        <v>0.2601</v>
      </c>
      <c r="N27">
        <v>272484</v>
      </c>
      <c r="O27">
        <v>5779216</v>
      </c>
      <c r="P27">
        <v>1083068100</v>
      </c>
      <c r="Q27">
        <v>1.7640000000000002E-3</v>
      </c>
      <c r="R27">
        <v>78248313441</v>
      </c>
      <c r="U27">
        <f t="shared" si="0"/>
        <v>523.77</v>
      </c>
      <c r="V27">
        <f t="shared" si="1"/>
        <v>536094</v>
      </c>
      <c r="W27">
        <f t="shared" si="5"/>
        <v>2468908</v>
      </c>
      <c r="X27">
        <f t="shared" si="6"/>
        <v>33798570</v>
      </c>
      <c r="Y27">
        <f t="shared" si="7"/>
        <v>43.134</v>
      </c>
      <c r="Z27">
        <f t="shared" si="8"/>
        <v>287281683</v>
      </c>
      <c r="AB27">
        <f t="shared" si="9"/>
        <v>29.580000000000002</v>
      </c>
      <c r="AC27">
        <f t="shared" si="10"/>
        <v>30276</v>
      </c>
      <c r="AD27">
        <f t="shared" si="11"/>
        <v>139432</v>
      </c>
      <c r="AE27">
        <f t="shared" si="12"/>
        <v>1908780</v>
      </c>
      <c r="AF27">
        <f t="shared" si="13"/>
        <v>2.4359999999999999</v>
      </c>
      <c r="AG27">
        <f t="shared" si="14"/>
        <v>16224282</v>
      </c>
    </row>
    <row r="28" spans="1:33">
      <c r="A28" s="1">
        <v>44254</v>
      </c>
      <c r="B28">
        <v>1071</v>
      </c>
      <c r="C28">
        <v>33</v>
      </c>
      <c r="D28">
        <v>0.53</v>
      </c>
      <c r="E28">
        <v>492</v>
      </c>
      <c r="F28">
        <v>2180</v>
      </c>
      <c r="G28">
        <v>20380</v>
      </c>
      <c r="H28">
        <v>3.9699999999999999E-2</v>
      </c>
      <c r="I28">
        <v>285185</v>
      </c>
      <c r="K28">
        <f t="shared" si="2"/>
        <v>1147041</v>
      </c>
      <c r="L28">
        <f t="shared" si="3"/>
        <v>1089</v>
      </c>
      <c r="M28">
        <f t="shared" si="4"/>
        <v>0.28090000000000004</v>
      </c>
      <c r="N28">
        <v>242064</v>
      </c>
      <c r="O28">
        <v>4752400</v>
      </c>
      <c r="P28">
        <v>415344400</v>
      </c>
      <c r="Q28">
        <v>1.57609E-3</v>
      </c>
      <c r="R28">
        <v>81330484225</v>
      </c>
      <c r="U28">
        <f t="shared" si="0"/>
        <v>567.63</v>
      </c>
      <c r="V28">
        <f t="shared" si="1"/>
        <v>526932</v>
      </c>
      <c r="W28">
        <f t="shared" si="5"/>
        <v>2334780</v>
      </c>
      <c r="X28">
        <f t="shared" si="6"/>
        <v>21826980</v>
      </c>
      <c r="Y28">
        <f t="shared" si="7"/>
        <v>42.518700000000003</v>
      </c>
      <c r="Z28">
        <f t="shared" si="8"/>
        <v>305433135</v>
      </c>
      <c r="AB28">
        <f t="shared" si="9"/>
        <v>17.490000000000002</v>
      </c>
      <c r="AC28">
        <f t="shared" si="10"/>
        <v>16236</v>
      </c>
      <c r="AD28">
        <f t="shared" si="11"/>
        <v>71940</v>
      </c>
      <c r="AE28">
        <f t="shared" si="12"/>
        <v>672540</v>
      </c>
      <c r="AF28">
        <f t="shared" si="13"/>
        <v>1.3101</v>
      </c>
      <c r="AG28">
        <f t="shared" si="14"/>
        <v>9411105</v>
      </c>
    </row>
    <row r="29" spans="1:33">
      <c r="A29" s="1">
        <v>44255</v>
      </c>
      <c r="B29">
        <v>718</v>
      </c>
      <c r="C29">
        <v>41</v>
      </c>
      <c r="D29">
        <v>0.54</v>
      </c>
      <c r="E29">
        <v>484</v>
      </c>
      <c r="F29">
        <v>2165</v>
      </c>
      <c r="G29">
        <v>11439</v>
      </c>
      <c r="H29">
        <v>3.7100000000000001E-2</v>
      </c>
      <c r="I29">
        <v>286470</v>
      </c>
      <c r="K29">
        <f t="shared" si="2"/>
        <v>515524</v>
      </c>
      <c r="L29">
        <f t="shared" si="3"/>
        <v>1681</v>
      </c>
      <c r="M29">
        <f t="shared" si="4"/>
        <v>0.29160000000000003</v>
      </c>
      <c r="N29">
        <v>234256</v>
      </c>
      <c r="O29">
        <v>4687225</v>
      </c>
      <c r="P29">
        <v>130850721</v>
      </c>
      <c r="Q29">
        <v>1.37641E-3</v>
      </c>
      <c r="R29">
        <v>82065060900</v>
      </c>
      <c r="U29">
        <f t="shared" si="0"/>
        <v>387.72</v>
      </c>
      <c r="V29">
        <f t="shared" si="1"/>
        <v>347512</v>
      </c>
      <c r="W29">
        <f t="shared" si="5"/>
        <v>1554470</v>
      </c>
      <c r="X29">
        <f t="shared" si="6"/>
        <v>8213202</v>
      </c>
      <c r="Y29">
        <f t="shared" si="7"/>
        <v>26.637800000000002</v>
      </c>
      <c r="Z29">
        <f t="shared" si="8"/>
        <v>205685460</v>
      </c>
      <c r="AB29">
        <f t="shared" si="9"/>
        <v>22.14</v>
      </c>
      <c r="AC29">
        <f t="shared" si="10"/>
        <v>19844</v>
      </c>
      <c r="AD29">
        <f t="shared" si="11"/>
        <v>88765</v>
      </c>
      <c r="AE29">
        <f t="shared" si="12"/>
        <v>468999</v>
      </c>
      <c r="AF29">
        <f t="shared" si="13"/>
        <v>1.5211000000000001</v>
      </c>
      <c r="AG29">
        <f t="shared" si="14"/>
        <v>11745270</v>
      </c>
    </row>
    <row r="30" spans="1:33">
      <c r="A30" s="1">
        <v>44256</v>
      </c>
      <c r="B30">
        <v>394</v>
      </c>
      <c r="C30">
        <v>34</v>
      </c>
      <c r="D30">
        <v>0.56000000000000005</v>
      </c>
      <c r="E30">
        <v>469</v>
      </c>
      <c r="F30">
        <v>2167</v>
      </c>
      <c r="G30">
        <v>26639</v>
      </c>
      <c r="H30">
        <v>3.7199999999999997E-2</v>
      </c>
      <c r="I30">
        <v>290637</v>
      </c>
      <c r="K30">
        <f t="shared" si="2"/>
        <v>155236</v>
      </c>
      <c r="L30">
        <f t="shared" si="3"/>
        <v>1156</v>
      </c>
      <c r="M30">
        <f t="shared" si="4"/>
        <v>0.31360000000000005</v>
      </c>
      <c r="N30">
        <v>219961</v>
      </c>
      <c r="O30">
        <v>4695889</v>
      </c>
      <c r="P30">
        <v>709636321</v>
      </c>
      <c r="Q30">
        <v>1.3838399999999997E-3</v>
      </c>
      <c r="R30">
        <v>84469865769</v>
      </c>
      <c r="U30">
        <f t="shared" si="0"/>
        <v>220.64000000000001</v>
      </c>
      <c r="V30">
        <f t="shared" si="1"/>
        <v>184786</v>
      </c>
      <c r="W30">
        <f t="shared" si="5"/>
        <v>853798</v>
      </c>
      <c r="X30">
        <f t="shared" si="6"/>
        <v>10495766</v>
      </c>
      <c r="Y30">
        <f t="shared" si="7"/>
        <v>14.656799999999999</v>
      </c>
      <c r="Z30">
        <f t="shared" si="8"/>
        <v>114510978</v>
      </c>
      <c r="AB30">
        <f t="shared" si="9"/>
        <v>19.040000000000003</v>
      </c>
      <c r="AC30">
        <f t="shared" si="10"/>
        <v>15946</v>
      </c>
      <c r="AD30">
        <f t="shared" si="11"/>
        <v>73678</v>
      </c>
      <c r="AE30">
        <f t="shared" si="12"/>
        <v>905726</v>
      </c>
      <c r="AF30">
        <f t="shared" si="13"/>
        <v>1.2647999999999999</v>
      </c>
      <c r="AG30">
        <f t="shared" si="14"/>
        <v>9881658</v>
      </c>
    </row>
    <row r="31" spans="1:33">
      <c r="A31" s="1">
        <v>44257</v>
      </c>
      <c r="B31">
        <v>691</v>
      </c>
      <c r="C31">
        <v>38</v>
      </c>
      <c r="D31">
        <v>0.56999999999999995</v>
      </c>
      <c r="E31">
        <v>446</v>
      </c>
      <c r="F31">
        <v>1997</v>
      </c>
      <c r="G31">
        <v>29735</v>
      </c>
      <c r="H31">
        <v>3.5700000000000003E-2</v>
      </c>
      <c r="I31">
        <v>291987</v>
      </c>
      <c r="K31">
        <f t="shared" si="2"/>
        <v>477481</v>
      </c>
      <c r="L31">
        <f t="shared" si="3"/>
        <v>1444</v>
      </c>
      <c r="M31">
        <f t="shared" si="4"/>
        <v>0.32489999999999997</v>
      </c>
      <c r="N31">
        <v>198916</v>
      </c>
      <c r="O31">
        <v>3988009</v>
      </c>
      <c r="P31">
        <v>884170225</v>
      </c>
      <c r="Q31">
        <v>1.2744900000000001E-3</v>
      </c>
      <c r="R31">
        <v>85256408169</v>
      </c>
      <c r="U31">
        <f t="shared" si="0"/>
        <v>393.86999999999995</v>
      </c>
      <c r="V31">
        <f t="shared" si="1"/>
        <v>308186</v>
      </c>
      <c r="W31">
        <f t="shared" si="5"/>
        <v>1379927</v>
      </c>
      <c r="X31">
        <f t="shared" si="6"/>
        <v>20546885</v>
      </c>
      <c r="Y31">
        <f t="shared" si="7"/>
        <v>24.668700000000001</v>
      </c>
      <c r="Z31">
        <f t="shared" si="8"/>
        <v>201763017</v>
      </c>
      <c r="AB31">
        <f t="shared" si="9"/>
        <v>21.659999999999997</v>
      </c>
      <c r="AC31">
        <f t="shared" si="10"/>
        <v>16948</v>
      </c>
      <c r="AD31">
        <f t="shared" si="11"/>
        <v>75886</v>
      </c>
      <c r="AE31">
        <f t="shared" si="12"/>
        <v>1129930</v>
      </c>
      <c r="AF31">
        <f t="shared" si="13"/>
        <v>1.3566</v>
      </c>
      <c r="AG31">
        <f t="shared" si="14"/>
        <v>11095506</v>
      </c>
    </row>
    <row r="32" spans="1:33">
      <c r="A32" s="1">
        <v>44258</v>
      </c>
      <c r="B32">
        <v>979</v>
      </c>
      <c r="C32">
        <v>41</v>
      </c>
      <c r="D32">
        <v>0.59</v>
      </c>
      <c r="E32">
        <v>415</v>
      </c>
      <c r="F32">
        <v>1827</v>
      </c>
      <c r="G32">
        <v>29388</v>
      </c>
      <c r="H32">
        <v>3.3300000000000003E-2</v>
      </c>
      <c r="I32">
        <v>293652</v>
      </c>
      <c r="K32">
        <f t="shared" si="2"/>
        <v>958441</v>
      </c>
      <c r="L32">
        <f t="shared" si="3"/>
        <v>1681</v>
      </c>
      <c r="M32">
        <f t="shared" si="4"/>
        <v>0.34809999999999997</v>
      </c>
      <c r="N32">
        <v>172225</v>
      </c>
      <c r="O32">
        <v>3337929</v>
      </c>
      <c r="P32">
        <v>863654544</v>
      </c>
      <c r="Q32">
        <v>1.1088900000000002E-3</v>
      </c>
      <c r="R32">
        <v>86231497104</v>
      </c>
      <c r="U32">
        <f t="shared" si="0"/>
        <v>577.61</v>
      </c>
      <c r="V32">
        <f t="shared" si="1"/>
        <v>406285</v>
      </c>
      <c r="W32">
        <f t="shared" si="5"/>
        <v>1788633</v>
      </c>
      <c r="X32">
        <f t="shared" si="6"/>
        <v>28770852</v>
      </c>
      <c r="Y32">
        <f t="shared" si="7"/>
        <v>32.600700000000003</v>
      </c>
      <c r="Z32">
        <f t="shared" si="8"/>
        <v>287485308</v>
      </c>
      <c r="AB32">
        <f t="shared" si="9"/>
        <v>24.189999999999998</v>
      </c>
      <c r="AC32">
        <f t="shared" si="10"/>
        <v>17015</v>
      </c>
      <c r="AD32">
        <f t="shared" si="11"/>
        <v>74907</v>
      </c>
      <c r="AE32">
        <f t="shared" si="12"/>
        <v>1204908</v>
      </c>
      <c r="AF32">
        <f t="shared" si="13"/>
        <v>1.3653000000000002</v>
      </c>
      <c r="AG32">
        <f t="shared" si="14"/>
        <v>12039732</v>
      </c>
    </row>
    <row r="33" spans="1:33">
      <c r="A33" s="1">
        <v>44259</v>
      </c>
      <c r="B33">
        <v>830</v>
      </c>
      <c r="C33">
        <v>28</v>
      </c>
      <c r="D33">
        <v>0.61</v>
      </c>
      <c r="E33">
        <v>399</v>
      </c>
      <c r="F33">
        <v>1708</v>
      </c>
      <c r="G33">
        <v>28081</v>
      </c>
      <c r="H33">
        <v>3.2000000000000001E-2</v>
      </c>
      <c r="I33">
        <v>298685</v>
      </c>
      <c r="K33">
        <f t="shared" si="2"/>
        <v>688900</v>
      </c>
      <c r="L33">
        <f t="shared" si="3"/>
        <v>784</v>
      </c>
      <c r="M33">
        <f t="shared" si="4"/>
        <v>0.37209999999999999</v>
      </c>
      <c r="N33">
        <v>159201</v>
      </c>
      <c r="O33">
        <v>2917264</v>
      </c>
      <c r="P33">
        <v>788542561</v>
      </c>
      <c r="Q33">
        <v>1.024E-3</v>
      </c>
      <c r="R33">
        <v>89212729225</v>
      </c>
      <c r="U33">
        <f t="shared" si="0"/>
        <v>506.3</v>
      </c>
      <c r="V33">
        <f t="shared" si="1"/>
        <v>331170</v>
      </c>
      <c r="W33">
        <f t="shared" si="5"/>
        <v>1417640</v>
      </c>
      <c r="X33">
        <f t="shared" si="6"/>
        <v>23307230</v>
      </c>
      <c r="Y33">
        <f t="shared" si="7"/>
        <v>26.560000000000002</v>
      </c>
      <c r="Z33">
        <f t="shared" si="8"/>
        <v>247908550</v>
      </c>
      <c r="AB33">
        <f t="shared" si="9"/>
        <v>17.079999999999998</v>
      </c>
      <c r="AC33">
        <f t="shared" si="10"/>
        <v>11172</v>
      </c>
      <c r="AD33">
        <f t="shared" si="11"/>
        <v>47824</v>
      </c>
      <c r="AE33">
        <f t="shared" si="12"/>
        <v>786268</v>
      </c>
      <c r="AF33">
        <f t="shared" si="13"/>
        <v>0.89600000000000002</v>
      </c>
      <c r="AG33">
        <f t="shared" si="14"/>
        <v>8363180</v>
      </c>
    </row>
    <row r="34" spans="1:33">
      <c r="A34" s="1">
        <v>44260</v>
      </c>
      <c r="B34">
        <v>949</v>
      </c>
      <c r="C34">
        <v>28</v>
      </c>
      <c r="D34">
        <v>0.64</v>
      </c>
      <c r="E34">
        <v>383</v>
      </c>
      <c r="F34">
        <v>1583</v>
      </c>
      <c r="G34">
        <v>28636</v>
      </c>
      <c r="H34">
        <v>3.2300000000000002E-2</v>
      </c>
      <c r="I34">
        <v>304494</v>
      </c>
      <c r="K34">
        <f t="shared" si="2"/>
        <v>900601</v>
      </c>
      <c r="L34">
        <f t="shared" si="3"/>
        <v>784</v>
      </c>
      <c r="M34">
        <f t="shared" si="4"/>
        <v>0.40960000000000002</v>
      </c>
      <c r="N34">
        <v>146689</v>
      </c>
      <c r="O34">
        <v>2505889</v>
      </c>
      <c r="P34">
        <v>820020496</v>
      </c>
      <c r="Q34">
        <v>1.0432900000000001E-3</v>
      </c>
      <c r="R34">
        <v>92716596036</v>
      </c>
      <c r="U34">
        <f t="shared" ref="U34:U65" si="15">B34*D34</f>
        <v>607.36</v>
      </c>
      <c r="V34">
        <f t="shared" ref="V34:V65" si="16">B34*E34</f>
        <v>363467</v>
      </c>
      <c r="W34">
        <f t="shared" si="5"/>
        <v>1502267</v>
      </c>
      <c r="X34">
        <f t="shared" si="6"/>
        <v>27175564</v>
      </c>
      <c r="Y34">
        <f t="shared" si="7"/>
        <v>30.652700000000003</v>
      </c>
      <c r="Z34">
        <f t="shared" si="8"/>
        <v>288964806</v>
      </c>
      <c r="AB34">
        <f t="shared" si="9"/>
        <v>17.920000000000002</v>
      </c>
      <c r="AC34">
        <f t="shared" si="10"/>
        <v>10724</v>
      </c>
      <c r="AD34">
        <f t="shared" si="11"/>
        <v>44324</v>
      </c>
      <c r="AE34">
        <f t="shared" si="12"/>
        <v>801808</v>
      </c>
      <c r="AF34">
        <f t="shared" si="13"/>
        <v>0.90440000000000009</v>
      </c>
      <c r="AG34">
        <f t="shared" si="14"/>
        <v>8525832</v>
      </c>
    </row>
    <row r="35" spans="1:33">
      <c r="A35" s="1">
        <v>44261</v>
      </c>
      <c r="B35">
        <v>1007</v>
      </c>
      <c r="C35">
        <v>26</v>
      </c>
      <c r="D35">
        <v>0.66</v>
      </c>
      <c r="E35">
        <v>363</v>
      </c>
      <c r="F35">
        <v>1416</v>
      </c>
      <c r="G35">
        <v>19891</v>
      </c>
      <c r="H35">
        <v>3.2000000000000001E-2</v>
      </c>
      <c r="I35">
        <v>313101</v>
      </c>
      <c r="K35">
        <f t="shared" si="2"/>
        <v>1014049</v>
      </c>
      <c r="L35">
        <f t="shared" si="3"/>
        <v>676</v>
      </c>
      <c r="M35">
        <f t="shared" si="4"/>
        <v>0.43560000000000004</v>
      </c>
      <c r="N35">
        <v>131769</v>
      </c>
      <c r="O35">
        <v>2005056</v>
      </c>
      <c r="P35">
        <v>395651881</v>
      </c>
      <c r="Q35">
        <v>1.024E-3</v>
      </c>
      <c r="R35">
        <v>98032236201</v>
      </c>
      <c r="U35">
        <f t="shared" si="15"/>
        <v>664.62</v>
      </c>
      <c r="V35">
        <f t="shared" si="16"/>
        <v>365541</v>
      </c>
      <c r="W35">
        <f t="shared" si="5"/>
        <v>1425912</v>
      </c>
      <c r="X35">
        <f t="shared" si="6"/>
        <v>20030237</v>
      </c>
      <c r="Y35">
        <f t="shared" si="7"/>
        <v>32.224000000000004</v>
      </c>
      <c r="Z35">
        <f t="shared" si="8"/>
        <v>315292707</v>
      </c>
      <c r="AB35">
        <f t="shared" si="9"/>
        <v>17.16</v>
      </c>
      <c r="AC35">
        <f t="shared" si="10"/>
        <v>9438</v>
      </c>
      <c r="AD35">
        <f t="shared" si="11"/>
        <v>36816</v>
      </c>
      <c r="AE35">
        <f t="shared" si="12"/>
        <v>517166</v>
      </c>
      <c r="AF35">
        <f t="shared" si="13"/>
        <v>0.83200000000000007</v>
      </c>
      <c r="AG35">
        <f t="shared" si="14"/>
        <v>8140626</v>
      </c>
    </row>
    <row r="36" spans="1:33">
      <c r="A36" s="1">
        <v>44262</v>
      </c>
      <c r="B36">
        <v>682</v>
      </c>
      <c r="C36">
        <v>28</v>
      </c>
      <c r="D36">
        <v>0.67</v>
      </c>
      <c r="E36">
        <v>354</v>
      </c>
      <c r="F36">
        <v>1414</v>
      </c>
      <c r="G36">
        <v>9396</v>
      </c>
      <c r="H36">
        <v>3.2199999999999999E-2</v>
      </c>
      <c r="I36">
        <v>317254</v>
      </c>
      <c r="K36">
        <f t="shared" si="2"/>
        <v>465124</v>
      </c>
      <c r="L36">
        <f t="shared" si="3"/>
        <v>784</v>
      </c>
      <c r="M36">
        <f t="shared" si="4"/>
        <v>0.44890000000000008</v>
      </c>
      <c r="N36">
        <v>125316</v>
      </c>
      <c r="O36">
        <v>1999396</v>
      </c>
      <c r="P36">
        <v>88284816</v>
      </c>
      <c r="Q36">
        <v>1.03684E-3</v>
      </c>
      <c r="R36">
        <v>100650100516</v>
      </c>
      <c r="U36">
        <f t="shared" si="15"/>
        <v>456.94000000000005</v>
      </c>
      <c r="V36">
        <f t="shared" si="16"/>
        <v>241428</v>
      </c>
      <c r="W36">
        <f t="shared" si="5"/>
        <v>964348</v>
      </c>
      <c r="X36">
        <f>B36*G36</f>
        <v>6408072</v>
      </c>
      <c r="Y36">
        <f t="shared" si="7"/>
        <v>21.9604</v>
      </c>
      <c r="Z36">
        <f t="shared" si="8"/>
        <v>216367228</v>
      </c>
      <c r="AB36">
        <f t="shared" si="9"/>
        <v>18.760000000000002</v>
      </c>
      <c r="AC36">
        <f t="shared" si="10"/>
        <v>9912</v>
      </c>
      <c r="AD36">
        <f t="shared" si="11"/>
        <v>39592</v>
      </c>
      <c r="AE36">
        <f t="shared" si="12"/>
        <v>263088</v>
      </c>
      <c r="AF36">
        <f t="shared" si="13"/>
        <v>0.90159999999999996</v>
      </c>
      <c r="AG36">
        <f t="shared" si="14"/>
        <v>8883112</v>
      </c>
    </row>
    <row r="37" spans="1:33">
      <c r="A37" s="1">
        <v>44263</v>
      </c>
      <c r="B37">
        <v>365</v>
      </c>
      <c r="C37">
        <v>25</v>
      </c>
      <c r="D37">
        <v>0.67</v>
      </c>
      <c r="E37">
        <v>342</v>
      </c>
      <c r="F37">
        <v>1403</v>
      </c>
      <c r="G37">
        <v>25303</v>
      </c>
      <c r="H37">
        <v>3.2300000000000002E-2</v>
      </c>
      <c r="I37">
        <v>324862</v>
      </c>
      <c r="K37">
        <f t="shared" si="2"/>
        <v>133225</v>
      </c>
      <c r="L37">
        <f t="shared" si="3"/>
        <v>625</v>
      </c>
      <c r="M37">
        <f t="shared" si="4"/>
        <v>0.44890000000000008</v>
      </c>
      <c r="N37">
        <v>116964</v>
      </c>
      <c r="O37">
        <v>1968409</v>
      </c>
      <c r="P37">
        <v>640241809</v>
      </c>
      <c r="Q37">
        <v>1.0432900000000001E-3</v>
      </c>
      <c r="R37">
        <v>105535319044</v>
      </c>
      <c r="U37">
        <f t="shared" si="15"/>
        <v>244.55</v>
      </c>
      <c r="V37">
        <f t="shared" si="16"/>
        <v>124830</v>
      </c>
      <c r="W37">
        <f t="shared" si="5"/>
        <v>512095</v>
      </c>
      <c r="X37">
        <f t="shared" si="6"/>
        <v>9235595</v>
      </c>
      <c r="Y37">
        <f t="shared" si="7"/>
        <v>11.7895</v>
      </c>
      <c r="Z37">
        <f t="shared" si="8"/>
        <v>118574630</v>
      </c>
      <c r="AB37">
        <f t="shared" si="9"/>
        <v>16.75</v>
      </c>
      <c r="AC37">
        <f t="shared" si="10"/>
        <v>8550</v>
      </c>
      <c r="AD37">
        <f t="shared" si="11"/>
        <v>35075</v>
      </c>
      <c r="AE37">
        <f t="shared" si="12"/>
        <v>632575</v>
      </c>
      <c r="AF37">
        <f t="shared" si="13"/>
        <v>0.80750000000000011</v>
      </c>
      <c r="AG37">
        <f t="shared" si="14"/>
        <v>8121550</v>
      </c>
    </row>
    <row r="38" spans="1:33">
      <c r="A38" s="1">
        <v>44264</v>
      </c>
      <c r="B38">
        <v>847</v>
      </c>
      <c r="C38">
        <v>30</v>
      </c>
      <c r="D38">
        <v>0.67</v>
      </c>
      <c r="E38">
        <v>312</v>
      </c>
      <c r="F38">
        <v>1278</v>
      </c>
      <c r="G38">
        <v>24513</v>
      </c>
      <c r="H38">
        <v>3.4299999999999997E-2</v>
      </c>
      <c r="I38">
        <v>327040</v>
      </c>
      <c r="K38">
        <f t="shared" si="2"/>
        <v>717409</v>
      </c>
      <c r="L38">
        <f t="shared" si="3"/>
        <v>900</v>
      </c>
      <c r="M38">
        <f t="shared" si="4"/>
        <v>0.44890000000000008</v>
      </c>
      <c r="N38">
        <v>97344</v>
      </c>
      <c r="O38">
        <v>1633284</v>
      </c>
      <c r="P38">
        <v>600887169</v>
      </c>
      <c r="Q38">
        <v>1.1764899999999999E-3</v>
      </c>
      <c r="R38">
        <v>106955161600</v>
      </c>
      <c r="U38">
        <f t="shared" si="15"/>
        <v>567.49</v>
      </c>
      <c r="V38">
        <f t="shared" si="16"/>
        <v>264264</v>
      </c>
      <c r="W38">
        <f t="shared" si="5"/>
        <v>1082466</v>
      </c>
      <c r="X38">
        <f t="shared" si="6"/>
        <v>20762511</v>
      </c>
      <c r="Y38">
        <f t="shared" si="7"/>
        <v>29.052099999999996</v>
      </c>
      <c r="Z38">
        <f t="shared" si="8"/>
        <v>277002880</v>
      </c>
      <c r="AB38">
        <f t="shared" si="9"/>
        <v>20.100000000000001</v>
      </c>
      <c r="AC38">
        <f t="shared" si="10"/>
        <v>9360</v>
      </c>
      <c r="AD38">
        <f t="shared" si="11"/>
        <v>38340</v>
      </c>
      <c r="AE38">
        <f t="shared" si="12"/>
        <v>735390</v>
      </c>
      <c r="AF38">
        <f t="shared" si="13"/>
        <v>1.0289999999999999</v>
      </c>
      <c r="AG38">
        <f t="shared" si="14"/>
        <v>9811200</v>
      </c>
    </row>
    <row r="39" spans="1:33">
      <c r="A39" s="1">
        <v>44265</v>
      </c>
      <c r="B39">
        <v>642</v>
      </c>
      <c r="C39">
        <v>22</v>
      </c>
      <c r="D39">
        <v>0.65</v>
      </c>
      <c r="E39">
        <v>283</v>
      </c>
      <c r="F39">
        <v>1201</v>
      </c>
      <c r="G39">
        <v>26627</v>
      </c>
      <c r="H39">
        <v>3.2800000000000003E-2</v>
      </c>
      <c r="I39">
        <v>328946</v>
      </c>
      <c r="K39">
        <f t="shared" si="2"/>
        <v>412164</v>
      </c>
      <c r="L39">
        <f t="shared" si="3"/>
        <v>484</v>
      </c>
      <c r="M39">
        <f t="shared" si="4"/>
        <v>0.42250000000000004</v>
      </c>
      <c r="N39">
        <v>80089</v>
      </c>
      <c r="O39">
        <v>1442401</v>
      </c>
      <c r="P39">
        <v>708997129</v>
      </c>
      <c r="Q39">
        <v>1.0758400000000002E-3</v>
      </c>
      <c r="R39">
        <v>108205470916</v>
      </c>
      <c r="U39">
        <f t="shared" si="15"/>
        <v>417.3</v>
      </c>
      <c r="V39">
        <f t="shared" si="16"/>
        <v>181686</v>
      </c>
      <c r="W39">
        <f t="shared" si="5"/>
        <v>771042</v>
      </c>
      <c r="X39">
        <f t="shared" si="6"/>
        <v>17094534</v>
      </c>
      <c r="Y39">
        <f t="shared" si="7"/>
        <v>21.057600000000001</v>
      </c>
      <c r="Z39">
        <f t="shared" si="8"/>
        <v>211183332</v>
      </c>
      <c r="AB39">
        <f t="shared" si="9"/>
        <v>14.3</v>
      </c>
      <c r="AC39">
        <f t="shared" si="10"/>
        <v>6226</v>
      </c>
      <c r="AD39">
        <f t="shared" si="11"/>
        <v>26422</v>
      </c>
      <c r="AE39">
        <f t="shared" si="12"/>
        <v>585794</v>
      </c>
      <c r="AF39">
        <f t="shared" si="13"/>
        <v>0.72160000000000002</v>
      </c>
      <c r="AG39">
        <f t="shared" si="14"/>
        <v>7236812</v>
      </c>
    </row>
    <row r="40" spans="1:33">
      <c r="A40" s="1">
        <v>44266</v>
      </c>
      <c r="B40">
        <v>627</v>
      </c>
      <c r="C40">
        <v>18</v>
      </c>
      <c r="D40">
        <v>0.65</v>
      </c>
      <c r="E40">
        <v>273</v>
      </c>
      <c r="F40">
        <v>1102</v>
      </c>
      <c r="G40">
        <v>24313</v>
      </c>
      <c r="H40">
        <v>3.2300000000000002E-2</v>
      </c>
      <c r="I40">
        <v>337944</v>
      </c>
      <c r="K40">
        <f t="shared" si="2"/>
        <v>393129</v>
      </c>
      <c r="L40">
        <f t="shared" si="3"/>
        <v>324</v>
      </c>
      <c r="M40">
        <f t="shared" si="4"/>
        <v>0.42250000000000004</v>
      </c>
      <c r="N40">
        <v>74529</v>
      </c>
      <c r="O40">
        <v>1214404</v>
      </c>
      <c r="P40">
        <v>591121969</v>
      </c>
      <c r="Q40">
        <v>1.0432900000000001E-3</v>
      </c>
      <c r="R40">
        <v>114206147136</v>
      </c>
      <c r="U40">
        <f t="shared" si="15"/>
        <v>407.55</v>
      </c>
      <c r="V40">
        <f t="shared" si="16"/>
        <v>171171</v>
      </c>
      <c r="W40">
        <f t="shared" si="5"/>
        <v>690954</v>
      </c>
      <c r="X40">
        <f t="shared" si="6"/>
        <v>15244251</v>
      </c>
      <c r="Y40">
        <f t="shared" si="7"/>
        <v>20.252100000000002</v>
      </c>
      <c r="Z40">
        <f t="shared" si="8"/>
        <v>211890888</v>
      </c>
      <c r="AB40">
        <f t="shared" si="9"/>
        <v>11.700000000000001</v>
      </c>
      <c r="AC40">
        <f t="shared" si="10"/>
        <v>4914</v>
      </c>
      <c r="AD40">
        <f t="shared" si="11"/>
        <v>19836</v>
      </c>
      <c r="AE40">
        <f t="shared" si="12"/>
        <v>437634</v>
      </c>
      <c r="AF40">
        <f t="shared" si="13"/>
        <v>0.58140000000000003</v>
      </c>
      <c r="AG40">
        <f t="shared" si="14"/>
        <v>6082992</v>
      </c>
    </row>
    <row r="41" spans="1:33">
      <c r="A41" s="1">
        <v>44267</v>
      </c>
      <c r="B41">
        <v>577</v>
      </c>
      <c r="C41">
        <v>15</v>
      </c>
      <c r="D41">
        <v>0.66</v>
      </c>
      <c r="E41">
        <v>266</v>
      </c>
      <c r="F41">
        <v>1046</v>
      </c>
      <c r="G41">
        <v>27281</v>
      </c>
      <c r="H41">
        <v>3.0200000000000001E-2</v>
      </c>
      <c r="I41">
        <v>352247</v>
      </c>
      <c r="K41">
        <f t="shared" si="2"/>
        <v>332929</v>
      </c>
      <c r="L41">
        <f t="shared" si="3"/>
        <v>225</v>
      </c>
      <c r="M41">
        <f t="shared" si="4"/>
        <v>0.43560000000000004</v>
      </c>
      <c r="N41">
        <v>70756</v>
      </c>
      <c r="O41">
        <v>1094116</v>
      </c>
      <c r="P41">
        <v>744252961</v>
      </c>
      <c r="Q41">
        <v>9.1204000000000003E-4</v>
      </c>
      <c r="R41">
        <v>124077949009</v>
      </c>
      <c r="U41">
        <f t="shared" si="15"/>
        <v>380.82</v>
      </c>
      <c r="V41">
        <f t="shared" si="16"/>
        <v>153482</v>
      </c>
      <c r="W41">
        <f t="shared" si="5"/>
        <v>603542</v>
      </c>
      <c r="X41">
        <f t="shared" si="6"/>
        <v>15741137</v>
      </c>
      <c r="Y41">
        <f t="shared" si="7"/>
        <v>17.4254</v>
      </c>
      <c r="Z41">
        <f t="shared" si="8"/>
        <v>203246519</v>
      </c>
      <c r="AB41">
        <f t="shared" si="9"/>
        <v>9.9</v>
      </c>
      <c r="AC41">
        <f t="shared" si="10"/>
        <v>3990</v>
      </c>
      <c r="AD41">
        <f t="shared" si="11"/>
        <v>15690</v>
      </c>
      <c r="AE41">
        <f t="shared" si="12"/>
        <v>409215</v>
      </c>
      <c r="AF41">
        <f t="shared" si="13"/>
        <v>0.45300000000000001</v>
      </c>
      <c r="AG41">
        <f t="shared" si="14"/>
        <v>5283705</v>
      </c>
    </row>
    <row r="42" spans="1:33">
      <c r="A42" s="1">
        <v>44268</v>
      </c>
      <c r="B42">
        <v>564</v>
      </c>
      <c r="C42">
        <v>19</v>
      </c>
      <c r="D42">
        <v>0.68</v>
      </c>
      <c r="E42">
        <v>253</v>
      </c>
      <c r="F42">
        <v>980</v>
      </c>
      <c r="G42">
        <v>21016</v>
      </c>
      <c r="H42">
        <v>2.7199999999999998E-2</v>
      </c>
      <c r="I42">
        <v>365719</v>
      </c>
      <c r="K42">
        <f t="shared" si="2"/>
        <v>318096</v>
      </c>
      <c r="L42">
        <f t="shared" si="3"/>
        <v>361</v>
      </c>
      <c r="M42">
        <f t="shared" si="4"/>
        <v>0.46240000000000009</v>
      </c>
      <c r="N42">
        <v>64009</v>
      </c>
      <c r="O42">
        <v>960400</v>
      </c>
      <c r="P42">
        <v>441672256</v>
      </c>
      <c r="Q42">
        <v>7.3983999999999996E-4</v>
      </c>
      <c r="R42">
        <v>133750386961</v>
      </c>
      <c r="U42">
        <f t="shared" si="15"/>
        <v>383.52000000000004</v>
      </c>
      <c r="V42">
        <f t="shared" si="16"/>
        <v>142692</v>
      </c>
      <c r="W42">
        <f t="shared" si="5"/>
        <v>552720</v>
      </c>
      <c r="X42">
        <f t="shared" si="6"/>
        <v>11853024</v>
      </c>
      <c r="Y42">
        <f t="shared" si="7"/>
        <v>15.3408</v>
      </c>
      <c r="Z42">
        <f t="shared" si="8"/>
        <v>206265516</v>
      </c>
      <c r="AB42">
        <f t="shared" si="9"/>
        <v>12.920000000000002</v>
      </c>
      <c r="AC42">
        <f t="shared" si="10"/>
        <v>4807</v>
      </c>
      <c r="AD42">
        <f t="shared" si="11"/>
        <v>18620</v>
      </c>
      <c r="AE42">
        <f t="shared" si="12"/>
        <v>399304</v>
      </c>
      <c r="AF42">
        <f t="shared" si="13"/>
        <v>0.51679999999999993</v>
      </c>
      <c r="AG42">
        <f t="shared" si="14"/>
        <v>6948661</v>
      </c>
    </row>
    <row r="43" spans="1:33">
      <c r="A43" s="1">
        <v>44269</v>
      </c>
      <c r="B43">
        <v>541</v>
      </c>
      <c r="C43">
        <v>15</v>
      </c>
      <c r="D43">
        <v>0.69</v>
      </c>
      <c r="E43">
        <v>242</v>
      </c>
      <c r="F43">
        <v>976</v>
      </c>
      <c r="G43">
        <v>9709</v>
      </c>
      <c r="H43">
        <v>2.6200000000000001E-2</v>
      </c>
      <c r="I43">
        <v>371084</v>
      </c>
      <c r="K43">
        <f t="shared" si="2"/>
        <v>292681</v>
      </c>
      <c r="L43">
        <f t="shared" si="3"/>
        <v>225</v>
      </c>
      <c r="M43">
        <f t="shared" si="4"/>
        <v>0.47609999999999991</v>
      </c>
      <c r="N43">
        <v>58564</v>
      </c>
      <c r="O43">
        <v>952576</v>
      </c>
      <c r="P43">
        <v>94264681</v>
      </c>
      <c r="Q43">
        <v>6.8644000000000008E-4</v>
      </c>
      <c r="R43">
        <v>137703335056</v>
      </c>
      <c r="U43">
        <f t="shared" si="15"/>
        <v>373.28999999999996</v>
      </c>
      <c r="V43">
        <f t="shared" si="16"/>
        <v>130922</v>
      </c>
      <c r="W43">
        <f t="shared" si="5"/>
        <v>528016</v>
      </c>
      <c r="X43">
        <f t="shared" si="6"/>
        <v>5252569</v>
      </c>
      <c r="Y43">
        <f t="shared" si="7"/>
        <v>14.174200000000001</v>
      </c>
      <c r="Z43">
        <f t="shared" si="8"/>
        <v>200756444</v>
      </c>
      <c r="AB43">
        <f t="shared" si="9"/>
        <v>10.35</v>
      </c>
      <c r="AC43">
        <f t="shared" si="10"/>
        <v>3630</v>
      </c>
      <c r="AD43">
        <f t="shared" si="11"/>
        <v>14640</v>
      </c>
      <c r="AE43">
        <f t="shared" si="12"/>
        <v>145635</v>
      </c>
      <c r="AF43">
        <f t="shared" si="13"/>
        <v>0.39300000000000002</v>
      </c>
      <c r="AG43">
        <f t="shared" si="14"/>
        <v>5566260</v>
      </c>
    </row>
    <row r="44" spans="1:33">
      <c r="A44" s="1">
        <v>44270</v>
      </c>
      <c r="B44">
        <v>256</v>
      </c>
      <c r="C44">
        <v>10</v>
      </c>
      <c r="D44">
        <v>0.7</v>
      </c>
      <c r="E44">
        <v>231</v>
      </c>
      <c r="F44">
        <v>996</v>
      </c>
      <c r="G44">
        <v>26427</v>
      </c>
      <c r="H44">
        <v>2.5399999999999999E-2</v>
      </c>
      <c r="I44">
        <v>377464</v>
      </c>
      <c r="K44">
        <f t="shared" si="2"/>
        <v>65536</v>
      </c>
      <c r="L44">
        <f t="shared" si="3"/>
        <v>100</v>
      </c>
      <c r="M44">
        <f t="shared" si="4"/>
        <v>0.48999999999999994</v>
      </c>
      <c r="N44">
        <v>53361</v>
      </c>
      <c r="O44">
        <v>992016</v>
      </c>
      <c r="P44">
        <v>698386329</v>
      </c>
      <c r="Q44">
        <v>6.4515999999999998E-4</v>
      </c>
      <c r="R44">
        <v>142479071296</v>
      </c>
      <c r="U44">
        <f t="shared" si="15"/>
        <v>179.2</v>
      </c>
      <c r="V44">
        <f t="shared" si="16"/>
        <v>59136</v>
      </c>
      <c r="W44">
        <f t="shared" si="5"/>
        <v>254976</v>
      </c>
      <c r="X44">
        <f t="shared" si="6"/>
        <v>6765312</v>
      </c>
      <c r="Y44">
        <f t="shared" si="7"/>
        <v>6.5023999999999997</v>
      </c>
      <c r="Z44">
        <f t="shared" si="8"/>
        <v>96630784</v>
      </c>
      <c r="AB44">
        <f t="shared" si="9"/>
        <v>7</v>
      </c>
      <c r="AC44">
        <f t="shared" si="10"/>
        <v>2310</v>
      </c>
      <c r="AD44">
        <f t="shared" si="11"/>
        <v>9960</v>
      </c>
      <c r="AE44">
        <f t="shared" si="12"/>
        <v>264270</v>
      </c>
      <c r="AF44">
        <f t="shared" si="13"/>
        <v>0.254</v>
      </c>
      <c r="AG44">
        <f t="shared" si="14"/>
        <v>3774640</v>
      </c>
    </row>
    <row r="45" spans="1:33">
      <c r="A45" s="1">
        <v>44271</v>
      </c>
      <c r="B45">
        <v>384</v>
      </c>
      <c r="C45">
        <v>13</v>
      </c>
      <c r="D45">
        <v>0.71</v>
      </c>
      <c r="E45">
        <v>213</v>
      </c>
      <c r="F45">
        <v>955</v>
      </c>
      <c r="G45">
        <v>41394</v>
      </c>
      <c r="H45">
        <v>2.0299999999999999E-2</v>
      </c>
      <c r="I45">
        <v>380479</v>
      </c>
      <c r="K45">
        <f t="shared" si="2"/>
        <v>147456</v>
      </c>
      <c r="L45">
        <f t="shared" si="3"/>
        <v>169</v>
      </c>
      <c r="M45">
        <f t="shared" si="4"/>
        <v>0.50409999999999999</v>
      </c>
      <c r="N45">
        <v>45369</v>
      </c>
      <c r="O45">
        <v>912025</v>
      </c>
      <c r="P45">
        <v>1713463236</v>
      </c>
      <c r="Q45">
        <v>4.1208999999999994E-4</v>
      </c>
      <c r="R45">
        <v>144764269441</v>
      </c>
      <c r="U45">
        <f t="shared" si="15"/>
        <v>272.64</v>
      </c>
      <c r="V45">
        <f t="shared" si="16"/>
        <v>81792</v>
      </c>
      <c r="W45">
        <f t="shared" si="5"/>
        <v>366720</v>
      </c>
      <c r="X45">
        <f t="shared" si="6"/>
        <v>15895296</v>
      </c>
      <c r="Y45">
        <f t="shared" si="7"/>
        <v>7.7951999999999995</v>
      </c>
      <c r="Z45">
        <f t="shared" si="8"/>
        <v>146103936</v>
      </c>
      <c r="AB45">
        <f t="shared" si="9"/>
        <v>9.23</v>
      </c>
      <c r="AC45">
        <f t="shared" si="10"/>
        <v>2769</v>
      </c>
      <c r="AD45">
        <f t="shared" si="11"/>
        <v>12415</v>
      </c>
      <c r="AE45">
        <f t="shared" si="12"/>
        <v>538122</v>
      </c>
      <c r="AF45">
        <f t="shared" si="13"/>
        <v>0.26389999999999997</v>
      </c>
      <c r="AG45">
        <f t="shared" si="14"/>
        <v>4946227</v>
      </c>
    </row>
    <row r="46" spans="1:33">
      <c r="A46" s="1">
        <v>44272</v>
      </c>
      <c r="B46">
        <v>673</v>
      </c>
      <c r="C46">
        <v>15</v>
      </c>
      <c r="D46">
        <v>0.72</v>
      </c>
      <c r="E46">
        <v>205</v>
      </c>
      <c r="F46">
        <v>856</v>
      </c>
      <c r="G46">
        <v>48102</v>
      </c>
      <c r="H46">
        <v>1.83E-2</v>
      </c>
      <c r="I46">
        <v>386426</v>
      </c>
      <c r="K46">
        <f t="shared" si="2"/>
        <v>452929</v>
      </c>
      <c r="L46">
        <f t="shared" si="3"/>
        <v>225</v>
      </c>
      <c r="M46">
        <f t="shared" si="4"/>
        <v>0.51839999999999997</v>
      </c>
      <c r="N46">
        <v>42025</v>
      </c>
      <c r="O46">
        <v>732736</v>
      </c>
      <c r="P46">
        <v>2313802404</v>
      </c>
      <c r="Q46">
        <v>3.3489000000000001E-4</v>
      </c>
      <c r="R46">
        <v>149325053476</v>
      </c>
      <c r="U46">
        <f t="shared" si="15"/>
        <v>484.56</v>
      </c>
      <c r="V46">
        <f t="shared" si="16"/>
        <v>137965</v>
      </c>
      <c r="W46">
        <f t="shared" si="5"/>
        <v>576088</v>
      </c>
      <c r="X46">
        <f t="shared" si="6"/>
        <v>32372646</v>
      </c>
      <c r="Y46">
        <f t="shared" si="7"/>
        <v>12.315900000000001</v>
      </c>
      <c r="Z46">
        <f t="shared" si="8"/>
        <v>260064698</v>
      </c>
      <c r="AB46">
        <f t="shared" si="9"/>
        <v>10.799999999999999</v>
      </c>
      <c r="AC46">
        <f t="shared" si="10"/>
        <v>3075</v>
      </c>
      <c r="AD46">
        <f t="shared" si="11"/>
        <v>12840</v>
      </c>
      <c r="AE46">
        <f t="shared" si="12"/>
        <v>721530</v>
      </c>
      <c r="AF46">
        <f t="shared" si="13"/>
        <v>0.27450000000000002</v>
      </c>
      <c r="AG46">
        <f t="shared" si="14"/>
        <v>5796390</v>
      </c>
    </row>
    <row r="47" spans="1:33">
      <c r="A47" s="1">
        <v>44273</v>
      </c>
      <c r="B47">
        <v>485</v>
      </c>
      <c r="C47">
        <v>21</v>
      </c>
      <c r="D47">
        <v>0.74</v>
      </c>
      <c r="E47">
        <v>187</v>
      </c>
      <c r="F47">
        <v>828</v>
      </c>
      <c r="G47">
        <v>52896</v>
      </c>
      <c r="H47">
        <v>1.5299999999999999E-2</v>
      </c>
      <c r="I47">
        <v>408323</v>
      </c>
      <c r="K47">
        <f t="shared" si="2"/>
        <v>235225</v>
      </c>
      <c r="L47">
        <f t="shared" si="3"/>
        <v>441</v>
      </c>
      <c r="M47">
        <f t="shared" si="4"/>
        <v>0.54759999999999998</v>
      </c>
      <c r="N47">
        <v>34969</v>
      </c>
      <c r="O47">
        <v>685584</v>
      </c>
      <c r="P47">
        <v>2797986816</v>
      </c>
      <c r="Q47">
        <v>2.3408999999999998E-4</v>
      </c>
      <c r="R47">
        <v>166727672329</v>
      </c>
      <c r="U47">
        <f t="shared" si="15"/>
        <v>358.9</v>
      </c>
      <c r="V47">
        <f t="shared" si="16"/>
        <v>90695</v>
      </c>
      <c r="W47">
        <f t="shared" si="5"/>
        <v>401580</v>
      </c>
      <c r="X47">
        <f t="shared" si="6"/>
        <v>25654560</v>
      </c>
      <c r="Y47">
        <f t="shared" si="7"/>
        <v>7.4204999999999997</v>
      </c>
      <c r="Z47">
        <f t="shared" si="8"/>
        <v>198036655</v>
      </c>
      <c r="AB47">
        <f t="shared" si="9"/>
        <v>15.54</v>
      </c>
      <c r="AC47">
        <f t="shared" si="10"/>
        <v>3927</v>
      </c>
      <c r="AD47">
        <f t="shared" si="11"/>
        <v>17388</v>
      </c>
      <c r="AE47">
        <f t="shared" si="12"/>
        <v>1110816</v>
      </c>
      <c r="AF47">
        <f t="shared" si="13"/>
        <v>0.32129999999999997</v>
      </c>
      <c r="AG47">
        <f t="shared" si="14"/>
        <v>8574783</v>
      </c>
    </row>
    <row r="48" spans="1:33">
      <c r="A48" s="1">
        <v>44274</v>
      </c>
      <c r="B48">
        <v>568</v>
      </c>
      <c r="C48">
        <v>11</v>
      </c>
      <c r="D48">
        <v>0.76</v>
      </c>
      <c r="E48">
        <v>182</v>
      </c>
      <c r="F48">
        <v>789</v>
      </c>
      <c r="G48">
        <v>53485</v>
      </c>
      <c r="H48">
        <v>1.37E-2</v>
      </c>
      <c r="I48">
        <v>441676</v>
      </c>
      <c r="K48">
        <f t="shared" si="2"/>
        <v>322624</v>
      </c>
      <c r="L48">
        <f t="shared" si="3"/>
        <v>121</v>
      </c>
      <c r="M48">
        <f t="shared" si="4"/>
        <v>0.5776</v>
      </c>
      <c r="N48">
        <v>33124</v>
      </c>
      <c r="O48">
        <v>622521</v>
      </c>
      <c r="P48">
        <v>2860645225</v>
      </c>
      <c r="Q48">
        <v>1.8769000000000001E-4</v>
      </c>
      <c r="R48">
        <v>195077688976</v>
      </c>
      <c r="U48">
        <f t="shared" si="15"/>
        <v>431.68</v>
      </c>
      <c r="V48">
        <f t="shared" si="16"/>
        <v>103376</v>
      </c>
      <c r="W48">
        <f t="shared" si="5"/>
        <v>448152</v>
      </c>
      <c r="X48">
        <f t="shared" si="6"/>
        <v>30379480</v>
      </c>
      <c r="Y48">
        <f t="shared" si="7"/>
        <v>7.7816000000000001</v>
      </c>
      <c r="Z48">
        <f t="shared" si="8"/>
        <v>250871968</v>
      </c>
      <c r="AB48">
        <f t="shared" si="9"/>
        <v>8.36</v>
      </c>
      <c r="AC48">
        <f t="shared" si="10"/>
        <v>2002</v>
      </c>
      <c r="AD48">
        <f t="shared" si="11"/>
        <v>8679</v>
      </c>
      <c r="AE48">
        <f t="shared" si="12"/>
        <v>588335</v>
      </c>
      <c r="AF48">
        <f t="shared" si="13"/>
        <v>0.1507</v>
      </c>
      <c r="AG48">
        <f t="shared" si="14"/>
        <v>4858436</v>
      </c>
    </row>
    <row r="49" spans="1:33">
      <c r="A49" s="1">
        <v>44275</v>
      </c>
      <c r="B49">
        <v>457</v>
      </c>
      <c r="C49">
        <v>8</v>
      </c>
      <c r="D49">
        <v>0.77</v>
      </c>
      <c r="E49">
        <v>170</v>
      </c>
      <c r="F49">
        <v>744</v>
      </c>
      <c r="G49">
        <v>33514</v>
      </c>
      <c r="H49">
        <v>1.2699999999999999E-2</v>
      </c>
      <c r="I49">
        <v>469651</v>
      </c>
      <c r="K49">
        <f t="shared" si="2"/>
        <v>208849</v>
      </c>
      <c r="L49">
        <f t="shared" si="3"/>
        <v>64</v>
      </c>
      <c r="M49">
        <f t="shared" si="4"/>
        <v>0.59289999999999998</v>
      </c>
      <c r="N49">
        <v>28900</v>
      </c>
      <c r="O49">
        <v>553536</v>
      </c>
      <c r="P49">
        <v>1123188196</v>
      </c>
      <c r="Q49">
        <v>1.6129E-4</v>
      </c>
      <c r="R49">
        <v>220572061801</v>
      </c>
      <c r="U49">
        <f t="shared" si="15"/>
        <v>351.89</v>
      </c>
      <c r="V49">
        <f t="shared" si="16"/>
        <v>77690</v>
      </c>
      <c r="W49">
        <f t="shared" si="5"/>
        <v>340008</v>
      </c>
      <c r="X49">
        <f t="shared" si="6"/>
        <v>15315898</v>
      </c>
      <c r="Y49">
        <f t="shared" si="7"/>
        <v>5.8038999999999996</v>
      </c>
      <c r="Z49">
        <f t="shared" si="8"/>
        <v>214630507</v>
      </c>
      <c r="AB49">
        <f t="shared" si="9"/>
        <v>6.16</v>
      </c>
      <c r="AC49">
        <f t="shared" si="10"/>
        <v>1360</v>
      </c>
      <c r="AD49">
        <f t="shared" si="11"/>
        <v>5952</v>
      </c>
      <c r="AE49">
        <f t="shared" si="12"/>
        <v>268112</v>
      </c>
      <c r="AF49">
        <f t="shared" si="13"/>
        <v>0.1016</v>
      </c>
      <c r="AG49">
        <f t="shared" si="14"/>
        <v>3757208</v>
      </c>
    </row>
    <row r="50" spans="1:33">
      <c r="A50" s="1">
        <v>44276</v>
      </c>
      <c r="B50">
        <v>450</v>
      </c>
      <c r="C50">
        <v>6</v>
      </c>
      <c r="D50">
        <v>0.79</v>
      </c>
      <c r="E50">
        <v>170</v>
      </c>
      <c r="F50">
        <v>765</v>
      </c>
      <c r="G50">
        <v>10254</v>
      </c>
      <c r="H50">
        <v>1.23E-2</v>
      </c>
      <c r="I50">
        <v>482561</v>
      </c>
      <c r="K50">
        <f t="shared" si="2"/>
        <v>202500</v>
      </c>
      <c r="L50">
        <f t="shared" si="3"/>
        <v>36</v>
      </c>
      <c r="M50">
        <f t="shared" si="4"/>
        <v>0.6241000000000001</v>
      </c>
      <c r="N50">
        <v>28900</v>
      </c>
      <c r="O50">
        <v>585225</v>
      </c>
      <c r="P50">
        <v>105144516</v>
      </c>
      <c r="Q50">
        <v>1.5129E-4</v>
      </c>
      <c r="R50">
        <v>232865118721</v>
      </c>
      <c r="U50">
        <f t="shared" si="15"/>
        <v>355.5</v>
      </c>
      <c r="V50">
        <f t="shared" si="16"/>
        <v>76500</v>
      </c>
      <c r="W50">
        <f t="shared" si="5"/>
        <v>344250</v>
      </c>
      <c r="X50">
        <f t="shared" si="6"/>
        <v>4614300</v>
      </c>
      <c r="Y50">
        <f t="shared" si="7"/>
        <v>5.5350000000000001</v>
      </c>
      <c r="Z50">
        <f t="shared" si="8"/>
        <v>217152450</v>
      </c>
      <c r="AB50">
        <f t="shared" si="9"/>
        <v>4.74</v>
      </c>
      <c r="AC50">
        <f t="shared" si="10"/>
        <v>1020</v>
      </c>
      <c r="AD50">
        <f t="shared" si="11"/>
        <v>4590</v>
      </c>
      <c r="AE50">
        <f t="shared" si="12"/>
        <v>61524</v>
      </c>
      <c r="AF50">
        <f t="shared" si="13"/>
        <v>7.3800000000000004E-2</v>
      </c>
      <c r="AG50">
        <f t="shared" si="14"/>
        <v>2895366</v>
      </c>
    </row>
    <row r="51" spans="1:33">
      <c r="A51" s="1">
        <v>44277</v>
      </c>
      <c r="B51">
        <v>248</v>
      </c>
      <c r="C51">
        <v>16</v>
      </c>
      <c r="D51">
        <v>0.8</v>
      </c>
      <c r="E51">
        <v>165</v>
      </c>
      <c r="F51">
        <v>771</v>
      </c>
      <c r="G51">
        <v>30283</v>
      </c>
      <c r="H51">
        <v>1.21E-2</v>
      </c>
      <c r="I51">
        <v>488236</v>
      </c>
      <c r="K51">
        <f t="shared" si="2"/>
        <v>61504</v>
      </c>
      <c r="L51">
        <f t="shared" si="3"/>
        <v>256</v>
      </c>
      <c r="M51">
        <f t="shared" si="4"/>
        <v>0.64000000000000012</v>
      </c>
      <c r="N51">
        <v>27225</v>
      </c>
      <c r="O51">
        <v>594441</v>
      </c>
      <c r="P51">
        <v>917060089</v>
      </c>
      <c r="Q51">
        <v>1.4641E-4</v>
      </c>
      <c r="R51">
        <v>238374391696</v>
      </c>
      <c r="U51">
        <f t="shared" si="15"/>
        <v>198.4</v>
      </c>
      <c r="V51">
        <f t="shared" si="16"/>
        <v>40920</v>
      </c>
      <c r="W51">
        <f t="shared" si="5"/>
        <v>191208</v>
      </c>
      <c r="X51">
        <f t="shared" si="6"/>
        <v>7510184</v>
      </c>
      <c r="Y51">
        <f t="shared" si="7"/>
        <v>3.0007999999999999</v>
      </c>
      <c r="Z51">
        <f t="shared" si="8"/>
        <v>121082528</v>
      </c>
      <c r="AB51">
        <f t="shared" si="9"/>
        <v>12.8</v>
      </c>
      <c r="AC51">
        <f t="shared" si="10"/>
        <v>2640</v>
      </c>
      <c r="AD51">
        <f t="shared" si="11"/>
        <v>12336</v>
      </c>
      <c r="AE51">
        <f t="shared" si="12"/>
        <v>484528</v>
      </c>
      <c r="AF51">
        <f t="shared" si="13"/>
        <v>0.19359999999999999</v>
      </c>
      <c r="AG51">
        <f t="shared" si="14"/>
        <v>7811776</v>
      </c>
    </row>
    <row r="52" spans="1:33">
      <c r="A52" s="1">
        <v>44278</v>
      </c>
      <c r="B52">
        <v>434</v>
      </c>
      <c r="C52">
        <v>10</v>
      </c>
      <c r="D52">
        <v>0.81</v>
      </c>
      <c r="E52">
        <v>159</v>
      </c>
      <c r="F52">
        <v>743</v>
      </c>
      <c r="G52">
        <v>31200</v>
      </c>
      <c r="H52">
        <v>1.2800000000000001E-2</v>
      </c>
      <c r="I52">
        <v>495868</v>
      </c>
      <c r="K52">
        <f t="shared" si="2"/>
        <v>188356</v>
      </c>
      <c r="L52">
        <f t="shared" si="3"/>
        <v>100</v>
      </c>
      <c r="M52">
        <f t="shared" si="4"/>
        <v>0.65610000000000013</v>
      </c>
      <c r="N52">
        <v>25281</v>
      </c>
      <c r="O52">
        <v>552049</v>
      </c>
      <c r="P52">
        <v>973440000</v>
      </c>
      <c r="Q52">
        <v>1.6384E-4</v>
      </c>
      <c r="R52">
        <v>245885073424</v>
      </c>
      <c r="U52">
        <f t="shared" si="15"/>
        <v>351.54</v>
      </c>
      <c r="V52">
        <f t="shared" si="16"/>
        <v>69006</v>
      </c>
      <c r="W52">
        <f t="shared" si="5"/>
        <v>322462</v>
      </c>
      <c r="X52">
        <f t="shared" si="6"/>
        <v>13540800</v>
      </c>
      <c r="Y52">
        <f t="shared" si="7"/>
        <v>5.5552000000000001</v>
      </c>
      <c r="Z52">
        <f t="shared" si="8"/>
        <v>215206712</v>
      </c>
      <c r="AB52">
        <f t="shared" si="9"/>
        <v>8.1000000000000014</v>
      </c>
      <c r="AC52">
        <f t="shared" si="10"/>
        <v>1590</v>
      </c>
      <c r="AD52">
        <f t="shared" si="11"/>
        <v>7430</v>
      </c>
      <c r="AE52">
        <f t="shared" si="12"/>
        <v>312000</v>
      </c>
      <c r="AF52">
        <f t="shared" si="13"/>
        <v>0.128</v>
      </c>
      <c r="AG52">
        <f t="shared" si="14"/>
        <v>4958680</v>
      </c>
    </row>
    <row r="53" spans="1:33">
      <c r="A53" s="1">
        <v>44279</v>
      </c>
      <c r="B53">
        <v>575</v>
      </c>
      <c r="C53">
        <v>11</v>
      </c>
      <c r="D53">
        <v>0.82</v>
      </c>
      <c r="E53">
        <v>155</v>
      </c>
      <c r="F53">
        <v>712</v>
      </c>
      <c r="G53">
        <v>29256</v>
      </c>
      <c r="H53">
        <v>1.34E-2</v>
      </c>
      <c r="I53">
        <v>497940</v>
      </c>
      <c r="K53">
        <f t="shared" si="2"/>
        <v>330625</v>
      </c>
      <c r="L53">
        <f t="shared" si="3"/>
        <v>121</v>
      </c>
      <c r="M53">
        <f t="shared" si="4"/>
        <v>0.67239999999999989</v>
      </c>
      <c r="N53">
        <v>24025</v>
      </c>
      <c r="O53">
        <v>506944</v>
      </c>
      <c r="P53">
        <v>855913536</v>
      </c>
      <c r="Q53">
        <v>1.7956000000000002E-4</v>
      </c>
      <c r="R53">
        <v>247944243600</v>
      </c>
      <c r="U53">
        <f t="shared" si="15"/>
        <v>471.5</v>
      </c>
      <c r="V53">
        <f t="shared" si="16"/>
        <v>89125</v>
      </c>
      <c r="W53">
        <f t="shared" si="5"/>
        <v>409400</v>
      </c>
      <c r="X53">
        <f t="shared" si="6"/>
        <v>16822200</v>
      </c>
      <c r="Y53">
        <f t="shared" si="7"/>
        <v>7.7050000000000001</v>
      </c>
      <c r="Z53">
        <f t="shared" si="8"/>
        <v>286315500</v>
      </c>
      <c r="AB53">
        <f t="shared" si="9"/>
        <v>9.02</v>
      </c>
      <c r="AC53">
        <f t="shared" si="10"/>
        <v>1705</v>
      </c>
      <c r="AD53">
        <f t="shared" si="11"/>
        <v>7832</v>
      </c>
      <c r="AE53">
        <f t="shared" si="12"/>
        <v>321816</v>
      </c>
      <c r="AF53">
        <f t="shared" si="13"/>
        <v>0.1474</v>
      </c>
      <c r="AG53">
        <f t="shared" si="14"/>
        <v>5477340</v>
      </c>
    </row>
    <row r="54" spans="1:33">
      <c r="A54" s="1">
        <v>44280</v>
      </c>
      <c r="B54">
        <v>423</v>
      </c>
      <c r="C54">
        <v>9</v>
      </c>
      <c r="D54">
        <v>0.83</v>
      </c>
      <c r="E54">
        <v>154</v>
      </c>
      <c r="F54">
        <v>695</v>
      </c>
      <c r="G54">
        <v>27478</v>
      </c>
      <c r="H54">
        <v>1.46E-2</v>
      </c>
      <c r="I54">
        <v>501547</v>
      </c>
      <c r="K54">
        <f t="shared" si="2"/>
        <v>178929</v>
      </c>
      <c r="L54">
        <f t="shared" si="3"/>
        <v>81</v>
      </c>
      <c r="M54">
        <f t="shared" si="4"/>
        <v>0.68889999999999996</v>
      </c>
      <c r="N54">
        <v>23716</v>
      </c>
      <c r="O54">
        <v>483025</v>
      </c>
      <c r="P54">
        <v>755040484</v>
      </c>
      <c r="Q54">
        <v>2.1316E-4</v>
      </c>
      <c r="R54">
        <v>251549393209</v>
      </c>
      <c r="U54">
        <f t="shared" si="15"/>
        <v>351.09</v>
      </c>
      <c r="V54">
        <f t="shared" si="16"/>
        <v>65142</v>
      </c>
      <c r="W54">
        <f t="shared" si="5"/>
        <v>293985</v>
      </c>
      <c r="X54">
        <f t="shared" si="6"/>
        <v>11623194</v>
      </c>
      <c r="Y54">
        <f t="shared" si="7"/>
        <v>6.1757999999999997</v>
      </c>
      <c r="Z54">
        <f t="shared" si="8"/>
        <v>212154381</v>
      </c>
      <c r="AB54">
        <f t="shared" si="9"/>
        <v>7.47</v>
      </c>
      <c r="AC54">
        <f t="shared" si="10"/>
        <v>1386</v>
      </c>
      <c r="AD54">
        <f t="shared" si="11"/>
        <v>6255</v>
      </c>
      <c r="AE54">
        <f t="shared" si="12"/>
        <v>247302</v>
      </c>
      <c r="AF54">
        <f t="shared" si="13"/>
        <v>0.13139999999999999</v>
      </c>
      <c r="AG54">
        <f t="shared" si="14"/>
        <v>4513923</v>
      </c>
    </row>
    <row r="55" spans="1:33">
      <c r="A55" s="1">
        <v>44281</v>
      </c>
      <c r="B55">
        <v>488</v>
      </c>
      <c r="C55">
        <v>5</v>
      </c>
      <c r="D55">
        <v>0.84</v>
      </c>
      <c r="E55">
        <v>155</v>
      </c>
      <c r="F55">
        <v>669</v>
      </c>
      <c r="G55">
        <v>30147</v>
      </c>
      <c r="H55">
        <v>1.6E-2</v>
      </c>
      <c r="I55">
        <v>506051</v>
      </c>
      <c r="K55">
        <f t="shared" si="2"/>
        <v>238144</v>
      </c>
      <c r="L55">
        <f t="shared" si="3"/>
        <v>25</v>
      </c>
      <c r="M55">
        <f t="shared" si="4"/>
        <v>0.70559999999999989</v>
      </c>
      <c r="N55">
        <v>24025</v>
      </c>
      <c r="O55">
        <v>447561</v>
      </c>
      <c r="P55">
        <v>908841609</v>
      </c>
      <c r="Q55">
        <v>2.5599999999999999E-4</v>
      </c>
      <c r="R55">
        <v>256087614601</v>
      </c>
      <c r="U55">
        <f t="shared" si="15"/>
        <v>409.91999999999996</v>
      </c>
      <c r="V55">
        <f t="shared" si="16"/>
        <v>75640</v>
      </c>
      <c r="W55">
        <f t="shared" si="5"/>
        <v>326472</v>
      </c>
      <c r="X55">
        <f t="shared" si="6"/>
        <v>14711736</v>
      </c>
      <c r="Y55">
        <f t="shared" si="7"/>
        <v>7.8079999999999998</v>
      </c>
      <c r="Z55">
        <f t="shared" si="8"/>
        <v>246952888</v>
      </c>
      <c r="AB55">
        <f t="shared" si="9"/>
        <v>4.2</v>
      </c>
      <c r="AC55">
        <f t="shared" si="10"/>
        <v>775</v>
      </c>
      <c r="AD55">
        <f t="shared" si="11"/>
        <v>3345</v>
      </c>
      <c r="AE55">
        <f t="shared" si="12"/>
        <v>150735</v>
      </c>
      <c r="AF55">
        <f t="shared" si="13"/>
        <v>0.08</v>
      </c>
      <c r="AG55">
        <f t="shared" si="14"/>
        <v>2530255</v>
      </c>
    </row>
    <row r="56" spans="1:33">
      <c r="A56" s="1">
        <v>44282</v>
      </c>
      <c r="B56">
        <v>344</v>
      </c>
      <c r="C56">
        <v>8</v>
      </c>
      <c r="D56">
        <v>0.86</v>
      </c>
      <c r="E56">
        <v>148</v>
      </c>
      <c r="F56">
        <v>618</v>
      </c>
      <c r="G56">
        <v>22158</v>
      </c>
      <c r="H56">
        <v>1.6400000000000001E-2</v>
      </c>
      <c r="I56">
        <v>508507</v>
      </c>
      <c r="K56">
        <f t="shared" si="2"/>
        <v>118336</v>
      </c>
      <c r="L56">
        <f t="shared" si="3"/>
        <v>64</v>
      </c>
      <c r="M56">
        <f t="shared" si="4"/>
        <v>0.73959999999999992</v>
      </c>
      <c r="N56">
        <v>21904</v>
      </c>
      <c r="O56">
        <v>381924</v>
      </c>
      <c r="P56">
        <v>490976964</v>
      </c>
      <c r="Q56">
        <v>2.6896000000000005E-4</v>
      </c>
      <c r="R56">
        <v>258579369049</v>
      </c>
      <c r="U56">
        <f t="shared" si="15"/>
        <v>295.83999999999997</v>
      </c>
      <c r="V56">
        <f t="shared" si="16"/>
        <v>50912</v>
      </c>
      <c r="W56">
        <f t="shared" si="5"/>
        <v>212592</v>
      </c>
      <c r="X56">
        <f t="shared" si="6"/>
        <v>7622352</v>
      </c>
      <c r="Y56">
        <f t="shared" si="7"/>
        <v>5.6416000000000004</v>
      </c>
      <c r="Z56">
        <f t="shared" si="8"/>
        <v>174926408</v>
      </c>
      <c r="AB56">
        <f t="shared" si="9"/>
        <v>6.88</v>
      </c>
      <c r="AC56">
        <f t="shared" si="10"/>
        <v>1184</v>
      </c>
      <c r="AD56">
        <f t="shared" si="11"/>
        <v>4944</v>
      </c>
      <c r="AE56">
        <f t="shared" si="12"/>
        <v>177264</v>
      </c>
      <c r="AF56">
        <f t="shared" si="13"/>
        <v>0.13120000000000001</v>
      </c>
      <c r="AG56">
        <f t="shared" si="14"/>
        <v>4068056</v>
      </c>
    </row>
    <row r="57" spans="1:33">
      <c r="A57" s="1">
        <v>44283</v>
      </c>
      <c r="B57">
        <v>365</v>
      </c>
      <c r="C57">
        <v>10</v>
      </c>
      <c r="D57">
        <v>0.89</v>
      </c>
      <c r="E57">
        <v>142</v>
      </c>
      <c r="F57">
        <v>633</v>
      </c>
      <c r="G57">
        <v>10845</v>
      </c>
      <c r="H57">
        <v>1.5900000000000001E-2</v>
      </c>
      <c r="I57">
        <v>510025</v>
      </c>
      <c r="K57">
        <f t="shared" si="2"/>
        <v>133225</v>
      </c>
      <c r="L57">
        <f t="shared" si="3"/>
        <v>100</v>
      </c>
      <c r="M57">
        <f t="shared" si="4"/>
        <v>0.79210000000000003</v>
      </c>
      <c r="N57">
        <v>20164</v>
      </c>
      <c r="O57">
        <v>400689</v>
      </c>
      <c r="P57">
        <v>117614025</v>
      </c>
      <c r="Q57">
        <v>2.5281000000000001E-4</v>
      </c>
      <c r="R57">
        <v>260125500625</v>
      </c>
      <c r="U57">
        <f t="shared" si="15"/>
        <v>324.85000000000002</v>
      </c>
      <c r="V57">
        <f t="shared" si="16"/>
        <v>51830</v>
      </c>
      <c r="W57">
        <f t="shared" si="5"/>
        <v>231045</v>
      </c>
      <c r="X57">
        <f t="shared" si="6"/>
        <v>3958425</v>
      </c>
      <c r="Y57">
        <f t="shared" si="7"/>
        <v>5.8035000000000005</v>
      </c>
      <c r="Z57">
        <f t="shared" si="8"/>
        <v>186159125</v>
      </c>
      <c r="AB57">
        <f t="shared" si="9"/>
        <v>8.9</v>
      </c>
      <c r="AC57">
        <f t="shared" si="10"/>
        <v>1420</v>
      </c>
      <c r="AD57">
        <f t="shared" si="11"/>
        <v>6330</v>
      </c>
      <c r="AE57">
        <f t="shared" si="12"/>
        <v>108450</v>
      </c>
      <c r="AF57">
        <f t="shared" si="13"/>
        <v>0.159</v>
      </c>
      <c r="AG57">
        <f t="shared" si="14"/>
        <v>5100250</v>
      </c>
    </row>
    <row r="58" spans="1:33">
      <c r="A58" s="1">
        <v>44284</v>
      </c>
      <c r="B58">
        <v>309</v>
      </c>
      <c r="C58">
        <v>6</v>
      </c>
      <c r="D58">
        <v>0.92</v>
      </c>
      <c r="E58">
        <v>136</v>
      </c>
      <c r="F58">
        <v>623</v>
      </c>
      <c r="G58">
        <v>30192</v>
      </c>
      <c r="H58">
        <v>1.6199999999999999E-2</v>
      </c>
      <c r="I58">
        <v>511095</v>
      </c>
      <c r="K58">
        <f t="shared" si="2"/>
        <v>95481</v>
      </c>
      <c r="L58">
        <f t="shared" si="3"/>
        <v>36</v>
      </c>
      <c r="M58">
        <f t="shared" si="4"/>
        <v>0.84640000000000004</v>
      </c>
      <c r="N58">
        <v>18496</v>
      </c>
      <c r="O58">
        <v>388129</v>
      </c>
      <c r="P58">
        <v>911556864</v>
      </c>
      <c r="Q58">
        <v>2.6243999999999996E-4</v>
      </c>
      <c r="R58">
        <v>261218099025</v>
      </c>
      <c r="U58">
        <f t="shared" si="15"/>
        <v>284.28000000000003</v>
      </c>
      <c r="V58">
        <f t="shared" si="16"/>
        <v>42024</v>
      </c>
      <c r="W58">
        <f t="shared" si="5"/>
        <v>192507</v>
      </c>
      <c r="X58">
        <f t="shared" si="6"/>
        <v>9329328</v>
      </c>
      <c r="Y58">
        <f t="shared" si="7"/>
        <v>5.0057999999999998</v>
      </c>
      <c r="Z58">
        <f t="shared" si="8"/>
        <v>157928355</v>
      </c>
      <c r="AB58">
        <f t="shared" si="9"/>
        <v>5.5200000000000005</v>
      </c>
      <c r="AC58">
        <f t="shared" si="10"/>
        <v>816</v>
      </c>
      <c r="AD58">
        <f t="shared" si="11"/>
        <v>3738</v>
      </c>
      <c r="AE58">
        <f t="shared" si="12"/>
        <v>181152</v>
      </c>
      <c r="AF58">
        <f t="shared" si="13"/>
        <v>9.7199999999999995E-2</v>
      </c>
      <c r="AG58">
        <f t="shared" si="14"/>
        <v>3066570</v>
      </c>
    </row>
    <row r="59" spans="1:33">
      <c r="A59" s="1">
        <v>44285</v>
      </c>
      <c r="B59">
        <v>388</v>
      </c>
      <c r="C59">
        <v>2</v>
      </c>
      <c r="D59">
        <v>0.94</v>
      </c>
      <c r="E59">
        <v>129</v>
      </c>
      <c r="F59">
        <v>584</v>
      </c>
      <c r="G59">
        <v>29244</v>
      </c>
      <c r="H59">
        <v>1.61E-2</v>
      </c>
      <c r="I59">
        <v>513723</v>
      </c>
      <c r="K59">
        <f t="shared" si="2"/>
        <v>150544</v>
      </c>
      <c r="L59">
        <f t="shared" si="3"/>
        <v>4</v>
      </c>
      <c r="M59">
        <f t="shared" si="4"/>
        <v>0.88359999999999994</v>
      </c>
      <c r="N59">
        <v>16641</v>
      </c>
      <c r="O59">
        <v>341056</v>
      </c>
      <c r="P59">
        <v>855211536</v>
      </c>
      <c r="Q59">
        <v>2.5921000000000001E-4</v>
      </c>
      <c r="R59">
        <v>263911320729</v>
      </c>
      <c r="U59">
        <f t="shared" si="15"/>
        <v>364.71999999999997</v>
      </c>
      <c r="V59">
        <f t="shared" si="16"/>
        <v>50052</v>
      </c>
      <c r="W59">
        <f t="shared" si="5"/>
        <v>226592</v>
      </c>
      <c r="X59">
        <f t="shared" si="6"/>
        <v>11346672</v>
      </c>
      <c r="Y59">
        <f t="shared" si="7"/>
        <v>6.2467999999999995</v>
      </c>
      <c r="Z59">
        <f t="shared" si="8"/>
        <v>199324524</v>
      </c>
      <c r="AB59">
        <f t="shared" si="9"/>
        <v>1.88</v>
      </c>
      <c r="AC59">
        <f t="shared" si="10"/>
        <v>258</v>
      </c>
      <c r="AD59">
        <f t="shared" si="11"/>
        <v>1168</v>
      </c>
      <c r="AE59">
        <f t="shared" si="12"/>
        <v>58488</v>
      </c>
      <c r="AF59">
        <f t="shared" si="13"/>
        <v>3.2199999999999999E-2</v>
      </c>
      <c r="AG59">
        <f t="shared" si="14"/>
        <v>1027446</v>
      </c>
    </row>
    <row r="60" spans="1:33">
      <c r="A60" s="1">
        <v>44286</v>
      </c>
      <c r="B60">
        <v>618</v>
      </c>
      <c r="C60">
        <v>3</v>
      </c>
      <c r="D60">
        <v>0.97</v>
      </c>
      <c r="E60">
        <v>127</v>
      </c>
      <c r="F60">
        <v>558</v>
      </c>
      <c r="G60">
        <v>28880</v>
      </c>
      <c r="H60">
        <v>1.6400000000000001E-2</v>
      </c>
      <c r="I60">
        <v>517319</v>
      </c>
      <c r="K60">
        <f t="shared" si="2"/>
        <v>381924</v>
      </c>
      <c r="L60">
        <f t="shared" si="3"/>
        <v>9</v>
      </c>
      <c r="M60">
        <f t="shared" si="4"/>
        <v>0.94089999999999996</v>
      </c>
      <c r="N60">
        <v>16129</v>
      </c>
      <c r="O60">
        <v>311364</v>
      </c>
      <c r="P60">
        <v>834054400</v>
      </c>
      <c r="Q60">
        <v>2.6896000000000005E-4</v>
      </c>
      <c r="R60">
        <v>267618947761</v>
      </c>
      <c r="U60">
        <f t="shared" si="15"/>
        <v>599.46</v>
      </c>
      <c r="V60">
        <f t="shared" si="16"/>
        <v>78486</v>
      </c>
      <c r="W60">
        <f t="shared" si="5"/>
        <v>344844</v>
      </c>
      <c r="X60">
        <f t="shared" si="6"/>
        <v>17847840</v>
      </c>
      <c r="Y60">
        <f t="shared" si="7"/>
        <v>10.135200000000001</v>
      </c>
      <c r="Z60">
        <f t="shared" si="8"/>
        <v>319703142</v>
      </c>
      <c r="AB60">
        <f t="shared" si="9"/>
        <v>2.91</v>
      </c>
      <c r="AC60">
        <f t="shared" si="10"/>
        <v>381</v>
      </c>
      <c r="AD60">
        <f t="shared" si="11"/>
        <v>1674</v>
      </c>
      <c r="AE60">
        <f t="shared" si="12"/>
        <v>86640</v>
      </c>
      <c r="AF60">
        <f t="shared" si="13"/>
        <v>4.9200000000000008E-2</v>
      </c>
      <c r="AG60">
        <f t="shared" si="14"/>
        <v>1551957</v>
      </c>
    </row>
    <row r="61" spans="1:33">
      <c r="A61" s="1">
        <v>44287</v>
      </c>
      <c r="B61">
        <v>592</v>
      </c>
      <c r="C61">
        <v>11</v>
      </c>
      <c r="D61">
        <v>0.98</v>
      </c>
      <c r="E61">
        <v>129</v>
      </c>
      <c r="F61">
        <v>538</v>
      </c>
      <c r="G61">
        <v>28742</v>
      </c>
      <c r="H61">
        <v>1.72E-2</v>
      </c>
      <c r="I61">
        <v>527026</v>
      </c>
      <c r="K61">
        <f t="shared" si="2"/>
        <v>350464</v>
      </c>
      <c r="L61">
        <f t="shared" si="3"/>
        <v>121</v>
      </c>
      <c r="M61">
        <f t="shared" si="4"/>
        <v>0.96039999999999992</v>
      </c>
      <c r="N61">
        <v>16641</v>
      </c>
      <c r="O61">
        <v>289444</v>
      </c>
      <c r="P61">
        <v>826102564</v>
      </c>
      <c r="Q61">
        <v>2.9584000000000001E-4</v>
      </c>
      <c r="R61">
        <v>277756404676</v>
      </c>
      <c r="U61">
        <f t="shared" si="15"/>
        <v>580.16</v>
      </c>
      <c r="V61">
        <f t="shared" si="16"/>
        <v>76368</v>
      </c>
      <c r="W61">
        <f t="shared" si="5"/>
        <v>318496</v>
      </c>
      <c r="X61">
        <f t="shared" si="6"/>
        <v>17015264</v>
      </c>
      <c r="Y61">
        <f t="shared" si="7"/>
        <v>10.182399999999999</v>
      </c>
      <c r="Z61">
        <f t="shared" si="8"/>
        <v>311999392</v>
      </c>
      <c r="AB61">
        <f t="shared" si="9"/>
        <v>10.78</v>
      </c>
      <c r="AC61">
        <f t="shared" si="10"/>
        <v>1419</v>
      </c>
      <c r="AD61">
        <f t="shared" si="11"/>
        <v>5918</v>
      </c>
      <c r="AE61">
        <f t="shared" si="12"/>
        <v>316162</v>
      </c>
      <c r="AF61">
        <f t="shared" si="13"/>
        <v>0.18920000000000001</v>
      </c>
      <c r="AG61">
        <f t="shared" si="14"/>
        <v>5797286</v>
      </c>
    </row>
    <row r="62" spans="1:33">
      <c r="A62" s="1">
        <v>44288</v>
      </c>
      <c r="B62">
        <v>548</v>
      </c>
      <c r="C62">
        <v>9</v>
      </c>
      <c r="D62">
        <v>0.98</v>
      </c>
      <c r="E62">
        <v>131</v>
      </c>
      <c r="F62">
        <v>513</v>
      </c>
      <c r="G62">
        <v>14921</v>
      </c>
      <c r="H62">
        <v>1.9199999999999998E-2</v>
      </c>
      <c r="I62">
        <v>569074</v>
      </c>
      <c r="K62">
        <f t="shared" si="2"/>
        <v>300304</v>
      </c>
      <c r="L62">
        <f t="shared" si="3"/>
        <v>81</v>
      </c>
      <c r="M62">
        <f t="shared" si="4"/>
        <v>0.96039999999999992</v>
      </c>
      <c r="N62">
        <v>17161</v>
      </c>
      <c r="O62">
        <v>263169</v>
      </c>
      <c r="P62">
        <v>222636241</v>
      </c>
      <c r="Q62">
        <v>3.6863999999999994E-4</v>
      </c>
      <c r="R62">
        <v>323845217476</v>
      </c>
      <c r="U62">
        <f t="shared" si="15"/>
        <v>537.04</v>
      </c>
      <c r="V62">
        <f t="shared" si="16"/>
        <v>71788</v>
      </c>
      <c r="W62">
        <f t="shared" si="5"/>
        <v>281124</v>
      </c>
      <c r="X62">
        <f t="shared" si="6"/>
        <v>8176708</v>
      </c>
      <c r="Y62">
        <f t="shared" si="7"/>
        <v>10.521599999999999</v>
      </c>
      <c r="Z62">
        <f t="shared" si="8"/>
        <v>311852552</v>
      </c>
      <c r="AB62">
        <f t="shared" si="9"/>
        <v>8.82</v>
      </c>
      <c r="AC62">
        <f t="shared" si="10"/>
        <v>1179</v>
      </c>
      <c r="AD62">
        <f t="shared" si="11"/>
        <v>4617</v>
      </c>
      <c r="AE62">
        <f t="shared" si="12"/>
        <v>134289</v>
      </c>
      <c r="AF62">
        <f t="shared" si="13"/>
        <v>0.17279999999999998</v>
      </c>
      <c r="AG62">
        <f t="shared" si="14"/>
        <v>5121666</v>
      </c>
    </row>
    <row r="63" spans="1:33">
      <c r="A63" s="1">
        <v>44289</v>
      </c>
      <c r="B63">
        <v>280</v>
      </c>
      <c r="C63">
        <v>7</v>
      </c>
      <c r="D63">
        <v>0.97</v>
      </c>
      <c r="E63">
        <v>126</v>
      </c>
      <c r="F63">
        <v>512</v>
      </c>
      <c r="G63">
        <v>23135</v>
      </c>
      <c r="H63">
        <v>1.8700000000000001E-2</v>
      </c>
      <c r="I63">
        <v>585830</v>
      </c>
      <c r="K63">
        <f t="shared" si="2"/>
        <v>78400</v>
      </c>
      <c r="L63">
        <f t="shared" si="3"/>
        <v>49</v>
      </c>
      <c r="M63">
        <f t="shared" si="4"/>
        <v>0.94089999999999996</v>
      </c>
      <c r="N63">
        <v>15876</v>
      </c>
      <c r="O63">
        <v>262144</v>
      </c>
      <c r="P63">
        <v>535228225</v>
      </c>
      <c r="Q63">
        <v>3.4969000000000005E-4</v>
      </c>
      <c r="R63">
        <v>343196788900</v>
      </c>
      <c r="U63">
        <f t="shared" si="15"/>
        <v>271.59999999999997</v>
      </c>
      <c r="V63">
        <f t="shared" si="16"/>
        <v>35280</v>
      </c>
      <c r="W63">
        <f t="shared" si="5"/>
        <v>143360</v>
      </c>
      <c r="X63">
        <f t="shared" si="6"/>
        <v>6477800</v>
      </c>
      <c r="Y63">
        <f t="shared" si="7"/>
        <v>5.2360000000000007</v>
      </c>
      <c r="Z63">
        <f t="shared" si="8"/>
        <v>164032400</v>
      </c>
      <c r="AB63">
        <f t="shared" si="9"/>
        <v>6.79</v>
      </c>
      <c r="AC63">
        <f t="shared" si="10"/>
        <v>882</v>
      </c>
      <c r="AD63">
        <f t="shared" si="11"/>
        <v>3584</v>
      </c>
      <c r="AE63">
        <f t="shared" si="12"/>
        <v>161945</v>
      </c>
      <c r="AF63">
        <f t="shared" si="13"/>
        <v>0.13090000000000002</v>
      </c>
      <c r="AG63">
        <f t="shared" si="14"/>
        <v>4100810</v>
      </c>
    </row>
    <row r="64" spans="1:33">
      <c r="A64" s="1">
        <v>44290</v>
      </c>
      <c r="B64">
        <v>193</v>
      </c>
      <c r="C64">
        <v>4</v>
      </c>
      <c r="D64">
        <v>1</v>
      </c>
      <c r="E64">
        <v>117</v>
      </c>
      <c r="F64">
        <v>517</v>
      </c>
      <c r="G64">
        <v>12404</v>
      </c>
      <c r="H64">
        <v>1.7500000000000002E-2</v>
      </c>
      <c r="I64">
        <v>592953</v>
      </c>
      <c r="K64">
        <f t="shared" si="2"/>
        <v>37249</v>
      </c>
      <c r="L64">
        <f t="shared" si="3"/>
        <v>16</v>
      </c>
      <c r="M64">
        <f t="shared" si="4"/>
        <v>1</v>
      </c>
      <c r="N64">
        <v>13689</v>
      </c>
      <c r="O64">
        <v>267289</v>
      </c>
      <c r="P64">
        <v>153859216</v>
      </c>
      <c r="Q64">
        <v>3.0625000000000004E-4</v>
      </c>
      <c r="R64">
        <v>351593260209</v>
      </c>
      <c r="U64">
        <f t="shared" si="15"/>
        <v>193</v>
      </c>
      <c r="V64">
        <f t="shared" si="16"/>
        <v>22581</v>
      </c>
      <c r="W64">
        <f t="shared" si="5"/>
        <v>99781</v>
      </c>
      <c r="X64">
        <f t="shared" si="6"/>
        <v>2393972</v>
      </c>
      <c r="Y64">
        <f t="shared" si="7"/>
        <v>3.3775000000000004</v>
      </c>
      <c r="Z64">
        <f t="shared" si="8"/>
        <v>114439929</v>
      </c>
      <c r="AB64">
        <f t="shared" si="9"/>
        <v>4</v>
      </c>
      <c r="AC64">
        <f t="shared" si="10"/>
        <v>468</v>
      </c>
      <c r="AD64">
        <f t="shared" si="11"/>
        <v>2068</v>
      </c>
      <c r="AE64">
        <f t="shared" si="12"/>
        <v>49616</v>
      </c>
      <c r="AF64">
        <f t="shared" si="13"/>
        <v>7.0000000000000007E-2</v>
      </c>
      <c r="AG64">
        <f t="shared" si="14"/>
        <v>2371812</v>
      </c>
    </row>
    <row r="65" spans="1:33">
      <c r="A65" s="1">
        <v>44291</v>
      </c>
      <c r="B65">
        <v>159</v>
      </c>
      <c r="C65">
        <v>6</v>
      </c>
      <c r="D65">
        <v>1.06</v>
      </c>
      <c r="E65">
        <v>112</v>
      </c>
      <c r="F65">
        <v>536</v>
      </c>
      <c r="G65">
        <v>59246</v>
      </c>
      <c r="H65">
        <v>1.41E-2</v>
      </c>
      <c r="I65">
        <v>596680</v>
      </c>
      <c r="K65">
        <f t="shared" si="2"/>
        <v>25281</v>
      </c>
      <c r="L65">
        <f t="shared" si="3"/>
        <v>36</v>
      </c>
      <c r="M65">
        <f t="shared" si="4"/>
        <v>1.1236000000000002</v>
      </c>
      <c r="N65">
        <v>12544</v>
      </c>
      <c r="O65">
        <v>287296</v>
      </c>
      <c r="P65">
        <v>3510088516</v>
      </c>
      <c r="Q65">
        <v>1.9881E-4</v>
      </c>
      <c r="R65">
        <v>356027022400</v>
      </c>
      <c r="U65">
        <f t="shared" si="15"/>
        <v>168.54000000000002</v>
      </c>
      <c r="V65">
        <f t="shared" si="16"/>
        <v>17808</v>
      </c>
      <c r="W65">
        <f t="shared" si="5"/>
        <v>85224</v>
      </c>
      <c r="X65">
        <f t="shared" si="6"/>
        <v>9420114</v>
      </c>
      <c r="Y65">
        <f t="shared" si="7"/>
        <v>2.2418999999999998</v>
      </c>
      <c r="Z65">
        <f t="shared" si="8"/>
        <v>94872120</v>
      </c>
      <c r="AB65">
        <f t="shared" si="9"/>
        <v>6.36</v>
      </c>
      <c r="AC65">
        <f t="shared" si="10"/>
        <v>672</v>
      </c>
      <c r="AD65">
        <f t="shared" si="11"/>
        <v>3216</v>
      </c>
      <c r="AE65">
        <f t="shared" si="12"/>
        <v>355476</v>
      </c>
      <c r="AF65">
        <f t="shared" si="13"/>
        <v>8.4599999999999995E-2</v>
      </c>
      <c r="AG65">
        <f t="shared" si="14"/>
        <v>3580080</v>
      </c>
    </row>
    <row r="66" spans="1:33">
      <c r="A66" s="1">
        <v>44292</v>
      </c>
      <c r="B66">
        <v>874</v>
      </c>
      <c r="C66">
        <v>2</v>
      </c>
      <c r="D66">
        <v>1.1399999999999999</v>
      </c>
      <c r="E66">
        <v>113</v>
      </c>
      <c r="F66">
        <v>504</v>
      </c>
      <c r="G66">
        <v>63682</v>
      </c>
      <c r="H66">
        <v>1.41E-2</v>
      </c>
      <c r="I66">
        <v>602600</v>
      </c>
      <c r="K66">
        <f t="shared" si="2"/>
        <v>763876</v>
      </c>
      <c r="L66">
        <f t="shared" si="3"/>
        <v>4</v>
      </c>
      <c r="M66">
        <f t="shared" si="4"/>
        <v>1.2995999999999999</v>
      </c>
      <c r="N66">
        <v>12769</v>
      </c>
      <c r="O66">
        <v>254016</v>
      </c>
      <c r="P66">
        <v>4055397124</v>
      </c>
      <c r="Q66">
        <v>1.9881E-4</v>
      </c>
      <c r="R66">
        <v>363126760000</v>
      </c>
      <c r="U66">
        <f t="shared" ref="U66:U97" si="17">B66*D66</f>
        <v>996.3599999999999</v>
      </c>
      <c r="V66">
        <f t="shared" ref="V66:V97" si="18">B66*E66</f>
        <v>98762</v>
      </c>
      <c r="W66">
        <f t="shared" si="5"/>
        <v>440496</v>
      </c>
      <c r="X66">
        <f t="shared" si="6"/>
        <v>55658068</v>
      </c>
      <c r="Y66">
        <f t="shared" si="7"/>
        <v>12.323399999999999</v>
      </c>
      <c r="Z66">
        <f t="shared" si="8"/>
        <v>526672400</v>
      </c>
      <c r="AB66">
        <f t="shared" si="9"/>
        <v>2.2799999999999998</v>
      </c>
      <c r="AC66">
        <f t="shared" si="10"/>
        <v>226</v>
      </c>
      <c r="AD66">
        <f t="shared" si="11"/>
        <v>1008</v>
      </c>
      <c r="AE66">
        <f t="shared" si="12"/>
        <v>127364</v>
      </c>
      <c r="AF66">
        <f t="shared" si="13"/>
        <v>2.8199999999999999E-2</v>
      </c>
      <c r="AG66">
        <f t="shared" si="14"/>
        <v>1205200</v>
      </c>
    </row>
    <row r="67" spans="1:33">
      <c r="A67" s="1">
        <v>44293</v>
      </c>
      <c r="B67">
        <v>663</v>
      </c>
      <c r="C67">
        <v>3</v>
      </c>
      <c r="D67">
        <v>1.1399999999999999</v>
      </c>
      <c r="E67">
        <v>116</v>
      </c>
      <c r="F67">
        <v>488</v>
      </c>
      <c r="G67">
        <v>63338</v>
      </c>
      <c r="H67">
        <v>1.2500000000000001E-2</v>
      </c>
      <c r="I67">
        <v>605682</v>
      </c>
      <c r="K67">
        <f t="shared" ref="K67:K121" si="19">POWER( B67,2)</f>
        <v>439569</v>
      </c>
      <c r="L67">
        <f t="shared" ref="L67:L121" si="20">POWER(C67,2)</f>
        <v>9</v>
      </c>
      <c r="M67">
        <f t="shared" ref="M67:M121" si="21">POWER(D67,2)</f>
        <v>1.2995999999999999</v>
      </c>
      <c r="N67">
        <v>13456</v>
      </c>
      <c r="O67">
        <v>238144</v>
      </c>
      <c r="P67">
        <v>4011702244</v>
      </c>
      <c r="Q67">
        <v>1.5625000000000003E-4</v>
      </c>
      <c r="R67">
        <v>366850685124</v>
      </c>
      <c r="U67">
        <f t="shared" si="17"/>
        <v>755.81999999999994</v>
      </c>
      <c r="V67">
        <f t="shared" si="18"/>
        <v>76908</v>
      </c>
      <c r="W67">
        <f t="shared" ref="W67:W121" si="22">B67*F67</f>
        <v>323544</v>
      </c>
      <c r="X67">
        <f t="shared" ref="X67:X121" si="23">B67*G67</f>
        <v>41993094</v>
      </c>
      <c r="Y67">
        <f t="shared" ref="Y67:Y121" si="24">B67*H67</f>
        <v>8.2874999999999996</v>
      </c>
      <c r="Z67">
        <f t="shared" ref="Z67:Z121" si="25">B67*I67</f>
        <v>401567166</v>
      </c>
      <c r="AB67">
        <f t="shared" ref="AB67:AB121" si="26">C67*D67</f>
        <v>3.42</v>
      </c>
      <c r="AC67">
        <f t="shared" ref="AC67:AC121" si="27">C67*E67</f>
        <v>348</v>
      </c>
      <c r="AD67">
        <f t="shared" ref="AD67:AD121" si="28">C67*F67</f>
        <v>1464</v>
      </c>
      <c r="AE67">
        <f t="shared" ref="AE67:AE121" si="29">C67*G67</f>
        <v>190014</v>
      </c>
      <c r="AF67">
        <f t="shared" ref="AF67:AF121" si="30">C67*H67</f>
        <v>3.7500000000000006E-2</v>
      </c>
      <c r="AG67">
        <f t="shared" ref="AG67:AG121" si="31">C67*I67</f>
        <v>1817046</v>
      </c>
    </row>
    <row r="68" spans="1:33">
      <c r="A68" s="1">
        <v>44294</v>
      </c>
      <c r="B68">
        <v>602</v>
      </c>
      <c r="C68">
        <v>9</v>
      </c>
      <c r="D68">
        <v>1.1299999999999999</v>
      </c>
      <c r="E68">
        <v>122</v>
      </c>
      <c r="F68">
        <v>495</v>
      </c>
      <c r="G68">
        <v>58289</v>
      </c>
      <c r="H68">
        <v>1.1299999999999999E-2</v>
      </c>
      <c r="I68">
        <v>616121</v>
      </c>
      <c r="K68">
        <f t="shared" si="19"/>
        <v>362404</v>
      </c>
      <c r="L68">
        <f t="shared" si="20"/>
        <v>81</v>
      </c>
      <c r="M68">
        <f t="shared" si="21"/>
        <v>1.2768999999999997</v>
      </c>
      <c r="N68">
        <v>14884</v>
      </c>
      <c r="O68">
        <v>245025</v>
      </c>
      <c r="P68">
        <v>3397607521</v>
      </c>
      <c r="Q68">
        <v>1.2768999999999999E-4</v>
      </c>
      <c r="R68">
        <v>379605086641</v>
      </c>
      <c r="U68">
        <f t="shared" si="17"/>
        <v>680.26</v>
      </c>
      <c r="V68">
        <f t="shared" si="18"/>
        <v>73444</v>
      </c>
      <c r="W68">
        <f t="shared" si="22"/>
        <v>297990</v>
      </c>
      <c r="X68">
        <f t="shared" si="23"/>
        <v>35089978</v>
      </c>
      <c r="Y68">
        <f t="shared" si="24"/>
        <v>6.8026</v>
      </c>
      <c r="Z68">
        <f t="shared" si="25"/>
        <v>370904842</v>
      </c>
      <c r="AB68">
        <f t="shared" si="26"/>
        <v>10.169999999999998</v>
      </c>
      <c r="AC68">
        <f t="shared" si="27"/>
        <v>1098</v>
      </c>
      <c r="AD68">
        <f t="shared" si="28"/>
        <v>4455</v>
      </c>
      <c r="AE68">
        <f t="shared" si="29"/>
        <v>524601</v>
      </c>
      <c r="AF68">
        <f t="shared" si="30"/>
        <v>0.1017</v>
      </c>
      <c r="AG68">
        <f t="shared" si="31"/>
        <v>5545089</v>
      </c>
    </row>
    <row r="69" spans="1:33">
      <c r="A69" s="1">
        <v>44295</v>
      </c>
      <c r="B69">
        <v>694</v>
      </c>
      <c r="C69">
        <v>5</v>
      </c>
      <c r="D69">
        <v>1.1200000000000001</v>
      </c>
      <c r="E69">
        <v>128</v>
      </c>
      <c r="F69">
        <v>486</v>
      </c>
      <c r="G69">
        <v>60156</v>
      </c>
      <c r="H69">
        <v>1.0200000000000001E-2</v>
      </c>
      <c r="I69">
        <v>631127</v>
      </c>
      <c r="K69">
        <f t="shared" si="19"/>
        <v>481636</v>
      </c>
      <c r="L69">
        <f t="shared" si="20"/>
        <v>25</v>
      </c>
      <c r="M69">
        <f t="shared" si="21"/>
        <v>1.2544000000000002</v>
      </c>
      <c r="N69">
        <v>16384</v>
      </c>
      <c r="O69">
        <v>236196</v>
      </c>
      <c r="P69">
        <v>3618744336</v>
      </c>
      <c r="Q69">
        <v>1.0404000000000001E-4</v>
      </c>
      <c r="R69">
        <v>398321290129</v>
      </c>
      <c r="U69">
        <f t="shared" si="17"/>
        <v>777.28000000000009</v>
      </c>
      <c r="V69">
        <f t="shared" si="18"/>
        <v>88832</v>
      </c>
      <c r="W69">
        <f t="shared" si="22"/>
        <v>337284</v>
      </c>
      <c r="X69">
        <f t="shared" si="23"/>
        <v>41748264</v>
      </c>
      <c r="Y69">
        <f t="shared" si="24"/>
        <v>7.0788000000000002</v>
      </c>
      <c r="Z69">
        <f t="shared" si="25"/>
        <v>438002138</v>
      </c>
      <c r="AB69">
        <f t="shared" si="26"/>
        <v>5.6000000000000005</v>
      </c>
      <c r="AC69">
        <f t="shared" si="27"/>
        <v>640</v>
      </c>
      <c r="AD69">
        <f t="shared" si="28"/>
        <v>2430</v>
      </c>
      <c r="AE69">
        <f t="shared" si="29"/>
        <v>300780</v>
      </c>
      <c r="AF69">
        <f t="shared" si="30"/>
        <v>5.1000000000000004E-2</v>
      </c>
      <c r="AG69">
        <f t="shared" si="31"/>
        <v>3155635</v>
      </c>
    </row>
    <row r="70" spans="1:33">
      <c r="A70" s="1">
        <v>44296</v>
      </c>
      <c r="B70">
        <v>601</v>
      </c>
      <c r="C70">
        <v>6</v>
      </c>
      <c r="D70">
        <v>1.1000000000000001</v>
      </c>
      <c r="E70">
        <v>119</v>
      </c>
      <c r="F70">
        <v>466</v>
      </c>
      <c r="G70">
        <v>31800</v>
      </c>
      <c r="H70">
        <v>1.09E-2</v>
      </c>
      <c r="I70">
        <v>643712</v>
      </c>
      <c r="K70">
        <f t="shared" si="19"/>
        <v>361201</v>
      </c>
      <c r="L70">
        <f t="shared" si="20"/>
        <v>36</v>
      </c>
      <c r="M70">
        <f t="shared" si="21"/>
        <v>1.2100000000000002</v>
      </c>
      <c r="N70">
        <v>14161</v>
      </c>
      <c r="O70">
        <v>217156</v>
      </c>
      <c r="P70">
        <v>1011240000</v>
      </c>
      <c r="Q70">
        <v>1.1881E-4</v>
      </c>
      <c r="R70">
        <v>414365138944</v>
      </c>
      <c r="U70">
        <f t="shared" si="17"/>
        <v>661.1</v>
      </c>
      <c r="V70">
        <f t="shared" si="18"/>
        <v>71519</v>
      </c>
      <c r="W70">
        <f t="shared" si="22"/>
        <v>280066</v>
      </c>
      <c r="X70">
        <f t="shared" si="23"/>
        <v>19111800</v>
      </c>
      <c r="Y70">
        <f t="shared" si="24"/>
        <v>6.5509000000000004</v>
      </c>
      <c r="Z70">
        <f t="shared" si="25"/>
        <v>386870912</v>
      </c>
      <c r="AB70">
        <f t="shared" si="26"/>
        <v>6.6000000000000005</v>
      </c>
      <c r="AC70">
        <f t="shared" si="27"/>
        <v>714</v>
      </c>
      <c r="AD70">
        <f t="shared" si="28"/>
        <v>2796</v>
      </c>
      <c r="AE70">
        <f t="shared" si="29"/>
        <v>190800</v>
      </c>
      <c r="AF70">
        <f t="shared" si="30"/>
        <v>6.54E-2</v>
      </c>
      <c r="AG70">
        <f t="shared" si="31"/>
        <v>3862272</v>
      </c>
    </row>
    <row r="71" spans="1:33">
      <c r="A71" s="1">
        <v>44297</v>
      </c>
      <c r="B71">
        <v>566</v>
      </c>
      <c r="C71">
        <v>6</v>
      </c>
      <c r="D71">
        <v>1.07</v>
      </c>
      <c r="E71">
        <v>113</v>
      </c>
      <c r="F71">
        <v>466</v>
      </c>
      <c r="G71">
        <v>12842</v>
      </c>
      <c r="H71">
        <v>1.1900000000000001E-2</v>
      </c>
      <c r="I71">
        <v>645818</v>
      </c>
      <c r="K71">
        <f t="shared" si="19"/>
        <v>320356</v>
      </c>
      <c r="L71">
        <f t="shared" si="20"/>
        <v>36</v>
      </c>
      <c r="M71">
        <f t="shared" si="21"/>
        <v>1.1449</v>
      </c>
      <c r="N71">
        <v>12769</v>
      </c>
      <c r="O71">
        <v>217156</v>
      </c>
      <c r="P71">
        <v>164916964</v>
      </c>
      <c r="Q71">
        <v>1.4161000000000002E-4</v>
      </c>
      <c r="R71">
        <v>417080889124</v>
      </c>
      <c r="U71">
        <f t="shared" si="17"/>
        <v>605.62</v>
      </c>
      <c r="V71">
        <f t="shared" si="18"/>
        <v>63958</v>
      </c>
      <c r="W71">
        <f t="shared" si="22"/>
        <v>263756</v>
      </c>
      <c r="X71">
        <f t="shared" si="23"/>
        <v>7268572</v>
      </c>
      <c r="Y71">
        <f t="shared" si="24"/>
        <v>6.7354000000000003</v>
      </c>
      <c r="Z71">
        <f t="shared" si="25"/>
        <v>365532988</v>
      </c>
      <c r="AB71">
        <f t="shared" si="26"/>
        <v>6.42</v>
      </c>
      <c r="AC71">
        <f t="shared" si="27"/>
        <v>678</v>
      </c>
      <c r="AD71">
        <f t="shared" si="28"/>
        <v>2796</v>
      </c>
      <c r="AE71">
        <f t="shared" si="29"/>
        <v>77052</v>
      </c>
      <c r="AF71">
        <f t="shared" si="30"/>
        <v>7.1400000000000005E-2</v>
      </c>
      <c r="AG71">
        <f t="shared" si="31"/>
        <v>3874908</v>
      </c>
    </row>
    <row r="72" spans="1:33">
      <c r="A72" s="1">
        <v>44298</v>
      </c>
      <c r="B72">
        <v>271</v>
      </c>
      <c r="C72">
        <v>2</v>
      </c>
      <c r="D72">
        <v>1.04</v>
      </c>
      <c r="E72">
        <v>119</v>
      </c>
      <c r="F72">
        <v>479</v>
      </c>
      <c r="G72">
        <v>38795</v>
      </c>
      <c r="H72">
        <v>1.2999999999999999E-2</v>
      </c>
      <c r="I72">
        <v>651251</v>
      </c>
      <c r="K72">
        <f t="shared" si="19"/>
        <v>73441</v>
      </c>
      <c r="L72">
        <f t="shared" si="20"/>
        <v>4</v>
      </c>
      <c r="M72">
        <f t="shared" si="21"/>
        <v>1.0816000000000001</v>
      </c>
      <c r="N72">
        <v>14161</v>
      </c>
      <c r="O72">
        <v>229441</v>
      </c>
      <c r="P72">
        <v>1505052025</v>
      </c>
      <c r="Q72">
        <v>1.6899999999999999E-4</v>
      </c>
      <c r="R72">
        <v>424127865001</v>
      </c>
      <c r="U72">
        <f t="shared" si="17"/>
        <v>281.84000000000003</v>
      </c>
      <c r="V72">
        <f t="shared" si="18"/>
        <v>32249</v>
      </c>
      <c r="W72">
        <f t="shared" si="22"/>
        <v>129809</v>
      </c>
      <c r="X72">
        <f t="shared" si="23"/>
        <v>10513445</v>
      </c>
      <c r="Y72">
        <f t="shared" si="24"/>
        <v>3.5229999999999997</v>
      </c>
      <c r="Z72">
        <f t="shared" si="25"/>
        <v>176489021</v>
      </c>
      <c r="AB72">
        <f t="shared" si="26"/>
        <v>2.08</v>
      </c>
      <c r="AC72">
        <f t="shared" si="27"/>
        <v>238</v>
      </c>
      <c r="AD72">
        <f t="shared" si="28"/>
        <v>958</v>
      </c>
      <c r="AE72">
        <f t="shared" si="29"/>
        <v>77590</v>
      </c>
      <c r="AF72">
        <f t="shared" si="30"/>
        <v>2.5999999999999999E-2</v>
      </c>
      <c r="AG72">
        <f t="shared" si="31"/>
        <v>1302502</v>
      </c>
    </row>
    <row r="73" spans="1:33">
      <c r="A73" s="1">
        <v>44299</v>
      </c>
      <c r="B73">
        <v>408</v>
      </c>
      <c r="C73">
        <v>5</v>
      </c>
      <c r="D73">
        <v>1.01</v>
      </c>
      <c r="E73">
        <v>118</v>
      </c>
      <c r="F73">
        <v>459</v>
      </c>
      <c r="G73">
        <v>41484</v>
      </c>
      <c r="H73">
        <v>1.24E-2</v>
      </c>
      <c r="I73">
        <v>653413</v>
      </c>
      <c r="K73">
        <f t="shared" si="19"/>
        <v>166464</v>
      </c>
      <c r="L73">
        <f t="shared" si="20"/>
        <v>25</v>
      </c>
      <c r="M73">
        <f t="shared" si="21"/>
        <v>1.0201</v>
      </c>
      <c r="N73">
        <v>13924</v>
      </c>
      <c r="O73">
        <v>210681</v>
      </c>
      <c r="P73">
        <v>1720922256</v>
      </c>
      <c r="Q73">
        <v>1.5375999999999999E-4</v>
      </c>
      <c r="R73">
        <v>426948548569</v>
      </c>
      <c r="U73">
        <f t="shared" si="17"/>
        <v>412.08</v>
      </c>
      <c r="V73">
        <f t="shared" si="18"/>
        <v>48144</v>
      </c>
      <c r="W73">
        <f t="shared" si="22"/>
        <v>187272</v>
      </c>
      <c r="X73">
        <f t="shared" si="23"/>
        <v>16925472</v>
      </c>
      <c r="Y73">
        <f t="shared" si="24"/>
        <v>5.0591999999999997</v>
      </c>
      <c r="Z73">
        <f t="shared" si="25"/>
        <v>266592504</v>
      </c>
      <c r="AB73">
        <f t="shared" si="26"/>
        <v>5.05</v>
      </c>
      <c r="AC73">
        <f t="shared" si="27"/>
        <v>590</v>
      </c>
      <c r="AD73">
        <f t="shared" si="28"/>
        <v>2295</v>
      </c>
      <c r="AE73">
        <f t="shared" si="29"/>
        <v>207420</v>
      </c>
      <c r="AF73">
        <f t="shared" si="30"/>
        <v>6.2E-2</v>
      </c>
      <c r="AG73">
        <f t="shared" si="31"/>
        <v>3267065</v>
      </c>
    </row>
    <row r="74" spans="1:33">
      <c r="A74" s="1">
        <v>44300</v>
      </c>
      <c r="B74">
        <v>684</v>
      </c>
      <c r="C74">
        <v>8</v>
      </c>
      <c r="D74">
        <v>1.01</v>
      </c>
      <c r="E74">
        <v>116</v>
      </c>
      <c r="F74">
        <v>447</v>
      </c>
      <c r="G74">
        <v>41634</v>
      </c>
      <c r="H74">
        <v>1.34E-2</v>
      </c>
      <c r="I74">
        <v>655193</v>
      </c>
      <c r="K74">
        <f t="shared" si="19"/>
        <v>467856</v>
      </c>
      <c r="L74">
        <f t="shared" si="20"/>
        <v>64</v>
      </c>
      <c r="M74">
        <f t="shared" si="21"/>
        <v>1.0201</v>
      </c>
      <c r="N74">
        <v>13456</v>
      </c>
      <c r="O74">
        <v>199809</v>
      </c>
      <c r="P74">
        <v>1733389956</v>
      </c>
      <c r="Q74">
        <v>1.7956000000000002E-4</v>
      </c>
      <c r="R74">
        <v>429277867249</v>
      </c>
      <c r="U74">
        <f t="shared" si="17"/>
        <v>690.84</v>
      </c>
      <c r="V74">
        <f t="shared" si="18"/>
        <v>79344</v>
      </c>
      <c r="W74">
        <f t="shared" si="22"/>
        <v>305748</v>
      </c>
      <c r="X74">
        <f t="shared" si="23"/>
        <v>28477656</v>
      </c>
      <c r="Y74">
        <f t="shared" si="24"/>
        <v>9.1655999999999995</v>
      </c>
      <c r="Z74">
        <f t="shared" si="25"/>
        <v>448152012</v>
      </c>
      <c r="AB74">
        <f t="shared" si="26"/>
        <v>8.08</v>
      </c>
      <c r="AC74">
        <f t="shared" si="27"/>
        <v>928</v>
      </c>
      <c r="AD74">
        <f t="shared" si="28"/>
        <v>3576</v>
      </c>
      <c r="AE74">
        <f t="shared" si="29"/>
        <v>333072</v>
      </c>
      <c r="AF74">
        <f t="shared" si="30"/>
        <v>0.1072</v>
      </c>
      <c r="AG74">
        <f t="shared" si="31"/>
        <v>5241544</v>
      </c>
    </row>
    <row r="75" spans="1:33">
      <c r="A75" s="1">
        <v>44301</v>
      </c>
      <c r="B75">
        <v>501</v>
      </c>
      <c r="C75">
        <v>2</v>
      </c>
      <c r="D75">
        <v>1</v>
      </c>
      <c r="E75">
        <v>109</v>
      </c>
      <c r="F75">
        <v>423</v>
      </c>
      <c r="G75">
        <v>42082</v>
      </c>
      <c r="H75">
        <v>1.3899999999999999E-2</v>
      </c>
      <c r="I75">
        <v>666086</v>
      </c>
      <c r="K75">
        <f t="shared" si="19"/>
        <v>251001</v>
      </c>
      <c r="L75">
        <f t="shared" si="20"/>
        <v>4</v>
      </c>
      <c r="M75">
        <f t="shared" si="21"/>
        <v>1</v>
      </c>
      <c r="N75">
        <v>11881</v>
      </c>
      <c r="O75">
        <v>178929</v>
      </c>
      <c r="P75">
        <v>1770894724</v>
      </c>
      <c r="Q75">
        <v>1.9320999999999997E-4</v>
      </c>
      <c r="R75">
        <v>443670559396</v>
      </c>
      <c r="U75">
        <f t="shared" si="17"/>
        <v>501</v>
      </c>
      <c r="V75">
        <f t="shared" si="18"/>
        <v>54609</v>
      </c>
      <c r="W75">
        <f t="shared" si="22"/>
        <v>211923</v>
      </c>
      <c r="X75">
        <f t="shared" si="23"/>
        <v>21083082</v>
      </c>
      <c r="Y75">
        <f t="shared" si="24"/>
        <v>6.9638999999999998</v>
      </c>
      <c r="Z75">
        <f t="shared" si="25"/>
        <v>333709086</v>
      </c>
      <c r="AB75">
        <f t="shared" si="26"/>
        <v>2</v>
      </c>
      <c r="AC75">
        <f t="shared" si="27"/>
        <v>218</v>
      </c>
      <c r="AD75">
        <f t="shared" si="28"/>
        <v>846</v>
      </c>
      <c r="AE75">
        <f t="shared" si="29"/>
        <v>84164</v>
      </c>
      <c r="AF75">
        <f t="shared" si="30"/>
        <v>2.7799999999999998E-2</v>
      </c>
      <c r="AG75">
        <f t="shared" si="31"/>
        <v>1332172</v>
      </c>
    </row>
    <row r="76" spans="1:33">
      <c r="A76" s="1">
        <v>44302</v>
      </c>
      <c r="B76">
        <v>553</v>
      </c>
      <c r="C76">
        <v>4</v>
      </c>
      <c r="D76">
        <v>1</v>
      </c>
      <c r="E76">
        <v>101</v>
      </c>
      <c r="F76">
        <v>429</v>
      </c>
      <c r="G76">
        <v>47052</v>
      </c>
      <c r="H76">
        <v>1.4E-2</v>
      </c>
      <c r="I76">
        <v>676217</v>
      </c>
      <c r="K76">
        <f t="shared" si="19"/>
        <v>305809</v>
      </c>
      <c r="L76">
        <f t="shared" si="20"/>
        <v>16</v>
      </c>
      <c r="M76">
        <f t="shared" si="21"/>
        <v>1</v>
      </c>
      <c r="N76">
        <v>10201</v>
      </c>
      <c r="O76">
        <v>184041</v>
      </c>
      <c r="P76">
        <v>2213890704</v>
      </c>
      <c r="Q76">
        <v>1.9600000000000002E-4</v>
      </c>
      <c r="R76">
        <v>457269431089</v>
      </c>
      <c r="U76">
        <f t="shared" si="17"/>
        <v>553</v>
      </c>
      <c r="V76">
        <f t="shared" si="18"/>
        <v>55853</v>
      </c>
      <c r="W76">
        <f t="shared" si="22"/>
        <v>237237</v>
      </c>
      <c r="X76">
        <f t="shared" si="23"/>
        <v>26019756</v>
      </c>
      <c r="Y76">
        <f t="shared" si="24"/>
        <v>7.742</v>
      </c>
      <c r="Z76">
        <f t="shared" si="25"/>
        <v>373948001</v>
      </c>
      <c r="AB76">
        <f t="shared" si="26"/>
        <v>4</v>
      </c>
      <c r="AC76">
        <f t="shared" si="27"/>
        <v>404</v>
      </c>
      <c r="AD76">
        <f t="shared" si="28"/>
        <v>1716</v>
      </c>
      <c r="AE76">
        <f t="shared" si="29"/>
        <v>188208</v>
      </c>
      <c r="AF76">
        <f t="shared" si="30"/>
        <v>5.6000000000000001E-2</v>
      </c>
      <c r="AG76">
        <f t="shared" si="31"/>
        <v>2704868</v>
      </c>
    </row>
    <row r="77" spans="1:33">
      <c r="A77" s="1">
        <v>44303</v>
      </c>
      <c r="B77">
        <v>649</v>
      </c>
      <c r="C77">
        <v>5</v>
      </c>
      <c r="D77">
        <v>1</v>
      </c>
      <c r="E77">
        <v>103</v>
      </c>
      <c r="F77">
        <v>415</v>
      </c>
      <c r="G77">
        <v>31461</v>
      </c>
      <c r="H77">
        <v>1.4200000000000001E-2</v>
      </c>
      <c r="I77">
        <v>696172</v>
      </c>
      <c r="K77">
        <f t="shared" si="19"/>
        <v>421201</v>
      </c>
      <c r="L77">
        <f t="shared" si="20"/>
        <v>25</v>
      </c>
      <c r="M77">
        <f t="shared" si="21"/>
        <v>1</v>
      </c>
      <c r="N77">
        <v>10609</v>
      </c>
      <c r="O77">
        <v>172225</v>
      </c>
      <c r="P77">
        <v>989794521</v>
      </c>
      <c r="Q77">
        <v>2.0164000000000003E-4</v>
      </c>
      <c r="R77">
        <v>484655453584</v>
      </c>
      <c r="U77">
        <f t="shared" si="17"/>
        <v>649</v>
      </c>
      <c r="V77">
        <f t="shared" si="18"/>
        <v>66847</v>
      </c>
      <c r="W77">
        <f t="shared" si="22"/>
        <v>269335</v>
      </c>
      <c r="X77">
        <f t="shared" si="23"/>
        <v>20418189</v>
      </c>
      <c r="Y77">
        <f t="shared" si="24"/>
        <v>9.2157999999999998</v>
      </c>
      <c r="Z77">
        <f t="shared" si="25"/>
        <v>451815628</v>
      </c>
      <c r="AB77">
        <f t="shared" si="26"/>
        <v>5</v>
      </c>
      <c r="AC77">
        <f t="shared" si="27"/>
        <v>515</v>
      </c>
      <c r="AD77">
        <f t="shared" si="28"/>
        <v>2075</v>
      </c>
      <c r="AE77">
        <f t="shared" si="29"/>
        <v>157305</v>
      </c>
      <c r="AF77">
        <f t="shared" si="30"/>
        <v>7.1000000000000008E-2</v>
      </c>
      <c r="AG77">
        <f t="shared" si="31"/>
        <v>3480860</v>
      </c>
    </row>
    <row r="78" spans="1:33">
      <c r="A78" s="1">
        <v>44304</v>
      </c>
      <c r="B78">
        <v>441</v>
      </c>
      <c r="C78">
        <v>3</v>
      </c>
      <c r="D78">
        <v>0.99</v>
      </c>
      <c r="E78">
        <v>109</v>
      </c>
      <c r="F78">
        <v>428</v>
      </c>
      <c r="G78">
        <v>14429</v>
      </c>
      <c r="H78">
        <v>1.3599999999999999E-2</v>
      </c>
      <c r="I78">
        <v>701102</v>
      </c>
      <c r="K78">
        <f t="shared" si="19"/>
        <v>194481</v>
      </c>
      <c r="L78">
        <f t="shared" si="20"/>
        <v>9</v>
      </c>
      <c r="M78">
        <f t="shared" si="21"/>
        <v>0.98009999999999997</v>
      </c>
      <c r="N78">
        <v>11881</v>
      </c>
      <c r="O78">
        <v>183184</v>
      </c>
      <c r="P78">
        <v>208196041</v>
      </c>
      <c r="Q78">
        <v>1.8495999999999999E-4</v>
      </c>
      <c r="R78">
        <v>491544014404</v>
      </c>
      <c r="U78">
        <f t="shared" si="17"/>
        <v>436.59</v>
      </c>
      <c r="V78">
        <f t="shared" si="18"/>
        <v>48069</v>
      </c>
      <c r="W78">
        <f t="shared" si="22"/>
        <v>188748</v>
      </c>
      <c r="X78">
        <f t="shared" si="23"/>
        <v>6363189</v>
      </c>
      <c r="Y78">
        <f t="shared" si="24"/>
        <v>5.9975999999999994</v>
      </c>
      <c r="Z78">
        <f t="shared" si="25"/>
        <v>309185982</v>
      </c>
      <c r="AB78">
        <f t="shared" si="26"/>
        <v>2.9699999999999998</v>
      </c>
      <c r="AC78">
        <f t="shared" si="27"/>
        <v>327</v>
      </c>
      <c r="AD78">
        <f t="shared" si="28"/>
        <v>1284</v>
      </c>
      <c r="AE78">
        <f t="shared" si="29"/>
        <v>43287</v>
      </c>
      <c r="AF78">
        <f t="shared" si="30"/>
        <v>4.0799999999999996E-2</v>
      </c>
      <c r="AG78">
        <f t="shared" si="31"/>
        <v>2103306</v>
      </c>
    </row>
    <row r="79" spans="1:33">
      <c r="A79" s="1">
        <v>44305</v>
      </c>
      <c r="B79">
        <v>220</v>
      </c>
      <c r="C79">
        <v>1</v>
      </c>
      <c r="D79">
        <v>0.98</v>
      </c>
      <c r="E79">
        <v>112</v>
      </c>
      <c r="F79">
        <v>454</v>
      </c>
      <c r="G79">
        <v>78716</v>
      </c>
      <c r="H79">
        <v>1.1599999999999999E-2</v>
      </c>
      <c r="I79">
        <v>706842</v>
      </c>
      <c r="K79">
        <f t="shared" si="19"/>
        <v>48400</v>
      </c>
      <c r="L79">
        <f t="shared" si="20"/>
        <v>1</v>
      </c>
      <c r="M79">
        <f t="shared" si="21"/>
        <v>0.96039999999999992</v>
      </c>
      <c r="N79">
        <v>12544</v>
      </c>
      <c r="O79">
        <v>206116</v>
      </c>
      <c r="P79">
        <v>6196208656</v>
      </c>
      <c r="Q79">
        <v>1.3455999999999999E-4</v>
      </c>
      <c r="R79">
        <v>499625612964</v>
      </c>
      <c r="U79">
        <f t="shared" si="17"/>
        <v>215.6</v>
      </c>
      <c r="V79">
        <f t="shared" si="18"/>
        <v>24640</v>
      </c>
      <c r="W79">
        <f t="shared" si="22"/>
        <v>99880</v>
      </c>
      <c r="X79">
        <f t="shared" si="23"/>
        <v>17317520</v>
      </c>
      <c r="Y79">
        <f t="shared" si="24"/>
        <v>2.5519999999999996</v>
      </c>
      <c r="Z79">
        <f t="shared" si="25"/>
        <v>155505240</v>
      </c>
      <c r="AB79">
        <f t="shared" si="26"/>
        <v>0.98</v>
      </c>
      <c r="AC79">
        <f t="shared" si="27"/>
        <v>112</v>
      </c>
      <c r="AD79">
        <f t="shared" si="28"/>
        <v>454</v>
      </c>
      <c r="AE79">
        <f t="shared" si="29"/>
        <v>78716</v>
      </c>
      <c r="AF79">
        <f t="shared" si="30"/>
        <v>1.1599999999999999E-2</v>
      </c>
      <c r="AG79">
        <f t="shared" si="31"/>
        <v>706842</v>
      </c>
    </row>
    <row r="80" spans="1:33">
      <c r="A80" s="1">
        <v>44306</v>
      </c>
      <c r="B80">
        <v>424</v>
      </c>
      <c r="C80">
        <v>5</v>
      </c>
      <c r="D80">
        <v>0.97</v>
      </c>
      <c r="E80">
        <v>113</v>
      </c>
      <c r="F80">
        <v>429</v>
      </c>
      <c r="G80">
        <v>96934</v>
      </c>
      <c r="H80">
        <v>9.9000000000000008E-3</v>
      </c>
      <c r="I80">
        <v>718009</v>
      </c>
      <c r="K80">
        <f t="shared" si="19"/>
        <v>179776</v>
      </c>
      <c r="L80">
        <f t="shared" si="20"/>
        <v>25</v>
      </c>
      <c r="M80">
        <f t="shared" si="21"/>
        <v>0.94089999999999996</v>
      </c>
      <c r="N80">
        <v>12769</v>
      </c>
      <c r="O80">
        <v>184041</v>
      </c>
      <c r="P80">
        <v>9396200356</v>
      </c>
      <c r="Q80">
        <v>9.8010000000000019E-5</v>
      </c>
      <c r="R80">
        <v>515536924081</v>
      </c>
      <c r="U80">
        <f t="shared" si="17"/>
        <v>411.28</v>
      </c>
      <c r="V80">
        <f t="shared" si="18"/>
        <v>47912</v>
      </c>
      <c r="W80">
        <f t="shared" si="22"/>
        <v>181896</v>
      </c>
      <c r="X80">
        <f t="shared" si="23"/>
        <v>41100016</v>
      </c>
      <c r="Y80">
        <f t="shared" si="24"/>
        <v>4.1976000000000004</v>
      </c>
      <c r="Z80">
        <f t="shared" si="25"/>
        <v>304435816</v>
      </c>
      <c r="AB80">
        <f t="shared" si="26"/>
        <v>4.8499999999999996</v>
      </c>
      <c r="AC80">
        <f t="shared" si="27"/>
        <v>565</v>
      </c>
      <c r="AD80">
        <f t="shared" si="28"/>
        <v>2145</v>
      </c>
      <c r="AE80">
        <f t="shared" si="29"/>
        <v>484670</v>
      </c>
      <c r="AF80">
        <f t="shared" si="30"/>
        <v>4.9500000000000002E-2</v>
      </c>
      <c r="AG80">
        <f t="shared" si="31"/>
        <v>3590045</v>
      </c>
    </row>
    <row r="81" spans="1:33">
      <c r="A81" s="1">
        <v>44307</v>
      </c>
      <c r="B81">
        <v>610</v>
      </c>
      <c r="C81">
        <v>1</v>
      </c>
      <c r="D81">
        <v>0.97</v>
      </c>
      <c r="E81">
        <v>110</v>
      </c>
      <c r="F81">
        <v>397</v>
      </c>
      <c r="G81">
        <v>98744</v>
      </c>
      <c r="H81">
        <v>8.3000000000000001E-3</v>
      </c>
      <c r="I81">
        <v>726985</v>
      </c>
      <c r="K81">
        <f t="shared" si="19"/>
        <v>372100</v>
      </c>
      <c r="L81">
        <f t="shared" si="20"/>
        <v>1</v>
      </c>
      <c r="M81">
        <f t="shared" si="21"/>
        <v>0.94089999999999996</v>
      </c>
      <c r="N81">
        <v>12100</v>
      </c>
      <c r="O81">
        <v>157609</v>
      </c>
      <c r="P81">
        <v>9750377536</v>
      </c>
      <c r="Q81">
        <v>6.8889999999999999E-5</v>
      </c>
      <c r="R81">
        <v>528507190225</v>
      </c>
      <c r="U81">
        <f t="shared" si="17"/>
        <v>591.69999999999993</v>
      </c>
      <c r="V81">
        <f t="shared" si="18"/>
        <v>67100</v>
      </c>
      <c r="W81">
        <f t="shared" si="22"/>
        <v>242170</v>
      </c>
      <c r="X81">
        <f t="shared" si="23"/>
        <v>60233840</v>
      </c>
      <c r="Y81">
        <f t="shared" si="24"/>
        <v>5.0629999999999997</v>
      </c>
      <c r="Z81">
        <f t="shared" si="25"/>
        <v>443460850</v>
      </c>
      <c r="AB81">
        <f t="shared" si="26"/>
        <v>0.97</v>
      </c>
      <c r="AC81">
        <f t="shared" si="27"/>
        <v>110</v>
      </c>
      <c r="AD81">
        <f t="shared" si="28"/>
        <v>397</v>
      </c>
      <c r="AE81">
        <f t="shared" si="29"/>
        <v>98744</v>
      </c>
      <c r="AF81">
        <f t="shared" si="30"/>
        <v>8.3000000000000001E-3</v>
      </c>
      <c r="AG81">
        <f t="shared" si="31"/>
        <v>726985</v>
      </c>
    </row>
    <row r="82" spans="1:33">
      <c r="A82" s="1">
        <v>44308</v>
      </c>
      <c r="B82">
        <v>636</v>
      </c>
      <c r="C82">
        <v>4</v>
      </c>
      <c r="D82">
        <v>0.97</v>
      </c>
      <c r="E82">
        <v>104</v>
      </c>
      <c r="F82">
        <v>395</v>
      </c>
      <c r="G82">
        <v>98063</v>
      </c>
      <c r="H82">
        <v>7.6E-3</v>
      </c>
      <c r="I82">
        <v>750872</v>
      </c>
      <c r="K82">
        <f t="shared" si="19"/>
        <v>404496</v>
      </c>
      <c r="L82">
        <f t="shared" si="20"/>
        <v>16</v>
      </c>
      <c r="M82">
        <f t="shared" si="21"/>
        <v>0.94089999999999996</v>
      </c>
      <c r="N82">
        <v>10816</v>
      </c>
      <c r="O82">
        <v>156025</v>
      </c>
      <c r="P82">
        <v>9616351969</v>
      </c>
      <c r="Q82">
        <v>5.7760000000000003E-5</v>
      </c>
      <c r="R82">
        <v>563808760384</v>
      </c>
      <c r="U82">
        <f t="shared" si="17"/>
        <v>616.91999999999996</v>
      </c>
      <c r="V82">
        <f t="shared" si="18"/>
        <v>66144</v>
      </c>
      <c r="W82">
        <f t="shared" si="22"/>
        <v>251220</v>
      </c>
      <c r="X82">
        <f t="shared" si="23"/>
        <v>62368068</v>
      </c>
      <c r="Y82">
        <f t="shared" si="24"/>
        <v>4.8335999999999997</v>
      </c>
      <c r="Z82">
        <f t="shared" si="25"/>
        <v>477554592</v>
      </c>
      <c r="AB82">
        <f t="shared" si="26"/>
        <v>3.88</v>
      </c>
      <c r="AC82">
        <f t="shared" si="27"/>
        <v>416</v>
      </c>
      <c r="AD82">
        <f t="shared" si="28"/>
        <v>1580</v>
      </c>
      <c r="AE82">
        <f t="shared" si="29"/>
        <v>392252</v>
      </c>
      <c r="AF82">
        <f t="shared" si="30"/>
        <v>3.04E-2</v>
      </c>
      <c r="AG82">
        <f t="shared" si="31"/>
        <v>3003488</v>
      </c>
    </row>
    <row r="83" spans="1:33">
      <c r="A83" s="1">
        <v>44309</v>
      </c>
      <c r="B83">
        <v>506</v>
      </c>
      <c r="C83">
        <v>1</v>
      </c>
      <c r="D83">
        <v>0.96</v>
      </c>
      <c r="E83">
        <v>98</v>
      </c>
      <c r="F83">
        <v>384</v>
      </c>
      <c r="G83">
        <v>88546</v>
      </c>
      <c r="H83">
        <v>6.8999999999999999E-3</v>
      </c>
      <c r="I83">
        <v>790203</v>
      </c>
      <c r="K83">
        <f t="shared" si="19"/>
        <v>256036</v>
      </c>
      <c r="L83">
        <f t="shared" si="20"/>
        <v>1</v>
      </c>
      <c r="M83">
        <f t="shared" si="21"/>
        <v>0.92159999999999997</v>
      </c>
      <c r="N83">
        <v>9604</v>
      </c>
      <c r="O83">
        <v>147456</v>
      </c>
      <c r="P83">
        <v>7840394116</v>
      </c>
      <c r="Q83">
        <v>4.761E-5</v>
      </c>
      <c r="R83">
        <v>624420781209</v>
      </c>
      <c r="U83">
        <f t="shared" si="17"/>
        <v>485.76</v>
      </c>
      <c r="V83">
        <f t="shared" si="18"/>
        <v>49588</v>
      </c>
      <c r="W83">
        <f t="shared" si="22"/>
        <v>194304</v>
      </c>
      <c r="X83">
        <f t="shared" si="23"/>
        <v>44804276</v>
      </c>
      <c r="Y83">
        <f t="shared" si="24"/>
        <v>3.4914000000000001</v>
      </c>
      <c r="Z83">
        <f t="shared" si="25"/>
        <v>399842718</v>
      </c>
      <c r="AB83">
        <f t="shared" si="26"/>
        <v>0.96</v>
      </c>
      <c r="AC83">
        <f t="shared" si="27"/>
        <v>98</v>
      </c>
      <c r="AD83">
        <f t="shared" si="28"/>
        <v>384</v>
      </c>
      <c r="AE83">
        <f t="shared" si="29"/>
        <v>88546</v>
      </c>
      <c r="AF83">
        <f t="shared" si="30"/>
        <v>6.8999999999999999E-3</v>
      </c>
      <c r="AG83">
        <f t="shared" si="31"/>
        <v>790203</v>
      </c>
    </row>
    <row r="84" spans="1:33">
      <c r="A84" s="1">
        <v>44310</v>
      </c>
      <c r="B84">
        <v>567</v>
      </c>
      <c r="C84">
        <v>2</v>
      </c>
      <c r="D84">
        <v>0.96</v>
      </c>
      <c r="E84">
        <v>98</v>
      </c>
      <c r="F84">
        <v>342</v>
      </c>
      <c r="G84">
        <v>41386</v>
      </c>
      <c r="H84">
        <v>6.6E-3</v>
      </c>
      <c r="I84">
        <v>828138</v>
      </c>
      <c r="K84">
        <f t="shared" si="19"/>
        <v>321489</v>
      </c>
      <c r="L84">
        <f t="shared" si="20"/>
        <v>4</v>
      </c>
      <c r="M84">
        <f t="shared" si="21"/>
        <v>0.92159999999999997</v>
      </c>
      <c r="N84">
        <v>9604</v>
      </c>
      <c r="O84">
        <v>116964</v>
      </c>
      <c r="P84">
        <v>1712800996</v>
      </c>
      <c r="Q84">
        <v>4.3559999999999996E-5</v>
      </c>
      <c r="R84">
        <v>685812547044</v>
      </c>
      <c r="U84">
        <f t="shared" si="17"/>
        <v>544.31999999999994</v>
      </c>
      <c r="V84">
        <f t="shared" si="18"/>
        <v>55566</v>
      </c>
      <c r="W84">
        <f t="shared" si="22"/>
        <v>193914</v>
      </c>
      <c r="X84">
        <f t="shared" si="23"/>
        <v>23465862</v>
      </c>
      <c r="Y84">
        <f t="shared" si="24"/>
        <v>3.7422</v>
      </c>
      <c r="Z84">
        <f t="shared" si="25"/>
        <v>469554246</v>
      </c>
      <c r="AB84">
        <f t="shared" si="26"/>
        <v>1.92</v>
      </c>
      <c r="AC84">
        <f t="shared" si="27"/>
        <v>196</v>
      </c>
      <c r="AD84">
        <f t="shared" si="28"/>
        <v>684</v>
      </c>
      <c r="AE84">
        <f t="shared" si="29"/>
        <v>82772</v>
      </c>
      <c r="AF84">
        <f t="shared" si="30"/>
        <v>1.32E-2</v>
      </c>
      <c r="AG84">
        <f t="shared" si="31"/>
        <v>1656276</v>
      </c>
    </row>
    <row r="85" spans="1:33">
      <c r="A85" s="1">
        <v>44311</v>
      </c>
      <c r="B85">
        <v>478</v>
      </c>
      <c r="C85">
        <v>6</v>
      </c>
      <c r="D85">
        <v>0.94</v>
      </c>
      <c r="E85">
        <v>98</v>
      </c>
      <c r="F85">
        <v>348</v>
      </c>
      <c r="G85">
        <v>14485</v>
      </c>
      <c r="H85">
        <v>6.7000000000000002E-3</v>
      </c>
      <c r="I85">
        <v>840420</v>
      </c>
      <c r="K85">
        <f t="shared" si="19"/>
        <v>228484</v>
      </c>
      <c r="L85">
        <f t="shared" si="20"/>
        <v>36</v>
      </c>
      <c r="M85">
        <f t="shared" si="21"/>
        <v>0.88359999999999994</v>
      </c>
      <c r="N85">
        <v>9604</v>
      </c>
      <c r="O85">
        <v>121104</v>
      </c>
      <c r="P85">
        <v>209815225</v>
      </c>
      <c r="Q85">
        <v>4.4890000000000006E-5</v>
      </c>
      <c r="R85">
        <v>706305776400</v>
      </c>
      <c r="U85">
        <f t="shared" si="17"/>
        <v>449.32</v>
      </c>
      <c r="V85">
        <f t="shared" si="18"/>
        <v>46844</v>
      </c>
      <c r="W85">
        <f t="shared" si="22"/>
        <v>166344</v>
      </c>
      <c r="X85">
        <f t="shared" si="23"/>
        <v>6923830</v>
      </c>
      <c r="Y85">
        <f t="shared" si="24"/>
        <v>3.2025999999999999</v>
      </c>
      <c r="Z85">
        <f t="shared" si="25"/>
        <v>401720760</v>
      </c>
      <c r="AB85">
        <f t="shared" si="26"/>
        <v>5.64</v>
      </c>
      <c r="AC85">
        <f t="shared" si="27"/>
        <v>588</v>
      </c>
      <c r="AD85">
        <f t="shared" si="28"/>
        <v>2088</v>
      </c>
      <c r="AE85">
        <f t="shared" si="29"/>
        <v>86910</v>
      </c>
      <c r="AF85">
        <f t="shared" si="30"/>
        <v>4.02E-2</v>
      </c>
      <c r="AG85">
        <f t="shared" si="31"/>
        <v>5042520</v>
      </c>
    </row>
    <row r="86" spans="1:33">
      <c r="A86" s="1">
        <v>44312</v>
      </c>
      <c r="B86">
        <v>196</v>
      </c>
      <c r="C86">
        <v>0</v>
      </c>
      <c r="D86">
        <v>0.92</v>
      </c>
      <c r="E86">
        <v>91</v>
      </c>
      <c r="F86">
        <v>365</v>
      </c>
      <c r="G86">
        <v>53464</v>
      </c>
      <c r="H86">
        <v>7.0000000000000001E-3</v>
      </c>
      <c r="I86">
        <v>847664</v>
      </c>
      <c r="K86">
        <f t="shared" si="19"/>
        <v>38416</v>
      </c>
      <c r="L86">
        <f t="shared" si="20"/>
        <v>0</v>
      </c>
      <c r="M86">
        <f t="shared" si="21"/>
        <v>0.84640000000000004</v>
      </c>
      <c r="N86">
        <v>8281</v>
      </c>
      <c r="O86">
        <v>133225</v>
      </c>
      <c r="P86">
        <v>2858399296</v>
      </c>
      <c r="Q86">
        <v>4.9000000000000005E-5</v>
      </c>
      <c r="R86">
        <v>718534256896</v>
      </c>
      <c r="U86">
        <f t="shared" si="17"/>
        <v>180.32000000000002</v>
      </c>
      <c r="V86">
        <f t="shared" si="18"/>
        <v>17836</v>
      </c>
      <c r="W86">
        <f t="shared" si="22"/>
        <v>71540</v>
      </c>
      <c r="X86">
        <f t="shared" si="23"/>
        <v>10478944</v>
      </c>
      <c r="Y86">
        <f t="shared" si="24"/>
        <v>1.3720000000000001</v>
      </c>
      <c r="Z86">
        <f t="shared" si="25"/>
        <v>166142144</v>
      </c>
      <c r="AB86">
        <f t="shared" si="26"/>
        <v>0</v>
      </c>
      <c r="AC86">
        <f t="shared" si="27"/>
        <v>0</v>
      </c>
      <c r="AD86">
        <f t="shared" si="28"/>
        <v>0</v>
      </c>
      <c r="AE86">
        <f t="shared" si="29"/>
        <v>0</v>
      </c>
      <c r="AF86">
        <f t="shared" si="30"/>
        <v>0</v>
      </c>
      <c r="AG86">
        <f t="shared" si="31"/>
        <v>0</v>
      </c>
    </row>
    <row r="87" spans="1:33">
      <c r="A87" s="1">
        <v>44313</v>
      </c>
      <c r="B87">
        <v>353</v>
      </c>
      <c r="C87">
        <v>5</v>
      </c>
      <c r="D87">
        <v>0.91</v>
      </c>
      <c r="E87">
        <v>86</v>
      </c>
      <c r="F87">
        <v>346</v>
      </c>
      <c r="G87">
        <v>57452</v>
      </c>
      <c r="H87">
        <v>7.4000000000000003E-3</v>
      </c>
      <c r="I87">
        <v>856281</v>
      </c>
      <c r="K87">
        <f t="shared" si="19"/>
        <v>124609</v>
      </c>
      <c r="L87">
        <f t="shared" si="20"/>
        <v>25</v>
      </c>
      <c r="M87">
        <f t="shared" si="21"/>
        <v>0.82810000000000006</v>
      </c>
      <c r="N87">
        <v>7396</v>
      </c>
      <c r="O87">
        <v>119716</v>
      </c>
      <c r="P87">
        <v>3300732304</v>
      </c>
      <c r="Q87">
        <v>5.4760000000000004E-5</v>
      </c>
      <c r="R87">
        <v>733217150961</v>
      </c>
      <c r="U87">
        <f t="shared" si="17"/>
        <v>321.23</v>
      </c>
      <c r="V87">
        <f t="shared" si="18"/>
        <v>30358</v>
      </c>
      <c r="W87">
        <f t="shared" si="22"/>
        <v>122138</v>
      </c>
      <c r="X87">
        <f t="shared" si="23"/>
        <v>20280556</v>
      </c>
      <c r="Y87">
        <f t="shared" si="24"/>
        <v>2.6122000000000001</v>
      </c>
      <c r="Z87">
        <f t="shared" si="25"/>
        <v>302267193</v>
      </c>
      <c r="AB87">
        <f t="shared" si="26"/>
        <v>4.55</v>
      </c>
      <c r="AC87">
        <f t="shared" si="27"/>
        <v>430</v>
      </c>
      <c r="AD87">
        <f t="shared" si="28"/>
        <v>1730</v>
      </c>
      <c r="AE87">
        <f t="shared" si="29"/>
        <v>287260</v>
      </c>
      <c r="AF87">
        <f t="shared" si="30"/>
        <v>3.7000000000000005E-2</v>
      </c>
      <c r="AG87">
        <f t="shared" si="31"/>
        <v>4281405</v>
      </c>
    </row>
    <row r="88" spans="1:33">
      <c r="A88" s="1">
        <v>44314</v>
      </c>
      <c r="B88">
        <v>572</v>
      </c>
      <c r="C88">
        <v>3</v>
      </c>
      <c r="D88">
        <v>0.9</v>
      </c>
      <c r="E88">
        <v>88</v>
      </c>
      <c r="F88">
        <v>332</v>
      </c>
      <c r="G88">
        <v>53345</v>
      </c>
      <c r="H88">
        <v>8.0999999999999996E-3</v>
      </c>
      <c r="I88">
        <v>866481</v>
      </c>
      <c r="K88">
        <f t="shared" si="19"/>
        <v>327184</v>
      </c>
      <c r="L88">
        <f t="shared" si="20"/>
        <v>9</v>
      </c>
      <c r="M88">
        <f t="shared" si="21"/>
        <v>0.81</v>
      </c>
      <c r="N88">
        <v>7744</v>
      </c>
      <c r="O88">
        <v>110224</v>
      </c>
      <c r="P88">
        <v>2845689025</v>
      </c>
      <c r="Q88">
        <v>6.560999999999999E-5</v>
      </c>
      <c r="R88">
        <v>750789323361</v>
      </c>
      <c r="U88">
        <f t="shared" si="17"/>
        <v>514.80000000000007</v>
      </c>
      <c r="V88">
        <f t="shared" si="18"/>
        <v>50336</v>
      </c>
      <c r="W88">
        <f t="shared" si="22"/>
        <v>189904</v>
      </c>
      <c r="X88">
        <f t="shared" si="23"/>
        <v>30513340</v>
      </c>
      <c r="Y88">
        <f t="shared" si="24"/>
        <v>4.6331999999999995</v>
      </c>
      <c r="Z88">
        <f t="shared" si="25"/>
        <v>495627132</v>
      </c>
      <c r="AB88">
        <f t="shared" si="26"/>
        <v>2.7</v>
      </c>
      <c r="AC88">
        <f t="shared" si="27"/>
        <v>264</v>
      </c>
      <c r="AD88">
        <f t="shared" si="28"/>
        <v>996</v>
      </c>
      <c r="AE88">
        <f t="shared" si="29"/>
        <v>160035</v>
      </c>
      <c r="AF88">
        <f t="shared" si="30"/>
        <v>2.4299999999999999E-2</v>
      </c>
      <c r="AG88">
        <f t="shared" si="31"/>
        <v>2599443</v>
      </c>
    </row>
    <row r="89" spans="1:33">
      <c r="A89" s="1">
        <v>44315</v>
      </c>
      <c r="B89">
        <v>470</v>
      </c>
      <c r="C89">
        <v>1</v>
      </c>
      <c r="D89">
        <v>0.89</v>
      </c>
      <c r="E89">
        <v>89</v>
      </c>
      <c r="F89">
        <v>324</v>
      </c>
      <c r="G89">
        <v>54101</v>
      </c>
      <c r="H89">
        <v>8.6999999999999994E-3</v>
      </c>
      <c r="I89">
        <v>885339</v>
      </c>
      <c r="K89">
        <f t="shared" si="19"/>
        <v>220900</v>
      </c>
      <c r="L89">
        <f t="shared" si="20"/>
        <v>1</v>
      </c>
      <c r="M89">
        <f t="shared" si="21"/>
        <v>0.79210000000000003</v>
      </c>
      <c r="N89">
        <v>7921</v>
      </c>
      <c r="O89">
        <v>104976</v>
      </c>
      <c r="P89">
        <v>2926918201</v>
      </c>
      <c r="Q89">
        <v>7.5689999999999989E-5</v>
      </c>
      <c r="R89">
        <v>783825144921</v>
      </c>
      <c r="U89">
        <f t="shared" si="17"/>
        <v>418.3</v>
      </c>
      <c r="V89">
        <f t="shared" si="18"/>
        <v>41830</v>
      </c>
      <c r="W89">
        <f t="shared" si="22"/>
        <v>152280</v>
      </c>
      <c r="X89">
        <f t="shared" si="23"/>
        <v>25427470</v>
      </c>
      <c r="Y89">
        <f t="shared" si="24"/>
        <v>4.0889999999999995</v>
      </c>
      <c r="Z89">
        <f t="shared" si="25"/>
        <v>416109330</v>
      </c>
      <c r="AB89">
        <f t="shared" si="26"/>
        <v>0.89</v>
      </c>
      <c r="AC89">
        <f t="shared" si="27"/>
        <v>89</v>
      </c>
      <c r="AD89">
        <f t="shared" si="28"/>
        <v>324</v>
      </c>
      <c r="AE89">
        <f t="shared" si="29"/>
        <v>54101</v>
      </c>
      <c r="AF89">
        <f t="shared" si="30"/>
        <v>8.6999999999999994E-3</v>
      </c>
      <c r="AG89">
        <f t="shared" si="31"/>
        <v>885339</v>
      </c>
    </row>
    <row r="90" spans="1:33">
      <c r="A90" s="1">
        <v>44316</v>
      </c>
      <c r="B90">
        <v>460</v>
      </c>
      <c r="C90">
        <v>0</v>
      </c>
      <c r="D90">
        <v>0.88</v>
      </c>
      <c r="E90">
        <v>89</v>
      </c>
      <c r="F90">
        <v>324</v>
      </c>
      <c r="G90">
        <v>64169</v>
      </c>
      <c r="H90">
        <v>9.1000000000000004E-3</v>
      </c>
      <c r="I90">
        <v>903570</v>
      </c>
      <c r="K90">
        <f t="shared" si="19"/>
        <v>211600</v>
      </c>
      <c r="L90">
        <f t="shared" si="20"/>
        <v>0</v>
      </c>
      <c r="M90">
        <f t="shared" si="21"/>
        <v>0.77439999999999998</v>
      </c>
      <c r="N90">
        <v>7921</v>
      </c>
      <c r="O90">
        <v>104976</v>
      </c>
      <c r="P90">
        <v>4117660561</v>
      </c>
      <c r="Q90">
        <v>8.2810000000000002E-5</v>
      </c>
      <c r="R90">
        <v>816438744900</v>
      </c>
      <c r="U90">
        <f t="shared" si="17"/>
        <v>404.8</v>
      </c>
      <c r="V90">
        <f t="shared" si="18"/>
        <v>40940</v>
      </c>
      <c r="W90">
        <f t="shared" si="22"/>
        <v>149040</v>
      </c>
      <c r="X90">
        <f t="shared" si="23"/>
        <v>29517740</v>
      </c>
      <c r="Y90">
        <f t="shared" si="24"/>
        <v>4.1859999999999999</v>
      </c>
      <c r="Z90">
        <f t="shared" si="25"/>
        <v>415642200</v>
      </c>
      <c r="AB90">
        <f t="shared" si="26"/>
        <v>0</v>
      </c>
      <c r="AC90">
        <f t="shared" si="27"/>
        <v>0</v>
      </c>
      <c r="AD90">
        <f t="shared" si="28"/>
        <v>0</v>
      </c>
      <c r="AE90">
        <f t="shared" si="29"/>
        <v>0</v>
      </c>
      <c r="AF90">
        <f t="shared" si="30"/>
        <v>0</v>
      </c>
      <c r="AG90">
        <f t="shared" si="31"/>
        <v>0</v>
      </c>
    </row>
    <row r="91" spans="1:33">
      <c r="A91" s="1">
        <v>44317</v>
      </c>
      <c r="B91">
        <v>454</v>
      </c>
      <c r="C91">
        <v>2</v>
      </c>
      <c r="D91">
        <v>0.87</v>
      </c>
      <c r="E91">
        <v>84</v>
      </c>
      <c r="F91">
        <v>302</v>
      </c>
      <c r="G91">
        <v>31454</v>
      </c>
      <c r="H91">
        <v>9.1000000000000004E-3</v>
      </c>
      <c r="I91">
        <v>920598</v>
      </c>
      <c r="K91">
        <f t="shared" si="19"/>
        <v>206116</v>
      </c>
      <c r="L91">
        <f t="shared" si="20"/>
        <v>4</v>
      </c>
      <c r="M91">
        <f t="shared" si="21"/>
        <v>0.75690000000000002</v>
      </c>
      <c r="N91">
        <v>7056</v>
      </c>
      <c r="O91">
        <v>91204</v>
      </c>
      <c r="P91">
        <v>989354116</v>
      </c>
      <c r="Q91">
        <v>8.2810000000000002E-5</v>
      </c>
      <c r="R91">
        <v>847500677604</v>
      </c>
      <c r="U91">
        <f t="shared" si="17"/>
        <v>394.98</v>
      </c>
      <c r="V91">
        <f t="shared" si="18"/>
        <v>38136</v>
      </c>
      <c r="W91">
        <f t="shared" si="22"/>
        <v>137108</v>
      </c>
      <c r="X91">
        <f t="shared" si="23"/>
        <v>14280116</v>
      </c>
      <c r="Y91">
        <f t="shared" si="24"/>
        <v>4.1314000000000002</v>
      </c>
      <c r="Z91">
        <f t="shared" si="25"/>
        <v>417951492</v>
      </c>
      <c r="AB91">
        <f t="shared" si="26"/>
        <v>1.74</v>
      </c>
      <c r="AC91">
        <f t="shared" si="27"/>
        <v>168</v>
      </c>
      <c r="AD91">
        <f t="shared" si="28"/>
        <v>604</v>
      </c>
      <c r="AE91">
        <f t="shared" si="29"/>
        <v>62908</v>
      </c>
      <c r="AF91">
        <f t="shared" si="30"/>
        <v>1.8200000000000001E-2</v>
      </c>
      <c r="AG91">
        <f t="shared" si="31"/>
        <v>1841196</v>
      </c>
    </row>
    <row r="92" spans="1:33">
      <c r="A92" s="1">
        <v>44318</v>
      </c>
      <c r="B92">
        <v>330</v>
      </c>
      <c r="C92">
        <v>1</v>
      </c>
      <c r="D92">
        <v>0.86</v>
      </c>
      <c r="E92">
        <v>85</v>
      </c>
      <c r="F92">
        <v>311</v>
      </c>
      <c r="G92">
        <v>17140</v>
      </c>
      <c r="H92">
        <v>8.6E-3</v>
      </c>
      <c r="I92">
        <v>930042</v>
      </c>
      <c r="K92">
        <f t="shared" si="19"/>
        <v>108900</v>
      </c>
      <c r="L92">
        <f t="shared" si="20"/>
        <v>1</v>
      </c>
      <c r="M92">
        <f t="shared" si="21"/>
        <v>0.73959999999999992</v>
      </c>
      <c r="N92">
        <v>7225</v>
      </c>
      <c r="O92">
        <v>96721</v>
      </c>
      <c r="P92">
        <v>293779600</v>
      </c>
      <c r="Q92">
        <v>7.3960000000000003E-5</v>
      </c>
      <c r="R92">
        <v>864978121764</v>
      </c>
      <c r="U92">
        <f t="shared" si="17"/>
        <v>283.8</v>
      </c>
      <c r="V92">
        <f t="shared" si="18"/>
        <v>28050</v>
      </c>
      <c r="W92">
        <f t="shared" si="22"/>
        <v>102630</v>
      </c>
      <c r="X92">
        <f t="shared" si="23"/>
        <v>5656200</v>
      </c>
      <c r="Y92">
        <f t="shared" si="24"/>
        <v>2.8380000000000001</v>
      </c>
      <c r="Z92">
        <f t="shared" si="25"/>
        <v>306913860</v>
      </c>
      <c r="AB92">
        <f t="shared" si="26"/>
        <v>0.86</v>
      </c>
      <c r="AC92">
        <f t="shared" si="27"/>
        <v>85</v>
      </c>
      <c r="AD92">
        <f t="shared" si="28"/>
        <v>311</v>
      </c>
      <c r="AE92">
        <f t="shared" si="29"/>
        <v>17140</v>
      </c>
      <c r="AF92">
        <f t="shared" si="30"/>
        <v>8.6E-3</v>
      </c>
      <c r="AG92">
        <f t="shared" si="31"/>
        <v>930042</v>
      </c>
    </row>
    <row r="93" spans="1:33">
      <c r="A93" s="1">
        <v>44319</v>
      </c>
      <c r="B93">
        <v>180</v>
      </c>
      <c r="C93">
        <v>0</v>
      </c>
      <c r="D93">
        <v>0.86</v>
      </c>
      <c r="E93">
        <v>90</v>
      </c>
      <c r="F93">
        <v>322</v>
      </c>
      <c r="G93">
        <v>52011</v>
      </c>
      <c r="H93">
        <v>8.6E-3</v>
      </c>
      <c r="I93">
        <v>939105</v>
      </c>
      <c r="K93">
        <f t="shared" si="19"/>
        <v>32400</v>
      </c>
      <c r="L93">
        <f t="shared" si="20"/>
        <v>0</v>
      </c>
      <c r="M93">
        <f t="shared" si="21"/>
        <v>0.73959999999999992</v>
      </c>
      <c r="N93">
        <v>8100</v>
      </c>
      <c r="O93">
        <v>103684</v>
      </c>
      <c r="P93">
        <v>2705144121</v>
      </c>
      <c r="Q93">
        <v>7.3960000000000003E-5</v>
      </c>
      <c r="R93">
        <v>881918201025</v>
      </c>
      <c r="U93">
        <f t="shared" si="17"/>
        <v>154.80000000000001</v>
      </c>
      <c r="V93">
        <f t="shared" si="18"/>
        <v>16200</v>
      </c>
      <c r="W93">
        <f t="shared" si="22"/>
        <v>57960</v>
      </c>
      <c r="X93">
        <f t="shared" si="23"/>
        <v>9361980</v>
      </c>
      <c r="Y93">
        <f t="shared" si="24"/>
        <v>1.548</v>
      </c>
      <c r="Z93">
        <f t="shared" si="25"/>
        <v>169038900</v>
      </c>
      <c r="AB93">
        <f t="shared" si="26"/>
        <v>0</v>
      </c>
      <c r="AC93">
        <f t="shared" si="27"/>
        <v>0</v>
      </c>
      <c r="AD93">
        <f t="shared" si="28"/>
        <v>0</v>
      </c>
      <c r="AE93">
        <f t="shared" si="29"/>
        <v>0</v>
      </c>
      <c r="AF93">
        <f t="shared" si="30"/>
        <v>0</v>
      </c>
      <c r="AG93">
        <f t="shared" si="31"/>
        <v>0</v>
      </c>
    </row>
    <row r="94" spans="1:33">
      <c r="A94" s="1">
        <v>44320</v>
      </c>
      <c r="B94">
        <v>258</v>
      </c>
      <c r="C94">
        <v>4</v>
      </c>
      <c r="D94">
        <v>0.85</v>
      </c>
      <c r="E94">
        <v>87</v>
      </c>
      <c r="F94">
        <v>296</v>
      </c>
      <c r="G94">
        <v>52560</v>
      </c>
      <c r="H94">
        <v>8.3999999999999995E-3</v>
      </c>
      <c r="I94">
        <v>952721</v>
      </c>
      <c r="K94">
        <f t="shared" si="19"/>
        <v>66564</v>
      </c>
      <c r="L94">
        <f t="shared" si="20"/>
        <v>16</v>
      </c>
      <c r="M94">
        <f t="shared" si="21"/>
        <v>0.72249999999999992</v>
      </c>
      <c r="N94">
        <v>7569</v>
      </c>
      <c r="O94">
        <v>87616</v>
      </c>
      <c r="P94">
        <v>2762553600</v>
      </c>
      <c r="Q94">
        <v>7.0559999999999989E-5</v>
      </c>
      <c r="R94">
        <v>907677303841</v>
      </c>
      <c r="U94">
        <f t="shared" si="17"/>
        <v>219.29999999999998</v>
      </c>
      <c r="V94">
        <f t="shared" si="18"/>
        <v>22446</v>
      </c>
      <c r="W94">
        <f t="shared" si="22"/>
        <v>76368</v>
      </c>
      <c r="X94">
        <f t="shared" si="23"/>
        <v>13560480</v>
      </c>
      <c r="Y94">
        <f t="shared" si="24"/>
        <v>2.1671999999999998</v>
      </c>
      <c r="Z94">
        <f t="shared" si="25"/>
        <v>245802018</v>
      </c>
      <c r="AB94">
        <f t="shared" si="26"/>
        <v>3.4</v>
      </c>
      <c r="AC94">
        <f t="shared" si="27"/>
        <v>348</v>
      </c>
      <c r="AD94">
        <f t="shared" si="28"/>
        <v>1184</v>
      </c>
      <c r="AE94">
        <f t="shared" si="29"/>
        <v>210240</v>
      </c>
      <c r="AF94">
        <f t="shared" si="30"/>
        <v>3.3599999999999998E-2</v>
      </c>
      <c r="AG94">
        <f t="shared" si="31"/>
        <v>3810884</v>
      </c>
    </row>
    <row r="95" spans="1:33">
      <c r="A95" s="1">
        <v>44321</v>
      </c>
      <c r="B95">
        <v>387</v>
      </c>
      <c r="C95">
        <v>2</v>
      </c>
      <c r="D95">
        <v>0.85</v>
      </c>
      <c r="E95">
        <v>83</v>
      </c>
      <c r="F95">
        <v>297</v>
      </c>
      <c r="G95">
        <v>49255</v>
      </c>
      <c r="H95">
        <v>7.9000000000000008E-3</v>
      </c>
      <c r="I95">
        <v>969630</v>
      </c>
      <c r="K95">
        <f t="shared" si="19"/>
        <v>149769</v>
      </c>
      <c r="L95">
        <f t="shared" si="20"/>
        <v>4</v>
      </c>
      <c r="M95">
        <f t="shared" si="21"/>
        <v>0.72249999999999992</v>
      </c>
      <c r="N95">
        <v>6889</v>
      </c>
      <c r="O95">
        <v>88209</v>
      </c>
      <c r="P95">
        <v>2426055025</v>
      </c>
      <c r="Q95">
        <v>6.2410000000000007E-5</v>
      </c>
      <c r="R95">
        <v>940182336900</v>
      </c>
      <c r="U95">
        <f t="shared" si="17"/>
        <v>328.95</v>
      </c>
      <c r="V95">
        <f t="shared" si="18"/>
        <v>32121</v>
      </c>
      <c r="W95">
        <f t="shared" si="22"/>
        <v>114939</v>
      </c>
      <c r="X95">
        <f t="shared" si="23"/>
        <v>19061685</v>
      </c>
      <c r="Y95">
        <f t="shared" si="24"/>
        <v>3.0573000000000001</v>
      </c>
      <c r="Z95">
        <f t="shared" si="25"/>
        <v>375246810</v>
      </c>
      <c r="AB95">
        <f t="shared" si="26"/>
        <v>1.7</v>
      </c>
      <c r="AC95">
        <f t="shared" si="27"/>
        <v>166</v>
      </c>
      <c r="AD95">
        <f t="shared" si="28"/>
        <v>594</v>
      </c>
      <c r="AE95">
        <f t="shared" si="29"/>
        <v>98510</v>
      </c>
      <c r="AF95">
        <f t="shared" si="30"/>
        <v>1.5800000000000002E-2</v>
      </c>
      <c r="AG95">
        <f t="shared" si="31"/>
        <v>1939260</v>
      </c>
    </row>
    <row r="96" spans="1:33">
      <c r="A96" s="1">
        <v>44322</v>
      </c>
      <c r="B96">
        <v>373</v>
      </c>
      <c r="C96">
        <v>5</v>
      </c>
      <c r="D96">
        <v>0.87</v>
      </c>
      <c r="E96">
        <v>77</v>
      </c>
      <c r="F96">
        <v>283</v>
      </c>
      <c r="G96">
        <v>48583</v>
      </c>
      <c r="H96">
        <v>7.7000000000000002E-3</v>
      </c>
      <c r="I96">
        <v>1012002</v>
      </c>
      <c r="K96">
        <f t="shared" si="19"/>
        <v>139129</v>
      </c>
      <c r="L96">
        <f t="shared" si="20"/>
        <v>25</v>
      </c>
      <c r="M96">
        <f t="shared" si="21"/>
        <v>0.75690000000000002</v>
      </c>
      <c r="N96">
        <v>5929</v>
      </c>
      <c r="O96">
        <v>80089</v>
      </c>
      <c r="P96">
        <v>2360307889</v>
      </c>
      <c r="Q96">
        <v>5.9290000000000003E-5</v>
      </c>
      <c r="R96">
        <v>1024148048004</v>
      </c>
      <c r="U96">
        <f t="shared" si="17"/>
        <v>324.51</v>
      </c>
      <c r="V96">
        <f t="shared" si="18"/>
        <v>28721</v>
      </c>
      <c r="W96">
        <f t="shared" si="22"/>
        <v>105559</v>
      </c>
      <c r="X96">
        <f t="shared" si="23"/>
        <v>18121459</v>
      </c>
      <c r="Y96">
        <f t="shared" si="24"/>
        <v>2.8721000000000001</v>
      </c>
      <c r="Z96">
        <f t="shared" si="25"/>
        <v>377476746</v>
      </c>
      <c r="AB96">
        <f t="shared" si="26"/>
        <v>4.3499999999999996</v>
      </c>
      <c r="AC96">
        <f t="shared" si="27"/>
        <v>385</v>
      </c>
      <c r="AD96">
        <f t="shared" si="28"/>
        <v>1415</v>
      </c>
      <c r="AE96">
        <f t="shared" si="29"/>
        <v>242915</v>
      </c>
      <c r="AF96">
        <f t="shared" si="30"/>
        <v>3.85E-2</v>
      </c>
      <c r="AG96">
        <f t="shared" si="31"/>
        <v>5060010</v>
      </c>
    </row>
    <row r="97" spans="1:33">
      <c r="A97" s="1">
        <v>44323</v>
      </c>
      <c r="B97">
        <v>377</v>
      </c>
      <c r="C97">
        <v>1</v>
      </c>
      <c r="D97">
        <v>0.89</v>
      </c>
      <c r="E97">
        <v>75</v>
      </c>
      <c r="F97">
        <v>280</v>
      </c>
      <c r="G97">
        <v>47849</v>
      </c>
      <c r="H97">
        <v>7.9000000000000008E-3</v>
      </c>
      <c r="I97">
        <v>1063299</v>
      </c>
      <c r="K97">
        <f t="shared" si="19"/>
        <v>142129</v>
      </c>
      <c r="L97">
        <f t="shared" si="20"/>
        <v>1</v>
      </c>
      <c r="M97">
        <f t="shared" si="21"/>
        <v>0.79210000000000003</v>
      </c>
      <c r="N97">
        <v>5625</v>
      </c>
      <c r="O97">
        <v>78400</v>
      </c>
      <c r="P97">
        <v>2289526801</v>
      </c>
      <c r="Q97">
        <v>6.2410000000000007E-5</v>
      </c>
      <c r="R97">
        <v>1130604763401</v>
      </c>
      <c r="U97">
        <f t="shared" si="17"/>
        <v>335.53000000000003</v>
      </c>
      <c r="V97">
        <f t="shared" si="18"/>
        <v>28275</v>
      </c>
      <c r="W97">
        <f t="shared" si="22"/>
        <v>105560</v>
      </c>
      <c r="X97">
        <f t="shared" si="23"/>
        <v>18039073</v>
      </c>
      <c r="Y97">
        <f t="shared" si="24"/>
        <v>2.9783000000000004</v>
      </c>
      <c r="Z97">
        <f t="shared" si="25"/>
        <v>400863723</v>
      </c>
      <c r="AB97">
        <f t="shared" si="26"/>
        <v>0.89</v>
      </c>
      <c r="AC97">
        <f t="shared" si="27"/>
        <v>75</v>
      </c>
      <c r="AD97">
        <f t="shared" si="28"/>
        <v>280</v>
      </c>
      <c r="AE97">
        <f t="shared" si="29"/>
        <v>47849</v>
      </c>
      <c r="AF97">
        <f t="shared" si="30"/>
        <v>7.9000000000000008E-3</v>
      </c>
      <c r="AG97">
        <f t="shared" si="31"/>
        <v>1063299</v>
      </c>
    </row>
    <row r="98" spans="1:33">
      <c r="A98" s="1">
        <v>44324</v>
      </c>
      <c r="B98">
        <v>406</v>
      </c>
      <c r="C98">
        <v>2</v>
      </c>
      <c r="D98">
        <v>0.91</v>
      </c>
      <c r="E98">
        <v>74</v>
      </c>
      <c r="F98">
        <v>260</v>
      </c>
      <c r="G98">
        <v>31498</v>
      </c>
      <c r="H98">
        <v>7.7000000000000002E-3</v>
      </c>
      <c r="I98">
        <v>1120117</v>
      </c>
      <c r="K98">
        <f t="shared" si="19"/>
        <v>164836</v>
      </c>
      <c r="L98">
        <f t="shared" si="20"/>
        <v>4</v>
      </c>
      <c r="M98">
        <f t="shared" si="21"/>
        <v>0.82810000000000006</v>
      </c>
      <c r="N98">
        <v>5476</v>
      </c>
      <c r="O98">
        <v>67600</v>
      </c>
      <c r="P98">
        <v>992124004</v>
      </c>
      <c r="Q98">
        <v>5.9290000000000003E-5</v>
      </c>
      <c r="R98">
        <v>1254662093689</v>
      </c>
      <c r="U98">
        <f t="shared" ref="U98:U121" si="32">B98*D98</f>
        <v>369.46000000000004</v>
      </c>
      <c r="V98">
        <f t="shared" ref="V98:V121" si="33">B98*E98</f>
        <v>30044</v>
      </c>
      <c r="W98">
        <f t="shared" si="22"/>
        <v>105560</v>
      </c>
      <c r="X98">
        <f t="shared" si="23"/>
        <v>12788188</v>
      </c>
      <c r="Y98">
        <f t="shared" si="24"/>
        <v>3.1262000000000003</v>
      </c>
      <c r="Z98">
        <f t="shared" si="25"/>
        <v>454767502</v>
      </c>
      <c r="AB98">
        <f t="shared" si="26"/>
        <v>1.82</v>
      </c>
      <c r="AC98">
        <f t="shared" si="27"/>
        <v>148</v>
      </c>
      <c r="AD98">
        <f t="shared" si="28"/>
        <v>520</v>
      </c>
      <c r="AE98">
        <f t="shared" si="29"/>
        <v>62996</v>
      </c>
      <c r="AF98">
        <f t="shared" si="30"/>
        <v>1.54E-2</v>
      </c>
      <c r="AG98">
        <f t="shared" si="31"/>
        <v>2240234</v>
      </c>
    </row>
    <row r="99" spans="1:33">
      <c r="A99" s="1">
        <v>44325</v>
      </c>
      <c r="B99">
        <v>324</v>
      </c>
      <c r="C99">
        <v>1</v>
      </c>
      <c r="D99">
        <v>0.93</v>
      </c>
      <c r="E99">
        <v>74</v>
      </c>
      <c r="F99">
        <v>268</v>
      </c>
      <c r="G99">
        <v>15940</v>
      </c>
      <c r="H99">
        <v>7.7000000000000002E-3</v>
      </c>
      <c r="I99">
        <v>1134005</v>
      </c>
      <c r="K99">
        <f t="shared" si="19"/>
        <v>104976</v>
      </c>
      <c r="L99">
        <f t="shared" si="20"/>
        <v>1</v>
      </c>
      <c r="M99">
        <f t="shared" si="21"/>
        <v>0.86490000000000011</v>
      </c>
      <c r="N99">
        <v>5476</v>
      </c>
      <c r="O99">
        <v>71824</v>
      </c>
      <c r="P99">
        <v>254083600</v>
      </c>
      <c r="Q99">
        <v>5.9290000000000003E-5</v>
      </c>
      <c r="R99">
        <v>1285967340025</v>
      </c>
      <c r="U99">
        <f t="shared" si="32"/>
        <v>301.32</v>
      </c>
      <c r="V99">
        <f t="shared" si="33"/>
        <v>23976</v>
      </c>
      <c r="W99">
        <f t="shared" si="22"/>
        <v>86832</v>
      </c>
      <c r="X99">
        <f t="shared" si="23"/>
        <v>5164560</v>
      </c>
      <c r="Y99">
        <f t="shared" si="24"/>
        <v>2.4948000000000001</v>
      </c>
      <c r="Z99">
        <f t="shared" si="25"/>
        <v>367417620</v>
      </c>
      <c r="AB99">
        <f t="shared" si="26"/>
        <v>0.93</v>
      </c>
      <c r="AC99">
        <f t="shared" si="27"/>
        <v>74</v>
      </c>
      <c r="AD99">
        <f t="shared" si="28"/>
        <v>268</v>
      </c>
      <c r="AE99">
        <f t="shared" si="29"/>
        <v>15940</v>
      </c>
      <c r="AF99">
        <f t="shared" si="30"/>
        <v>7.7000000000000002E-3</v>
      </c>
      <c r="AG99">
        <f t="shared" si="31"/>
        <v>1134005</v>
      </c>
    </row>
    <row r="100" spans="1:33">
      <c r="A100" s="1">
        <v>44326</v>
      </c>
      <c r="B100">
        <v>158</v>
      </c>
      <c r="C100">
        <v>1</v>
      </c>
      <c r="D100">
        <v>0.95</v>
      </c>
      <c r="E100">
        <v>73</v>
      </c>
      <c r="F100">
        <v>277</v>
      </c>
      <c r="G100">
        <v>39435</v>
      </c>
      <c r="H100">
        <v>8.0000000000000002E-3</v>
      </c>
      <c r="I100">
        <v>1160784</v>
      </c>
      <c r="K100">
        <f t="shared" si="19"/>
        <v>24964</v>
      </c>
      <c r="L100">
        <f t="shared" si="20"/>
        <v>1</v>
      </c>
      <c r="M100">
        <f t="shared" si="21"/>
        <v>0.90249999999999997</v>
      </c>
      <c r="N100">
        <v>5329</v>
      </c>
      <c r="O100">
        <v>76729</v>
      </c>
      <c r="P100">
        <v>1555119225</v>
      </c>
      <c r="Q100">
        <v>6.3999999999999997E-5</v>
      </c>
      <c r="R100">
        <v>1347419494656</v>
      </c>
      <c r="U100">
        <f t="shared" si="32"/>
        <v>150.1</v>
      </c>
      <c r="V100">
        <f t="shared" si="33"/>
        <v>11534</v>
      </c>
      <c r="W100">
        <f t="shared" si="22"/>
        <v>43766</v>
      </c>
      <c r="X100">
        <f t="shared" si="23"/>
        <v>6230730</v>
      </c>
      <c r="Y100">
        <f t="shared" si="24"/>
        <v>1.264</v>
      </c>
      <c r="Z100">
        <f t="shared" si="25"/>
        <v>183403872</v>
      </c>
      <c r="AB100">
        <f t="shared" si="26"/>
        <v>0.95</v>
      </c>
      <c r="AC100">
        <f t="shared" si="27"/>
        <v>73</v>
      </c>
      <c r="AD100">
        <f t="shared" si="28"/>
        <v>277</v>
      </c>
      <c r="AE100">
        <f t="shared" si="29"/>
        <v>39435</v>
      </c>
      <c r="AF100">
        <f t="shared" si="30"/>
        <v>8.0000000000000002E-3</v>
      </c>
      <c r="AG100">
        <f t="shared" si="31"/>
        <v>1160784</v>
      </c>
    </row>
    <row r="101" spans="1:33">
      <c r="A101" s="1">
        <v>44327</v>
      </c>
      <c r="B101">
        <v>268</v>
      </c>
      <c r="C101">
        <v>1</v>
      </c>
      <c r="D101">
        <v>0.97</v>
      </c>
      <c r="E101">
        <v>71</v>
      </c>
      <c r="F101">
        <v>257</v>
      </c>
      <c r="G101">
        <v>41873</v>
      </c>
      <c r="H101">
        <v>8.3999999999999995E-3</v>
      </c>
      <c r="I101">
        <v>1180469</v>
      </c>
      <c r="K101">
        <f t="shared" si="19"/>
        <v>71824</v>
      </c>
      <c r="L101">
        <f t="shared" si="20"/>
        <v>1</v>
      </c>
      <c r="M101">
        <f t="shared" si="21"/>
        <v>0.94089999999999996</v>
      </c>
      <c r="N101">
        <v>5041</v>
      </c>
      <c r="O101">
        <v>66049</v>
      </c>
      <c r="P101">
        <v>1753348129</v>
      </c>
      <c r="Q101">
        <v>7.0559999999999989E-5</v>
      </c>
      <c r="R101">
        <v>1393507059961</v>
      </c>
      <c r="U101">
        <f t="shared" si="32"/>
        <v>259.95999999999998</v>
      </c>
      <c r="V101">
        <f t="shared" si="33"/>
        <v>19028</v>
      </c>
      <c r="W101">
        <f t="shared" si="22"/>
        <v>68876</v>
      </c>
      <c r="X101">
        <f t="shared" si="23"/>
        <v>11221964</v>
      </c>
      <c r="Y101">
        <f t="shared" si="24"/>
        <v>2.2511999999999999</v>
      </c>
      <c r="Z101">
        <f t="shared" si="25"/>
        <v>316365692</v>
      </c>
      <c r="AB101">
        <f t="shared" si="26"/>
        <v>0.97</v>
      </c>
      <c r="AC101">
        <f t="shared" si="27"/>
        <v>71</v>
      </c>
      <c r="AD101">
        <f t="shared" si="28"/>
        <v>257</v>
      </c>
      <c r="AE101">
        <f t="shared" si="29"/>
        <v>41873</v>
      </c>
      <c r="AF101">
        <f t="shared" si="30"/>
        <v>8.3999999999999995E-3</v>
      </c>
      <c r="AG101">
        <f t="shared" si="31"/>
        <v>1180469</v>
      </c>
    </row>
    <row r="102" spans="1:33">
      <c r="A102" s="1">
        <v>44328</v>
      </c>
      <c r="B102">
        <v>485</v>
      </c>
      <c r="C102">
        <v>4</v>
      </c>
      <c r="D102">
        <v>1</v>
      </c>
      <c r="E102">
        <v>71</v>
      </c>
      <c r="F102">
        <v>248</v>
      </c>
      <c r="G102">
        <v>43813</v>
      </c>
      <c r="H102">
        <v>8.8999999999999999E-3</v>
      </c>
      <c r="I102">
        <v>1196536</v>
      </c>
      <c r="K102">
        <f t="shared" si="19"/>
        <v>235225</v>
      </c>
      <c r="L102">
        <f t="shared" si="20"/>
        <v>16</v>
      </c>
      <c r="M102">
        <f t="shared" si="21"/>
        <v>1</v>
      </c>
      <c r="N102">
        <v>5041</v>
      </c>
      <c r="O102">
        <v>61504</v>
      </c>
      <c r="P102">
        <v>1919578969</v>
      </c>
      <c r="Q102">
        <v>7.9209999999999995E-5</v>
      </c>
      <c r="R102">
        <v>1431698399296</v>
      </c>
      <c r="U102">
        <f t="shared" si="32"/>
        <v>485</v>
      </c>
      <c r="V102">
        <f t="shared" si="33"/>
        <v>34435</v>
      </c>
      <c r="W102">
        <f t="shared" si="22"/>
        <v>120280</v>
      </c>
      <c r="X102">
        <f t="shared" si="23"/>
        <v>21249305</v>
      </c>
      <c r="Y102">
        <f t="shared" si="24"/>
        <v>4.3164999999999996</v>
      </c>
      <c r="Z102">
        <f t="shared" si="25"/>
        <v>580319960</v>
      </c>
      <c r="AB102">
        <f t="shared" si="26"/>
        <v>4</v>
      </c>
      <c r="AC102">
        <f t="shared" si="27"/>
        <v>284</v>
      </c>
      <c r="AD102">
        <f t="shared" si="28"/>
        <v>992</v>
      </c>
      <c r="AE102">
        <f t="shared" si="29"/>
        <v>175252</v>
      </c>
      <c r="AF102">
        <f t="shared" si="30"/>
        <v>3.56E-2</v>
      </c>
      <c r="AG102">
        <f t="shared" si="31"/>
        <v>4786144</v>
      </c>
    </row>
    <row r="103" spans="1:33">
      <c r="A103" s="1">
        <v>44329</v>
      </c>
      <c r="B103">
        <v>436</v>
      </c>
      <c r="C103">
        <v>1</v>
      </c>
      <c r="D103">
        <v>1.02</v>
      </c>
      <c r="E103">
        <v>70</v>
      </c>
      <c r="F103">
        <v>244</v>
      </c>
      <c r="G103">
        <v>40249</v>
      </c>
      <c r="H103">
        <v>9.4000000000000004E-3</v>
      </c>
      <c r="I103">
        <v>1211653</v>
      </c>
      <c r="K103">
        <f t="shared" si="19"/>
        <v>190096</v>
      </c>
      <c r="L103">
        <f t="shared" si="20"/>
        <v>1</v>
      </c>
      <c r="M103">
        <f t="shared" si="21"/>
        <v>1.0404</v>
      </c>
      <c r="N103">
        <v>4900</v>
      </c>
      <c r="O103">
        <v>59536</v>
      </c>
      <c r="P103">
        <v>1619982001</v>
      </c>
      <c r="Q103">
        <v>8.8360000000000001E-5</v>
      </c>
      <c r="R103">
        <v>1468102992409</v>
      </c>
      <c r="U103">
        <f t="shared" si="32"/>
        <v>444.72</v>
      </c>
      <c r="V103">
        <f t="shared" si="33"/>
        <v>30520</v>
      </c>
      <c r="W103">
        <f t="shared" si="22"/>
        <v>106384</v>
      </c>
      <c r="X103">
        <f t="shared" si="23"/>
        <v>17548564</v>
      </c>
      <c r="Y103">
        <f t="shared" si="24"/>
        <v>4.0983999999999998</v>
      </c>
      <c r="Z103">
        <f t="shared" si="25"/>
        <v>528280708</v>
      </c>
      <c r="AB103">
        <f t="shared" si="26"/>
        <v>1.02</v>
      </c>
      <c r="AC103">
        <f t="shared" si="27"/>
        <v>70</v>
      </c>
      <c r="AD103">
        <f t="shared" si="28"/>
        <v>244</v>
      </c>
      <c r="AE103">
        <f t="shared" si="29"/>
        <v>40249</v>
      </c>
      <c r="AF103">
        <f t="shared" si="30"/>
        <v>9.4000000000000004E-3</v>
      </c>
      <c r="AG103">
        <f t="shared" si="31"/>
        <v>1211653</v>
      </c>
    </row>
    <row r="104" spans="1:33">
      <c r="A104" s="1">
        <v>44330</v>
      </c>
      <c r="B104">
        <v>450</v>
      </c>
      <c r="C104">
        <v>0</v>
      </c>
      <c r="D104">
        <v>1.04</v>
      </c>
      <c r="E104">
        <v>72</v>
      </c>
      <c r="F104">
        <v>236</v>
      </c>
      <c r="G104">
        <v>46370</v>
      </c>
      <c r="H104">
        <v>9.7999999999999997E-3</v>
      </c>
      <c r="I104">
        <v>1231250</v>
      </c>
      <c r="K104">
        <f t="shared" si="19"/>
        <v>202500</v>
      </c>
      <c r="L104">
        <f t="shared" si="20"/>
        <v>0</v>
      </c>
      <c r="M104">
        <f t="shared" si="21"/>
        <v>1.0816000000000001</v>
      </c>
      <c r="N104">
        <v>5184</v>
      </c>
      <c r="O104">
        <v>55696</v>
      </c>
      <c r="P104">
        <v>2150176900</v>
      </c>
      <c r="Q104">
        <v>9.6039999999999995E-5</v>
      </c>
      <c r="R104">
        <v>1515976562500</v>
      </c>
      <c r="U104">
        <f t="shared" si="32"/>
        <v>468</v>
      </c>
      <c r="V104">
        <f t="shared" si="33"/>
        <v>32400</v>
      </c>
      <c r="W104">
        <f t="shared" si="22"/>
        <v>106200</v>
      </c>
      <c r="X104">
        <f t="shared" si="23"/>
        <v>20866500</v>
      </c>
      <c r="Y104">
        <f t="shared" si="24"/>
        <v>4.41</v>
      </c>
      <c r="Z104">
        <f t="shared" si="25"/>
        <v>554062500</v>
      </c>
      <c r="AB104">
        <f t="shared" si="26"/>
        <v>0</v>
      </c>
      <c r="AC104">
        <f t="shared" si="27"/>
        <v>0</v>
      </c>
      <c r="AD104">
        <f t="shared" si="28"/>
        <v>0</v>
      </c>
      <c r="AE104">
        <f t="shared" si="29"/>
        <v>0</v>
      </c>
      <c r="AF104">
        <f t="shared" si="30"/>
        <v>0</v>
      </c>
      <c r="AG104">
        <f t="shared" si="31"/>
        <v>0</v>
      </c>
    </row>
    <row r="105" spans="1:33">
      <c r="A105" s="1">
        <v>44331</v>
      </c>
      <c r="B105">
        <v>469</v>
      </c>
      <c r="C105">
        <v>7</v>
      </c>
      <c r="D105">
        <v>1.05</v>
      </c>
      <c r="E105">
        <v>71</v>
      </c>
      <c r="F105">
        <v>223</v>
      </c>
      <c r="G105">
        <v>30962</v>
      </c>
      <c r="H105">
        <v>0.01</v>
      </c>
      <c r="I105">
        <v>1287442</v>
      </c>
      <c r="K105">
        <f t="shared" si="19"/>
        <v>219961</v>
      </c>
      <c r="L105">
        <f t="shared" si="20"/>
        <v>49</v>
      </c>
      <c r="M105">
        <f t="shared" si="21"/>
        <v>1.1025</v>
      </c>
      <c r="N105">
        <v>5041</v>
      </c>
      <c r="O105">
        <v>49729</v>
      </c>
      <c r="P105">
        <v>958645444</v>
      </c>
      <c r="Q105">
        <v>1E-4</v>
      </c>
      <c r="R105">
        <v>1657506903364</v>
      </c>
      <c r="U105">
        <f t="shared" si="32"/>
        <v>492.45000000000005</v>
      </c>
      <c r="V105">
        <f t="shared" si="33"/>
        <v>33299</v>
      </c>
      <c r="W105">
        <f t="shared" si="22"/>
        <v>104587</v>
      </c>
      <c r="X105">
        <f t="shared" si="23"/>
        <v>14521178</v>
      </c>
      <c r="Y105">
        <f t="shared" si="24"/>
        <v>4.6900000000000004</v>
      </c>
      <c r="Z105">
        <f t="shared" si="25"/>
        <v>603810298</v>
      </c>
      <c r="AB105">
        <f t="shared" si="26"/>
        <v>7.3500000000000005</v>
      </c>
      <c r="AC105">
        <f t="shared" si="27"/>
        <v>497</v>
      </c>
      <c r="AD105">
        <f t="shared" si="28"/>
        <v>1561</v>
      </c>
      <c r="AE105">
        <f t="shared" si="29"/>
        <v>216734</v>
      </c>
      <c r="AF105">
        <f t="shared" si="30"/>
        <v>7.0000000000000007E-2</v>
      </c>
      <c r="AG105">
        <f t="shared" si="31"/>
        <v>9012094</v>
      </c>
    </row>
    <row r="106" spans="1:33">
      <c r="A106" s="1">
        <v>44332</v>
      </c>
      <c r="B106">
        <v>334</v>
      </c>
      <c r="C106">
        <v>1</v>
      </c>
      <c r="D106">
        <v>1.06</v>
      </c>
      <c r="E106">
        <v>76</v>
      </c>
      <c r="F106">
        <v>245</v>
      </c>
      <c r="G106">
        <v>15707</v>
      </c>
      <c r="H106">
        <v>1.01E-2</v>
      </c>
      <c r="I106">
        <v>1411270</v>
      </c>
      <c r="K106">
        <f t="shared" si="19"/>
        <v>111556</v>
      </c>
      <c r="L106">
        <f t="shared" si="20"/>
        <v>1</v>
      </c>
      <c r="M106">
        <f t="shared" si="21"/>
        <v>1.1236000000000002</v>
      </c>
      <c r="N106">
        <v>5776</v>
      </c>
      <c r="O106">
        <v>60025</v>
      </c>
      <c r="P106">
        <v>246709849</v>
      </c>
      <c r="Q106">
        <v>1.0200999999999999E-4</v>
      </c>
      <c r="R106">
        <v>1991683012900</v>
      </c>
      <c r="U106">
        <f t="shared" si="32"/>
        <v>354.04</v>
      </c>
      <c r="V106">
        <f t="shared" si="33"/>
        <v>25384</v>
      </c>
      <c r="W106">
        <f t="shared" si="22"/>
        <v>81830</v>
      </c>
      <c r="X106">
        <f t="shared" si="23"/>
        <v>5246138</v>
      </c>
      <c r="Y106">
        <f t="shared" si="24"/>
        <v>3.3733999999999997</v>
      </c>
      <c r="Z106">
        <f t="shared" si="25"/>
        <v>471364180</v>
      </c>
      <c r="AB106">
        <f t="shared" si="26"/>
        <v>1.06</v>
      </c>
      <c r="AC106">
        <f t="shared" si="27"/>
        <v>76</v>
      </c>
      <c r="AD106">
        <f t="shared" si="28"/>
        <v>245</v>
      </c>
      <c r="AE106">
        <f t="shared" si="29"/>
        <v>15707</v>
      </c>
      <c r="AF106">
        <f t="shared" si="30"/>
        <v>1.01E-2</v>
      </c>
      <c r="AG106">
        <f t="shared" si="31"/>
        <v>1411270</v>
      </c>
    </row>
    <row r="107" spans="1:33">
      <c r="A107" s="1">
        <v>44333</v>
      </c>
      <c r="B107">
        <v>199</v>
      </c>
      <c r="C107">
        <v>2</v>
      </c>
      <c r="D107">
        <v>1.07</v>
      </c>
      <c r="E107">
        <v>72</v>
      </c>
      <c r="F107">
        <v>246</v>
      </c>
      <c r="G107">
        <v>43293</v>
      </c>
      <c r="H107">
        <v>1.01E-2</v>
      </c>
      <c r="I107">
        <v>1469159</v>
      </c>
      <c r="K107">
        <f t="shared" si="19"/>
        <v>39601</v>
      </c>
      <c r="L107">
        <f t="shared" si="20"/>
        <v>4</v>
      </c>
      <c r="M107">
        <f t="shared" si="21"/>
        <v>1.1449</v>
      </c>
      <c r="N107">
        <v>5184</v>
      </c>
      <c r="O107">
        <v>60516</v>
      </c>
      <c r="P107">
        <v>1874283849</v>
      </c>
      <c r="Q107">
        <v>1.0200999999999999E-4</v>
      </c>
      <c r="R107">
        <v>2158428167281</v>
      </c>
      <c r="U107">
        <f t="shared" si="32"/>
        <v>212.93</v>
      </c>
      <c r="V107">
        <f t="shared" si="33"/>
        <v>14328</v>
      </c>
      <c r="W107">
        <f t="shared" si="22"/>
        <v>48954</v>
      </c>
      <c r="X107">
        <f t="shared" si="23"/>
        <v>8615307</v>
      </c>
      <c r="Y107">
        <f t="shared" si="24"/>
        <v>2.0099</v>
      </c>
      <c r="Z107">
        <f t="shared" si="25"/>
        <v>292362641</v>
      </c>
      <c r="AB107">
        <f t="shared" si="26"/>
        <v>2.14</v>
      </c>
      <c r="AC107">
        <f t="shared" si="27"/>
        <v>144</v>
      </c>
      <c r="AD107">
        <f t="shared" si="28"/>
        <v>492</v>
      </c>
      <c r="AE107">
        <f t="shared" si="29"/>
        <v>86586</v>
      </c>
      <c r="AF107">
        <f t="shared" si="30"/>
        <v>2.0199999999999999E-2</v>
      </c>
      <c r="AG107">
        <f t="shared" si="31"/>
        <v>2938318</v>
      </c>
    </row>
    <row r="108" spans="1:33">
      <c r="A108" s="1">
        <v>44334</v>
      </c>
      <c r="B108">
        <v>386</v>
      </c>
      <c r="C108">
        <v>2</v>
      </c>
      <c r="D108">
        <v>1.08</v>
      </c>
      <c r="E108">
        <v>66</v>
      </c>
      <c r="F108">
        <v>233</v>
      </c>
      <c r="G108">
        <v>41470</v>
      </c>
      <c r="H108">
        <v>1.0500000000000001E-2</v>
      </c>
      <c r="I108">
        <v>1489854</v>
      </c>
      <c r="K108">
        <f t="shared" si="19"/>
        <v>148996</v>
      </c>
      <c r="L108">
        <f t="shared" si="20"/>
        <v>4</v>
      </c>
      <c r="M108">
        <f t="shared" si="21"/>
        <v>1.1664000000000001</v>
      </c>
      <c r="N108">
        <v>4356</v>
      </c>
      <c r="O108">
        <v>54289</v>
      </c>
      <c r="P108">
        <v>1719760900</v>
      </c>
      <c r="Q108">
        <v>1.1025000000000001E-4</v>
      </c>
      <c r="R108">
        <v>2219664941316</v>
      </c>
      <c r="U108">
        <f t="shared" si="32"/>
        <v>416.88000000000005</v>
      </c>
      <c r="V108">
        <f t="shared" si="33"/>
        <v>25476</v>
      </c>
      <c r="W108">
        <f t="shared" si="22"/>
        <v>89938</v>
      </c>
      <c r="X108">
        <f t="shared" si="23"/>
        <v>16007420</v>
      </c>
      <c r="Y108">
        <f t="shared" si="24"/>
        <v>4.0529999999999999</v>
      </c>
      <c r="Z108">
        <f t="shared" si="25"/>
        <v>575083644</v>
      </c>
      <c r="AB108">
        <f t="shared" si="26"/>
        <v>2.16</v>
      </c>
      <c r="AC108">
        <f t="shared" si="27"/>
        <v>132</v>
      </c>
      <c r="AD108">
        <f t="shared" si="28"/>
        <v>466</v>
      </c>
      <c r="AE108">
        <f t="shared" si="29"/>
        <v>82940</v>
      </c>
      <c r="AF108">
        <f t="shared" si="30"/>
        <v>2.1000000000000001E-2</v>
      </c>
      <c r="AG108">
        <f t="shared" si="31"/>
        <v>2979708</v>
      </c>
    </row>
    <row r="109" spans="1:33">
      <c r="A109" s="1">
        <v>44335</v>
      </c>
      <c r="B109">
        <v>511</v>
      </c>
      <c r="C109">
        <v>2</v>
      </c>
      <c r="D109">
        <v>1.0900000000000001</v>
      </c>
      <c r="E109">
        <v>56</v>
      </c>
      <c r="F109">
        <v>211</v>
      </c>
      <c r="G109">
        <v>44399</v>
      </c>
      <c r="H109">
        <v>1.06E-2</v>
      </c>
      <c r="I109">
        <v>1513415</v>
      </c>
      <c r="K109">
        <f t="shared" si="19"/>
        <v>261121</v>
      </c>
      <c r="L109">
        <f t="shared" si="20"/>
        <v>4</v>
      </c>
      <c r="M109">
        <f t="shared" si="21"/>
        <v>1.1881000000000002</v>
      </c>
      <c r="N109">
        <v>3136</v>
      </c>
      <c r="O109">
        <v>44521</v>
      </c>
      <c r="P109">
        <v>1971271201</v>
      </c>
      <c r="Q109">
        <v>1.1236E-4</v>
      </c>
      <c r="R109">
        <v>2290424962225</v>
      </c>
      <c r="U109">
        <f t="shared" si="32"/>
        <v>556.99</v>
      </c>
      <c r="V109">
        <f t="shared" si="33"/>
        <v>28616</v>
      </c>
      <c r="W109">
        <f t="shared" si="22"/>
        <v>107821</v>
      </c>
      <c r="X109">
        <f t="shared" si="23"/>
        <v>22687889</v>
      </c>
      <c r="Y109">
        <f t="shared" si="24"/>
        <v>5.4165999999999999</v>
      </c>
      <c r="Z109">
        <f t="shared" si="25"/>
        <v>773355065</v>
      </c>
      <c r="AB109">
        <f t="shared" si="26"/>
        <v>2.1800000000000002</v>
      </c>
      <c r="AC109">
        <f t="shared" si="27"/>
        <v>112</v>
      </c>
      <c r="AD109">
        <f t="shared" si="28"/>
        <v>422</v>
      </c>
      <c r="AE109">
        <f t="shared" si="29"/>
        <v>88798</v>
      </c>
      <c r="AF109">
        <f t="shared" si="30"/>
        <v>2.12E-2</v>
      </c>
      <c r="AG109">
        <f t="shared" si="31"/>
        <v>3026830</v>
      </c>
    </row>
    <row r="110" spans="1:33">
      <c r="A110" s="1">
        <v>44336</v>
      </c>
      <c r="B110">
        <v>451</v>
      </c>
      <c r="C110">
        <v>1</v>
      </c>
      <c r="D110">
        <v>1.1000000000000001</v>
      </c>
      <c r="E110">
        <v>58</v>
      </c>
      <c r="F110">
        <v>208</v>
      </c>
      <c r="G110">
        <v>44577</v>
      </c>
      <c r="H110">
        <v>1.0500000000000001E-2</v>
      </c>
      <c r="I110">
        <v>1539964</v>
      </c>
      <c r="K110">
        <f t="shared" si="19"/>
        <v>203401</v>
      </c>
      <c r="L110">
        <f t="shared" si="20"/>
        <v>1</v>
      </c>
      <c r="M110">
        <f t="shared" si="21"/>
        <v>1.2100000000000002</v>
      </c>
      <c r="N110">
        <v>3364</v>
      </c>
      <c r="O110">
        <v>43264</v>
      </c>
      <c r="P110">
        <v>1987108929</v>
      </c>
      <c r="Q110">
        <v>1.1025000000000001E-4</v>
      </c>
      <c r="R110">
        <v>2371489121296</v>
      </c>
      <c r="U110">
        <f t="shared" si="32"/>
        <v>496.1</v>
      </c>
      <c r="V110">
        <f t="shared" si="33"/>
        <v>26158</v>
      </c>
      <c r="W110">
        <f t="shared" si="22"/>
        <v>93808</v>
      </c>
      <c r="X110">
        <f t="shared" si="23"/>
        <v>20104227</v>
      </c>
      <c r="Y110">
        <f t="shared" si="24"/>
        <v>4.7355</v>
      </c>
      <c r="Z110">
        <f t="shared" si="25"/>
        <v>694523764</v>
      </c>
      <c r="AB110">
        <f t="shared" si="26"/>
        <v>1.1000000000000001</v>
      </c>
      <c r="AC110">
        <f t="shared" si="27"/>
        <v>58</v>
      </c>
      <c r="AD110">
        <f t="shared" si="28"/>
        <v>208</v>
      </c>
      <c r="AE110">
        <f t="shared" si="29"/>
        <v>44577</v>
      </c>
      <c r="AF110">
        <f t="shared" si="30"/>
        <v>1.0500000000000001E-2</v>
      </c>
      <c r="AG110">
        <f t="shared" si="31"/>
        <v>1539964</v>
      </c>
    </row>
    <row r="111" spans="1:33">
      <c r="A111" s="1">
        <v>44337</v>
      </c>
      <c r="B111">
        <v>559</v>
      </c>
      <c r="C111">
        <v>3</v>
      </c>
      <c r="D111">
        <v>1.1200000000000001</v>
      </c>
      <c r="E111">
        <v>55</v>
      </c>
      <c r="F111">
        <v>207</v>
      </c>
      <c r="G111">
        <v>45378</v>
      </c>
      <c r="H111">
        <v>1.09E-2</v>
      </c>
      <c r="I111">
        <v>1568208</v>
      </c>
      <c r="K111">
        <f t="shared" si="19"/>
        <v>312481</v>
      </c>
      <c r="L111">
        <f t="shared" si="20"/>
        <v>9</v>
      </c>
      <c r="M111">
        <f t="shared" si="21"/>
        <v>1.2544000000000002</v>
      </c>
      <c r="N111">
        <v>3025</v>
      </c>
      <c r="O111">
        <v>42849</v>
      </c>
      <c r="P111">
        <v>2059162884</v>
      </c>
      <c r="Q111">
        <v>1.1881E-4</v>
      </c>
      <c r="R111">
        <v>2459276331264</v>
      </c>
      <c r="U111">
        <f t="shared" si="32"/>
        <v>626.08000000000004</v>
      </c>
      <c r="V111">
        <f t="shared" si="33"/>
        <v>30745</v>
      </c>
      <c r="W111">
        <f t="shared" si="22"/>
        <v>115713</v>
      </c>
      <c r="X111">
        <f t="shared" si="23"/>
        <v>25366302</v>
      </c>
      <c r="Y111">
        <f t="shared" si="24"/>
        <v>6.0930999999999997</v>
      </c>
      <c r="Z111">
        <f t="shared" si="25"/>
        <v>876628272</v>
      </c>
      <c r="AB111">
        <f t="shared" si="26"/>
        <v>3.3600000000000003</v>
      </c>
      <c r="AC111">
        <f t="shared" si="27"/>
        <v>165</v>
      </c>
      <c r="AD111">
        <f t="shared" si="28"/>
        <v>621</v>
      </c>
      <c r="AE111">
        <f t="shared" si="29"/>
        <v>136134</v>
      </c>
      <c r="AF111">
        <f t="shared" si="30"/>
        <v>3.27E-2</v>
      </c>
      <c r="AG111">
        <f t="shared" si="31"/>
        <v>4704624</v>
      </c>
    </row>
    <row r="112" spans="1:33">
      <c r="A112" s="1">
        <v>44338</v>
      </c>
      <c r="B112">
        <v>523</v>
      </c>
      <c r="C112">
        <v>0</v>
      </c>
      <c r="D112">
        <v>1.1200000000000001</v>
      </c>
      <c r="E112">
        <v>59</v>
      </c>
      <c r="F112">
        <v>210</v>
      </c>
      <c r="G112">
        <v>33560</v>
      </c>
      <c r="H112">
        <v>1.0999999999999999E-2</v>
      </c>
      <c r="I112">
        <v>1604322</v>
      </c>
      <c r="K112">
        <f t="shared" si="19"/>
        <v>273529</v>
      </c>
      <c r="L112">
        <f t="shared" si="20"/>
        <v>0</v>
      </c>
      <c r="M112">
        <f t="shared" si="21"/>
        <v>1.2544000000000002</v>
      </c>
      <c r="N112">
        <v>3481</v>
      </c>
      <c r="O112">
        <v>44100</v>
      </c>
      <c r="P112">
        <v>1126273600</v>
      </c>
      <c r="Q112">
        <v>1.2099999999999999E-4</v>
      </c>
      <c r="R112">
        <v>2573849079684</v>
      </c>
      <c r="U112">
        <f t="shared" si="32"/>
        <v>585.7600000000001</v>
      </c>
      <c r="V112">
        <f t="shared" si="33"/>
        <v>30857</v>
      </c>
      <c r="W112">
        <f t="shared" si="22"/>
        <v>109830</v>
      </c>
      <c r="X112">
        <f t="shared" si="23"/>
        <v>17551880</v>
      </c>
      <c r="Y112">
        <f t="shared" si="24"/>
        <v>5.7529999999999992</v>
      </c>
      <c r="Z112">
        <f t="shared" si="25"/>
        <v>839060406</v>
      </c>
      <c r="AB112">
        <f t="shared" si="26"/>
        <v>0</v>
      </c>
      <c r="AC112">
        <f t="shared" si="27"/>
        <v>0</v>
      </c>
      <c r="AD112">
        <f t="shared" si="28"/>
        <v>0</v>
      </c>
      <c r="AE112">
        <f t="shared" si="29"/>
        <v>0</v>
      </c>
      <c r="AF112">
        <f t="shared" si="30"/>
        <v>0</v>
      </c>
      <c r="AG112">
        <f t="shared" si="31"/>
        <v>0</v>
      </c>
    </row>
    <row r="113" spans="1:33">
      <c r="A113" s="1">
        <v>44339</v>
      </c>
      <c r="B113">
        <v>413</v>
      </c>
      <c r="C113">
        <v>0</v>
      </c>
      <c r="D113">
        <v>1.1200000000000001</v>
      </c>
      <c r="E113">
        <v>58</v>
      </c>
      <c r="F113">
        <v>220</v>
      </c>
      <c r="G113">
        <v>16152</v>
      </c>
      <c r="H113">
        <v>1.1299999999999999E-2</v>
      </c>
      <c r="I113">
        <v>1638859</v>
      </c>
      <c r="K113">
        <f t="shared" si="19"/>
        <v>170569</v>
      </c>
      <c r="L113">
        <f t="shared" si="20"/>
        <v>0</v>
      </c>
      <c r="M113">
        <f t="shared" si="21"/>
        <v>1.2544000000000002</v>
      </c>
      <c r="N113">
        <v>3364</v>
      </c>
      <c r="O113">
        <v>48400</v>
      </c>
      <c r="P113">
        <v>260887104</v>
      </c>
      <c r="Q113">
        <v>1.2768999999999999E-4</v>
      </c>
      <c r="R113">
        <v>2685858821881</v>
      </c>
      <c r="U113">
        <f t="shared" si="32"/>
        <v>462.56000000000006</v>
      </c>
      <c r="V113">
        <f t="shared" si="33"/>
        <v>23954</v>
      </c>
      <c r="W113">
        <f t="shared" si="22"/>
        <v>90860</v>
      </c>
      <c r="X113">
        <f t="shared" si="23"/>
        <v>6670776</v>
      </c>
      <c r="Y113">
        <f t="shared" si="24"/>
        <v>4.6669</v>
      </c>
      <c r="Z113">
        <f t="shared" si="25"/>
        <v>676848767</v>
      </c>
      <c r="AB113">
        <f t="shared" si="26"/>
        <v>0</v>
      </c>
      <c r="AC113">
        <f t="shared" si="27"/>
        <v>0</v>
      </c>
      <c r="AD113">
        <f t="shared" si="28"/>
        <v>0</v>
      </c>
      <c r="AE113">
        <f t="shared" si="29"/>
        <v>0</v>
      </c>
      <c r="AF113">
        <f t="shared" si="30"/>
        <v>0</v>
      </c>
      <c r="AG113">
        <f t="shared" si="31"/>
        <v>0</v>
      </c>
    </row>
    <row r="114" spans="1:33">
      <c r="A114" s="1">
        <v>44340</v>
      </c>
      <c r="B114">
        <v>241</v>
      </c>
      <c r="C114">
        <v>1</v>
      </c>
      <c r="D114">
        <v>1.1100000000000001</v>
      </c>
      <c r="E114">
        <v>57</v>
      </c>
      <c r="F114">
        <v>239</v>
      </c>
      <c r="G114">
        <v>42680</v>
      </c>
      <c r="H114">
        <v>1.15E-2</v>
      </c>
      <c r="I114">
        <v>1701479</v>
      </c>
      <c r="K114">
        <f t="shared" si="19"/>
        <v>58081</v>
      </c>
      <c r="L114">
        <f t="shared" si="20"/>
        <v>1</v>
      </c>
      <c r="M114">
        <f t="shared" si="21"/>
        <v>1.2321000000000002</v>
      </c>
      <c r="N114">
        <v>3249</v>
      </c>
      <c r="O114">
        <v>57121</v>
      </c>
      <c r="P114">
        <v>1821582400</v>
      </c>
      <c r="Q114">
        <v>1.3224999999999999E-4</v>
      </c>
      <c r="R114">
        <v>2895030787441</v>
      </c>
      <c r="U114">
        <f t="shared" si="32"/>
        <v>267.51000000000005</v>
      </c>
      <c r="V114">
        <f t="shared" si="33"/>
        <v>13737</v>
      </c>
      <c r="W114">
        <f t="shared" si="22"/>
        <v>57599</v>
      </c>
      <c r="X114">
        <f t="shared" si="23"/>
        <v>10285880</v>
      </c>
      <c r="Y114">
        <f t="shared" si="24"/>
        <v>2.7715000000000001</v>
      </c>
      <c r="Z114">
        <f t="shared" si="25"/>
        <v>410056439</v>
      </c>
      <c r="AB114">
        <f t="shared" si="26"/>
        <v>1.1100000000000001</v>
      </c>
      <c r="AC114">
        <f t="shared" si="27"/>
        <v>57</v>
      </c>
      <c r="AD114">
        <f t="shared" si="28"/>
        <v>239</v>
      </c>
      <c r="AE114">
        <f t="shared" si="29"/>
        <v>42680</v>
      </c>
      <c r="AF114">
        <f t="shared" si="30"/>
        <v>1.15E-2</v>
      </c>
      <c r="AG114">
        <f t="shared" si="31"/>
        <v>1701479</v>
      </c>
    </row>
    <row r="115" spans="1:33">
      <c r="A115" s="1">
        <v>44341</v>
      </c>
      <c r="B115">
        <v>375</v>
      </c>
      <c r="C115">
        <v>3</v>
      </c>
      <c r="D115">
        <v>1.1200000000000001</v>
      </c>
      <c r="E115">
        <v>52</v>
      </c>
      <c r="F115">
        <v>237</v>
      </c>
      <c r="G115">
        <v>43590</v>
      </c>
      <c r="H115">
        <v>1.14E-2</v>
      </c>
      <c r="I115">
        <v>1725903</v>
      </c>
      <c r="K115">
        <f t="shared" si="19"/>
        <v>140625</v>
      </c>
      <c r="L115">
        <f t="shared" si="20"/>
        <v>9</v>
      </c>
      <c r="M115">
        <f t="shared" si="21"/>
        <v>1.2544000000000002</v>
      </c>
      <c r="N115">
        <v>2704</v>
      </c>
      <c r="O115">
        <v>56169</v>
      </c>
      <c r="P115">
        <v>1900088100</v>
      </c>
      <c r="Q115">
        <v>1.2996000000000001E-4</v>
      </c>
      <c r="R115">
        <v>2978741165409</v>
      </c>
      <c r="U115">
        <f t="shared" si="32"/>
        <v>420.00000000000006</v>
      </c>
      <c r="V115">
        <f t="shared" si="33"/>
        <v>19500</v>
      </c>
      <c r="W115">
        <f t="shared" si="22"/>
        <v>88875</v>
      </c>
      <c r="X115">
        <f t="shared" si="23"/>
        <v>16346250</v>
      </c>
      <c r="Y115">
        <f t="shared" si="24"/>
        <v>4.2750000000000004</v>
      </c>
      <c r="Z115">
        <f t="shared" si="25"/>
        <v>647213625</v>
      </c>
      <c r="AB115">
        <f t="shared" si="26"/>
        <v>3.3600000000000003</v>
      </c>
      <c r="AC115">
        <f t="shared" si="27"/>
        <v>156</v>
      </c>
      <c r="AD115">
        <f t="shared" si="28"/>
        <v>711</v>
      </c>
      <c r="AE115">
        <f t="shared" si="29"/>
        <v>130770</v>
      </c>
      <c r="AF115">
        <f t="shared" si="30"/>
        <v>3.4200000000000001E-2</v>
      </c>
      <c r="AG115">
        <f t="shared" si="31"/>
        <v>5177709</v>
      </c>
    </row>
    <row r="116" spans="1:33">
      <c r="A116" s="1">
        <v>44342</v>
      </c>
      <c r="B116">
        <v>594</v>
      </c>
      <c r="C116">
        <v>1</v>
      </c>
      <c r="D116">
        <v>1.1299999999999999</v>
      </c>
      <c r="E116">
        <v>53</v>
      </c>
      <c r="F116">
        <v>233</v>
      </c>
      <c r="G116">
        <v>50409</v>
      </c>
      <c r="H116">
        <v>1.14E-2</v>
      </c>
      <c r="I116">
        <v>1745225</v>
      </c>
      <c r="K116">
        <f t="shared" si="19"/>
        <v>352836</v>
      </c>
      <c r="L116">
        <f t="shared" si="20"/>
        <v>1</v>
      </c>
      <c r="M116">
        <f t="shared" si="21"/>
        <v>1.2768999999999997</v>
      </c>
      <c r="N116">
        <v>2809</v>
      </c>
      <c r="O116">
        <v>54289</v>
      </c>
      <c r="P116">
        <v>2541067281</v>
      </c>
      <c r="Q116">
        <v>1.2996000000000001E-4</v>
      </c>
      <c r="R116">
        <v>3045810300625</v>
      </c>
      <c r="U116">
        <f t="shared" si="32"/>
        <v>671.21999999999991</v>
      </c>
      <c r="V116">
        <f t="shared" si="33"/>
        <v>31482</v>
      </c>
      <c r="W116">
        <f t="shared" si="22"/>
        <v>138402</v>
      </c>
      <c r="X116">
        <f t="shared" si="23"/>
        <v>29942946</v>
      </c>
      <c r="Y116">
        <f t="shared" si="24"/>
        <v>6.7716000000000003</v>
      </c>
      <c r="Z116">
        <f t="shared" si="25"/>
        <v>1036663650</v>
      </c>
      <c r="AB116">
        <f t="shared" si="26"/>
        <v>1.1299999999999999</v>
      </c>
      <c r="AC116">
        <f t="shared" si="27"/>
        <v>53</v>
      </c>
      <c r="AD116">
        <f t="shared" si="28"/>
        <v>233</v>
      </c>
      <c r="AE116">
        <f t="shared" si="29"/>
        <v>50409</v>
      </c>
      <c r="AF116">
        <f t="shared" si="30"/>
        <v>1.14E-2</v>
      </c>
      <c r="AG116">
        <f t="shared" si="31"/>
        <v>1745225</v>
      </c>
    </row>
    <row r="117" spans="1:33">
      <c r="A117" s="1">
        <v>44343</v>
      </c>
      <c r="B117">
        <v>572</v>
      </c>
      <c r="C117">
        <v>0</v>
      </c>
      <c r="D117">
        <v>1.1399999999999999</v>
      </c>
      <c r="E117">
        <v>53</v>
      </c>
      <c r="F117">
        <v>233</v>
      </c>
      <c r="G117">
        <v>53947</v>
      </c>
      <c r="H117">
        <v>1.15E-2</v>
      </c>
      <c r="I117">
        <v>1788676</v>
      </c>
      <c r="K117">
        <f t="shared" si="19"/>
        <v>327184</v>
      </c>
      <c r="L117">
        <f t="shared" si="20"/>
        <v>0</v>
      </c>
      <c r="M117">
        <f t="shared" si="21"/>
        <v>1.2995999999999999</v>
      </c>
      <c r="N117">
        <v>2809</v>
      </c>
      <c r="O117">
        <v>54289</v>
      </c>
      <c r="P117">
        <v>2910278809</v>
      </c>
      <c r="Q117">
        <v>1.3224999999999999E-4</v>
      </c>
      <c r="R117">
        <v>3199361832976</v>
      </c>
      <c r="U117">
        <f t="shared" si="32"/>
        <v>652.07999999999993</v>
      </c>
      <c r="V117">
        <f t="shared" si="33"/>
        <v>30316</v>
      </c>
      <c r="W117">
        <f t="shared" si="22"/>
        <v>133276</v>
      </c>
      <c r="X117">
        <f t="shared" si="23"/>
        <v>30857684</v>
      </c>
      <c r="Y117">
        <f t="shared" si="24"/>
        <v>6.5780000000000003</v>
      </c>
      <c r="Z117">
        <f t="shared" si="25"/>
        <v>1023122672</v>
      </c>
      <c r="AB117">
        <f t="shared" si="26"/>
        <v>0</v>
      </c>
      <c r="AC117">
        <f t="shared" si="27"/>
        <v>0</v>
      </c>
      <c r="AD117">
        <f t="shared" si="28"/>
        <v>0</v>
      </c>
      <c r="AE117">
        <f t="shared" si="29"/>
        <v>0</v>
      </c>
      <c r="AF117">
        <f t="shared" si="30"/>
        <v>0</v>
      </c>
      <c r="AG117">
        <f t="shared" si="31"/>
        <v>0</v>
      </c>
    </row>
    <row r="118" spans="1:33">
      <c r="A118" s="1">
        <v>44344</v>
      </c>
      <c r="B118">
        <v>598</v>
      </c>
      <c r="C118">
        <v>1</v>
      </c>
      <c r="D118">
        <v>1.1599999999999999</v>
      </c>
      <c r="E118">
        <v>52</v>
      </c>
      <c r="F118">
        <v>246</v>
      </c>
      <c r="G118">
        <v>59275</v>
      </c>
      <c r="H118">
        <v>1.11E-2</v>
      </c>
      <c r="I118">
        <v>1845836</v>
      </c>
      <c r="K118">
        <f t="shared" si="19"/>
        <v>357604</v>
      </c>
      <c r="L118">
        <f t="shared" si="20"/>
        <v>1</v>
      </c>
      <c r="M118">
        <f t="shared" si="21"/>
        <v>1.3455999999999999</v>
      </c>
      <c r="N118">
        <v>2704</v>
      </c>
      <c r="O118">
        <v>60516</v>
      </c>
      <c r="P118">
        <v>3513525625</v>
      </c>
      <c r="Q118">
        <v>1.2321000000000001E-4</v>
      </c>
      <c r="R118">
        <v>3407110538896</v>
      </c>
      <c r="U118">
        <f t="shared" si="32"/>
        <v>693.68</v>
      </c>
      <c r="V118">
        <f t="shared" si="33"/>
        <v>31096</v>
      </c>
      <c r="W118">
        <f t="shared" si="22"/>
        <v>147108</v>
      </c>
      <c r="X118">
        <f t="shared" si="23"/>
        <v>35446450</v>
      </c>
      <c r="Y118">
        <f t="shared" si="24"/>
        <v>6.6378000000000004</v>
      </c>
      <c r="Z118">
        <f t="shared" si="25"/>
        <v>1103809928</v>
      </c>
      <c r="AB118">
        <f t="shared" si="26"/>
        <v>1.1599999999999999</v>
      </c>
      <c r="AC118">
        <f t="shared" si="27"/>
        <v>52</v>
      </c>
      <c r="AD118">
        <f t="shared" si="28"/>
        <v>246</v>
      </c>
      <c r="AE118">
        <f t="shared" si="29"/>
        <v>59275</v>
      </c>
      <c r="AF118">
        <f t="shared" si="30"/>
        <v>1.11E-2</v>
      </c>
      <c r="AG118">
        <f t="shared" si="31"/>
        <v>1845836</v>
      </c>
    </row>
    <row r="119" spans="1:33">
      <c r="A119" s="1">
        <v>44345</v>
      </c>
      <c r="B119">
        <v>609</v>
      </c>
      <c r="C119">
        <v>0</v>
      </c>
      <c r="D119">
        <v>1.1599999999999999</v>
      </c>
      <c r="E119">
        <v>49</v>
      </c>
      <c r="F119">
        <v>244</v>
      </c>
      <c r="G119">
        <v>43319</v>
      </c>
      <c r="H119">
        <v>1.0999999999999999E-2</v>
      </c>
      <c r="I119">
        <v>1910212</v>
      </c>
      <c r="K119">
        <f t="shared" si="19"/>
        <v>370881</v>
      </c>
      <c r="L119">
        <f t="shared" si="20"/>
        <v>0</v>
      </c>
      <c r="M119">
        <f t="shared" si="21"/>
        <v>1.3455999999999999</v>
      </c>
      <c r="N119">
        <v>2401</v>
      </c>
      <c r="O119">
        <v>59536</v>
      </c>
      <c r="P119">
        <v>1876535761</v>
      </c>
      <c r="Q119">
        <v>1.2099999999999999E-4</v>
      </c>
      <c r="R119">
        <v>3648909884944</v>
      </c>
      <c r="U119">
        <f t="shared" si="32"/>
        <v>706.43999999999994</v>
      </c>
      <c r="V119">
        <f t="shared" si="33"/>
        <v>29841</v>
      </c>
      <c r="W119">
        <f t="shared" si="22"/>
        <v>148596</v>
      </c>
      <c r="X119">
        <f t="shared" si="23"/>
        <v>26381271</v>
      </c>
      <c r="Y119">
        <f t="shared" si="24"/>
        <v>6.6989999999999998</v>
      </c>
      <c r="Z119">
        <f t="shared" si="25"/>
        <v>1163319108</v>
      </c>
      <c r="AB119">
        <f t="shared" si="26"/>
        <v>0</v>
      </c>
      <c r="AC119">
        <f t="shared" si="27"/>
        <v>0</v>
      </c>
      <c r="AD119">
        <f t="shared" si="28"/>
        <v>0</v>
      </c>
      <c r="AE119">
        <f t="shared" si="29"/>
        <v>0</v>
      </c>
      <c r="AF119">
        <f t="shared" si="30"/>
        <v>0</v>
      </c>
      <c r="AG119">
        <f t="shared" si="31"/>
        <v>0</v>
      </c>
    </row>
    <row r="120" spans="1:33">
      <c r="A120" s="1">
        <v>44346</v>
      </c>
      <c r="B120">
        <v>445</v>
      </c>
      <c r="C120">
        <v>0</v>
      </c>
      <c r="D120">
        <v>1.1599999999999999</v>
      </c>
      <c r="E120">
        <v>54</v>
      </c>
      <c r="F120">
        <v>271</v>
      </c>
      <c r="G120">
        <v>20369</v>
      </c>
      <c r="H120">
        <v>1.0999999999999999E-2</v>
      </c>
      <c r="I120">
        <v>1949349</v>
      </c>
      <c r="K120">
        <f t="shared" si="19"/>
        <v>198025</v>
      </c>
      <c r="L120">
        <f t="shared" si="20"/>
        <v>0</v>
      </c>
      <c r="M120">
        <f t="shared" si="21"/>
        <v>1.3455999999999999</v>
      </c>
      <c r="N120">
        <v>2916</v>
      </c>
      <c r="O120">
        <v>73441</v>
      </c>
      <c r="P120">
        <v>414896161</v>
      </c>
      <c r="Q120">
        <v>1.2099999999999999E-4</v>
      </c>
      <c r="R120">
        <v>3799961523801</v>
      </c>
      <c r="U120">
        <f t="shared" si="32"/>
        <v>516.19999999999993</v>
      </c>
      <c r="V120">
        <f t="shared" si="33"/>
        <v>24030</v>
      </c>
      <c r="W120">
        <f t="shared" si="22"/>
        <v>120595</v>
      </c>
      <c r="X120">
        <f t="shared" si="23"/>
        <v>9064205</v>
      </c>
      <c r="Y120">
        <f t="shared" si="24"/>
        <v>4.8949999999999996</v>
      </c>
      <c r="Z120">
        <f t="shared" si="25"/>
        <v>867460305</v>
      </c>
      <c r="AB120">
        <f t="shared" si="26"/>
        <v>0</v>
      </c>
      <c r="AC120">
        <f t="shared" si="27"/>
        <v>0</v>
      </c>
      <c r="AD120">
        <f t="shared" si="28"/>
        <v>0</v>
      </c>
      <c r="AE120">
        <f t="shared" si="29"/>
        <v>0</v>
      </c>
      <c r="AF120">
        <f t="shared" si="30"/>
        <v>0</v>
      </c>
      <c r="AG120">
        <f t="shared" si="31"/>
        <v>0</v>
      </c>
    </row>
    <row r="121" spans="1:33">
      <c r="A121" s="1">
        <v>44347</v>
      </c>
      <c r="B121">
        <v>435</v>
      </c>
      <c r="C121">
        <v>2</v>
      </c>
      <c r="D121">
        <v>1.1599999999999999</v>
      </c>
      <c r="E121">
        <v>52</v>
      </c>
      <c r="F121">
        <v>283</v>
      </c>
      <c r="G121">
        <v>49817</v>
      </c>
      <c r="H121">
        <v>1.1299999999999999E-2</v>
      </c>
      <c r="I121">
        <v>2054154</v>
      </c>
      <c r="K121">
        <f t="shared" si="19"/>
        <v>189225</v>
      </c>
      <c r="L121">
        <f t="shared" si="20"/>
        <v>4</v>
      </c>
      <c r="M121">
        <f t="shared" si="21"/>
        <v>1.3455999999999999</v>
      </c>
      <c r="N121">
        <v>2704</v>
      </c>
      <c r="O121">
        <v>80089</v>
      </c>
      <c r="P121">
        <v>2481733489</v>
      </c>
      <c r="Q121">
        <v>1.2768999999999999E-4</v>
      </c>
      <c r="R121">
        <v>4219548655716</v>
      </c>
      <c r="U121">
        <f t="shared" si="32"/>
        <v>504.59999999999997</v>
      </c>
      <c r="V121">
        <f t="shared" si="33"/>
        <v>22620</v>
      </c>
      <c r="W121">
        <f t="shared" si="22"/>
        <v>123105</v>
      </c>
      <c r="X121">
        <f t="shared" si="23"/>
        <v>21670395</v>
      </c>
      <c r="Y121">
        <f t="shared" si="24"/>
        <v>4.9154999999999998</v>
      </c>
      <c r="Z121">
        <f t="shared" si="25"/>
        <v>893556990</v>
      </c>
      <c r="AB121">
        <f t="shared" si="26"/>
        <v>2.3199999999999998</v>
      </c>
      <c r="AC121">
        <f t="shared" si="27"/>
        <v>104</v>
      </c>
      <c r="AD121">
        <f t="shared" si="28"/>
        <v>566</v>
      </c>
      <c r="AE121">
        <f t="shared" si="29"/>
        <v>99634</v>
      </c>
      <c r="AF121">
        <f t="shared" si="30"/>
        <v>2.2599999999999999E-2</v>
      </c>
      <c r="AG121">
        <f t="shared" si="31"/>
        <v>4108308</v>
      </c>
    </row>
    <row r="122" spans="1:33" ht="16.8">
      <c r="A122" s="1"/>
      <c r="B122" s="18" t="s">
        <v>10</v>
      </c>
      <c r="C122" s="18" t="s">
        <v>11</v>
      </c>
      <c r="D122" s="18" t="s">
        <v>29</v>
      </c>
      <c r="E122" s="18" t="s">
        <v>30</v>
      </c>
      <c r="F122" s="18" t="s">
        <v>31</v>
      </c>
      <c r="G122" s="18" t="s">
        <v>32</v>
      </c>
      <c r="H122" s="18" t="s">
        <v>33</v>
      </c>
      <c r="I122" s="18" t="s">
        <v>34</v>
      </c>
    </row>
    <row r="123" spans="1:33">
      <c r="A123" s="5" t="s">
        <v>16</v>
      </c>
      <c r="K123" s="6">
        <f>SUM(K2:K121)</f>
        <v>423547897</v>
      </c>
      <c r="L123" s="6">
        <f>SUM(L2:L121)</f>
        <v>696425</v>
      </c>
      <c r="M123" s="6">
        <f>SUM(M2:M121)</f>
        <v>88.893900000000031</v>
      </c>
      <c r="N123" s="6">
        <f>SUM(_xlfn.ANCHORARRAY(N2))</f>
        <v>18548310</v>
      </c>
      <c r="O123" s="6">
        <f>SUM(_xlfn.ANCHORARRAY(O2))</f>
        <v>721892924</v>
      </c>
      <c r="P123" s="6">
        <f>SUM(_xlfn.ANCHORARRAY(P2))</f>
        <v>207752370780</v>
      </c>
      <c r="Q123" s="6">
        <f>SUM(_xlfn.ANCHORARRAY(Q2))</f>
        <v>0.40899665999999968</v>
      </c>
      <c r="R123" s="6">
        <f>SUM(_xlfn.ANCHORARRAY(R2))</f>
        <v>85439162458898</v>
      </c>
      <c r="U123">
        <f>SUM(U2:U120)</f>
        <v>90301.48000000001</v>
      </c>
      <c r="V123">
        <f>SUM(V2:V120)</f>
        <v>75505043</v>
      </c>
      <c r="W123">
        <f>SUM(W2:W121)</f>
        <v>500585311</v>
      </c>
      <c r="X123">
        <f>SUM(X2:X121)</f>
        <v>5016683024</v>
      </c>
      <c r="Y123">
        <f>SUM(Y2:Y121)</f>
        <v>12514.191900000014</v>
      </c>
      <c r="Z123">
        <f>SUM(Z2:Z121)</f>
        <v>47336476826</v>
      </c>
      <c r="AB123">
        <f t="shared" ref="AB123:AG123" si="34">SUM(AB2:AB121)</f>
        <v>2777.5099999999979</v>
      </c>
      <c r="AC123">
        <f t="shared" si="34"/>
        <v>3273427</v>
      </c>
      <c r="AD123">
        <f t="shared" si="34"/>
        <v>21757452</v>
      </c>
      <c r="AE123">
        <f t="shared" si="34"/>
        <v>163490686</v>
      </c>
      <c r="AF123">
        <f t="shared" si="34"/>
        <v>525.69680000000039</v>
      </c>
      <c r="AG123">
        <f t="shared" si="34"/>
        <v>930148005</v>
      </c>
    </row>
    <row r="124" spans="1:33">
      <c r="A124" s="1"/>
    </row>
    <row r="125" spans="1:33">
      <c r="A125" s="1"/>
    </row>
    <row r="126" spans="1:33">
      <c r="A126" s="1"/>
    </row>
    <row r="127" spans="1:33">
      <c r="A127" s="1"/>
    </row>
    <row r="128" spans="1:33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CAE9-70D3-4073-9CFA-5EAFA889796F}">
  <dimension ref="A2:AB326"/>
  <sheetViews>
    <sheetView topLeftCell="A283" zoomScale="70" zoomScaleNormal="70" workbookViewId="0">
      <selection activeCell="K321" sqref="K321"/>
    </sheetView>
  </sheetViews>
  <sheetFormatPr defaultRowHeight="13.2"/>
  <cols>
    <col min="2" max="2" width="10.5546875" customWidth="1"/>
    <col min="3" max="3" width="10.109375" customWidth="1"/>
    <col min="4" max="4" width="13.44140625" bestFit="1" customWidth="1"/>
    <col min="5" max="5" width="12" customWidth="1"/>
    <col min="6" max="6" width="13" bestFit="1" customWidth="1"/>
    <col min="7" max="7" width="11.33203125" customWidth="1"/>
    <col min="8" max="8" width="12" customWidth="1"/>
    <col min="9" max="9" width="10.5546875" customWidth="1"/>
    <col min="12" max="12" width="14.109375" bestFit="1" customWidth="1"/>
    <col min="13" max="13" width="13.33203125" bestFit="1" customWidth="1"/>
    <col min="14" max="14" width="12.21875" bestFit="1" customWidth="1"/>
    <col min="19" max="19" width="10.33203125" customWidth="1"/>
    <col min="20" max="20" width="11.88671875" customWidth="1"/>
    <col min="21" max="21" width="11.21875" customWidth="1"/>
  </cols>
  <sheetData>
    <row r="2" spans="1:24" ht="17.399999999999999">
      <c r="B2" s="54" t="s">
        <v>12</v>
      </c>
    </row>
    <row r="3" spans="1:24">
      <c r="E3" s="3" t="s">
        <v>14</v>
      </c>
      <c r="F3" s="4">
        <f>COUNT('owid-covid-data'!D2:D121)</f>
        <v>120</v>
      </c>
    </row>
    <row r="5" spans="1:24">
      <c r="D5">
        <f>AVERAGE('owid-covid-data'!B2:B121)</f>
        <v>1071.4749999999999</v>
      </c>
    </row>
    <row r="6" spans="1:24">
      <c r="G6" s="2"/>
      <c r="I6">
        <f>'owid-covid-data'!K123-'P1. Y1'!F3*'P1. Y1'!D7</f>
        <v>285780855.92500001</v>
      </c>
    </row>
    <row r="7" spans="1:24">
      <c r="D7">
        <f>D5^2</f>
        <v>1148058.6756249999</v>
      </c>
    </row>
    <row r="10" spans="1:24">
      <c r="B10" t="s">
        <v>35</v>
      </c>
      <c r="E10" t="s">
        <v>36</v>
      </c>
    </row>
    <row r="11" spans="1:24">
      <c r="A11" s="16"/>
      <c r="B11" s="17" t="s">
        <v>13</v>
      </c>
      <c r="C11" s="16"/>
      <c r="D11" s="16"/>
      <c r="E11" s="16"/>
      <c r="F11" s="16"/>
      <c r="G11" s="16"/>
      <c r="H11" s="16"/>
      <c r="I11" s="16"/>
      <c r="J11" s="16"/>
      <c r="K11" s="43"/>
      <c r="L11" s="43"/>
      <c r="M11" s="43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>
      <c r="B12" t="s">
        <v>35</v>
      </c>
      <c r="E12" t="s">
        <v>36</v>
      </c>
      <c r="J12" s="41"/>
      <c r="K12" s="42"/>
      <c r="L12" s="44"/>
      <c r="M12" s="44"/>
    </row>
    <row r="13" spans="1:24">
      <c r="I13" s="39"/>
      <c r="J13" s="39"/>
    </row>
    <row r="14" spans="1:24">
      <c r="C14">
        <f>AVERAGE('owid-covid-data'!D2:D121)</f>
        <v>0.83241666666666658</v>
      </c>
      <c r="D14" t="s">
        <v>37</v>
      </c>
      <c r="F14">
        <f>C14^2</f>
        <v>0.69291750694444432</v>
      </c>
      <c r="I14" s="45"/>
      <c r="J14" s="39"/>
    </row>
    <row r="15" spans="1:24">
      <c r="I15" s="39"/>
      <c r="J15" s="39"/>
    </row>
    <row r="16" spans="1:24">
      <c r="I16" s="39"/>
      <c r="J16" s="48"/>
      <c r="K16" s="38" t="s">
        <v>67</v>
      </c>
      <c r="L16" s="38"/>
    </row>
    <row r="17" spans="2:24">
      <c r="E17">
        <f>'owid-covid-data'!M123-'P1. Y1'!F3*'P1. Y1'!F14</f>
        <v>5.7437991666667187</v>
      </c>
      <c r="I17" s="39"/>
      <c r="J17" s="49"/>
    </row>
    <row r="18" spans="2:24">
      <c r="D18" t="s">
        <v>37</v>
      </c>
      <c r="I18" s="39"/>
      <c r="J18" s="49"/>
    </row>
    <row r="19" spans="2:24">
      <c r="I19" s="39"/>
      <c r="J19" s="49"/>
      <c r="K19" s="2" t="s">
        <v>68</v>
      </c>
    </row>
    <row r="20" spans="2:24">
      <c r="I20" s="39"/>
      <c r="J20" s="49"/>
    </row>
    <row r="21" spans="2:24">
      <c r="E21" t="s">
        <v>21</v>
      </c>
      <c r="F21">
        <f>'owid-covid-data'!U123-'P1. Y1'!F3*'P1. Y1'!C14*'P1. Y1'!D5</f>
        <v>-16728.157749999969</v>
      </c>
      <c r="I21" s="39"/>
      <c r="J21" s="49"/>
      <c r="K21" s="45"/>
      <c r="S21" t="s">
        <v>80</v>
      </c>
    </row>
    <row r="22" spans="2:24" ht="15" thickBot="1">
      <c r="I22" s="39"/>
      <c r="J22" s="49"/>
      <c r="K22" s="61" t="s">
        <v>69</v>
      </c>
      <c r="L22" s="61"/>
      <c r="M22" s="61"/>
      <c r="N22" s="61"/>
    </row>
    <row r="23" spans="2:24">
      <c r="I23" s="39"/>
      <c r="J23" s="49"/>
      <c r="K23" t="s">
        <v>70</v>
      </c>
      <c r="S23" s="58" t="s">
        <v>81</v>
      </c>
      <c r="T23" s="58"/>
    </row>
    <row r="24" spans="2:24">
      <c r="E24" t="s">
        <v>9</v>
      </c>
      <c r="I24" s="39"/>
      <c r="J24" s="49"/>
      <c r="S24" s="55" t="s">
        <v>82</v>
      </c>
      <c r="T24" s="55">
        <v>0.40043304496599347</v>
      </c>
    </row>
    <row r="25" spans="2:24" ht="14.4">
      <c r="B25" s="8" t="s">
        <v>22</v>
      </c>
      <c r="C25" s="8"/>
      <c r="D25" s="8"/>
      <c r="I25" s="39"/>
      <c r="J25" s="49"/>
      <c r="K25" s="61" t="s">
        <v>71</v>
      </c>
      <c r="L25" s="61"/>
      <c r="M25" s="61"/>
      <c r="N25" s="61"/>
      <c r="S25" s="55" t="s">
        <v>83</v>
      </c>
      <c r="T25" s="55">
        <v>0.16034662350073733</v>
      </c>
    </row>
    <row r="26" spans="2:24">
      <c r="I26" s="39"/>
      <c r="J26" s="49"/>
      <c r="S26" s="55" t="s">
        <v>84</v>
      </c>
      <c r="T26" s="55">
        <v>0.15323091692023511</v>
      </c>
    </row>
    <row r="27" spans="2:24">
      <c r="I27" s="39"/>
      <c r="J27" s="49"/>
      <c r="S27" s="55" t="s">
        <v>85</v>
      </c>
      <c r="T27" s="55">
        <v>1426.0198866380103</v>
      </c>
    </row>
    <row r="28" spans="2:24" ht="13.8" thickBot="1">
      <c r="D28" t="s">
        <v>21</v>
      </c>
      <c r="E28">
        <f>F21/SQRT(E17*I6)</f>
        <v>-0.41288768146456001</v>
      </c>
      <c r="I28" s="39"/>
      <c r="J28" s="49"/>
      <c r="S28" s="56" t="s">
        <v>86</v>
      </c>
      <c r="T28" s="56">
        <v>120</v>
      </c>
    </row>
    <row r="29" spans="2:24">
      <c r="I29" s="39"/>
      <c r="J29" s="49"/>
    </row>
    <row r="30" spans="2:24" ht="13.8" thickBot="1">
      <c r="I30" s="39"/>
      <c r="J30" s="49"/>
      <c r="S30" t="s">
        <v>87</v>
      </c>
    </row>
    <row r="31" spans="2:24" ht="14.4">
      <c r="I31" s="39"/>
      <c r="J31" s="49"/>
      <c r="K31" s="61" t="s">
        <v>72</v>
      </c>
      <c r="L31" s="61"/>
      <c r="M31" s="61"/>
      <c r="N31" s="61"/>
      <c r="S31" s="57"/>
      <c r="T31" s="57" t="s">
        <v>92</v>
      </c>
      <c r="U31" s="57" t="s">
        <v>93</v>
      </c>
      <c r="V31" s="57" t="s">
        <v>94</v>
      </c>
      <c r="W31" s="57" t="s">
        <v>95</v>
      </c>
      <c r="X31" s="57" t="s">
        <v>96</v>
      </c>
    </row>
    <row r="32" spans="2:24">
      <c r="B32" s="8" t="s">
        <v>25</v>
      </c>
      <c r="C32" s="8"/>
      <c r="D32" s="8"/>
      <c r="E32" s="8"/>
      <c r="F32" s="8"/>
      <c r="G32" s="9"/>
      <c r="I32" s="39"/>
      <c r="J32" s="49"/>
      <c r="S32" s="55" t="s">
        <v>88</v>
      </c>
      <c r="T32" s="55">
        <v>1</v>
      </c>
      <c r="U32" s="55">
        <v>45823995.308724493</v>
      </c>
      <c r="V32" s="55">
        <v>45823995.308724493</v>
      </c>
      <c r="W32" s="55">
        <v>22.534181488048382</v>
      </c>
      <c r="X32" s="55">
        <v>5.8505641169876288E-6</v>
      </c>
    </row>
    <row r="33" spans="2:27">
      <c r="I33" s="39"/>
      <c r="J33" s="49"/>
      <c r="K33" t="s">
        <v>61</v>
      </c>
      <c r="L33">
        <v>0.05</v>
      </c>
      <c r="S33" s="55" t="s">
        <v>89</v>
      </c>
      <c r="T33" s="55">
        <v>118</v>
      </c>
      <c r="U33" s="55">
        <v>239956860.61627588</v>
      </c>
      <c r="V33" s="55">
        <v>2033532.7170870837</v>
      </c>
      <c r="W33" s="55"/>
      <c r="X33" s="55"/>
    </row>
    <row r="34" spans="2:27" ht="13.8" thickBot="1">
      <c r="I34" s="39"/>
      <c r="J34" s="49"/>
      <c r="S34" s="56" t="s">
        <v>90</v>
      </c>
      <c r="T34" s="56">
        <v>119</v>
      </c>
      <c r="U34" s="56">
        <v>285780855.92500037</v>
      </c>
      <c r="V34" s="56"/>
      <c r="W34" s="56"/>
      <c r="X34" s="56"/>
    </row>
    <row r="35" spans="2:27">
      <c r="B35" t="s">
        <v>23</v>
      </c>
      <c r="C35">
        <f>F21/E17</f>
        <v>-2912.3855595577465</v>
      </c>
      <c r="I35" s="39"/>
      <c r="J35" s="49"/>
      <c r="L35">
        <f>ROUND(_xlfn.T.INV(1-L33/2,F3-2),2)</f>
        <v>1.98</v>
      </c>
    </row>
    <row r="36" spans="2:27">
      <c r="I36" s="39"/>
      <c r="J36" s="49"/>
      <c r="T36" t="s">
        <v>97</v>
      </c>
      <c r="U36" t="s">
        <v>85</v>
      </c>
      <c r="V36" t="s">
        <v>98</v>
      </c>
      <c r="W36" t="s">
        <v>99</v>
      </c>
      <c r="X36" t="s">
        <v>100</v>
      </c>
      <c r="Y36" t="s">
        <v>101</v>
      </c>
      <c r="Z36" t="s">
        <v>102</v>
      </c>
      <c r="AA36" t="s">
        <v>103</v>
      </c>
    </row>
    <row r="37" spans="2:27">
      <c r="B37" t="s">
        <v>24</v>
      </c>
      <c r="C37">
        <f>D5-C35*C14</f>
        <v>3495.793279535194</v>
      </c>
      <c r="I37" s="39"/>
      <c r="J37" s="49"/>
      <c r="S37" t="s">
        <v>91</v>
      </c>
      <c r="T37">
        <v>3422.6644256509107</v>
      </c>
      <c r="U37">
        <v>512.11950374120272</v>
      </c>
      <c r="V37">
        <v>6.6833315283780692</v>
      </c>
      <c r="W37">
        <v>8.1475365025403857E-10</v>
      </c>
      <c r="X37">
        <v>2408.5283840807615</v>
      </c>
      <c r="Y37">
        <v>4436.80046722106</v>
      </c>
      <c r="Z37">
        <v>2408.5283840807615</v>
      </c>
      <c r="AA37">
        <v>4436.80046722106</v>
      </c>
    </row>
    <row r="38" spans="2:27">
      <c r="J38" s="49"/>
      <c r="K38" t="s">
        <v>73</v>
      </c>
      <c r="L38" t="str">
        <f>"]-∞;-"&amp;L35&amp;"[ U ]"&amp;L35&amp;";+∞["</f>
        <v>]-∞;-1,98[ U ]1,98;+∞[</v>
      </c>
      <c r="S38" t="s">
        <v>104</v>
      </c>
      <c r="T38">
        <v>-2824.5342985094535</v>
      </c>
      <c r="U38">
        <v>595.01232110387684</v>
      </c>
      <c r="V38">
        <v>-4.7470181680764698</v>
      </c>
      <c r="W38">
        <v>5.8505641169884089E-6</v>
      </c>
      <c r="X38">
        <v>-4002.8206859669594</v>
      </c>
      <c r="Y38">
        <v>-1646.2479110519475</v>
      </c>
      <c r="Z38">
        <v>-4002.8206859669594</v>
      </c>
      <c r="AA38">
        <v>-1646.2479110519475</v>
      </c>
    </row>
    <row r="39" spans="2:27" ht="13.8">
      <c r="B39" t="s">
        <v>26</v>
      </c>
      <c r="E39" t="s">
        <v>27</v>
      </c>
      <c r="G39" s="23">
        <f>C37</f>
        <v>3495.793279535194</v>
      </c>
      <c r="H39" s="19">
        <f>C35</f>
        <v>-2912.3855595577465</v>
      </c>
      <c r="J39" s="49"/>
    </row>
    <row r="40" spans="2:27">
      <c r="J40" s="49"/>
    </row>
    <row r="41" spans="2:27" ht="14.4">
      <c r="J41" s="49"/>
      <c r="K41" s="61" t="s">
        <v>74</v>
      </c>
      <c r="L41" s="61"/>
      <c r="M41" s="61"/>
      <c r="N41" s="61"/>
    </row>
    <row r="42" spans="2:27">
      <c r="B42" s="38" t="s">
        <v>59</v>
      </c>
      <c r="C42" s="38"/>
      <c r="D42" s="38"/>
      <c r="J42" s="49"/>
    </row>
    <row r="43" spans="2:27" ht="16.2">
      <c r="J43" s="49"/>
      <c r="K43" s="3" t="s">
        <v>75</v>
      </c>
      <c r="L43">
        <v>0</v>
      </c>
      <c r="N43" s="50" t="s">
        <v>76</v>
      </c>
      <c r="O43" s="50"/>
      <c r="P43" s="50"/>
      <c r="Q43" s="50"/>
    </row>
    <row r="44" spans="2:27">
      <c r="C44" t="s">
        <v>14</v>
      </c>
      <c r="D44">
        <f>F3</f>
        <v>120</v>
      </c>
      <c r="G44" s="46" t="s">
        <v>63</v>
      </c>
      <c r="H44" s="47">
        <f>I6-E17*C35^2</f>
        <v>237062010.85589612</v>
      </c>
      <c r="J44" s="49"/>
      <c r="K44" s="3" t="s">
        <v>77</v>
      </c>
      <c r="L44">
        <f>H46</f>
        <v>1417.3920036458226</v>
      </c>
      <c r="N44" s="3" t="s">
        <v>78</v>
      </c>
      <c r="O44" s="51">
        <f>(C35-L43)/(L44*L45)</f>
        <v>-4.9244588627725321</v>
      </c>
    </row>
    <row r="45" spans="2:27">
      <c r="B45" t="s">
        <v>60</v>
      </c>
      <c r="D45">
        <v>0.95</v>
      </c>
      <c r="G45" s="46"/>
      <c r="H45" s="46"/>
      <c r="J45" s="49"/>
      <c r="L45">
        <f>SQRT(1/E17)</f>
        <v>0.41725387330093772</v>
      </c>
    </row>
    <row r="46" spans="2:27">
      <c r="C46" t="s">
        <v>61</v>
      </c>
      <c r="D46">
        <v>0.05</v>
      </c>
      <c r="G46" s="46" t="s">
        <v>64</v>
      </c>
      <c r="H46" s="46">
        <f>SQRT(H44/(F3-2))</f>
        <v>1417.3920036458226</v>
      </c>
      <c r="J46" s="49"/>
    </row>
    <row r="47" spans="2:27" ht="14.4">
      <c r="J47" s="49"/>
      <c r="K47" s="61" t="s">
        <v>79</v>
      </c>
      <c r="L47" s="61"/>
      <c r="M47" s="61"/>
      <c r="N47" s="61"/>
    </row>
    <row r="48" spans="2:27">
      <c r="D48">
        <f>ROUND(_xlfn.T.INV(1-D46/2,D44-2),2)</f>
        <v>1.98</v>
      </c>
      <c r="J48" s="49"/>
    </row>
    <row r="49" spans="1:24">
      <c r="J49" s="49"/>
    </row>
    <row r="50" spans="1:24">
      <c r="J50" s="49"/>
      <c r="K50" t="s">
        <v>105</v>
      </c>
    </row>
    <row r="51" spans="1:24">
      <c r="J51" s="49"/>
    </row>
    <row r="52" spans="1:24">
      <c r="D52">
        <f>SQRT(1/E17)</f>
        <v>0.41725387330093772</v>
      </c>
      <c r="J52" s="49"/>
    </row>
    <row r="53" spans="1:24">
      <c r="J53" s="49"/>
    </row>
    <row r="54" spans="1:24">
      <c r="J54" s="49"/>
    </row>
    <row r="55" spans="1:24">
      <c r="C55" t="s">
        <v>62</v>
      </c>
      <c r="D55" s="29">
        <f>H46*D52*D48</f>
        <v>1170.9963609438526</v>
      </c>
      <c r="J55" s="49"/>
    </row>
    <row r="56" spans="1:24">
      <c r="J56" s="49"/>
    </row>
    <row r="57" spans="1:24">
      <c r="C57" t="s">
        <v>65</v>
      </c>
      <c r="D57" s="29">
        <f>ROUND(C35-D55,4)</f>
        <v>-4083.3818999999999</v>
      </c>
      <c r="J57" s="49"/>
    </row>
    <row r="58" spans="1:24">
      <c r="C58" t="s">
        <v>66</v>
      </c>
      <c r="D58" s="29">
        <f>ROUND(C35+D55,4)</f>
        <v>-1741.3892000000001</v>
      </c>
    </row>
    <row r="64" spans="1:24">
      <c r="A64" s="16"/>
      <c r="B64" s="17" t="s">
        <v>28</v>
      </c>
      <c r="C64" s="16"/>
      <c r="D64" s="16"/>
      <c r="E64" s="16"/>
      <c r="F64" s="16"/>
      <c r="G64" s="16"/>
      <c r="H64" s="16"/>
      <c r="I64" s="16"/>
      <c r="J64" s="16"/>
      <c r="K64" s="40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6" spans="2:21">
      <c r="K66" s="44"/>
      <c r="L66" s="44"/>
      <c r="M66" s="44"/>
    </row>
    <row r="67" spans="2:21">
      <c r="C67">
        <f>AVERAGE('owid-covid-data'!E2:E121)</f>
        <v>280.86666666666667</v>
      </c>
      <c r="F67">
        <f>C67^2</f>
        <v>78886.084444444452</v>
      </c>
    </row>
    <row r="69" spans="2:21">
      <c r="J69" s="39"/>
    </row>
    <row r="70" spans="2:21">
      <c r="J70" s="48"/>
      <c r="K70" s="38" t="s">
        <v>67</v>
      </c>
      <c r="L70" s="38"/>
    </row>
    <row r="71" spans="2:21">
      <c r="E71">
        <f>'owid-covid-data'!N123-'P1. Y1'!F3*'P1. Y1'!F67</f>
        <v>9081979.8666666653</v>
      </c>
      <c r="J71" s="49"/>
    </row>
    <row r="72" spans="2:21">
      <c r="J72" s="49"/>
      <c r="T72" t="s">
        <v>80</v>
      </c>
    </row>
    <row r="73" spans="2:21" ht="13.8" thickBot="1">
      <c r="J73" s="49"/>
      <c r="K73" s="2" t="s">
        <v>68</v>
      </c>
    </row>
    <row r="74" spans="2:21">
      <c r="J74" s="49"/>
      <c r="T74" s="58" t="s">
        <v>81</v>
      </c>
      <c r="U74" s="58"/>
    </row>
    <row r="75" spans="2:21">
      <c r="F75">
        <f>'owid-covid-data'!V123-'P1. Y1'!F3*'P1. Y1'!D5*'P1. Y1'!C67</f>
        <v>39392049.600000001</v>
      </c>
      <c r="J75" s="49"/>
      <c r="K75" s="45"/>
      <c r="T75" s="55" t="s">
        <v>82</v>
      </c>
      <c r="U75" s="55">
        <v>0.77366162686177442</v>
      </c>
    </row>
    <row r="76" spans="2:21" ht="14.4">
      <c r="J76" s="49"/>
      <c r="K76" s="61" t="s">
        <v>69</v>
      </c>
      <c r="L76" s="61"/>
      <c r="M76" s="61"/>
      <c r="N76" s="61"/>
      <c r="R76" s="59"/>
      <c r="S76" s="59"/>
      <c r="T76" s="55" t="s">
        <v>83</v>
      </c>
      <c r="U76" s="55">
        <v>0.59855231287840749</v>
      </c>
    </row>
    <row r="77" spans="2:21">
      <c r="J77" s="49"/>
      <c r="K77" t="s">
        <v>70</v>
      </c>
      <c r="R77" s="55"/>
      <c r="S77" s="55"/>
      <c r="T77" s="55" t="s">
        <v>84</v>
      </c>
      <c r="U77" s="55">
        <v>0.5951502138350041</v>
      </c>
    </row>
    <row r="78" spans="2:21">
      <c r="J78" s="49"/>
      <c r="R78" s="55"/>
      <c r="S78" s="55"/>
      <c r="T78" s="55" t="s">
        <v>85</v>
      </c>
      <c r="U78" s="55">
        <v>986.02980511008275</v>
      </c>
    </row>
    <row r="79" spans="2:21" ht="15" thickBot="1">
      <c r="B79" s="8" t="s">
        <v>22</v>
      </c>
      <c r="C79" s="8"/>
      <c r="D79" s="8"/>
      <c r="J79" s="49"/>
      <c r="K79" s="61" t="s">
        <v>71</v>
      </c>
      <c r="L79" s="61"/>
      <c r="M79" s="61"/>
      <c r="N79" s="61"/>
      <c r="R79" s="55"/>
      <c r="S79" s="55"/>
      <c r="T79" s="56" t="s">
        <v>86</v>
      </c>
      <c r="U79" s="56">
        <v>120</v>
      </c>
    </row>
    <row r="80" spans="2:21">
      <c r="J80" s="49"/>
      <c r="R80" s="55"/>
      <c r="S80" s="55"/>
    </row>
    <row r="81" spans="2:28" ht="13.8" thickBot="1">
      <c r="J81" s="49"/>
      <c r="R81" s="55"/>
      <c r="S81" s="55"/>
      <c r="T81" t="s">
        <v>87</v>
      </c>
    </row>
    <row r="82" spans="2:28">
      <c r="D82" t="s">
        <v>21</v>
      </c>
      <c r="E82">
        <f>F75/SQRT(E71*I6)</f>
        <v>0.77321762400250249</v>
      </c>
      <c r="J82" s="49"/>
      <c r="R82" s="39"/>
      <c r="S82" s="39"/>
      <c r="T82" s="57"/>
      <c r="U82" s="57" t="s">
        <v>92</v>
      </c>
      <c r="V82" s="57" t="s">
        <v>93</v>
      </c>
      <c r="W82" s="57" t="s">
        <v>94</v>
      </c>
      <c r="X82" s="57" t="s">
        <v>95</v>
      </c>
      <c r="Y82" s="57" t="s">
        <v>96</v>
      </c>
    </row>
    <row r="83" spans="2:28">
      <c r="J83" s="49"/>
      <c r="R83" s="39"/>
      <c r="S83" s="39"/>
      <c r="T83" s="55" t="s">
        <v>88</v>
      </c>
      <c r="U83" s="55">
        <v>1</v>
      </c>
      <c r="V83" s="55">
        <v>171054792.29027992</v>
      </c>
      <c r="W83" s="55">
        <v>171054792.29027992</v>
      </c>
      <c r="X83" s="55">
        <v>175.93618094070513</v>
      </c>
      <c r="Y83" s="55">
        <v>3.874731437208217E-25</v>
      </c>
    </row>
    <row r="84" spans="2:28">
      <c r="J84" s="49"/>
      <c r="R84" s="60"/>
      <c r="S84" s="60"/>
      <c r="T84" s="55" t="s">
        <v>89</v>
      </c>
      <c r="U84" s="55">
        <v>118</v>
      </c>
      <c r="V84" s="55">
        <v>114726063.63472046</v>
      </c>
      <c r="W84" s="55">
        <v>972254.77656542766</v>
      </c>
      <c r="X84" s="55"/>
      <c r="Y84" s="55"/>
    </row>
    <row r="85" spans="2:28" ht="15" thickBot="1">
      <c r="J85" s="49"/>
      <c r="K85" s="61" t="s">
        <v>72</v>
      </c>
      <c r="L85" s="61"/>
      <c r="M85" s="61"/>
      <c r="N85" s="61"/>
      <c r="R85" s="55"/>
      <c r="S85" s="55"/>
      <c r="T85" s="56" t="s">
        <v>90</v>
      </c>
      <c r="U85" s="56">
        <v>119</v>
      </c>
      <c r="V85" s="56">
        <v>285780855.92500037</v>
      </c>
      <c r="W85" s="56"/>
      <c r="X85" s="56"/>
      <c r="Y85" s="56"/>
    </row>
    <row r="86" spans="2:28" ht="13.8" thickBot="1">
      <c r="B86" s="8" t="s">
        <v>25</v>
      </c>
      <c r="C86" s="8"/>
      <c r="D86" s="8"/>
      <c r="E86" s="8"/>
      <c r="F86" s="8"/>
      <c r="G86" s="9"/>
      <c r="J86" s="49"/>
      <c r="R86" s="55"/>
      <c r="S86" s="55"/>
    </row>
    <row r="87" spans="2:28">
      <c r="J87" s="49"/>
      <c r="K87" t="s">
        <v>61</v>
      </c>
      <c r="L87">
        <v>0.05</v>
      </c>
      <c r="R87" s="55"/>
      <c r="S87" s="55"/>
      <c r="T87" s="57"/>
      <c r="U87" s="57" t="s">
        <v>97</v>
      </c>
      <c r="V87" s="57" t="s">
        <v>85</v>
      </c>
      <c r="W87" s="57" t="s">
        <v>98</v>
      </c>
      <c r="X87" s="57" t="s">
        <v>99</v>
      </c>
      <c r="Y87" s="57" t="s">
        <v>100</v>
      </c>
      <c r="Z87" s="57" t="s">
        <v>101</v>
      </c>
      <c r="AA87" s="57" t="s">
        <v>102</v>
      </c>
      <c r="AB87" s="57" t="s">
        <v>103</v>
      </c>
    </row>
    <row r="88" spans="2:28">
      <c r="J88" s="49"/>
      <c r="R88" s="39"/>
      <c r="S88" s="39"/>
      <c r="T88" s="55" t="s">
        <v>91</v>
      </c>
      <c r="U88" s="55">
        <v>-147.45160310235769</v>
      </c>
      <c r="V88" s="55">
        <v>128.63564401517087</v>
      </c>
      <c r="W88" s="55">
        <v>-1.146273291755493</v>
      </c>
      <c r="X88" s="55">
        <v>0.25400126666289952</v>
      </c>
      <c r="Y88" s="55">
        <v>-402.1851992129574</v>
      </c>
      <c r="Z88" s="55">
        <v>107.28199300824198</v>
      </c>
      <c r="AA88" s="55">
        <v>-402.1851992129574</v>
      </c>
      <c r="AB88" s="55">
        <v>107.28199300824198</v>
      </c>
    </row>
    <row r="89" spans="2:28" ht="13.8" thickBot="1">
      <c r="B89" t="s">
        <v>23</v>
      </c>
      <c r="C89">
        <f>F75/E71</f>
        <v>4.3373856998493832</v>
      </c>
      <c r="J89" s="49"/>
      <c r="L89">
        <f>ROUND(_xlfn.T.INV(1-L87/2,F3-2),2)</f>
        <v>1.98</v>
      </c>
      <c r="R89" s="60"/>
      <c r="S89" s="60"/>
      <c r="T89" s="56" t="s">
        <v>104</v>
      </c>
      <c r="U89" s="56">
        <v>4.3398763461987571</v>
      </c>
      <c r="V89" s="56">
        <v>0.32718981435922234</v>
      </c>
      <c r="W89" s="56">
        <v>13.264093672041998</v>
      </c>
      <c r="X89" s="56">
        <v>3.8747314372086321E-25</v>
      </c>
      <c r="Y89" s="56">
        <v>3.6919514365784138</v>
      </c>
      <c r="Z89" s="56">
        <v>4.9878012558191003</v>
      </c>
      <c r="AA89" s="56">
        <v>3.6919514365784138</v>
      </c>
      <c r="AB89" s="56">
        <v>4.9878012558191003</v>
      </c>
    </row>
    <row r="90" spans="2:28">
      <c r="J90" s="49"/>
      <c r="R90" s="55"/>
      <c r="S90" s="55"/>
    </row>
    <row r="91" spans="2:28">
      <c r="B91" t="s">
        <v>24</v>
      </c>
      <c r="C91">
        <f>D5-C89*C67</f>
        <v>-146.75206356436365</v>
      </c>
      <c r="J91" s="49"/>
      <c r="R91" s="55"/>
      <c r="S91" s="55"/>
    </row>
    <row r="92" spans="2:28">
      <c r="J92" s="49"/>
      <c r="K92" t="s">
        <v>73</v>
      </c>
      <c r="L92" t="str">
        <f>"]-∞;-"&amp;L89&amp;"[ U ]"&amp;L89&amp;";+∞["</f>
        <v>]-∞;-1,98[ U ]1,98;+∞[</v>
      </c>
    </row>
    <row r="93" spans="2:28" ht="13.8">
      <c r="B93" t="s">
        <v>26</v>
      </c>
      <c r="E93" t="s">
        <v>27</v>
      </c>
      <c r="G93" s="7">
        <f>C91</f>
        <v>-146.75206356436365</v>
      </c>
      <c r="H93" s="22">
        <f>C89</f>
        <v>4.3373856998493832</v>
      </c>
      <c r="J93" s="49"/>
    </row>
    <row r="94" spans="2:28">
      <c r="J94" s="49"/>
    </row>
    <row r="95" spans="2:28" ht="14.4">
      <c r="J95" s="49"/>
      <c r="K95" s="61" t="s">
        <v>74</v>
      </c>
      <c r="L95" s="61"/>
      <c r="M95" s="61"/>
      <c r="N95" s="61"/>
    </row>
    <row r="96" spans="2:28">
      <c r="B96" s="38" t="s">
        <v>59</v>
      </c>
      <c r="C96" s="38"/>
      <c r="D96" s="38"/>
      <c r="J96" s="49"/>
    </row>
    <row r="97" spans="2:17" ht="16.2">
      <c r="J97" s="49"/>
      <c r="K97" s="3" t="s">
        <v>75</v>
      </c>
      <c r="L97">
        <v>0</v>
      </c>
      <c r="N97" s="50" t="s">
        <v>76</v>
      </c>
      <c r="O97" s="50"/>
      <c r="P97" s="50"/>
      <c r="Q97" s="50"/>
    </row>
    <row r="98" spans="2:17">
      <c r="C98" t="s">
        <v>14</v>
      </c>
      <c r="D98">
        <v>120</v>
      </c>
      <c r="J98" s="49"/>
      <c r="K98" s="3" t="s">
        <v>77</v>
      </c>
      <c r="L98">
        <f>H103</f>
        <v>986.87292169660134</v>
      </c>
      <c r="N98" s="3" t="s">
        <v>78</v>
      </c>
      <c r="O98" s="51">
        <f>(C89-L97)/(L98*L99)</f>
        <v>13.245156006057515</v>
      </c>
    </row>
    <row r="99" spans="2:17">
      <c r="B99" t="s">
        <v>60</v>
      </c>
      <c r="D99">
        <v>0.95</v>
      </c>
      <c r="J99" s="49"/>
      <c r="L99">
        <f>SQRT(1/E71)</f>
        <v>3.3182548099820801E-4</v>
      </c>
    </row>
    <row r="100" spans="2:17">
      <c r="C100" t="s">
        <v>61</v>
      </c>
      <c r="D100">
        <v>0.05</v>
      </c>
      <c r="J100" s="49"/>
    </row>
    <row r="101" spans="2:17" ht="14.4">
      <c r="J101" s="49"/>
      <c r="K101" s="61" t="s">
        <v>79</v>
      </c>
      <c r="L101" s="61"/>
      <c r="M101" s="61"/>
      <c r="N101" s="61"/>
    </row>
    <row r="102" spans="2:17">
      <c r="D102">
        <f>ROUND(_xlfn.T.INV(1-D100/2,D98-2),2)</f>
        <v>1.98</v>
      </c>
      <c r="G102" s="46" t="s">
        <v>63</v>
      </c>
      <c r="H102" s="47">
        <f>I6-E71*C89^2</f>
        <v>114922343.30220237</v>
      </c>
      <c r="J102" s="49"/>
    </row>
    <row r="103" spans="2:17">
      <c r="G103" s="46" t="s">
        <v>64</v>
      </c>
      <c r="H103" s="46">
        <f>SQRT(H102/(D98-2))</f>
        <v>986.87292169660134</v>
      </c>
      <c r="J103" s="49"/>
    </row>
    <row r="104" spans="2:17">
      <c r="J104" s="49"/>
      <c r="K104" t="s">
        <v>106</v>
      </c>
    </row>
    <row r="105" spans="2:17">
      <c r="J105" s="49"/>
    </row>
    <row r="106" spans="2:17">
      <c r="D106">
        <f>SQRT(1/E71)</f>
        <v>3.3182548099820801E-4</v>
      </c>
      <c r="J106" s="49"/>
    </row>
    <row r="107" spans="2:17">
      <c r="J107" s="49"/>
    </row>
    <row r="108" spans="2:17">
      <c r="J108" s="49"/>
    </row>
    <row r="109" spans="2:17">
      <c r="C109" t="s">
        <v>62</v>
      </c>
      <c r="D109" s="29">
        <f>H103*D106*D102</f>
        <v>0.64838977221364158</v>
      </c>
      <c r="J109" s="49"/>
    </row>
    <row r="110" spans="2:17">
      <c r="J110" s="49"/>
    </row>
    <row r="111" spans="2:17">
      <c r="C111" t="s">
        <v>65</v>
      </c>
      <c r="D111" s="29">
        <f>ROUND(C89-D109,4)</f>
        <v>3.6890000000000001</v>
      </c>
      <c r="J111" s="49"/>
    </row>
    <row r="112" spans="2:17">
      <c r="C112" t="s">
        <v>66</v>
      </c>
      <c r="D112" s="29">
        <f>ROUND(C89+D109,4)</f>
        <v>4.9858000000000002</v>
      </c>
    </row>
    <row r="119" spans="1:24">
      <c r="A119" s="16"/>
      <c r="B119" s="17" t="s">
        <v>39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>
      <c r="K120" s="45"/>
      <c r="L120" s="45"/>
      <c r="M120" s="45"/>
    </row>
    <row r="121" spans="1:24">
      <c r="K121" s="44"/>
      <c r="L121" s="44"/>
      <c r="M121" s="53"/>
    </row>
    <row r="122" spans="1:24">
      <c r="C122">
        <f>AVERAGE('owid-covid-data'!F2:F121)</f>
        <v>1531.8833333333334</v>
      </c>
      <c r="F122">
        <f>C122^2</f>
        <v>2346666.546944445</v>
      </c>
      <c r="K122" s="52"/>
      <c r="L122" s="52"/>
      <c r="M122" s="52"/>
    </row>
    <row r="124" spans="1:24">
      <c r="J124" s="39"/>
    </row>
    <row r="125" spans="1:24">
      <c r="E125">
        <f>'owid-covid-data'!O123-'P1. Y1'!F3*'P1. Y1'!F122</f>
        <v>440292938.36666662</v>
      </c>
      <c r="J125" s="48"/>
      <c r="K125" s="38" t="s">
        <v>67</v>
      </c>
      <c r="L125" s="38"/>
    </row>
    <row r="126" spans="1:24">
      <c r="J126" s="49"/>
    </row>
    <row r="127" spans="1:24">
      <c r="J127" s="49"/>
    </row>
    <row r="128" spans="1:24">
      <c r="F128">
        <f>'owid-covid-data'!W123-'P1. Y1'!F3*'P1. Y1'!D5*'P1. Y1'!C122</f>
        <v>303620347.64999998</v>
      </c>
      <c r="J128" s="49"/>
      <c r="K128" s="2" t="s">
        <v>68</v>
      </c>
    </row>
    <row r="129" spans="2:28">
      <c r="J129" s="49"/>
      <c r="T129" t="s">
        <v>80</v>
      </c>
    </row>
    <row r="130" spans="2:28" ht="13.8" thickBot="1">
      <c r="J130" s="49"/>
      <c r="K130" s="45"/>
    </row>
    <row r="131" spans="2:28" ht="14.4">
      <c r="B131" s="8" t="s">
        <v>22</v>
      </c>
      <c r="C131" s="8"/>
      <c r="D131" s="8"/>
      <c r="J131" s="49"/>
      <c r="K131" s="61" t="s">
        <v>69</v>
      </c>
      <c r="L131" s="61"/>
      <c r="M131" s="61"/>
      <c r="N131" s="61"/>
      <c r="T131" s="58" t="s">
        <v>81</v>
      </c>
      <c r="U131" s="58"/>
    </row>
    <row r="132" spans="2:28">
      <c r="J132" s="49"/>
      <c r="K132" t="s">
        <v>70</v>
      </c>
      <c r="T132" s="55" t="s">
        <v>82</v>
      </c>
      <c r="U132" s="55">
        <v>0.85594024525460322</v>
      </c>
    </row>
    <row r="133" spans="2:28">
      <c r="J133" s="49"/>
      <c r="T133" s="55" t="s">
        <v>83</v>
      </c>
      <c r="U133" s="55">
        <v>0.73263370344651024</v>
      </c>
    </row>
    <row r="134" spans="2:28" ht="14.4">
      <c r="D134" t="s">
        <v>21</v>
      </c>
      <c r="E134">
        <f>F128/SQRT(E125*I6)</f>
        <v>0.85594024525460255</v>
      </c>
      <c r="J134" s="49"/>
      <c r="K134" s="61" t="s">
        <v>71</v>
      </c>
      <c r="L134" s="61"/>
      <c r="M134" s="61"/>
      <c r="N134" s="61"/>
      <c r="T134" s="55" t="s">
        <v>84</v>
      </c>
      <c r="U134" s="55">
        <v>0.73036788737402303</v>
      </c>
    </row>
    <row r="135" spans="2:28">
      <c r="J135" s="49"/>
      <c r="T135" s="55" t="s">
        <v>85</v>
      </c>
      <c r="U135" s="55">
        <v>804.69053465541333</v>
      </c>
    </row>
    <row r="136" spans="2:28" ht="13.8" thickBot="1">
      <c r="J136" s="49"/>
      <c r="T136" s="56" t="s">
        <v>86</v>
      </c>
      <c r="U136" s="56">
        <v>120</v>
      </c>
    </row>
    <row r="137" spans="2:28">
      <c r="J137" s="49"/>
    </row>
    <row r="138" spans="2:28" ht="13.8" thickBot="1">
      <c r="B138" s="8" t="s">
        <v>25</v>
      </c>
      <c r="C138" s="8"/>
      <c r="D138" s="8"/>
      <c r="E138" s="8"/>
      <c r="F138" s="8"/>
      <c r="G138" s="9"/>
      <c r="J138" s="49"/>
      <c r="T138" t="s">
        <v>87</v>
      </c>
    </row>
    <row r="139" spans="2:28">
      <c r="J139" s="49"/>
      <c r="T139" s="57"/>
      <c r="U139" s="57" t="s">
        <v>92</v>
      </c>
      <c r="V139" s="57" t="s">
        <v>93</v>
      </c>
      <c r="W139" s="57" t="s">
        <v>94</v>
      </c>
      <c r="X139" s="57" t="s">
        <v>95</v>
      </c>
      <c r="Y139" s="57" t="s">
        <v>96</v>
      </c>
    </row>
    <row r="140" spans="2:28" ht="14.4">
      <c r="J140" s="49"/>
      <c r="K140" s="61" t="s">
        <v>72</v>
      </c>
      <c r="L140" s="61"/>
      <c r="M140" s="61"/>
      <c r="N140" s="61"/>
      <c r="T140" s="55" t="s">
        <v>88</v>
      </c>
      <c r="U140" s="55">
        <v>1</v>
      </c>
      <c r="V140" s="55">
        <v>209372686.85044658</v>
      </c>
      <c r="W140" s="55">
        <v>209372686.85044658</v>
      </c>
      <c r="X140" s="55">
        <v>323.34208956435435</v>
      </c>
      <c r="Y140" s="55">
        <v>1.3508820148389703E-35</v>
      </c>
    </row>
    <row r="141" spans="2:28">
      <c r="B141" t="s">
        <v>23</v>
      </c>
      <c r="C141">
        <f>F128/E125</f>
        <v>0.68958713890875845</v>
      </c>
      <c r="J141" s="49"/>
      <c r="T141" s="55" t="s">
        <v>89</v>
      </c>
      <c r="U141" s="55">
        <v>118</v>
      </c>
      <c r="V141" s="55">
        <v>76408169.074553773</v>
      </c>
      <c r="W141" s="55">
        <v>647526.85656401503</v>
      </c>
      <c r="X141" s="55"/>
      <c r="Y141" s="55"/>
    </row>
    <row r="142" spans="2:28" ht="13.8" thickBot="1">
      <c r="J142" s="49"/>
      <c r="K142" t="s">
        <v>61</v>
      </c>
      <c r="L142">
        <v>0.05</v>
      </c>
      <c r="T142" s="56" t="s">
        <v>90</v>
      </c>
      <c r="U142" s="56">
        <v>119</v>
      </c>
      <c r="V142" s="56">
        <v>285780855.92500037</v>
      </c>
      <c r="W142" s="56"/>
      <c r="X142" s="56"/>
      <c r="Y142" s="56"/>
    </row>
    <row r="143" spans="2:28" ht="13.8" thickBot="1">
      <c r="B143" t="s">
        <v>24</v>
      </c>
      <c r="C143">
        <f>D5-C141*C122</f>
        <v>15.10795502465453</v>
      </c>
      <c r="J143" s="49"/>
    </row>
    <row r="144" spans="2:28">
      <c r="J144" s="49"/>
      <c r="L144">
        <f>ROUND(_xlfn.T.INV(1-L142/2,F3-2),2)</f>
        <v>1.98</v>
      </c>
      <c r="T144" s="57"/>
      <c r="U144" s="57" t="s">
        <v>97</v>
      </c>
      <c r="V144" s="57" t="s">
        <v>85</v>
      </c>
      <c r="W144" s="57" t="s">
        <v>98</v>
      </c>
      <c r="X144" s="57" t="s">
        <v>99</v>
      </c>
      <c r="Y144" s="57" t="s">
        <v>100</v>
      </c>
      <c r="Z144" s="57" t="s">
        <v>101</v>
      </c>
      <c r="AA144" s="57" t="s">
        <v>102</v>
      </c>
      <c r="AB144" s="57" t="s">
        <v>103</v>
      </c>
    </row>
    <row r="145" spans="2:28" ht="13.8">
      <c r="B145" t="s">
        <v>26</v>
      </c>
      <c r="E145" t="s">
        <v>27</v>
      </c>
      <c r="G145" s="23">
        <f>C143</f>
        <v>15.10795502465453</v>
      </c>
      <c r="H145" s="20">
        <f>C141</f>
        <v>0.68958713890875845</v>
      </c>
      <c r="J145" s="49"/>
      <c r="T145" s="55" t="s">
        <v>91</v>
      </c>
      <c r="U145" s="55">
        <v>15.107955024655666</v>
      </c>
      <c r="V145" s="55">
        <v>94.059746131585754</v>
      </c>
      <c r="W145" s="55">
        <v>0.16062083564971835</v>
      </c>
      <c r="X145" s="55">
        <v>0.87266669789885853</v>
      </c>
      <c r="Y145" s="55">
        <v>-171.15595001338434</v>
      </c>
      <c r="Z145" s="55">
        <v>201.37186006269567</v>
      </c>
      <c r="AA145" s="55">
        <v>-171.15595001338434</v>
      </c>
      <c r="AB145" s="55">
        <v>201.37186006269567</v>
      </c>
    </row>
    <row r="146" spans="2:28" ht="13.8" thickBot="1">
      <c r="J146" s="49"/>
      <c r="T146" s="56" t="s">
        <v>104</v>
      </c>
      <c r="U146" s="56">
        <v>0.68958713890875767</v>
      </c>
      <c r="V146" s="56">
        <v>3.8349352254536444E-2</v>
      </c>
      <c r="W146" s="56">
        <v>17.981715423294656</v>
      </c>
      <c r="X146" s="56">
        <v>1.35088201483924E-35</v>
      </c>
      <c r="Y146" s="56">
        <v>0.61364498086150532</v>
      </c>
      <c r="Z146" s="56">
        <v>0.76552929695601002</v>
      </c>
      <c r="AA146" s="56">
        <v>0.61364498086150532</v>
      </c>
      <c r="AB146" s="56">
        <v>0.76552929695601002</v>
      </c>
    </row>
    <row r="147" spans="2:28">
      <c r="J147" s="49"/>
      <c r="K147" t="s">
        <v>73</v>
      </c>
      <c r="L147" t="str">
        <f>"]-∞;-"&amp;L144&amp;"[ U ]"&amp;L144&amp;";+∞["</f>
        <v>]-∞;-1,98[ U ]1,98;+∞[</v>
      </c>
    </row>
    <row r="148" spans="2:28">
      <c r="B148" s="38" t="s">
        <v>59</v>
      </c>
      <c r="C148" s="38"/>
      <c r="D148" s="38"/>
      <c r="J148" s="49"/>
    </row>
    <row r="149" spans="2:28">
      <c r="J149" s="49"/>
    </row>
    <row r="150" spans="2:28" ht="14.4">
      <c r="C150" t="s">
        <v>14</v>
      </c>
      <c r="D150">
        <v>120</v>
      </c>
      <c r="J150" s="49"/>
      <c r="K150" s="61" t="s">
        <v>74</v>
      </c>
      <c r="L150" s="61"/>
      <c r="M150" s="61"/>
      <c r="N150" s="61"/>
    </row>
    <row r="151" spans="2:28">
      <c r="B151" t="s">
        <v>60</v>
      </c>
      <c r="D151">
        <v>0.95</v>
      </c>
      <c r="J151" s="49"/>
    </row>
    <row r="152" spans="2:28" ht="16.2">
      <c r="C152" t="s">
        <v>61</v>
      </c>
      <c r="D152">
        <v>0.05</v>
      </c>
      <c r="J152" s="49"/>
      <c r="K152" s="3" t="s">
        <v>75</v>
      </c>
      <c r="L152">
        <v>0</v>
      </c>
      <c r="N152" s="50" t="s">
        <v>76</v>
      </c>
      <c r="O152" s="50"/>
      <c r="P152" s="50"/>
      <c r="Q152" s="50"/>
    </row>
    <row r="153" spans="2:28">
      <c r="J153" s="49"/>
      <c r="K153" s="3" t="s">
        <v>77</v>
      </c>
      <c r="L153">
        <f>H155</f>
        <v>804.69053465541435</v>
      </c>
      <c r="N153" s="3" t="s">
        <v>78</v>
      </c>
      <c r="O153" s="51">
        <f>(C141-L152)/(L153*L154)</f>
        <v>17.981715423294652</v>
      </c>
    </row>
    <row r="154" spans="2:28">
      <c r="D154">
        <f>ROUND(_xlfn.T.INV(1-D152/2,D150-2),2)</f>
        <v>1.98</v>
      </c>
      <c r="G154" s="46" t="s">
        <v>63</v>
      </c>
      <c r="H154" s="47">
        <f>I6-E125*C141^2</f>
        <v>76408169.074553967</v>
      </c>
      <c r="J154" s="49"/>
      <c r="L154">
        <f>SQRT(1/E125)</f>
        <v>4.7657267735799217E-5</v>
      </c>
    </row>
    <row r="155" spans="2:28">
      <c r="G155" s="46" t="s">
        <v>64</v>
      </c>
      <c r="H155" s="46">
        <f>SQRT(H154/(D150-2))</f>
        <v>804.69053465541435</v>
      </c>
      <c r="J155" s="49"/>
    </row>
    <row r="156" spans="2:28" ht="14.4">
      <c r="J156" s="49"/>
      <c r="K156" s="61" t="s">
        <v>79</v>
      </c>
      <c r="L156" s="61"/>
      <c r="M156" s="61"/>
      <c r="N156" s="61"/>
    </row>
    <row r="157" spans="2:28">
      <c r="J157" s="49"/>
    </row>
    <row r="158" spans="2:28">
      <c r="D158">
        <f>SQRT(1/E125)</f>
        <v>4.7657267735799217E-5</v>
      </c>
      <c r="J158" s="49"/>
    </row>
    <row r="159" spans="2:28">
      <c r="J159" s="49"/>
      <c r="K159" t="s">
        <v>107</v>
      </c>
    </row>
    <row r="160" spans="2:28">
      <c r="J160" s="49"/>
    </row>
    <row r="161" spans="1:24">
      <c r="C161" t="s">
        <v>62</v>
      </c>
      <c r="D161" s="29">
        <f>H155*D158*D154</f>
        <v>7.5931717463982265E-2</v>
      </c>
      <c r="J161" s="49"/>
    </row>
    <row r="162" spans="1:24">
      <c r="J162" s="49"/>
    </row>
    <row r="163" spans="1:24">
      <c r="C163" t="s">
        <v>65</v>
      </c>
      <c r="D163" s="29">
        <f>ROUND(C141-D161,4)</f>
        <v>0.61370000000000002</v>
      </c>
      <c r="J163" s="49"/>
    </row>
    <row r="164" spans="1:24">
      <c r="C164" t="s">
        <v>66</v>
      </c>
      <c r="D164" s="29">
        <f>ROUND(C141+D161,4)</f>
        <v>0.76549999999999996</v>
      </c>
      <c r="J164" s="49"/>
    </row>
    <row r="165" spans="1:24">
      <c r="J165" s="49"/>
    </row>
    <row r="166" spans="1:24">
      <c r="J166" s="49"/>
    </row>
    <row r="172" spans="1:24">
      <c r="A172" s="16"/>
      <c r="B172" s="17" t="s">
        <v>41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5" spans="1:24">
      <c r="C175">
        <f>AVERAGE('owid-covid-data'!G2:G121)</f>
        <v>37526.716666666667</v>
      </c>
      <c r="F175">
        <f>C175^2</f>
        <v>1408254463.7802777</v>
      </c>
      <c r="K175" s="44"/>
      <c r="L175" s="44"/>
      <c r="M175" s="44"/>
    </row>
    <row r="176" spans="1:24">
      <c r="J176" s="48"/>
      <c r="K176" s="38" t="s">
        <v>67</v>
      </c>
      <c r="L176" s="38"/>
    </row>
    <row r="177" spans="2:21">
      <c r="J177" s="49"/>
    </row>
    <row r="178" spans="2:21">
      <c r="E178">
        <f>'owid-covid-data'!P123-'P1. Y1'!F3*'P1. Y1'!F175</f>
        <v>38761835126.366669</v>
      </c>
      <c r="J178" s="49"/>
    </row>
    <row r="179" spans="2:21">
      <c r="J179" s="49"/>
      <c r="K179" s="2" t="s">
        <v>68</v>
      </c>
    </row>
    <row r="180" spans="2:21">
      <c r="J180" s="49"/>
    </row>
    <row r="181" spans="2:21">
      <c r="F181">
        <f>'owid-covid-data'!X123-'P1. Y1'!F3*'P1. Y1'!D5*'P1. Y1'!C175</f>
        <v>191610375.15000057</v>
      </c>
      <c r="J181" s="49"/>
      <c r="K181" s="45"/>
    </row>
    <row r="182" spans="2:21" ht="14.4">
      <c r="J182" s="49"/>
      <c r="K182" s="61" t="s">
        <v>69</v>
      </c>
      <c r="L182" s="61"/>
      <c r="M182" s="61"/>
      <c r="N182" s="61"/>
    </row>
    <row r="183" spans="2:21">
      <c r="J183" s="49"/>
      <c r="K183" t="s">
        <v>70</v>
      </c>
      <c r="T183" t="s">
        <v>80</v>
      </c>
    </row>
    <row r="184" spans="2:21" ht="13.8" thickBot="1">
      <c r="B184" s="8" t="s">
        <v>22</v>
      </c>
      <c r="C184" s="8"/>
      <c r="D184" s="8"/>
      <c r="J184" s="49"/>
    </row>
    <row r="185" spans="2:21" ht="14.4">
      <c r="J185" s="49"/>
      <c r="K185" s="61" t="s">
        <v>71</v>
      </c>
      <c r="L185" s="61"/>
      <c r="M185" s="61"/>
      <c r="N185" s="61"/>
      <c r="T185" s="58" t="s">
        <v>81</v>
      </c>
      <c r="U185" s="58"/>
    </row>
    <row r="186" spans="2:21">
      <c r="J186" s="49"/>
      <c r="T186" s="55" t="s">
        <v>82</v>
      </c>
      <c r="U186" s="55">
        <v>5.757053825280193E-2</v>
      </c>
    </row>
    <row r="187" spans="2:21">
      <c r="D187" t="s">
        <v>21</v>
      </c>
      <c r="E187">
        <f>F181/SQRT(E178*I6)</f>
        <v>5.7570538252777352E-2</v>
      </c>
      <c r="J187" s="49"/>
      <c r="T187" s="55" t="s">
        <v>83</v>
      </c>
      <c r="U187" s="55">
        <v>3.3143668747173303E-3</v>
      </c>
    </row>
    <row r="188" spans="2:21">
      <c r="J188" s="49"/>
      <c r="T188" s="55" t="s">
        <v>84</v>
      </c>
      <c r="U188" s="55">
        <v>-5.1321215415986244E-3</v>
      </c>
    </row>
    <row r="189" spans="2:21">
      <c r="J189" s="49"/>
      <c r="T189" s="55" t="s">
        <v>85</v>
      </c>
      <c r="U189" s="55">
        <v>1553.6552671604388</v>
      </c>
    </row>
    <row r="190" spans="2:21" ht="13.8" thickBot="1">
      <c r="J190" s="49"/>
      <c r="T190" s="56" t="s">
        <v>86</v>
      </c>
      <c r="U190" s="56">
        <v>120</v>
      </c>
    </row>
    <row r="191" spans="2:21" ht="14.4">
      <c r="B191" s="8" t="s">
        <v>25</v>
      </c>
      <c r="C191" s="8"/>
      <c r="D191" s="8"/>
      <c r="E191" s="8"/>
      <c r="F191" s="8"/>
      <c r="G191" s="9"/>
      <c r="J191" s="49"/>
      <c r="K191" s="61" t="s">
        <v>72</v>
      </c>
      <c r="L191" s="61"/>
      <c r="M191" s="61"/>
      <c r="N191" s="61"/>
    </row>
    <row r="192" spans="2:21" ht="13.8" thickBot="1">
      <c r="J192" s="49"/>
      <c r="T192" t="s">
        <v>87</v>
      </c>
    </row>
    <row r="193" spans="2:28">
      <c r="J193" s="49"/>
      <c r="K193" t="s">
        <v>61</v>
      </c>
      <c r="L193">
        <v>0.05</v>
      </c>
      <c r="T193" s="57"/>
      <c r="U193" s="57" t="s">
        <v>92</v>
      </c>
      <c r="V193" s="57" t="s">
        <v>93</v>
      </c>
      <c r="W193" s="57" t="s">
        <v>94</v>
      </c>
      <c r="X193" s="57" t="s">
        <v>95</v>
      </c>
      <c r="Y193" s="57" t="s">
        <v>96</v>
      </c>
    </row>
    <row r="194" spans="2:28">
      <c r="B194" t="s">
        <v>23</v>
      </c>
      <c r="C194">
        <f>F181/E178</f>
        <v>4.9432740871358516E-3</v>
      </c>
      <c r="J194" s="49"/>
      <c r="T194" s="55" t="s">
        <v>88</v>
      </c>
      <c r="U194" s="55">
        <v>1</v>
      </c>
      <c r="V194" s="55">
        <v>947182.60230618715</v>
      </c>
      <c r="W194" s="55">
        <v>947182.60230618715</v>
      </c>
      <c r="X194" s="55">
        <v>0.39239583497385944</v>
      </c>
      <c r="Y194" s="55">
        <v>0.53225267659648301</v>
      </c>
    </row>
    <row r="195" spans="2:28">
      <c r="J195" s="49"/>
      <c r="L195">
        <f>ROUND(_xlfn.T.INV(1-L193/2,D204-2),2)</f>
        <v>1.98</v>
      </c>
      <c r="T195" s="55" t="s">
        <v>89</v>
      </c>
      <c r="U195" s="55">
        <v>118</v>
      </c>
      <c r="V195" s="55">
        <v>284833673.32269418</v>
      </c>
      <c r="W195" s="55">
        <v>2413844.6891753743</v>
      </c>
      <c r="X195" s="55"/>
      <c r="Y195" s="55"/>
    </row>
    <row r="196" spans="2:28" ht="13.8" thickBot="1">
      <c r="B196" t="s">
        <v>24</v>
      </c>
      <c r="C196">
        <f>D5-C194*C175</f>
        <v>885.97015392637752</v>
      </c>
      <c r="J196" s="49"/>
      <c r="T196" s="56" t="s">
        <v>90</v>
      </c>
      <c r="U196" s="56">
        <v>119</v>
      </c>
      <c r="V196" s="56">
        <v>285780855.92500037</v>
      </c>
      <c r="W196" s="56"/>
      <c r="X196" s="56"/>
      <c r="Y196" s="56"/>
    </row>
    <row r="197" spans="2:28" ht="13.8" thickBot="1">
      <c r="J197" s="49"/>
    </row>
    <row r="198" spans="2:28" ht="13.8">
      <c r="B198" t="s">
        <v>26</v>
      </c>
      <c r="E198" t="s">
        <v>27</v>
      </c>
      <c r="G198" s="23">
        <f>C196</f>
        <v>885.97015392637752</v>
      </c>
      <c r="H198" s="22">
        <f>C194</f>
        <v>4.9432740871358516E-3</v>
      </c>
      <c r="J198" s="49"/>
      <c r="K198" t="s">
        <v>73</v>
      </c>
      <c r="L198" t="str">
        <f>"]-∞;-"&amp;L195&amp;"[ U ]"&amp;L195&amp;";+∞["</f>
        <v>]-∞;-1,98[ U ]1,98;+∞[</v>
      </c>
      <c r="T198" s="57"/>
      <c r="U198" s="57" t="s">
        <v>97</v>
      </c>
      <c r="V198" s="57" t="s">
        <v>85</v>
      </c>
      <c r="W198" s="57" t="s">
        <v>98</v>
      </c>
      <c r="X198" s="57" t="s">
        <v>99</v>
      </c>
      <c r="Y198" s="57" t="s">
        <v>100</v>
      </c>
      <c r="Z198" s="57" t="s">
        <v>101</v>
      </c>
      <c r="AA198" s="57" t="s">
        <v>102</v>
      </c>
      <c r="AB198" s="57" t="s">
        <v>103</v>
      </c>
    </row>
    <row r="199" spans="2:28">
      <c r="J199" s="49"/>
      <c r="T199" s="55" t="s">
        <v>91</v>
      </c>
      <c r="U199" s="55">
        <v>885.97015392637843</v>
      </c>
      <c r="V199" s="55">
        <v>328.34837246444766</v>
      </c>
      <c r="W199" s="55">
        <v>2.6982626631484461</v>
      </c>
      <c r="X199" s="55">
        <v>7.9926417209989532E-3</v>
      </c>
      <c r="Y199" s="55">
        <v>235.75098384108719</v>
      </c>
      <c r="Z199" s="55">
        <v>1536.1893240116697</v>
      </c>
      <c r="AA199" s="55">
        <v>235.75098384108719</v>
      </c>
      <c r="AB199" s="55">
        <v>1536.1893240116697</v>
      </c>
    </row>
    <row r="200" spans="2:28" ht="13.8" thickBot="1">
      <c r="J200" s="49"/>
      <c r="T200" s="56" t="s">
        <v>104</v>
      </c>
      <c r="U200" s="56">
        <v>4.9432740871358256E-3</v>
      </c>
      <c r="V200" s="56">
        <v>7.8913716400731727E-3</v>
      </c>
      <c r="W200" s="56">
        <v>0.62641506604927666</v>
      </c>
      <c r="X200" s="56">
        <v>0.53225267659666031</v>
      </c>
      <c r="Y200" s="56">
        <v>-1.0683790180400816E-2</v>
      </c>
      <c r="Z200" s="56">
        <v>2.0570338354672466E-2</v>
      </c>
      <c r="AA200" s="56">
        <v>-1.0683790180400816E-2</v>
      </c>
      <c r="AB200" s="56">
        <v>2.0570338354672466E-2</v>
      </c>
    </row>
    <row r="201" spans="2:28" ht="14.4">
      <c r="J201" s="49"/>
      <c r="K201" s="61" t="s">
        <v>74</v>
      </c>
      <c r="L201" s="61"/>
      <c r="M201" s="61"/>
      <c r="N201" s="61"/>
    </row>
    <row r="202" spans="2:28">
      <c r="B202" s="38" t="s">
        <v>59</v>
      </c>
      <c r="C202" s="38"/>
      <c r="D202" s="38"/>
      <c r="J202" s="49"/>
    </row>
    <row r="203" spans="2:28" ht="16.2">
      <c r="J203" s="49"/>
      <c r="K203" s="3" t="s">
        <v>75</v>
      </c>
      <c r="L203">
        <v>0</v>
      </c>
      <c r="N203" s="50" t="s">
        <v>76</v>
      </c>
      <c r="O203" s="50"/>
      <c r="P203" s="50"/>
      <c r="Q203" s="50"/>
    </row>
    <row r="204" spans="2:28">
      <c r="C204" t="s">
        <v>14</v>
      </c>
      <c r="D204">
        <v>120</v>
      </c>
      <c r="J204" s="49"/>
      <c r="K204" s="3" t="s">
        <v>77</v>
      </c>
      <c r="L204">
        <f>H209</f>
        <v>1553.6552671604402</v>
      </c>
      <c r="N204" s="3" t="s">
        <v>78</v>
      </c>
      <c r="O204" s="51">
        <f>(C194-L203)/(L204*L205)</f>
        <v>0.62641506604927943</v>
      </c>
    </row>
    <row r="205" spans="2:28">
      <c r="B205" t="s">
        <v>60</v>
      </c>
      <c r="D205">
        <v>0.95</v>
      </c>
      <c r="J205" s="49"/>
      <c r="L205">
        <f>SQRT(1/E178)</f>
        <v>5.0792294834464506E-6</v>
      </c>
    </row>
    <row r="206" spans="2:28">
      <c r="C206" t="s">
        <v>61</v>
      </c>
      <c r="D206">
        <v>0.05</v>
      </c>
      <c r="J206" s="49"/>
    </row>
    <row r="207" spans="2:28" ht="14.4">
      <c r="J207" s="49"/>
      <c r="K207" s="61" t="s">
        <v>79</v>
      </c>
      <c r="L207" s="61"/>
      <c r="M207" s="61"/>
      <c r="N207" s="61"/>
    </row>
    <row r="208" spans="2:28">
      <c r="D208">
        <f>ROUND(_xlfn.T.INV(1-D206/2,D204-2),2)</f>
        <v>1.98</v>
      </c>
      <c r="G208" s="46" t="s">
        <v>63</v>
      </c>
      <c r="H208" s="47">
        <f>I6-E178*C194^2</f>
        <v>284833673.32269466</v>
      </c>
      <c r="J208" s="49"/>
    </row>
    <row r="209" spans="3:11">
      <c r="G209" s="46" t="s">
        <v>64</v>
      </c>
      <c r="H209" s="46">
        <f>SQRT(H208/(D204-2))</f>
        <v>1553.6552671604402</v>
      </c>
      <c r="J209" s="49"/>
    </row>
    <row r="210" spans="3:11">
      <c r="J210" s="49"/>
      <c r="K210" t="s">
        <v>108</v>
      </c>
    </row>
    <row r="211" spans="3:11">
      <c r="J211" s="49"/>
    </row>
    <row r="212" spans="3:11">
      <c r="D212">
        <f>SQRT(1/E178)</f>
        <v>5.0792294834464506E-6</v>
      </c>
      <c r="J212" s="49"/>
    </row>
    <row r="213" spans="3:11">
      <c r="J213" s="49"/>
    </row>
    <row r="214" spans="3:11">
      <c r="J214" s="49"/>
    </row>
    <row r="215" spans="3:11">
      <c r="C215" t="s">
        <v>62</v>
      </c>
      <c r="D215" s="29">
        <f>H209*D212*D208</f>
        <v>1.5624915847344895E-2</v>
      </c>
      <c r="J215" s="49"/>
    </row>
    <row r="216" spans="3:11">
      <c r="J216" s="49"/>
    </row>
    <row r="217" spans="3:11">
      <c r="C217" t="s">
        <v>65</v>
      </c>
      <c r="D217" s="29">
        <f>ROUND(C194-D215,4)</f>
        <v>-1.0699999999999999E-2</v>
      </c>
      <c r="J217" s="49"/>
    </row>
    <row r="218" spans="3:11">
      <c r="C218" t="s">
        <v>66</v>
      </c>
      <c r="D218" s="29">
        <f>ROUND(C194+D215,4)</f>
        <v>2.06E-2</v>
      </c>
    </row>
    <row r="225" spans="1:24">
      <c r="A225" s="16"/>
      <c r="B225" s="17" t="s">
        <v>43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7" spans="1:24">
      <c r="K227" s="44"/>
      <c r="L227" s="44"/>
      <c r="M227" s="44"/>
    </row>
    <row r="228" spans="1:24">
      <c r="C228">
        <f>AVERAGE('owid-covid-data'!H2:H121)</f>
        <v>3.5775000000000036E-2</v>
      </c>
      <c r="F228">
        <f>C228^2</f>
        <v>1.2798506250000026E-3</v>
      </c>
    </row>
    <row r="230" spans="1:24">
      <c r="J230" s="48"/>
      <c r="K230" s="38" t="s">
        <v>67</v>
      </c>
      <c r="L230" s="38"/>
    </row>
    <row r="231" spans="1:24">
      <c r="E231">
        <f>'owid-covid-data'!Q123-'P1. Y1'!F3*'P1. Y1'!F228</f>
        <v>0.25541458499999936</v>
      </c>
      <c r="J231" s="49"/>
    </row>
    <row r="232" spans="1:24">
      <c r="J232" s="49"/>
    </row>
    <row r="233" spans="1:24">
      <c r="J233" s="49"/>
      <c r="K233" s="2" t="s">
        <v>68</v>
      </c>
    </row>
    <row r="234" spans="1:24">
      <c r="F234">
        <f>'owid-covid-data'!Y123-'P1. Y1'!F3*'P1. Y1'!D5*'P1. Y1'!C228</f>
        <v>7914.34972500001</v>
      </c>
      <c r="J234" s="49"/>
    </row>
    <row r="235" spans="1:24">
      <c r="J235" s="49"/>
      <c r="K235" s="45"/>
    </row>
    <row r="236" spans="1:24" ht="14.4">
      <c r="J236" s="49"/>
      <c r="K236" s="61" t="s">
        <v>69</v>
      </c>
      <c r="L236" s="61"/>
      <c r="M236" s="61"/>
      <c r="N236" s="61"/>
      <c r="T236" t="s">
        <v>80</v>
      </c>
    </row>
    <row r="237" spans="1:24" ht="13.8" thickBot="1">
      <c r="B237" s="8" t="s">
        <v>22</v>
      </c>
      <c r="C237" s="8"/>
      <c r="D237" s="8"/>
      <c r="J237" s="49"/>
      <c r="K237" t="s">
        <v>70</v>
      </c>
    </row>
    <row r="238" spans="1:24">
      <c r="J238" s="49"/>
      <c r="T238" s="58" t="s">
        <v>81</v>
      </c>
      <c r="U238" s="58"/>
    </row>
    <row r="239" spans="1:24" ht="14.4">
      <c r="J239" s="49"/>
      <c r="K239" s="61" t="s">
        <v>71</v>
      </c>
      <c r="L239" s="61"/>
      <c r="M239" s="61"/>
      <c r="N239" s="61"/>
      <c r="T239" s="55" t="s">
        <v>82</v>
      </c>
      <c r="U239" s="55">
        <v>0.92635153252000246</v>
      </c>
    </row>
    <row r="240" spans="1:24">
      <c r="D240" t="s">
        <v>21</v>
      </c>
      <c r="E240">
        <f>F234/SQRT(E231*I6)</f>
        <v>0.92635153252000468</v>
      </c>
      <c r="J240" s="49"/>
      <c r="T240" s="55" t="s">
        <v>83</v>
      </c>
      <c r="U240" s="55">
        <v>0.85812716180215709</v>
      </c>
    </row>
    <row r="241" spans="2:28">
      <c r="J241" s="49"/>
      <c r="T241" s="55" t="s">
        <v>84</v>
      </c>
      <c r="U241" s="55">
        <v>0.85692484961403981</v>
      </c>
    </row>
    <row r="242" spans="2:28">
      <c r="J242" s="49"/>
      <c r="T242" s="55" t="s">
        <v>85</v>
      </c>
      <c r="U242" s="55">
        <v>586.17216430774488</v>
      </c>
    </row>
    <row r="243" spans="2:28" ht="13.8" thickBot="1">
      <c r="J243" s="49"/>
      <c r="T243" s="56" t="s">
        <v>86</v>
      </c>
      <c r="U243" s="56">
        <v>120</v>
      </c>
    </row>
    <row r="244" spans="2:28">
      <c r="B244" s="8" t="s">
        <v>25</v>
      </c>
      <c r="C244" s="8"/>
      <c r="D244" s="8"/>
      <c r="E244" s="8"/>
      <c r="F244" s="8"/>
      <c r="G244" s="9"/>
      <c r="J244" s="49"/>
    </row>
    <row r="245" spans="2:28" ht="15" thickBot="1">
      <c r="J245" s="49"/>
      <c r="K245" s="61" t="s">
        <v>72</v>
      </c>
      <c r="L245" s="61"/>
      <c r="M245" s="61"/>
      <c r="N245" s="61"/>
      <c r="T245" t="s">
        <v>87</v>
      </c>
    </row>
    <row r="246" spans="2:28">
      <c r="J246" s="49"/>
      <c r="T246" s="57"/>
      <c r="U246" s="57" t="s">
        <v>92</v>
      </c>
      <c r="V246" s="57" t="s">
        <v>93</v>
      </c>
      <c r="W246" s="57" t="s">
        <v>94</v>
      </c>
      <c r="X246" s="57" t="s">
        <v>95</v>
      </c>
      <c r="Y246" s="57" t="s">
        <v>96</v>
      </c>
    </row>
    <row r="247" spans="2:28">
      <c r="B247" t="s">
        <v>23</v>
      </c>
      <c r="C247">
        <f>F234/E231</f>
        <v>30986.287353167518</v>
      </c>
      <c r="J247" s="49"/>
      <c r="K247" t="s">
        <v>61</v>
      </c>
      <c r="L247">
        <v>0.05</v>
      </c>
      <c r="T247" s="55" t="s">
        <v>88</v>
      </c>
      <c r="U247" s="55">
        <v>1</v>
      </c>
      <c r="V247" s="55">
        <v>245236314.79231173</v>
      </c>
      <c r="W247" s="55">
        <v>245236314.79231173</v>
      </c>
      <c r="X247" s="55">
        <v>713.73073506464925</v>
      </c>
      <c r="Y247" s="55">
        <v>7.2404065822580756E-52</v>
      </c>
    </row>
    <row r="248" spans="2:28">
      <c r="J248" s="49"/>
      <c r="T248" s="55" t="s">
        <v>89</v>
      </c>
      <c r="U248" s="55">
        <v>118</v>
      </c>
      <c r="V248" s="55">
        <v>40544541.132688656</v>
      </c>
      <c r="W248" s="55">
        <v>343597.80620922591</v>
      </c>
      <c r="X248" s="55"/>
      <c r="Y248" s="55"/>
    </row>
    <row r="249" spans="2:28" ht="13.8" thickBot="1">
      <c r="B249" t="s">
        <v>24</v>
      </c>
      <c r="C249">
        <f>D5-C247*C228</f>
        <v>-37.059430059569195</v>
      </c>
      <c r="J249" s="49"/>
      <c r="L249">
        <f>ROUND(_xlfn.T.INV(1-L247/2,D257-2),2)</f>
        <v>1.98</v>
      </c>
      <c r="T249" s="56" t="s">
        <v>90</v>
      </c>
      <c r="U249" s="56">
        <v>119</v>
      </c>
      <c r="V249" s="56">
        <v>285780855.92500037</v>
      </c>
      <c r="W249" s="56"/>
      <c r="X249" s="56"/>
      <c r="Y249" s="56"/>
    </row>
    <row r="250" spans="2:28" ht="13.8" thickBot="1">
      <c r="J250" s="49"/>
    </row>
    <row r="251" spans="2:28" ht="13.8">
      <c r="B251" t="s">
        <v>26</v>
      </c>
      <c r="E251" t="s">
        <v>27</v>
      </c>
      <c r="G251" s="23">
        <f>C249</f>
        <v>-37.059430059569195</v>
      </c>
      <c r="H251" s="19">
        <f>C247</f>
        <v>30986.287353167518</v>
      </c>
      <c r="J251" s="49"/>
      <c r="T251" s="57"/>
      <c r="U251" s="57" t="s">
        <v>97</v>
      </c>
      <c r="V251" s="57" t="s">
        <v>85</v>
      </c>
      <c r="W251" s="57" t="s">
        <v>98</v>
      </c>
      <c r="X251" s="57" t="s">
        <v>99</v>
      </c>
      <c r="Y251" s="57" t="s">
        <v>100</v>
      </c>
      <c r="Z251" s="57" t="s">
        <v>101</v>
      </c>
      <c r="AA251" s="57" t="s">
        <v>102</v>
      </c>
      <c r="AB251" s="57" t="s">
        <v>103</v>
      </c>
    </row>
    <row r="252" spans="2:28">
      <c r="J252" s="49"/>
      <c r="K252" t="s">
        <v>73</v>
      </c>
      <c r="L252" t="str">
        <f>"]-∞;-"&amp;L249&amp;"[ U ]"&amp;L249&amp;";+∞["</f>
        <v>]-∞;-1,98[ U ]1,98;+∞[</v>
      </c>
      <c r="T252" s="55" t="s">
        <v>91</v>
      </c>
      <c r="U252" s="55">
        <v>-37.05943005956442</v>
      </c>
      <c r="V252" s="55">
        <v>67.712929328461172</v>
      </c>
      <c r="W252" s="55">
        <v>-0.54730212423386559</v>
      </c>
      <c r="X252" s="55">
        <v>0.58520482872694624</v>
      </c>
      <c r="Y252" s="55">
        <v>-171.149464925698</v>
      </c>
      <c r="Z252" s="55">
        <v>97.030604806569158</v>
      </c>
      <c r="AA252" s="55">
        <v>-171.149464925698</v>
      </c>
      <c r="AB252" s="55">
        <v>97.030604806569158</v>
      </c>
    </row>
    <row r="253" spans="2:28" ht="13.8" thickBot="1">
      <c r="J253" s="49"/>
      <c r="T253" s="56" t="s">
        <v>104</v>
      </c>
      <c r="U253" s="56">
        <v>30986.287353167387</v>
      </c>
      <c r="V253" s="56">
        <v>1159.8513825855428</v>
      </c>
      <c r="W253" s="56">
        <v>26.715739463182516</v>
      </c>
      <c r="X253" s="56">
        <v>7.2404065822589005E-52</v>
      </c>
      <c r="Y253" s="56">
        <v>28689.465846952349</v>
      </c>
      <c r="Z253" s="56">
        <v>33283.108859382424</v>
      </c>
      <c r="AA253" s="56">
        <v>28689.465846952349</v>
      </c>
      <c r="AB253" s="56">
        <v>33283.108859382424</v>
      </c>
    </row>
    <row r="254" spans="2:28">
      <c r="J254" s="49"/>
    </row>
    <row r="255" spans="2:28" ht="14.4">
      <c r="B255" s="38" t="s">
        <v>59</v>
      </c>
      <c r="C255" s="38"/>
      <c r="D255" s="38"/>
      <c r="J255" s="49"/>
      <c r="K255" s="61" t="s">
        <v>74</v>
      </c>
      <c r="L255" s="61"/>
      <c r="M255" s="61"/>
      <c r="N255" s="61"/>
    </row>
    <row r="256" spans="2:28">
      <c r="J256" s="49"/>
    </row>
    <row r="257" spans="2:17" ht="16.2">
      <c r="C257" t="s">
        <v>14</v>
      </c>
      <c r="D257">
        <v>120</v>
      </c>
      <c r="J257" s="49"/>
      <c r="K257" s="3" t="s">
        <v>75</v>
      </c>
      <c r="L257">
        <v>0</v>
      </c>
      <c r="N257" s="50" t="s">
        <v>76</v>
      </c>
      <c r="O257" s="50"/>
      <c r="P257" s="50"/>
      <c r="Q257" s="50"/>
    </row>
    <row r="258" spans="2:17">
      <c r="B258" t="s">
        <v>60</v>
      </c>
      <c r="D258">
        <v>0.95</v>
      </c>
      <c r="J258" s="49"/>
      <c r="K258" s="3" t="s">
        <v>77</v>
      </c>
      <c r="L258">
        <f>H262</f>
        <v>586.17216430773578</v>
      </c>
      <c r="N258" s="3" t="s">
        <v>78</v>
      </c>
      <c r="O258" s="51">
        <f>(C247-L257)/(L258*L259)</f>
        <v>26.715739463183009</v>
      </c>
    </row>
    <row r="259" spans="2:17">
      <c r="C259" t="s">
        <v>61</v>
      </c>
      <c r="D259">
        <v>0.05</v>
      </c>
      <c r="J259" s="49"/>
      <c r="L259">
        <f>SQRT(1/E231)</f>
        <v>1.9786872410690133</v>
      </c>
    </row>
    <row r="260" spans="2:17">
      <c r="J260" s="49"/>
    </row>
    <row r="261" spans="2:17" ht="14.4">
      <c r="D261">
        <f>ROUND(_xlfn.T.INV(1-D259/2,D257-2),2)</f>
        <v>1.98</v>
      </c>
      <c r="G261" s="46" t="s">
        <v>63</v>
      </c>
      <c r="H261" s="47">
        <f>I6-E231*C247^2</f>
        <v>40544541.13268739</v>
      </c>
      <c r="J261" s="49"/>
      <c r="K261" s="61" t="s">
        <v>79</v>
      </c>
      <c r="L261" s="61"/>
      <c r="M261" s="61"/>
      <c r="N261" s="61"/>
    </row>
    <row r="262" spans="2:17">
      <c r="G262" s="46" t="s">
        <v>64</v>
      </c>
      <c r="H262" s="46">
        <f>SQRT(H261/(D257-2))</f>
        <v>586.17216430773578</v>
      </c>
      <c r="J262" s="49"/>
    </row>
    <row r="263" spans="2:17">
      <c r="J263" s="49"/>
    </row>
    <row r="264" spans="2:17">
      <c r="J264" s="49"/>
    </row>
    <row r="265" spans="2:17">
      <c r="D265">
        <f>SQRT(1/E231)</f>
        <v>1.9786872410690133</v>
      </c>
      <c r="J265" s="49"/>
      <c r="K265" t="s">
        <v>109</v>
      </c>
    </row>
    <row r="266" spans="2:17">
      <c r="J266" s="49"/>
    </row>
    <row r="267" spans="2:17">
      <c r="J267" s="49"/>
    </row>
    <row r="268" spans="2:17">
      <c r="C268" t="s">
        <v>62</v>
      </c>
      <c r="D268" s="29">
        <f>H262*D265*D261</f>
        <v>2296.5057375193419</v>
      </c>
      <c r="J268" s="49"/>
    </row>
    <row r="269" spans="2:17">
      <c r="J269" s="49"/>
    </row>
    <row r="270" spans="2:17">
      <c r="C270" t="s">
        <v>65</v>
      </c>
      <c r="D270" s="29">
        <f>ROUND(C247-D268,4)</f>
        <v>28689.781599999998</v>
      </c>
      <c r="J270" s="49"/>
    </row>
    <row r="271" spans="2:17">
      <c r="C271" t="s">
        <v>66</v>
      </c>
      <c r="D271" s="29">
        <f>ROUND(C247+D268,4)</f>
        <v>33282.793100000003</v>
      </c>
      <c r="J271" s="49"/>
    </row>
    <row r="280" spans="1:24">
      <c r="A280" s="16"/>
      <c r="B280" s="17" t="s">
        <v>45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2" spans="1:24">
      <c r="L282" s="44"/>
      <c r="M282" s="44"/>
    </row>
    <row r="283" spans="1:24">
      <c r="C283">
        <f>AVERAGE('owid-covid-data'!I2:I121)</f>
        <v>685215.23333333328</v>
      </c>
      <c r="F283">
        <f>C283^2</f>
        <v>469519915992.05438</v>
      </c>
    </row>
    <row r="285" spans="1:24">
      <c r="J285" s="48"/>
      <c r="K285" s="38" t="s">
        <v>67</v>
      </c>
      <c r="L285" s="38"/>
    </row>
    <row r="286" spans="1:24">
      <c r="E286">
        <f>'owid-covid-data'!R123-'P1. Y1'!F3*'P1. Y1'!F283</f>
        <v>29096772539851.477</v>
      </c>
      <c r="J286" s="49"/>
    </row>
    <row r="287" spans="1:24">
      <c r="J287" s="49"/>
    </row>
    <row r="288" spans="1:24">
      <c r="J288" s="49"/>
      <c r="K288" s="2" t="s">
        <v>68</v>
      </c>
    </row>
    <row r="289" spans="2:25">
      <c r="F289">
        <f>'owid-covid-data'!Z123-'P1. Y1'!F3*'P1. Y1'!D5*'P1. Y1'!C283</f>
        <v>-40766442230.299988</v>
      </c>
      <c r="J289" s="49"/>
    </row>
    <row r="290" spans="2:25">
      <c r="J290" s="49"/>
      <c r="K290" s="45"/>
    </row>
    <row r="291" spans="2:25" ht="14.4">
      <c r="J291" s="49"/>
      <c r="K291" s="61" t="s">
        <v>69</v>
      </c>
      <c r="L291" s="61"/>
      <c r="M291" s="61"/>
      <c r="N291" s="61"/>
      <c r="T291" t="s">
        <v>80</v>
      </c>
    </row>
    <row r="292" spans="2:25" ht="13.8" thickBot="1">
      <c r="B292" s="8" t="s">
        <v>22</v>
      </c>
      <c r="C292" s="8"/>
      <c r="D292" s="8"/>
      <c r="J292" s="49"/>
      <c r="K292" t="s">
        <v>70</v>
      </c>
    </row>
    <row r="293" spans="2:25">
      <c r="J293" s="49"/>
      <c r="T293" s="58" t="s">
        <v>81</v>
      </c>
      <c r="U293" s="58"/>
    </row>
    <row r="294" spans="2:25" ht="14.4">
      <c r="J294" s="49"/>
      <c r="K294" s="61" t="s">
        <v>71</v>
      </c>
      <c r="L294" s="61"/>
      <c r="M294" s="61"/>
      <c r="N294" s="61"/>
      <c r="T294" s="55" t="s">
        <v>82</v>
      </c>
      <c r="U294" s="55">
        <v>0.44705796359942729</v>
      </c>
    </row>
    <row r="295" spans="2:25">
      <c r="D295" t="s">
        <v>21</v>
      </c>
      <c r="E295">
        <f>F289/SQRT(E286*I6)</f>
        <v>-0.44705796359942379</v>
      </c>
      <c r="J295" s="49"/>
      <c r="T295" s="55" t="s">
        <v>83</v>
      </c>
      <c r="U295" s="55">
        <v>0.19986082281766684</v>
      </c>
    </row>
    <row r="296" spans="2:25">
      <c r="J296" s="49"/>
      <c r="T296" s="55" t="s">
        <v>84</v>
      </c>
      <c r="U296" s="55">
        <v>0.1930799823330708</v>
      </c>
    </row>
    <row r="297" spans="2:25">
      <c r="J297" s="49"/>
      <c r="T297" s="55" t="s">
        <v>85</v>
      </c>
      <c r="U297" s="55">
        <v>1392.0612046812998</v>
      </c>
    </row>
    <row r="298" spans="2:25" ht="13.8" thickBot="1">
      <c r="J298" s="49"/>
      <c r="T298" s="56" t="s">
        <v>86</v>
      </c>
      <c r="U298" s="56">
        <v>120</v>
      </c>
    </row>
    <row r="299" spans="2:25">
      <c r="B299" s="8" t="s">
        <v>25</v>
      </c>
      <c r="C299" s="8"/>
      <c r="D299" s="8"/>
      <c r="E299" s="8"/>
      <c r="F299" s="8"/>
      <c r="G299" s="9"/>
      <c r="J299" s="49"/>
    </row>
    <row r="300" spans="2:25" ht="15" thickBot="1">
      <c r="J300" s="49"/>
      <c r="K300" s="61" t="s">
        <v>72</v>
      </c>
      <c r="L300" s="61"/>
      <c r="M300" s="61"/>
      <c r="N300" s="61"/>
      <c r="T300" t="s">
        <v>87</v>
      </c>
    </row>
    <row r="301" spans="2:25">
      <c r="J301" s="49"/>
      <c r="T301" s="57"/>
      <c r="U301" s="57" t="s">
        <v>92</v>
      </c>
      <c r="V301" s="57" t="s">
        <v>93</v>
      </c>
      <c r="W301" s="57" t="s">
        <v>94</v>
      </c>
      <c r="X301" s="57" t="s">
        <v>95</v>
      </c>
      <c r="Y301" s="57" t="s">
        <v>96</v>
      </c>
    </row>
    <row r="302" spans="2:25">
      <c r="B302" t="s">
        <v>23</v>
      </c>
      <c r="C302">
        <f>F289/E286</f>
        <v>-1.4010640587187296E-3</v>
      </c>
      <c r="J302" s="49"/>
      <c r="K302" t="s">
        <v>61</v>
      </c>
      <c r="L302">
        <v>0.05</v>
      </c>
      <c r="T302" s="55" t="s">
        <v>88</v>
      </c>
      <c r="U302" s="55">
        <v>1</v>
      </c>
      <c r="V302" s="55">
        <v>57116397.010707676</v>
      </c>
      <c r="W302" s="55">
        <v>57116397.010707676</v>
      </c>
      <c r="X302" s="55">
        <v>29.474343670476891</v>
      </c>
      <c r="Y302" s="55">
        <v>3.07625739700823E-7</v>
      </c>
    </row>
    <row r="303" spans="2:25">
      <c r="J303" s="49"/>
      <c r="T303" s="55" t="s">
        <v>89</v>
      </c>
      <c r="U303" s="55">
        <v>118</v>
      </c>
      <c r="V303" s="55">
        <v>228664458.91429269</v>
      </c>
      <c r="W303" s="55">
        <v>1937834.3975787517</v>
      </c>
      <c r="X303" s="55"/>
      <c r="Y303" s="55"/>
    </row>
    <row r="304" spans="2:25" ht="13.8" thickBot="1">
      <c r="B304" t="s">
        <v>24</v>
      </c>
      <c r="C304">
        <f>D5-C302*C283</f>
        <v>2031.5054359099013</v>
      </c>
      <c r="J304" s="49"/>
      <c r="L304">
        <f>ROUND(_xlfn.T.INV(1-L302/2,D312-2),2)</f>
        <v>1.98</v>
      </c>
      <c r="T304" s="56" t="s">
        <v>90</v>
      </c>
      <c r="U304" s="56">
        <v>119</v>
      </c>
      <c r="V304" s="56">
        <v>285780855.92500037</v>
      </c>
      <c r="W304" s="56"/>
      <c r="X304" s="56"/>
      <c r="Y304" s="56"/>
    </row>
    <row r="305" spans="2:28" ht="13.8" thickBot="1">
      <c r="J305" s="49"/>
    </row>
    <row r="306" spans="2:28" ht="13.8">
      <c r="B306" t="s">
        <v>26</v>
      </c>
      <c r="E306" t="s">
        <v>27</v>
      </c>
      <c r="G306" s="23">
        <f>C304</f>
        <v>2031.5054359099013</v>
      </c>
      <c r="H306" s="21">
        <f>C302</f>
        <v>-1.4010640587187296E-3</v>
      </c>
      <c r="J306" s="49"/>
      <c r="T306" s="57"/>
      <c r="U306" s="57" t="s">
        <v>97</v>
      </c>
      <c r="V306" s="57" t="s">
        <v>85</v>
      </c>
      <c r="W306" s="57" t="s">
        <v>98</v>
      </c>
      <c r="X306" s="57" t="s">
        <v>99</v>
      </c>
      <c r="Y306" s="57" t="s">
        <v>100</v>
      </c>
      <c r="Z306" s="57" t="s">
        <v>101</v>
      </c>
      <c r="AA306" s="57" t="s">
        <v>102</v>
      </c>
      <c r="AB306" s="57" t="s">
        <v>103</v>
      </c>
    </row>
    <row r="307" spans="2:28">
      <c r="J307" s="49"/>
      <c r="K307" t="s">
        <v>73</v>
      </c>
      <c r="L307" t="str">
        <f>"]-∞;-"&amp;L304&amp;"[ U ]"&amp;L304&amp;";+∞["</f>
        <v>]-∞;-1,98[ U ]1,98;+∞[</v>
      </c>
      <c r="T307" s="55" t="s">
        <v>91</v>
      </c>
      <c r="U307" s="55">
        <v>2031.5054359099006</v>
      </c>
      <c r="V307" s="55">
        <v>217.75783447107332</v>
      </c>
      <c r="W307" s="55">
        <v>9.3291956215690757</v>
      </c>
      <c r="X307" s="55">
        <v>7.7570172242800653E-16</v>
      </c>
      <c r="Y307" s="55">
        <v>1600.2856392450567</v>
      </c>
      <c r="Z307" s="55">
        <v>2462.7252325747445</v>
      </c>
      <c r="AA307" s="55">
        <v>1600.2856392450567</v>
      </c>
      <c r="AB307" s="55">
        <v>2462.7252325747445</v>
      </c>
    </row>
    <row r="308" spans="2:28" ht="13.8" thickBot="1">
      <c r="J308" s="49"/>
      <c r="T308" s="56" t="s">
        <v>104</v>
      </c>
      <c r="U308" s="56">
        <v>-1.4010640587187287E-3</v>
      </c>
      <c r="V308" s="56">
        <v>2.5806904862293233E-4</v>
      </c>
      <c r="W308" s="56">
        <v>-5.4290278752716281</v>
      </c>
      <c r="X308" s="56">
        <v>3.0762573970088769E-7</v>
      </c>
      <c r="Y308" s="56">
        <v>-1.9121110341029988E-3</v>
      </c>
      <c r="Z308" s="56">
        <v>-8.9001708333445858E-4</v>
      </c>
      <c r="AA308" s="56">
        <v>-1.9121110341029988E-3</v>
      </c>
      <c r="AB308" s="56">
        <v>-8.9001708333445858E-4</v>
      </c>
    </row>
    <row r="309" spans="2:28">
      <c r="J309" s="49"/>
    </row>
    <row r="310" spans="2:28" ht="14.4">
      <c r="B310" s="38" t="s">
        <v>59</v>
      </c>
      <c r="C310" s="38"/>
      <c r="D310" s="38"/>
      <c r="J310" s="49"/>
      <c r="K310" s="61" t="s">
        <v>74</v>
      </c>
      <c r="L310" s="61"/>
      <c r="M310" s="61"/>
      <c r="N310" s="61"/>
    </row>
    <row r="311" spans="2:28">
      <c r="J311" s="49"/>
    </row>
    <row r="312" spans="2:28" ht="16.2">
      <c r="C312" t="s">
        <v>14</v>
      </c>
      <c r="D312">
        <v>120</v>
      </c>
      <c r="J312" s="49"/>
      <c r="K312" s="3" t="s">
        <v>75</v>
      </c>
      <c r="L312">
        <v>0</v>
      </c>
      <c r="N312" s="50" t="s">
        <v>76</v>
      </c>
      <c r="O312" s="50"/>
      <c r="P312" s="50"/>
      <c r="Q312" s="50"/>
    </row>
    <row r="313" spans="2:28">
      <c r="B313" t="s">
        <v>60</v>
      </c>
      <c r="D313">
        <v>0.95</v>
      </c>
      <c r="J313" s="49"/>
      <c r="K313" s="3" t="s">
        <v>77</v>
      </c>
      <c r="L313">
        <f>H317</f>
        <v>1392.0612046813017</v>
      </c>
      <c r="N313" s="3" t="s">
        <v>78</v>
      </c>
      <c r="O313" s="51">
        <f>(C302-L312)/(L313*L314)</f>
        <v>-5.4290278752716237</v>
      </c>
    </row>
    <row r="314" spans="2:28">
      <c r="C314" t="s">
        <v>61</v>
      </c>
      <c r="D314">
        <v>0.05</v>
      </c>
      <c r="J314" s="49"/>
      <c r="L314">
        <f>SQRT(1/E286)</f>
        <v>1.8538628025483621E-7</v>
      </c>
    </row>
    <row r="315" spans="2:28">
      <c r="J315" s="49"/>
    </row>
    <row r="316" spans="2:28" ht="14.4">
      <c r="D316">
        <f>ROUND(_xlfn.T.INV(1-D314/2,D312-2),2)</f>
        <v>1.98</v>
      </c>
      <c r="G316" s="46" t="s">
        <v>63</v>
      </c>
      <c r="H316" s="47">
        <f>I6-E286*C302^2</f>
        <v>228664458.91429329</v>
      </c>
      <c r="J316" s="49"/>
      <c r="K316" s="61" t="s">
        <v>79</v>
      </c>
      <c r="L316" s="61"/>
      <c r="M316" s="61"/>
      <c r="N316" s="61"/>
    </row>
    <row r="317" spans="2:28">
      <c r="G317" s="46" t="s">
        <v>64</v>
      </c>
      <c r="H317" s="46">
        <f>SQRT(H316/(D312-2))</f>
        <v>1392.0612046813017</v>
      </c>
      <c r="J317" s="49"/>
    </row>
    <row r="318" spans="2:28">
      <c r="J318" s="49"/>
    </row>
    <row r="319" spans="2:28">
      <c r="J319" s="49"/>
    </row>
    <row r="320" spans="2:28">
      <c r="D320">
        <f>SQRT(1/E286)</f>
        <v>1.8538628025483621E-7</v>
      </c>
      <c r="J320" s="49"/>
      <c r="K320" t="s">
        <v>110</v>
      </c>
    </row>
    <row r="321" spans="3:10">
      <c r="J321" s="49"/>
    </row>
    <row r="322" spans="3:10">
      <c r="J322" s="49"/>
    </row>
    <row r="323" spans="3:10">
      <c r="C323" t="s">
        <v>62</v>
      </c>
      <c r="D323" s="29">
        <f>H317*D320*D316</f>
        <v>5.109767162734067E-4</v>
      </c>
      <c r="J323" s="49"/>
    </row>
    <row r="324" spans="3:10">
      <c r="J324" s="49"/>
    </row>
    <row r="325" spans="3:10">
      <c r="C325" t="s">
        <v>65</v>
      </c>
      <c r="D325" s="29">
        <f>ROUND(C302-D323,4)</f>
        <v>-1.9E-3</v>
      </c>
      <c r="J325" s="49"/>
    </row>
    <row r="326" spans="3:10">
      <c r="C326" t="s">
        <v>66</v>
      </c>
      <c r="D326" s="29">
        <f>ROUND(C302+D323,4)</f>
        <v>-8.9999999999999998E-4</v>
      </c>
      <c r="J326" s="49"/>
    </row>
  </sheetData>
  <mergeCells count="30">
    <mergeCell ref="K76:N76"/>
    <mergeCell ref="K22:N22"/>
    <mergeCell ref="K25:N25"/>
    <mergeCell ref="K31:N31"/>
    <mergeCell ref="K41:N41"/>
    <mergeCell ref="K47:N47"/>
    <mergeCell ref="K191:N191"/>
    <mergeCell ref="K79:N79"/>
    <mergeCell ref="K85:N85"/>
    <mergeCell ref="K95:N95"/>
    <mergeCell ref="K101:N101"/>
    <mergeCell ref="K131:N131"/>
    <mergeCell ref="K134:N134"/>
    <mergeCell ref="K140:N140"/>
    <mergeCell ref="K150:N150"/>
    <mergeCell ref="K156:N156"/>
    <mergeCell ref="K182:N182"/>
    <mergeCell ref="K185:N185"/>
    <mergeCell ref="K316:N316"/>
    <mergeCell ref="K201:N201"/>
    <mergeCell ref="K207:N207"/>
    <mergeCell ref="K236:N236"/>
    <mergeCell ref="K239:N239"/>
    <mergeCell ref="K245:N245"/>
    <mergeCell ref="K255:N255"/>
    <mergeCell ref="K261:N261"/>
    <mergeCell ref="K291:N291"/>
    <mergeCell ref="K294:N294"/>
    <mergeCell ref="K300:N300"/>
    <mergeCell ref="K310:N3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6A84-1E6F-48E0-BB52-B7DAE210F692}">
  <dimension ref="A2:AB325"/>
  <sheetViews>
    <sheetView tabSelected="1" topLeftCell="B179" zoomScale="70" zoomScaleNormal="70" workbookViewId="0">
      <selection activeCell="M323" sqref="M323"/>
    </sheetView>
  </sheetViews>
  <sheetFormatPr defaultRowHeight="13.2"/>
  <cols>
    <col min="3" max="3" width="13.109375" bestFit="1" customWidth="1"/>
    <col min="4" max="4" width="13.44140625" bestFit="1" customWidth="1"/>
    <col min="5" max="5" width="9.88671875" customWidth="1"/>
    <col min="6" max="6" width="10.5546875" customWidth="1"/>
    <col min="7" max="7" width="10.33203125" customWidth="1"/>
    <col min="8" max="8" width="10.44140625" customWidth="1"/>
    <col min="9" max="9" width="9.21875" customWidth="1"/>
    <col min="13" max="13" width="13.44140625" bestFit="1" customWidth="1"/>
    <col min="16" max="16" width="14.109375" bestFit="1" customWidth="1"/>
    <col min="20" max="20" width="12.33203125" customWidth="1"/>
    <col min="21" max="21" width="12.21875" customWidth="1"/>
    <col min="22" max="22" width="11.5546875" customWidth="1"/>
    <col min="23" max="23" width="12.6640625" customWidth="1"/>
    <col min="24" max="24" width="11.77734375" customWidth="1"/>
    <col min="25" max="25" width="13.21875" customWidth="1"/>
    <col min="26" max="26" width="11.5546875" customWidth="1"/>
    <col min="27" max="27" width="11.88671875" customWidth="1"/>
    <col min="28" max="28" width="12.33203125" customWidth="1"/>
  </cols>
  <sheetData>
    <row r="2" spans="1:24" ht="17.399999999999999">
      <c r="B2" s="54" t="s">
        <v>47</v>
      </c>
    </row>
    <row r="4" spans="1:24">
      <c r="B4" t="s">
        <v>14</v>
      </c>
      <c r="C4">
        <f>COUNT('owid-covid-data'!C2:C121)</f>
        <v>120</v>
      </c>
    </row>
    <row r="6" spans="1:24">
      <c r="C6">
        <f>AVERAGE('owid-covid-data'!C2:C121)</f>
        <v>37.858333333333334</v>
      </c>
    </row>
    <row r="7" spans="1:24">
      <c r="I7">
        <f>'owid-covid-data'!L123-'P1. Y2'!C4*'P1. Y2'!C8</f>
        <v>524434.59166666667</v>
      </c>
    </row>
    <row r="8" spans="1:24">
      <c r="C8">
        <f>C6^2</f>
        <v>1433.2534027777779</v>
      </c>
    </row>
    <row r="12" spans="1:24">
      <c r="A12" s="16"/>
      <c r="B12" s="17" t="s">
        <v>13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>
      <c r="B13" t="s">
        <v>35</v>
      </c>
      <c r="E13" t="s">
        <v>36</v>
      </c>
    </row>
    <row r="15" spans="1:24">
      <c r="C15">
        <f>AVERAGE('owid-covid-data'!D3:D122)</f>
        <v>0.8325210084033613</v>
      </c>
      <c r="D15" t="s">
        <v>37</v>
      </c>
      <c r="F15">
        <f>C15^2</f>
        <v>0.69309122943294954</v>
      </c>
    </row>
    <row r="16" spans="1:24">
      <c r="K16" s="48"/>
      <c r="L16" s="38" t="s">
        <v>67</v>
      </c>
      <c r="M16" s="38"/>
    </row>
    <row r="17" spans="2:25">
      <c r="K17" s="49"/>
    </row>
    <row r="18" spans="2:25">
      <c r="E18">
        <f>'owid-covid-data'!M123-'P1. Y2'!C4*'P1. Y2'!F15</f>
        <v>5.7229524680460884</v>
      </c>
      <c r="K18" s="49"/>
    </row>
    <row r="19" spans="2:25">
      <c r="D19" t="s">
        <v>37</v>
      </c>
      <c r="K19" s="49"/>
      <c r="L19" s="2" t="s">
        <v>68</v>
      </c>
    </row>
    <row r="20" spans="2:25">
      <c r="K20" s="49"/>
    </row>
    <row r="21" spans="2:25">
      <c r="K21" s="49"/>
      <c r="L21" s="45"/>
      <c r="T21" t="s">
        <v>80</v>
      </c>
    </row>
    <row r="22" spans="2:25" ht="15" thickBot="1">
      <c r="E22" t="s">
        <v>21</v>
      </c>
      <c r="F22">
        <f>'owid-covid-data'!AB123-'P1. Y2'!C4*'P1. Y2'!C6*'P1. Y2'!C15</f>
        <v>-1004.6329411764723</v>
      </c>
      <c r="K22" s="49"/>
      <c r="L22" s="61" t="s">
        <v>69</v>
      </c>
      <c r="M22" s="61"/>
      <c r="N22" s="61"/>
      <c r="O22" s="61"/>
    </row>
    <row r="23" spans="2:25">
      <c r="K23" s="49"/>
      <c r="L23" t="s">
        <v>70</v>
      </c>
      <c r="T23" s="58" t="s">
        <v>81</v>
      </c>
      <c r="U23" s="58"/>
    </row>
    <row r="24" spans="2:25">
      <c r="K24" s="49"/>
      <c r="T24" s="55" t="s">
        <v>82</v>
      </c>
      <c r="U24" s="55">
        <v>0.57857166529516624</v>
      </c>
    </row>
    <row r="25" spans="2:25" ht="14.4">
      <c r="E25" t="s">
        <v>9</v>
      </c>
      <c r="K25" s="49"/>
      <c r="L25" s="61" t="s">
        <v>71</v>
      </c>
      <c r="M25" s="61"/>
      <c r="N25" s="61"/>
      <c r="O25" s="61"/>
      <c r="T25" s="55" t="s">
        <v>83</v>
      </c>
      <c r="U25" s="55">
        <v>0.33474517188242187</v>
      </c>
    </row>
    <row r="26" spans="2:25">
      <c r="B26" s="8" t="s">
        <v>22</v>
      </c>
      <c r="C26" s="8"/>
      <c r="D26" s="8"/>
      <c r="K26" s="49"/>
      <c r="T26" s="55" t="s">
        <v>84</v>
      </c>
      <c r="U26" s="55">
        <v>0.32910741910176439</v>
      </c>
    </row>
    <row r="27" spans="2:25">
      <c r="K27" s="49"/>
      <c r="T27" s="55" t="s">
        <v>85</v>
      </c>
      <c r="U27" s="55">
        <v>54.374925999413527</v>
      </c>
    </row>
    <row r="28" spans="2:25" ht="13.8" thickBot="1">
      <c r="K28" s="49"/>
      <c r="T28" s="56" t="s">
        <v>86</v>
      </c>
      <c r="U28" s="56">
        <v>120</v>
      </c>
    </row>
    <row r="29" spans="2:25">
      <c r="D29" t="s">
        <v>21</v>
      </c>
      <c r="E29">
        <f>F22/SQRT(E18*I7)</f>
        <v>-0.57989809198684927</v>
      </c>
      <c r="K29" s="49"/>
    </row>
    <row r="30" spans="2:25" ht="13.8" thickBot="1">
      <c r="K30" s="49"/>
      <c r="T30" t="s">
        <v>87</v>
      </c>
    </row>
    <row r="31" spans="2:25" ht="14.4">
      <c r="K31" s="49"/>
      <c r="L31" s="61" t="s">
        <v>72</v>
      </c>
      <c r="M31" s="61"/>
      <c r="N31" s="61"/>
      <c r="O31" s="61"/>
      <c r="T31" s="57"/>
      <c r="U31" s="57" t="s">
        <v>92</v>
      </c>
      <c r="V31" s="57" t="s">
        <v>93</v>
      </c>
      <c r="W31" s="57" t="s">
        <v>94</v>
      </c>
      <c r="X31" s="57" t="s">
        <v>95</v>
      </c>
      <c r="Y31" s="57" t="s">
        <v>96</v>
      </c>
    </row>
    <row r="32" spans="2:25">
      <c r="K32" s="49"/>
      <c r="T32" s="55" t="s">
        <v>88</v>
      </c>
      <c r="U32" s="55">
        <v>1</v>
      </c>
      <c r="V32" s="55">
        <v>175551.94752854592</v>
      </c>
      <c r="W32" s="55">
        <v>175551.94752854592</v>
      </c>
      <c r="X32" s="55">
        <v>59.375638646465426</v>
      </c>
      <c r="Y32" s="55">
        <v>4.4884316615675415E-12</v>
      </c>
    </row>
    <row r="33" spans="2:28">
      <c r="B33" s="8" t="s">
        <v>25</v>
      </c>
      <c r="C33" s="8"/>
      <c r="D33" s="8"/>
      <c r="E33" s="8"/>
      <c r="F33" s="8"/>
      <c r="G33" s="8"/>
      <c r="K33" s="49"/>
      <c r="L33" t="s">
        <v>61</v>
      </c>
      <c r="M33">
        <v>0.05</v>
      </c>
      <c r="T33" s="55" t="s">
        <v>89</v>
      </c>
      <c r="U33" s="55">
        <v>118</v>
      </c>
      <c r="V33" s="55">
        <v>348882.64413812029</v>
      </c>
      <c r="W33" s="55">
        <v>2956.6325774416973</v>
      </c>
      <c r="X33" s="55"/>
      <c r="Y33" s="55"/>
    </row>
    <row r="34" spans="2:28" ht="13.8" thickBot="1">
      <c r="K34" s="49"/>
      <c r="T34" s="56" t="s">
        <v>90</v>
      </c>
      <c r="U34" s="56">
        <v>119</v>
      </c>
      <c r="V34" s="56">
        <v>524434.59166666621</v>
      </c>
      <c r="W34" s="56"/>
      <c r="X34" s="56"/>
      <c r="Y34" s="56"/>
    </row>
    <row r="35" spans="2:28" ht="13.8" thickBot="1">
      <c r="K35" s="49"/>
      <c r="M35">
        <f>ROUND(_xlfn.T.INV(1-M33/2,D46-2),2)</f>
        <v>1.98</v>
      </c>
    </row>
    <row r="36" spans="2:28">
      <c r="B36" t="s">
        <v>23</v>
      </c>
      <c r="C36">
        <f>F22/E18</f>
        <v>-175.54451950908319</v>
      </c>
      <c r="K36" s="49"/>
      <c r="T36" s="57"/>
      <c r="U36" s="57" t="s">
        <v>97</v>
      </c>
      <c r="V36" s="57" t="s">
        <v>85</v>
      </c>
      <c r="W36" s="57" t="s">
        <v>98</v>
      </c>
      <c r="X36" s="57" t="s">
        <v>99</v>
      </c>
      <c r="Y36" s="57" t="s">
        <v>100</v>
      </c>
      <c r="Z36" s="57" t="s">
        <v>101</v>
      </c>
      <c r="AA36" s="57" t="s">
        <v>102</v>
      </c>
      <c r="AB36" s="57" t="s">
        <v>103</v>
      </c>
    </row>
    <row r="37" spans="2:28">
      <c r="K37" s="49"/>
      <c r="T37" s="55" t="s">
        <v>91</v>
      </c>
      <c r="U37" s="55">
        <v>183.38546510809704</v>
      </c>
      <c r="V37" s="55">
        <v>19.527399568343466</v>
      </c>
      <c r="W37" s="55">
        <v>9.3911872119106672</v>
      </c>
      <c r="X37" s="55">
        <v>5.5396729079669045E-16</v>
      </c>
      <c r="Y37" s="55">
        <v>144.71589764244146</v>
      </c>
      <c r="Z37" s="55">
        <v>222.05503257375261</v>
      </c>
      <c r="AA37" s="55">
        <v>144.71589764244146</v>
      </c>
      <c r="AB37" s="55">
        <v>222.05503257375261</v>
      </c>
    </row>
    <row r="38" spans="2:28" ht="13.8" thickBot="1">
      <c r="B38" t="s">
        <v>24</v>
      </c>
      <c r="C38">
        <f>C6-C36*C15</f>
        <v>184.00283373471882</v>
      </c>
      <c r="K38" s="49"/>
      <c r="L38" t="s">
        <v>73</v>
      </c>
      <c r="M38" t="str">
        <f>"]-∞;-"&amp;M35&amp;"[ U ]"&amp;M35&amp;";+∞["</f>
        <v>]-∞;-1,98[ U ]1,98;+∞[</v>
      </c>
      <c r="T38" s="56" t="s">
        <v>104</v>
      </c>
      <c r="U38" s="56">
        <v>-174.8248654817464</v>
      </c>
      <c r="V38" s="56">
        <v>22.68814848370727</v>
      </c>
      <c r="W38" s="56">
        <v>-7.7055589444546779</v>
      </c>
      <c r="X38" s="56">
        <v>4.4884316615674123E-12</v>
      </c>
      <c r="Y38" s="56">
        <v>-219.75357631141657</v>
      </c>
      <c r="Z38" s="56">
        <v>-129.89615465207623</v>
      </c>
      <c r="AA38" s="56">
        <v>-219.75357631141657</v>
      </c>
      <c r="AB38" s="56">
        <v>-129.89615465207623</v>
      </c>
    </row>
    <row r="39" spans="2:28">
      <c r="K39" s="49"/>
    </row>
    <row r="40" spans="2:28" ht="13.8">
      <c r="B40" t="s">
        <v>26</v>
      </c>
      <c r="E40" t="s">
        <v>27</v>
      </c>
      <c r="G40" s="24">
        <f>C38</f>
        <v>184.00283373471882</v>
      </c>
      <c r="H40" s="25">
        <f>C36</f>
        <v>-175.54451950908319</v>
      </c>
      <c r="K40" s="49"/>
    </row>
    <row r="41" spans="2:28" ht="14.4">
      <c r="K41" s="49"/>
      <c r="L41" s="61" t="s">
        <v>74</v>
      </c>
      <c r="M41" s="61"/>
      <c r="N41" s="61"/>
      <c r="O41" s="61"/>
    </row>
    <row r="42" spans="2:28">
      <c r="K42" s="49"/>
    </row>
    <row r="43" spans="2:28" ht="16.2">
      <c r="K43" s="49"/>
      <c r="L43" s="3" t="s">
        <v>75</v>
      </c>
      <c r="M43">
        <v>0</v>
      </c>
      <c r="O43" s="50" t="s">
        <v>76</v>
      </c>
      <c r="P43" s="50"/>
      <c r="Q43" s="50"/>
      <c r="R43" s="50"/>
    </row>
    <row r="44" spans="2:28">
      <c r="B44" s="38" t="s">
        <v>59</v>
      </c>
      <c r="C44" s="38"/>
      <c r="D44" s="38"/>
      <c r="K44" s="49"/>
      <c r="L44" s="3" t="s">
        <v>77</v>
      </c>
      <c r="M44">
        <f>H51</f>
        <v>54.312091290798669</v>
      </c>
      <c r="O44" s="3" t="s">
        <v>78</v>
      </c>
      <c r="P44" s="62">
        <f>(C36-M43)/(M44*M45)</f>
        <v>-7.7321597674513969</v>
      </c>
    </row>
    <row r="45" spans="2:28">
      <c r="K45" s="49"/>
      <c r="M45">
        <f>SQRT(1/E18)</f>
        <v>0.41801313689065378</v>
      </c>
    </row>
    <row r="46" spans="2:28">
      <c r="C46" t="s">
        <v>14</v>
      </c>
      <c r="D46">
        <v>120</v>
      </c>
      <c r="K46" s="49"/>
    </row>
    <row r="47" spans="2:28" ht="14.4">
      <c r="B47" t="s">
        <v>60</v>
      </c>
      <c r="D47">
        <v>0.95</v>
      </c>
      <c r="K47" s="49"/>
      <c r="L47" s="61" t="s">
        <v>79</v>
      </c>
      <c r="M47" s="61"/>
      <c r="N47" s="61"/>
      <c r="O47" s="61"/>
    </row>
    <row r="48" spans="2:28">
      <c r="C48" t="s">
        <v>61</v>
      </c>
      <c r="D48">
        <v>0.05</v>
      </c>
      <c r="K48" s="49"/>
    </row>
    <row r="49" spans="3:12">
      <c r="K49" s="49"/>
    </row>
    <row r="50" spans="3:12">
      <c r="D50">
        <f>ROUND(_xlfn.T.INV(1-D48/2,D46-2),2)</f>
        <v>1.98</v>
      </c>
      <c r="G50" s="46" t="s">
        <v>63</v>
      </c>
      <c r="H50" s="47">
        <f>I7-E18*C36^2</f>
        <v>348076.78472484578</v>
      </c>
      <c r="K50" s="49"/>
      <c r="L50" t="s">
        <v>111</v>
      </c>
    </row>
    <row r="51" spans="3:12">
      <c r="G51" s="46" t="s">
        <v>64</v>
      </c>
      <c r="H51" s="46">
        <f>SQRT(H50/(D46-2))</f>
        <v>54.312091290798669</v>
      </c>
      <c r="K51" s="49"/>
    </row>
    <row r="52" spans="3:12">
      <c r="K52" s="49"/>
    </row>
    <row r="53" spans="3:12">
      <c r="K53" s="49"/>
    </row>
    <row r="54" spans="3:12">
      <c r="D54">
        <f>SQRT(1/E18)</f>
        <v>0.41801313689065378</v>
      </c>
      <c r="K54" s="49"/>
    </row>
    <row r="55" spans="3:12">
      <c r="K55" s="49"/>
    </row>
    <row r="56" spans="3:12">
      <c r="K56" s="49"/>
    </row>
    <row r="57" spans="3:12">
      <c r="C57" t="s">
        <v>62</v>
      </c>
      <c r="D57" s="29">
        <f>H51*D54*D50</f>
        <v>44.952271950085454</v>
      </c>
      <c r="K57" s="49"/>
    </row>
    <row r="59" spans="3:12">
      <c r="C59" t="s">
        <v>65</v>
      </c>
      <c r="D59" s="29">
        <f>ROUND(C36-D57,4)</f>
        <v>-220.49680000000001</v>
      </c>
    </row>
    <row r="60" spans="3:12">
      <c r="C60" t="s">
        <v>66</v>
      </c>
      <c r="D60" s="14">
        <f>ROUND(C36+D57,4)</f>
        <v>-130.59219999999999</v>
      </c>
    </row>
    <row r="65" spans="1:24">
      <c r="A65" s="16"/>
      <c r="B65" s="17" t="s">
        <v>28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8" spans="1:24">
      <c r="C68">
        <f>AVERAGE('owid-covid-data'!E2:E121)</f>
        <v>280.86666666666667</v>
      </c>
      <c r="F68">
        <f>C68^2</f>
        <v>78886.084444444452</v>
      </c>
    </row>
    <row r="71" spans="1:24">
      <c r="K71" s="48"/>
      <c r="L71" s="38" t="s">
        <v>67</v>
      </c>
      <c r="M71" s="38"/>
    </row>
    <row r="72" spans="1:24">
      <c r="E72">
        <f>'owid-covid-data'!N123-'P1. Y2'!C4*'P1. Y2'!F68</f>
        <v>9081979.8666666653</v>
      </c>
      <c r="K72" s="49"/>
    </row>
    <row r="73" spans="1:24">
      <c r="K73" s="49"/>
    </row>
    <row r="74" spans="1:24">
      <c r="K74" s="49"/>
      <c r="L74" s="2" t="s">
        <v>68</v>
      </c>
    </row>
    <row r="75" spans="1:24">
      <c r="K75" s="49"/>
      <c r="T75" t="s">
        <v>80</v>
      </c>
    </row>
    <row r="76" spans="1:24" ht="13.8" thickBot="1">
      <c r="F76">
        <f>'owid-covid-data'!AC123-'P1. Y2'!C4*'P1. Y2'!C6*'P1. Y2'!C68</f>
        <v>1997449.7333333334</v>
      </c>
      <c r="K76" s="49"/>
      <c r="L76" s="45"/>
    </row>
    <row r="77" spans="1:24" ht="14.4">
      <c r="K77" s="49"/>
      <c r="L77" s="61" t="s">
        <v>69</v>
      </c>
      <c r="M77" s="61"/>
      <c r="N77" s="61"/>
      <c r="O77" s="61"/>
      <c r="T77" s="58" t="s">
        <v>81</v>
      </c>
      <c r="U77" s="58"/>
    </row>
    <row r="78" spans="1:24">
      <c r="K78" s="49"/>
      <c r="L78" t="s">
        <v>70</v>
      </c>
      <c r="T78" s="55" t="s">
        <v>82</v>
      </c>
      <c r="U78" s="55">
        <v>0.9152503982370882</v>
      </c>
    </row>
    <row r="79" spans="1:24">
      <c r="K79" s="49"/>
      <c r="T79" s="55" t="s">
        <v>83</v>
      </c>
      <c r="U79" s="55">
        <v>0.83768329147314846</v>
      </c>
    </row>
    <row r="80" spans="1:24" ht="14.4">
      <c r="B80" s="8" t="s">
        <v>22</v>
      </c>
      <c r="C80" s="8"/>
      <c r="D80" s="8"/>
      <c r="K80" s="49"/>
      <c r="L80" s="61" t="s">
        <v>71</v>
      </c>
      <c r="M80" s="61"/>
      <c r="N80" s="61"/>
      <c r="O80" s="61"/>
      <c r="T80" s="55" t="s">
        <v>84</v>
      </c>
      <c r="U80" s="55">
        <v>0.83630772614664972</v>
      </c>
    </row>
    <row r="81" spans="2:28">
      <c r="K81" s="49"/>
      <c r="T81" s="55" t="s">
        <v>85</v>
      </c>
      <c r="U81" s="55">
        <v>26.858779576019312</v>
      </c>
    </row>
    <row r="82" spans="2:28" ht="13.8" thickBot="1">
      <c r="K82" s="49"/>
      <c r="T82" s="56" t="s">
        <v>86</v>
      </c>
      <c r="U82" s="56">
        <v>120</v>
      </c>
    </row>
    <row r="83" spans="2:28">
      <c r="D83" t="s">
        <v>21</v>
      </c>
      <c r="E83">
        <f>F76/SQRT(E72*I7)</f>
        <v>0.91525039823708787</v>
      </c>
      <c r="K83" s="49"/>
    </row>
    <row r="84" spans="2:28" ht="13.8" thickBot="1">
      <c r="K84" s="49"/>
      <c r="T84" t="s">
        <v>87</v>
      </c>
    </row>
    <row r="85" spans="2:28">
      <c r="K85" s="49"/>
      <c r="T85" s="57"/>
      <c r="U85" s="57" t="s">
        <v>92</v>
      </c>
      <c r="V85" s="57" t="s">
        <v>93</v>
      </c>
      <c r="W85" s="57" t="s">
        <v>94</v>
      </c>
      <c r="X85" s="57" t="s">
        <v>95</v>
      </c>
      <c r="Y85" s="57" t="s">
        <v>96</v>
      </c>
    </row>
    <row r="86" spans="2:28" ht="14.4">
      <c r="K86" s="49"/>
      <c r="L86" s="61" t="s">
        <v>72</v>
      </c>
      <c r="M86" s="61"/>
      <c r="N86" s="61"/>
      <c r="O86" s="61"/>
      <c r="T86" s="55" t="s">
        <v>88</v>
      </c>
      <c r="U86" s="55">
        <v>1</v>
      </c>
      <c r="V86" s="55">
        <v>439310.09490970953</v>
      </c>
      <c r="W86" s="55">
        <v>439310.09490970953</v>
      </c>
      <c r="X86" s="55">
        <v>608.97383449270478</v>
      </c>
      <c r="Y86" s="55">
        <v>2.0619158104943994E-48</v>
      </c>
    </row>
    <row r="87" spans="2:28">
      <c r="B87" s="8" t="s">
        <v>25</v>
      </c>
      <c r="C87" s="8"/>
      <c r="D87" s="8"/>
      <c r="E87" s="8"/>
      <c r="F87" s="8"/>
      <c r="G87" s="8"/>
      <c r="K87" s="49"/>
      <c r="T87" s="55" t="s">
        <v>89</v>
      </c>
      <c r="U87" s="55">
        <v>118</v>
      </c>
      <c r="V87" s="55">
        <v>85124.49675695668</v>
      </c>
      <c r="W87" s="55">
        <v>721.39404031319225</v>
      </c>
      <c r="X87" s="55"/>
      <c r="Y87" s="55"/>
    </row>
    <row r="88" spans="2:28" ht="13.8" thickBot="1">
      <c r="K88" s="49"/>
      <c r="L88" t="s">
        <v>61</v>
      </c>
      <c r="M88">
        <v>0.05</v>
      </c>
      <c r="T88" s="56" t="s">
        <v>90</v>
      </c>
      <c r="U88" s="56">
        <v>119</v>
      </c>
      <c r="V88" s="56">
        <v>524434.59166666621</v>
      </c>
      <c r="W88" s="56"/>
      <c r="X88" s="56"/>
      <c r="Y88" s="56"/>
    </row>
    <row r="89" spans="2:28" ht="13.8" thickBot="1">
      <c r="K89" s="49"/>
    </row>
    <row r="90" spans="2:28">
      <c r="B90" t="s">
        <v>23</v>
      </c>
      <c r="C90">
        <f>F76/E72</f>
        <v>0.21993549453511968</v>
      </c>
      <c r="K90" s="49"/>
      <c r="M90">
        <f>ROUND(_xlfn.T.INV(1-M88/2,D100-2),2)</f>
        <v>1.98</v>
      </c>
      <c r="T90" s="57"/>
      <c r="U90" s="57" t="s">
        <v>97</v>
      </c>
      <c r="V90" s="57" t="s">
        <v>85</v>
      </c>
      <c r="W90" s="57" t="s">
        <v>98</v>
      </c>
      <c r="X90" s="57" t="s">
        <v>99</v>
      </c>
      <c r="Y90" s="57" t="s">
        <v>100</v>
      </c>
      <c r="Z90" s="57" t="s">
        <v>101</v>
      </c>
      <c r="AA90" s="57" t="s">
        <v>102</v>
      </c>
      <c r="AB90" s="57" t="s">
        <v>103</v>
      </c>
    </row>
    <row r="91" spans="2:28">
      <c r="K91" s="49"/>
      <c r="T91" s="55" t="s">
        <v>91</v>
      </c>
      <c r="U91" s="55">
        <v>-23.914215898430612</v>
      </c>
      <c r="V91" s="55">
        <v>3.5039472339652433</v>
      </c>
      <c r="W91" s="55">
        <v>-6.8249360796932095</v>
      </c>
      <c r="X91" s="55">
        <v>4.02961307750694E-10</v>
      </c>
      <c r="Y91" s="55">
        <v>-30.852985368768771</v>
      </c>
      <c r="Z91" s="55">
        <v>-16.975446428092454</v>
      </c>
      <c r="AA91" s="55">
        <v>-30.852985368768771</v>
      </c>
      <c r="AB91" s="55">
        <v>-16.975446428092454</v>
      </c>
    </row>
    <row r="92" spans="2:28" ht="13.8" thickBot="1">
      <c r="B92" t="s">
        <v>24</v>
      </c>
      <c r="C92">
        <f>C6-C90*C68</f>
        <v>-23.914215898430612</v>
      </c>
      <c r="K92" s="49"/>
      <c r="T92" s="56" t="s">
        <v>104</v>
      </c>
      <c r="U92" s="56">
        <v>0.21993549453511968</v>
      </c>
      <c r="V92" s="56">
        <v>8.9124274518374499E-3</v>
      </c>
      <c r="W92" s="56">
        <v>24.677395212880661</v>
      </c>
      <c r="X92" s="56">
        <v>2.0619158104942824E-48</v>
      </c>
      <c r="Y92" s="56">
        <v>0.20228646177858736</v>
      </c>
      <c r="Z92" s="56">
        <v>0.237584527291652</v>
      </c>
      <c r="AA92" s="56">
        <v>0.20228646177858736</v>
      </c>
      <c r="AB92" s="56">
        <v>0.237584527291652</v>
      </c>
    </row>
    <row r="93" spans="2:28">
      <c r="K93" s="49"/>
      <c r="L93" t="s">
        <v>73</v>
      </c>
      <c r="M93" t="str">
        <f>"]-∞;-"&amp;M90&amp;"[ U ]"&amp;M90&amp;";+∞["</f>
        <v>]-∞;-1,98[ U ]1,98;+∞[</v>
      </c>
    </row>
    <row r="94" spans="2:28" ht="13.8">
      <c r="B94" t="s">
        <v>26</v>
      </c>
      <c r="E94" t="s">
        <v>27</v>
      </c>
      <c r="G94" s="23">
        <f>C92</f>
        <v>-23.914215898430612</v>
      </c>
      <c r="H94" s="26">
        <f>C90</f>
        <v>0.21993549453511968</v>
      </c>
      <c r="K94" s="49"/>
    </row>
    <row r="95" spans="2:28">
      <c r="K95" s="49"/>
    </row>
    <row r="96" spans="2:28" ht="14.4">
      <c r="K96" s="49"/>
      <c r="L96" s="61" t="s">
        <v>74</v>
      </c>
      <c r="M96" s="61"/>
      <c r="N96" s="61"/>
      <c r="O96" s="61"/>
    </row>
    <row r="97" spans="2:18">
      <c r="K97" s="49"/>
    </row>
    <row r="98" spans="2:18" ht="16.2">
      <c r="B98" s="38" t="s">
        <v>59</v>
      </c>
      <c r="C98" s="38"/>
      <c r="D98" s="38"/>
      <c r="K98" s="49"/>
      <c r="L98" s="3" t="s">
        <v>75</v>
      </c>
      <c r="M98">
        <v>0</v>
      </c>
      <c r="O98" s="50" t="s">
        <v>76</v>
      </c>
      <c r="P98" s="50"/>
      <c r="Q98" s="50"/>
      <c r="R98" s="50"/>
    </row>
    <row r="99" spans="2:18">
      <c r="K99" s="49"/>
      <c r="L99" s="3" t="s">
        <v>77</v>
      </c>
      <c r="M99">
        <f>H105</f>
        <v>26.858779576019376</v>
      </c>
      <c r="O99" s="3" t="s">
        <v>78</v>
      </c>
      <c r="P99" s="62">
        <f>(C90-M98)/(M99*M100)</f>
        <v>24.677395212880594</v>
      </c>
    </row>
    <row r="100" spans="2:18">
      <c r="C100" t="s">
        <v>14</v>
      </c>
      <c r="D100">
        <v>120</v>
      </c>
      <c r="K100" s="49"/>
      <c r="M100">
        <f>SQRT(1/E72)</f>
        <v>3.3182548099820801E-4</v>
      </c>
    </row>
    <row r="101" spans="2:18">
      <c r="B101" t="s">
        <v>60</v>
      </c>
      <c r="D101">
        <v>0.95</v>
      </c>
      <c r="K101" s="49"/>
    </row>
    <row r="102" spans="2:18" ht="14.4">
      <c r="C102" t="s">
        <v>61</v>
      </c>
      <c r="D102">
        <v>0.05</v>
      </c>
      <c r="K102" s="49"/>
      <c r="L102" s="61" t="s">
        <v>79</v>
      </c>
      <c r="M102" s="61"/>
      <c r="N102" s="61"/>
      <c r="O102" s="61"/>
    </row>
    <row r="103" spans="2:18">
      <c r="K103" s="49"/>
    </row>
    <row r="104" spans="2:18">
      <c r="D104">
        <f>ROUND(_xlfn.T.INV(1-D102/2,D100-2),2)</f>
        <v>1.98</v>
      </c>
      <c r="G104" s="46" t="s">
        <v>63</v>
      </c>
      <c r="H104" s="47">
        <f>I7-E72*C90^2</f>
        <v>85124.496756957087</v>
      </c>
      <c r="K104" s="49"/>
    </row>
    <row r="105" spans="2:18">
      <c r="G105" s="46" t="s">
        <v>64</v>
      </c>
      <c r="H105" s="46">
        <f>SQRT(H104/(D100-2))</f>
        <v>26.858779576019376</v>
      </c>
      <c r="K105" s="49"/>
    </row>
    <row r="106" spans="2:18">
      <c r="K106" s="49"/>
      <c r="L106" t="s">
        <v>112</v>
      </c>
    </row>
    <row r="107" spans="2:18">
      <c r="K107" s="49"/>
    </row>
    <row r="108" spans="2:18">
      <c r="D108">
        <f>SQRT(1/E72)</f>
        <v>3.3182548099820801E-4</v>
      </c>
      <c r="K108" s="49"/>
    </row>
    <row r="109" spans="2:18">
      <c r="K109" s="49"/>
    </row>
    <row r="110" spans="2:18">
      <c r="K110" s="49"/>
    </row>
    <row r="111" spans="2:18">
      <c r="C111" t="s">
        <v>62</v>
      </c>
      <c r="D111" s="29">
        <f>H105*D108*D104</f>
        <v>1.7646606354638199E-2</v>
      </c>
      <c r="K111" s="49"/>
    </row>
    <row r="112" spans="2:18">
      <c r="K112" s="49"/>
    </row>
    <row r="113" spans="1:24">
      <c r="C113" t="s">
        <v>65</v>
      </c>
      <c r="D113" s="29">
        <f>ROUND(C90-D111,4)</f>
        <v>0.20230000000000001</v>
      </c>
    </row>
    <row r="114" spans="1:24">
      <c r="C114" t="s">
        <v>66</v>
      </c>
      <c r="D114" s="29">
        <f>ROUND(C90+D111,4)</f>
        <v>0.23760000000000001</v>
      </c>
    </row>
    <row r="121" spans="1:24">
      <c r="A121" s="16"/>
      <c r="B121" s="17" t="s">
        <v>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4" spans="1:24">
      <c r="C124">
        <f>AVERAGE('owid-covid-data'!F2:F121)</f>
        <v>1531.8833333333334</v>
      </c>
      <c r="F124">
        <f>C124^2</f>
        <v>2346666.546944445</v>
      </c>
    </row>
    <row r="127" spans="1:24">
      <c r="E127">
        <f>'owid-covid-data'!O123-'P1. Y2'!C4*'P1. Y2'!F124</f>
        <v>440292938.36666662</v>
      </c>
      <c r="K127" s="48"/>
      <c r="L127" s="38" t="s">
        <v>67</v>
      </c>
      <c r="M127" s="38"/>
    </row>
    <row r="128" spans="1:24">
      <c r="K128" s="49"/>
    </row>
    <row r="129" spans="2:25">
      <c r="K129" s="49"/>
    </row>
    <row r="130" spans="2:25">
      <c r="F130">
        <f>'owid-covid-data'!AD123-'P1. Y2'!C4*'P1. Y2'!C6*'P1. Y2'!C124</f>
        <v>14798106.016666666</v>
      </c>
      <c r="K130" s="49"/>
      <c r="L130" s="2" t="s">
        <v>68</v>
      </c>
    </row>
    <row r="131" spans="2:25">
      <c r="K131" s="49"/>
      <c r="T131" t="s">
        <v>80</v>
      </c>
    </row>
    <row r="132" spans="2:25" ht="13.8" thickBot="1">
      <c r="K132" s="49"/>
      <c r="L132" s="45"/>
    </row>
    <row r="133" spans="2:25" ht="14.4">
      <c r="B133" s="8" t="s">
        <v>22</v>
      </c>
      <c r="C133" s="8"/>
      <c r="D133" s="8"/>
      <c r="K133" s="49"/>
      <c r="L133" s="61" t="s">
        <v>69</v>
      </c>
      <c r="M133" s="61"/>
      <c r="N133" s="61"/>
      <c r="O133" s="61"/>
      <c r="T133" s="58" t="s">
        <v>81</v>
      </c>
      <c r="U133" s="58"/>
    </row>
    <row r="134" spans="2:25">
      <c r="K134" s="49"/>
      <c r="L134" t="s">
        <v>70</v>
      </c>
      <c r="T134" s="55" t="s">
        <v>82</v>
      </c>
      <c r="U134" s="55">
        <v>0.97384448542961077</v>
      </c>
    </row>
    <row r="135" spans="2:25">
      <c r="K135" s="49"/>
      <c r="T135" s="55" t="s">
        <v>83</v>
      </c>
      <c r="U135" s="55">
        <v>0.94837308180166335</v>
      </c>
    </row>
    <row r="136" spans="2:25" ht="14.4">
      <c r="D136" t="s">
        <v>21</v>
      </c>
      <c r="E136">
        <f>F130/SQRT(E127*I7)</f>
        <v>0.97384448542961066</v>
      </c>
      <c r="K136" s="49"/>
      <c r="L136" s="61" t="s">
        <v>71</v>
      </c>
      <c r="M136" s="61"/>
      <c r="N136" s="61"/>
      <c r="O136" s="61"/>
      <c r="T136" s="55" t="s">
        <v>84</v>
      </c>
      <c r="U136" s="55">
        <v>0.94793556554574521</v>
      </c>
    </row>
    <row r="137" spans="2:25">
      <c r="K137" s="49"/>
      <c r="T137" s="55" t="s">
        <v>85</v>
      </c>
      <c r="U137" s="55">
        <v>15.147562807921977</v>
      </c>
    </row>
    <row r="138" spans="2:25" ht="13.8" thickBot="1">
      <c r="K138" s="49"/>
      <c r="T138" s="56" t="s">
        <v>86</v>
      </c>
      <c r="U138" s="56">
        <v>120</v>
      </c>
    </row>
    <row r="139" spans="2:25">
      <c r="K139" s="49"/>
    </row>
    <row r="140" spans="2:25" ht="13.8" thickBot="1">
      <c r="B140" s="8" t="s">
        <v>25</v>
      </c>
      <c r="C140" s="8"/>
      <c r="D140" s="8"/>
      <c r="E140" s="8"/>
      <c r="F140" s="8"/>
      <c r="G140" s="8"/>
      <c r="K140" s="49"/>
      <c r="T140" t="s">
        <v>87</v>
      </c>
    </row>
    <row r="141" spans="2:25">
      <c r="K141" s="49"/>
      <c r="T141" s="57"/>
      <c r="U141" s="57" t="s">
        <v>92</v>
      </c>
      <c r="V141" s="57" t="s">
        <v>93</v>
      </c>
      <c r="W141" s="57" t="s">
        <v>94</v>
      </c>
      <c r="X141" s="57" t="s">
        <v>95</v>
      </c>
      <c r="Y141" s="57" t="s">
        <v>96</v>
      </c>
    </row>
    <row r="142" spans="2:25" ht="14.4">
      <c r="K142" s="49"/>
      <c r="L142" s="61" t="s">
        <v>72</v>
      </c>
      <c r="M142" s="61"/>
      <c r="N142" s="61"/>
      <c r="O142" s="61"/>
      <c r="T142" s="55" t="s">
        <v>88</v>
      </c>
      <c r="U142" s="55">
        <v>1</v>
      </c>
      <c r="V142" s="55">
        <v>497359.64990231313</v>
      </c>
      <c r="W142" s="55">
        <v>497359.64990231313</v>
      </c>
      <c r="X142" s="55">
        <v>2167.6293599915448</v>
      </c>
      <c r="Y142" s="55">
        <v>8.63154256996606E-78</v>
      </c>
    </row>
    <row r="143" spans="2:25">
      <c r="B143" t="s">
        <v>23</v>
      </c>
      <c r="C143">
        <f>F130/E127</f>
        <v>3.3609682843341711E-2</v>
      </c>
      <c r="K143" s="49"/>
      <c r="T143" s="55" t="s">
        <v>89</v>
      </c>
      <c r="U143" s="55">
        <v>118</v>
      </c>
      <c r="V143" s="55">
        <v>27074.941764353051</v>
      </c>
      <c r="W143" s="55">
        <v>229.44865901994112</v>
      </c>
      <c r="X143" s="55"/>
      <c r="Y143" s="55"/>
    </row>
    <row r="144" spans="2:25" ht="13.8" thickBot="1">
      <c r="K144" s="49"/>
      <c r="L144" t="s">
        <v>61</v>
      </c>
      <c r="M144">
        <v>0.05</v>
      </c>
      <c r="T144" s="56" t="s">
        <v>90</v>
      </c>
      <c r="U144" s="56">
        <v>119</v>
      </c>
      <c r="V144" s="56">
        <v>524434.59166666621</v>
      </c>
      <c r="W144" s="56"/>
      <c r="X144" s="56"/>
      <c r="Y144" s="56"/>
    </row>
    <row r="145" spans="2:28" ht="13.8" thickBot="1">
      <c r="B145" t="s">
        <v>24</v>
      </c>
      <c r="C145">
        <f>C6-C143*C124</f>
        <v>-13.627779653001113</v>
      </c>
      <c r="K145" s="49"/>
    </row>
    <row r="146" spans="2:28">
      <c r="K146" s="49"/>
      <c r="M146">
        <f>ROUND(_xlfn.T.INV(1-M144/2,D153-2),2)</f>
        <v>1.98</v>
      </c>
      <c r="T146" s="57"/>
      <c r="U146" s="57" t="s">
        <v>97</v>
      </c>
      <c r="V146" s="57" t="s">
        <v>85</v>
      </c>
      <c r="W146" s="57" t="s">
        <v>98</v>
      </c>
      <c r="X146" s="57" t="s">
        <v>99</v>
      </c>
      <c r="Y146" s="57" t="s">
        <v>100</v>
      </c>
      <c r="Z146" s="57" t="s">
        <v>101</v>
      </c>
      <c r="AA146" s="57" t="s">
        <v>102</v>
      </c>
      <c r="AB146" s="57" t="s">
        <v>103</v>
      </c>
    </row>
    <row r="147" spans="2:28" ht="13.8">
      <c r="B147" t="s">
        <v>26</v>
      </c>
      <c r="E147" t="s">
        <v>27</v>
      </c>
      <c r="G147" s="23">
        <f>C145</f>
        <v>-13.627779653001113</v>
      </c>
      <c r="H147" s="26">
        <f>C143</f>
        <v>3.3609682843341711E-2</v>
      </c>
      <c r="K147" s="49"/>
      <c r="T147" s="55" t="s">
        <v>91</v>
      </c>
      <c r="U147" s="55">
        <v>-13.627779653001085</v>
      </c>
      <c r="V147" s="55">
        <v>1.7705886311133414</v>
      </c>
      <c r="W147" s="55">
        <v>-7.6967509073137856</v>
      </c>
      <c r="X147" s="55">
        <v>4.6991057076019188E-12</v>
      </c>
      <c r="Y147" s="55">
        <v>-17.134027184073052</v>
      </c>
      <c r="Z147" s="55">
        <v>-10.121532121929116</v>
      </c>
      <c r="AA147" s="55">
        <v>-17.134027184073052</v>
      </c>
      <c r="AB147" s="55">
        <v>-10.121532121929116</v>
      </c>
    </row>
    <row r="148" spans="2:28" ht="13.8" thickBot="1">
      <c r="K148" s="49"/>
      <c r="T148" s="56" t="s">
        <v>104</v>
      </c>
      <c r="U148" s="56">
        <v>3.360968284334169E-2</v>
      </c>
      <c r="V148" s="56">
        <v>7.2189145628197185E-4</v>
      </c>
      <c r="W148" s="56">
        <v>46.557806649277893</v>
      </c>
      <c r="X148" s="56">
        <v>8.63154256996606E-78</v>
      </c>
      <c r="Y148" s="56">
        <v>3.2180141225479249E-2</v>
      </c>
      <c r="Z148" s="56">
        <v>3.5039224461204131E-2</v>
      </c>
      <c r="AA148" s="56">
        <v>3.2180141225479249E-2</v>
      </c>
      <c r="AB148" s="56">
        <v>3.5039224461204131E-2</v>
      </c>
    </row>
    <row r="149" spans="2:28">
      <c r="K149" s="49"/>
      <c r="L149" t="s">
        <v>73</v>
      </c>
      <c r="M149" t="str">
        <f>"]-∞;-"&amp;M146&amp;"[ U ]"&amp;M146&amp;";+∞["</f>
        <v>]-∞;-1,98[ U ]1,98;+∞[</v>
      </c>
    </row>
    <row r="150" spans="2:28">
      <c r="K150" s="49"/>
    </row>
    <row r="151" spans="2:28">
      <c r="B151" s="38" t="s">
        <v>59</v>
      </c>
      <c r="C151" s="38"/>
      <c r="D151" s="38"/>
      <c r="K151" s="49"/>
    </row>
    <row r="152" spans="2:28" ht="14.4">
      <c r="K152" s="49"/>
      <c r="L152" s="61" t="s">
        <v>74</v>
      </c>
      <c r="M152" s="61"/>
      <c r="N152" s="61"/>
      <c r="O152" s="61"/>
    </row>
    <row r="153" spans="2:28">
      <c r="C153" t="s">
        <v>14</v>
      </c>
      <c r="D153">
        <v>120</v>
      </c>
      <c r="K153" s="49"/>
    </row>
    <row r="154" spans="2:28" ht="16.2">
      <c r="B154" t="s">
        <v>60</v>
      </c>
      <c r="D154">
        <v>0.95</v>
      </c>
      <c r="K154" s="49"/>
      <c r="L154" s="3" t="s">
        <v>75</v>
      </c>
      <c r="M154">
        <v>0</v>
      </c>
      <c r="O154" s="50" t="s">
        <v>76</v>
      </c>
      <c r="P154" s="50"/>
      <c r="Q154" s="50"/>
      <c r="R154" s="50"/>
    </row>
    <row r="155" spans="2:28">
      <c r="C155" t="s">
        <v>61</v>
      </c>
      <c r="D155">
        <v>0.05</v>
      </c>
      <c r="K155" s="49"/>
      <c r="L155" s="3" t="s">
        <v>77</v>
      </c>
      <c r="M155">
        <f>H158</f>
        <v>15.147562807922064</v>
      </c>
      <c r="O155" s="3" t="s">
        <v>78</v>
      </c>
      <c r="P155" s="62">
        <f>(C143-M154)/(M155*M156)</f>
        <v>46.55780664927763</v>
      </c>
    </row>
    <row r="156" spans="2:28">
      <c r="K156" s="49"/>
      <c r="M156">
        <f>SQRT(1/E127)</f>
        <v>4.7657267735799217E-5</v>
      </c>
    </row>
    <row r="157" spans="2:28">
      <c r="D157">
        <f>ROUND(_xlfn.T.INV(1-D155/2,D153-2),2)</f>
        <v>1.98</v>
      </c>
      <c r="G157" s="46" t="s">
        <v>63</v>
      </c>
      <c r="H157" s="47">
        <f>I7-E127*C143^2</f>
        <v>27074.941764353367</v>
      </c>
      <c r="K157" s="49"/>
    </row>
    <row r="158" spans="2:28" ht="14.4">
      <c r="G158" s="46" t="s">
        <v>64</v>
      </c>
      <c r="H158" s="46">
        <f>SQRT(H157/(D153-2))</f>
        <v>15.147562807922064</v>
      </c>
      <c r="K158" s="49"/>
      <c r="L158" s="61" t="s">
        <v>79</v>
      </c>
      <c r="M158" s="61"/>
      <c r="N158" s="61"/>
      <c r="O158" s="61"/>
    </row>
    <row r="159" spans="2:28">
      <c r="K159" s="49"/>
    </row>
    <row r="160" spans="2:28">
      <c r="K160" s="49"/>
    </row>
    <row r="161" spans="1:24">
      <c r="D161">
        <f>SQRT(1/E127)</f>
        <v>4.7657267735799217E-5</v>
      </c>
      <c r="K161" s="49"/>
      <c r="L161" t="s">
        <v>113</v>
      </c>
    </row>
    <row r="162" spans="1:24">
      <c r="K162" s="49"/>
    </row>
    <row r="163" spans="1:24">
      <c r="K163" s="49"/>
    </row>
    <row r="164" spans="1:24">
      <c r="C164" t="s">
        <v>62</v>
      </c>
      <c r="D164" s="29">
        <f>H158*D161*D157</f>
        <v>1.4293450834383132E-3</v>
      </c>
      <c r="K164" s="49"/>
    </row>
    <row r="165" spans="1:24">
      <c r="K165" s="49"/>
    </row>
    <row r="166" spans="1:24">
      <c r="C166" t="s">
        <v>65</v>
      </c>
      <c r="D166" s="29">
        <f>ROUND(C143-D164,4)</f>
        <v>3.2199999999999999E-2</v>
      </c>
      <c r="K166" s="49"/>
    </row>
    <row r="167" spans="1:24">
      <c r="C167" t="s">
        <v>66</v>
      </c>
      <c r="D167" s="29">
        <f>ROUND(C143+D164,4)</f>
        <v>3.5000000000000003E-2</v>
      </c>
      <c r="K167" s="49"/>
    </row>
    <row r="168" spans="1:24">
      <c r="K168" s="49"/>
    </row>
    <row r="172" spans="1:24">
      <c r="A172" s="16"/>
      <c r="B172" s="17" t="s">
        <v>41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5" spans="1:24">
      <c r="C175">
        <f>AVERAGE('owid-covid-data'!G2:G121)</f>
        <v>37526.716666666667</v>
      </c>
      <c r="F175" s="27">
        <f>C175^2</f>
        <v>1408254463.7802777</v>
      </c>
    </row>
    <row r="177" spans="2:25">
      <c r="K177" s="48"/>
      <c r="L177" s="38" t="s">
        <v>67</v>
      </c>
      <c r="M177" s="38"/>
    </row>
    <row r="178" spans="2:25">
      <c r="E178" s="27">
        <f>'owid-covid-data'!P123-'P1. Y2'!C4*'P1. Y2'!F175</f>
        <v>38761835126.366669</v>
      </c>
      <c r="K178" s="49"/>
    </row>
    <row r="179" spans="2:25">
      <c r="K179" s="49"/>
    </row>
    <row r="180" spans="2:25">
      <c r="K180" s="49"/>
      <c r="L180" s="2" t="s">
        <v>68</v>
      </c>
    </row>
    <row r="181" spans="2:25">
      <c r="F181">
        <f>'owid-covid-data'!AE123-'P1. Y2'!C4*'P1. Y2'!C6*'P1. Y2'!C175</f>
        <v>-6993187.8166666627</v>
      </c>
      <c r="K181" s="49"/>
    </row>
    <row r="182" spans="2:25">
      <c r="K182" s="49"/>
      <c r="L182" s="45"/>
      <c r="T182" t="s">
        <v>80</v>
      </c>
    </row>
    <row r="183" spans="2:25" ht="15" thickBot="1">
      <c r="K183" s="49"/>
      <c r="L183" s="61" t="s">
        <v>69</v>
      </c>
      <c r="M183" s="61"/>
      <c r="N183" s="61"/>
      <c r="O183" s="61"/>
    </row>
    <row r="184" spans="2:25">
      <c r="B184" s="8" t="s">
        <v>22</v>
      </c>
      <c r="C184" s="8"/>
      <c r="D184" s="8"/>
      <c r="K184" s="49"/>
      <c r="L184" t="s">
        <v>70</v>
      </c>
      <c r="T184" s="58" t="s">
        <v>81</v>
      </c>
      <c r="U184" s="58"/>
    </row>
    <row r="185" spans="2:25">
      <c r="K185" s="49"/>
      <c r="T185" s="55" t="s">
        <v>82</v>
      </c>
      <c r="U185" s="55">
        <v>4.9048684312955004E-2</v>
      </c>
    </row>
    <row r="186" spans="2:25" ht="14.4">
      <c r="K186" s="49"/>
      <c r="L186" s="61" t="s">
        <v>71</v>
      </c>
      <c r="M186" s="61"/>
      <c r="N186" s="61"/>
      <c r="O186" s="61"/>
      <c r="T186" s="55" t="s">
        <v>83</v>
      </c>
      <c r="U186" s="55">
        <v>2.4057734328319182E-3</v>
      </c>
    </row>
    <row r="187" spans="2:25">
      <c r="D187" t="s">
        <v>21</v>
      </c>
      <c r="E187" s="27">
        <f>F181/SQRT(E178*I7)</f>
        <v>-4.9048684312956919E-2</v>
      </c>
      <c r="K187" s="49"/>
      <c r="T187" s="55" t="s">
        <v>84</v>
      </c>
      <c r="U187" s="55">
        <v>-6.048414927906795E-3</v>
      </c>
    </row>
    <row r="188" spans="2:25">
      <c r="K188" s="49"/>
      <c r="T188" s="55" t="s">
        <v>85</v>
      </c>
      <c r="U188" s="55">
        <v>66.585800444517361</v>
      </c>
    </row>
    <row r="189" spans="2:25" ht="13.8" thickBot="1">
      <c r="K189" s="49"/>
      <c r="T189" s="56" t="s">
        <v>86</v>
      </c>
      <c r="U189" s="56">
        <v>120</v>
      </c>
    </row>
    <row r="190" spans="2:25">
      <c r="K190" s="49"/>
    </row>
    <row r="191" spans="2:25" ht="13.8" thickBot="1">
      <c r="B191" s="8" t="s">
        <v>25</v>
      </c>
      <c r="C191" s="8"/>
      <c r="D191" s="8"/>
      <c r="E191" s="8"/>
      <c r="F191" s="8"/>
      <c r="G191" s="8"/>
      <c r="K191" s="49"/>
      <c r="T191" t="s">
        <v>87</v>
      </c>
    </row>
    <row r="192" spans="2:25" ht="14.4">
      <c r="K192" s="49"/>
      <c r="L192" s="61" t="s">
        <v>72</v>
      </c>
      <c r="M192" s="61"/>
      <c r="N192" s="61"/>
      <c r="O192" s="61"/>
      <c r="T192" s="57"/>
      <c r="U192" s="57" t="s">
        <v>92</v>
      </c>
      <c r="V192" s="57" t="s">
        <v>93</v>
      </c>
      <c r="W192" s="57" t="s">
        <v>94</v>
      </c>
      <c r="X192" s="57" t="s">
        <v>95</v>
      </c>
      <c r="Y192" s="57" t="s">
        <v>96</v>
      </c>
    </row>
    <row r="193" spans="2:28">
      <c r="K193" s="49"/>
      <c r="T193" s="55" t="s">
        <v>88</v>
      </c>
      <c r="U193" s="55">
        <v>1</v>
      </c>
      <c r="V193" s="55">
        <v>1261.6708078897209</v>
      </c>
      <c r="W193" s="55">
        <v>1261.6708078897209</v>
      </c>
      <c r="X193" s="55">
        <v>0.28456586607465961</v>
      </c>
      <c r="Y193" s="55">
        <v>0.59472745438727892</v>
      </c>
    </row>
    <row r="194" spans="2:28">
      <c r="B194" t="s">
        <v>23</v>
      </c>
      <c r="C194" s="11">
        <f>F181/E178</f>
        <v>-1.8041426041538833E-4</v>
      </c>
      <c r="K194" s="49"/>
      <c r="L194" t="s">
        <v>61</v>
      </c>
      <c r="M194">
        <v>0.05</v>
      </c>
      <c r="T194" s="55" t="s">
        <v>89</v>
      </c>
      <c r="U194" s="55">
        <v>118</v>
      </c>
      <c r="V194" s="55">
        <v>523172.92085877649</v>
      </c>
      <c r="W194" s="55">
        <v>4433.6688208370888</v>
      </c>
      <c r="X194" s="55"/>
      <c r="Y194" s="55"/>
    </row>
    <row r="195" spans="2:28" ht="13.8" thickBot="1">
      <c r="K195" s="49"/>
      <c r="T195" s="56" t="s">
        <v>90</v>
      </c>
      <c r="U195" s="56">
        <v>119</v>
      </c>
      <c r="V195" s="56">
        <v>524434.59166666621</v>
      </c>
      <c r="W195" s="56"/>
      <c r="X195" s="56"/>
      <c r="Y195" s="56"/>
    </row>
    <row r="196" spans="2:28" ht="13.8" thickBot="1">
      <c r="B196" t="s">
        <v>24</v>
      </c>
      <c r="C196" s="10">
        <f>C6-C194*C175</f>
        <v>44.628688166567827</v>
      </c>
      <c r="K196" s="49"/>
      <c r="M196">
        <f>ROUND(_xlfn.T.INV(1-M194/2,D204-2),2)</f>
        <v>1.98</v>
      </c>
    </row>
    <row r="197" spans="2:28">
      <c r="K197" s="49"/>
      <c r="T197" s="57"/>
      <c r="U197" s="57" t="s">
        <v>97</v>
      </c>
      <c r="V197" s="57" t="s">
        <v>85</v>
      </c>
      <c r="W197" s="57" t="s">
        <v>98</v>
      </c>
      <c r="X197" s="57" t="s">
        <v>99</v>
      </c>
      <c r="Y197" s="57" t="s">
        <v>100</v>
      </c>
      <c r="Z197" s="57" t="s">
        <v>101</v>
      </c>
      <c r="AA197" s="57" t="s">
        <v>102</v>
      </c>
      <c r="AB197" s="57" t="s">
        <v>103</v>
      </c>
    </row>
    <row r="198" spans="2:28" ht="13.8">
      <c r="B198" t="s">
        <v>26</v>
      </c>
      <c r="E198" t="s">
        <v>27</v>
      </c>
      <c r="G198" s="23">
        <f>C196</f>
        <v>44.628688166567827</v>
      </c>
      <c r="H198" s="20">
        <f>C194</f>
        <v>-1.8041426041538833E-4</v>
      </c>
      <c r="K198" s="49"/>
      <c r="T198" s="55" t="s">
        <v>91</v>
      </c>
      <c r="U198" s="55">
        <v>44.628688166567841</v>
      </c>
      <c r="V198" s="55">
        <v>14.072194564215414</v>
      </c>
      <c r="W198" s="55">
        <v>3.171409261214694</v>
      </c>
      <c r="X198" s="55">
        <v>1.9335645627271188E-3</v>
      </c>
      <c r="Y198" s="55">
        <v>16.761911784682098</v>
      </c>
      <c r="Z198" s="55">
        <v>72.495464548453583</v>
      </c>
      <c r="AA198" s="55">
        <v>16.761911784682098</v>
      </c>
      <c r="AB198" s="55">
        <v>72.495464548453583</v>
      </c>
    </row>
    <row r="199" spans="2:28" ht="13.8" thickBot="1">
      <c r="K199" s="49"/>
      <c r="L199" t="s">
        <v>73</v>
      </c>
      <c r="M199" t="str">
        <f>"]-∞;-"&amp;M196&amp;"[ U ]"&amp;M196&amp;";+∞["</f>
        <v>]-∞;-1,98[ U ]1,98;+∞[</v>
      </c>
      <c r="T199" s="56" t="s">
        <v>104</v>
      </c>
      <c r="U199" s="56">
        <v>-1.8041426041538874E-4</v>
      </c>
      <c r="V199" s="56">
        <v>3.3820456079667439E-4</v>
      </c>
      <c r="W199" s="56">
        <v>-0.53344715396624176</v>
      </c>
      <c r="X199" s="56">
        <v>0.59472745438726382</v>
      </c>
      <c r="Y199" s="56">
        <v>-8.5015136673859658E-4</v>
      </c>
      <c r="Z199" s="56">
        <v>4.8932284590781909E-4</v>
      </c>
      <c r="AA199" s="56">
        <v>-8.5015136673859658E-4</v>
      </c>
      <c r="AB199" s="56">
        <v>4.8932284590781909E-4</v>
      </c>
    </row>
    <row r="200" spans="2:28">
      <c r="K200" s="49"/>
    </row>
    <row r="201" spans="2:28">
      <c r="K201" s="49"/>
    </row>
    <row r="202" spans="2:28" ht="14.4">
      <c r="B202" s="38" t="s">
        <v>59</v>
      </c>
      <c r="C202" s="38"/>
      <c r="D202" s="38"/>
      <c r="K202" s="49"/>
      <c r="L202" s="61" t="s">
        <v>74</v>
      </c>
      <c r="M202" s="61"/>
      <c r="N202" s="61"/>
      <c r="O202" s="61"/>
    </row>
    <row r="203" spans="2:28">
      <c r="K203" s="49"/>
    </row>
    <row r="204" spans="2:28" ht="16.2">
      <c r="C204" t="s">
        <v>14</v>
      </c>
      <c r="D204">
        <v>120</v>
      </c>
      <c r="K204" s="49"/>
      <c r="L204" s="3" t="s">
        <v>75</v>
      </c>
      <c r="M204">
        <v>0</v>
      </c>
      <c r="O204" s="50" t="s">
        <v>76</v>
      </c>
      <c r="P204" s="50"/>
      <c r="Q204" s="50"/>
      <c r="R204" s="50"/>
    </row>
    <row r="205" spans="2:28">
      <c r="B205" t="s">
        <v>60</v>
      </c>
      <c r="D205">
        <v>0.95</v>
      </c>
      <c r="K205" s="49"/>
      <c r="L205" s="3" t="s">
        <v>77</v>
      </c>
      <c r="M205" s="15">
        <f>H208</f>
        <v>523172.92085877684</v>
      </c>
      <c r="O205" s="3" t="s">
        <v>78</v>
      </c>
      <c r="P205" s="63">
        <f>(C194-M204)/(M205*M206)</f>
        <v>-6.7893433175758632E-5</v>
      </c>
    </row>
    <row r="206" spans="2:28">
      <c r="C206" t="s">
        <v>61</v>
      </c>
      <c r="D206">
        <v>0.05</v>
      </c>
      <c r="K206" s="49"/>
      <c r="M206">
        <f>SQRT(1/E178)</f>
        <v>5.0792294834464506E-6</v>
      </c>
    </row>
    <row r="207" spans="2:28">
      <c r="K207" s="49"/>
    </row>
    <row r="208" spans="2:28" ht="14.4">
      <c r="D208">
        <f>ROUND(_xlfn.T.INV(1-D206/2,D204-2),2)</f>
        <v>1.98</v>
      </c>
      <c r="G208" s="46" t="s">
        <v>63</v>
      </c>
      <c r="H208" s="47">
        <f>I7-E178*C194^2</f>
        <v>523172.92085877684</v>
      </c>
      <c r="K208" s="49"/>
      <c r="L208" s="61" t="s">
        <v>79</v>
      </c>
      <c r="M208" s="61"/>
      <c r="N208" s="61"/>
      <c r="O208" s="61"/>
    </row>
    <row r="209" spans="3:12">
      <c r="G209" s="46" t="s">
        <v>64</v>
      </c>
      <c r="H209" s="46">
        <f>SQRT(H208/(D204-2))</f>
        <v>66.585800444517389</v>
      </c>
      <c r="K209" s="49"/>
    </row>
    <row r="210" spans="3:12">
      <c r="K210" s="49"/>
    </row>
    <row r="211" spans="3:12">
      <c r="K211" s="49"/>
      <c r="L211" t="s">
        <v>114</v>
      </c>
    </row>
    <row r="212" spans="3:12">
      <c r="D212">
        <f>SQRT(1/E178)</f>
        <v>5.0792294834464506E-6</v>
      </c>
      <c r="K212" s="49"/>
    </row>
    <row r="213" spans="3:12">
      <c r="K213" s="49"/>
    </row>
    <row r="214" spans="3:12">
      <c r="K214" s="49"/>
    </row>
    <row r="215" spans="3:12">
      <c r="C215" t="s">
        <v>62</v>
      </c>
      <c r="D215" s="29">
        <f>H209*D212*D208</f>
        <v>6.696450303774155E-4</v>
      </c>
      <c r="K215" s="49"/>
    </row>
    <row r="216" spans="3:12">
      <c r="K216" s="49"/>
    </row>
    <row r="217" spans="3:12">
      <c r="C217" t="s">
        <v>65</v>
      </c>
      <c r="D217" s="11">
        <f>ROUND(C194-D215,4)</f>
        <v>-8.9999999999999998E-4</v>
      </c>
      <c r="K217" s="49"/>
    </row>
    <row r="218" spans="3:12">
      <c r="C218" t="s">
        <v>66</v>
      </c>
      <c r="D218" s="11">
        <f>ROUND(C194+D215,4)</f>
        <v>5.0000000000000001E-4</v>
      </c>
      <c r="K218" s="49"/>
    </row>
    <row r="225" spans="1:24">
      <c r="A225" s="16"/>
      <c r="B225" s="17" t="s">
        <v>43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8" spans="1:24">
      <c r="C228">
        <f>AVERAGE('owid-covid-data'!H2:H121)</f>
        <v>3.5775000000000036E-2</v>
      </c>
      <c r="F228">
        <f>C228^2</f>
        <v>1.2798506250000026E-3</v>
      </c>
    </row>
    <row r="230" spans="1:24">
      <c r="K230" s="48"/>
      <c r="L230" s="38" t="s">
        <v>67</v>
      </c>
      <c r="M230" s="38"/>
    </row>
    <row r="231" spans="1:24">
      <c r="E231" s="14">
        <f>'owid-covid-data'!Q123-'P1. Y2'!C4*'P1. Y2'!F228</f>
        <v>0.25541458499999936</v>
      </c>
      <c r="K231" s="49"/>
    </row>
    <row r="232" spans="1:24">
      <c r="K232" s="49"/>
    </row>
    <row r="233" spans="1:24">
      <c r="K233" s="49"/>
      <c r="L233" s="2" t="s">
        <v>68</v>
      </c>
    </row>
    <row r="234" spans="1:24">
      <c r="F234">
        <f>'owid-covid-data'!AF123-'P1. Y2'!C4*'P1. Y2'!C6*'P1. Y2'!C228</f>
        <v>363.17097500000023</v>
      </c>
      <c r="K234" s="49"/>
    </row>
    <row r="235" spans="1:24">
      <c r="K235" s="49"/>
      <c r="L235" s="45"/>
      <c r="T235" t="s">
        <v>80</v>
      </c>
    </row>
    <row r="236" spans="1:24" ht="15" thickBot="1">
      <c r="K236" s="49"/>
      <c r="L236" s="61" t="s">
        <v>69</v>
      </c>
      <c r="M236" s="61"/>
      <c r="N236" s="61"/>
      <c r="O236" s="61"/>
    </row>
    <row r="237" spans="1:24">
      <c r="B237" s="8" t="s">
        <v>22</v>
      </c>
      <c r="C237" s="8"/>
      <c r="D237" s="8"/>
      <c r="K237" s="49"/>
      <c r="L237" t="s">
        <v>70</v>
      </c>
      <c r="T237" s="58" t="s">
        <v>81</v>
      </c>
      <c r="U237" s="58"/>
    </row>
    <row r="238" spans="1:24">
      <c r="K238" s="49"/>
      <c r="T238" s="55" t="s">
        <v>82</v>
      </c>
      <c r="U238" s="55">
        <v>0.99229915229739973</v>
      </c>
    </row>
    <row r="239" spans="1:24" ht="14.4">
      <c r="K239" s="49"/>
      <c r="L239" s="61" t="s">
        <v>71</v>
      </c>
      <c r="M239" s="61"/>
      <c r="N239" s="61"/>
      <c r="O239" s="61"/>
      <c r="T239" s="55" t="s">
        <v>83</v>
      </c>
      <c r="U239" s="55">
        <v>0.9846576076501381</v>
      </c>
    </row>
    <row r="240" spans="1:24">
      <c r="D240" t="s">
        <v>21</v>
      </c>
      <c r="E240" s="28">
        <f>E231*I7</f>
        <v>133948.2435901858</v>
      </c>
      <c r="K240" s="49"/>
      <c r="T240" s="55" t="s">
        <v>84</v>
      </c>
      <c r="U240" s="55">
        <v>0.98452758737598678</v>
      </c>
    </row>
    <row r="241" spans="2:28">
      <c r="K241" s="49"/>
      <c r="T241" s="55" t="s">
        <v>85</v>
      </c>
      <c r="U241" s="55">
        <v>8.2575498413853037</v>
      </c>
    </row>
    <row r="242" spans="2:28" ht="13.8" thickBot="1">
      <c r="K242" s="49"/>
      <c r="T242" s="56" t="s">
        <v>86</v>
      </c>
      <c r="U242" s="56">
        <v>120</v>
      </c>
    </row>
    <row r="243" spans="2:28">
      <c r="K243" s="49"/>
    </row>
    <row r="244" spans="2:28" ht="13.8" thickBot="1">
      <c r="B244" s="8" t="s">
        <v>25</v>
      </c>
      <c r="C244" s="8"/>
      <c r="D244" s="8"/>
      <c r="E244" s="8"/>
      <c r="F244" s="8"/>
      <c r="G244" s="9"/>
      <c r="K244" s="49"/>
      <c r="T244" t="s">
        <v>87</v>
      </c>
    </row>
    <row r="245" spans="2:28" ht="14.4">
      <c r="K245" s="49"/>
      <c r="L245" s="61" t="s">
        <v>72</v>
      </c>
      <c r="M245" s="61"/>
      <c r="N245" s="61"/>
      <c r="O245" s="61"/>
      <c r="T245" s="57"/>
      <c r="U245" s="57" t="s">
        <v>92</v>
      </c>
      <c r="V245" s="57" t="s">
        <v>93</v>
      </c>
      <c r="W245" s="57" t="s">
        <v>94</v>
      </c>
      <c r="X245" s="57" t="s">
        <v>95</v>
      </c>
      <c r="Y245" s="57" t="s">
        <v>96</v>
      </c>
    </row>
    <row r="246" spans="2:28">
      <c r="K246" s="49"/>
      <c r="T246" s="55" t="s">
        <v>88</v>
      </c>
      <c r="U246" s="55">
        <v>1</v>
      </c>
      <c r="V246" s="55">
        <v>516388.51039947663</v>
      </c>
      <c r="W246" s="55">
        <v>516388.51039947663</v>
      </c>
      <c r="X246" s="55">
        <v>7573.1082254432577</v>
      </c>
      <c r="Y246" s="55">
        <v>6.8560181571596408E-109</v>
      </c>
    </row>
    <row r="247" spans="2:28">
      <c r="B247" t="s">
        <v>23</v>
      </c>
      <c r="C247">
        <f>F234/E231</f>
        <v>1421.8881627296309</v>
      </c>
      <c r="K247" s="49"/>
      <c r="L247" t="s">
        <v>61</v>
      </c>
      <c r="M247">
        <v>0.05</v>
      </c>
      <c r="T247" s="55" t="s">
        <v>89</v>
      </c>
      <c r="U247" s="55">
        <v>118</v>
      </c>
      <c r="V247" s="55">
        <v>8046.0812671895701</v>
      </c>
      <c r="W247" s="55">
        <v>68.187129382962453</v>
      </c>
      <c r="X247" s="55"/>
      <c r="Y247" s="55"/>
    </row>
    <row r="248" spans="2:28" ht="13.8" thickBot="1">
      <c r="K248" s="49"/>
      <c r="T248" s="56" t="s">
        <v>90</v>
      </c>
      <c r="U248" s="56">
        <v>119</v>
      </c>
      <c r="V248" s="56">
        <v>524434.59166666621</v>
      </c>
      <c r="W248" s="56"/>
      <c r="X248" s="56"/>
      <c r="Y248" s="56"/>
    </row>
    <row r="249" spans="2:28" ht="13.8" thickBot="1">
      <c r="B249" t="s">
        <v>24</v>
      </c>
      <c r="C249" s="12">
        <f>C6-C247*C228</f>
        <v>-13.009715688319261</v>
      </c>
      <c r="K249" s="49"/>
      <c r="M249">
        <f>ROUND(_xlfn.T.INV(1-M247/2,D257-2),2)</f>
        <v>1.98</v>
      </c>
    </row>
    <row r="250" spans="2:28">
      <c r="K250" s="49"/>
      <c r="T250" s="57"/>
      <c r="U250" s="57" t="s">
        <v>97</v>
      </c>
      <c r="V250" s="57" t="s">
        <v>85</v>
      </c>
      <c r="W250" s="57" t="s">
        <v>98</v>
      </c>
      <c r="X250" s="57" t="s">
        <v>99</v>
      </c>
      <c r="Y250" s="57" t="s">
        <v>100</v>
      </c>
      <c r="Z250" s="57" t="s">
        <v>101</v>
      </c>
      <c r="AA250" s="57" t="s">
        <v>102</v>
      </c>
      <c r="AB250" s="57" t="s">
        <v>103</v>
      </c>
    </row>
    <row r="251" spans="2:28" ht="13.8">
      <c r="B251" t="s">
        <v>26</v>
      </c>
      <c r="E251" t="s">
        <v>27</v>
      </c>
      <c r="G251" s="23">
        <f>C249</f>
        <v>-13.009715688319261</v>
      </c>
      <c r="H251" s="19">
        <f>C247</f>
        <v>1421.8881627296309</v>
      </c>
      <c r="K251" s="49"/>
      <c r="T251" s="55" t="s">
        <v>91</v>
      </c>
      <c r="U251" s="55">
        <v>-13.009715688319112</v>
      </c>
      <c r="V251" s="55">
        <v>0.95388850389424928</v>
      </c>
      <c r="W251" s="55">
        <v>-13.638612516250017</v>
      </c>
      <c r="X251" s="55">
        <v>5.2479977413828489E-26</v>
      </c>
      <c r="Y251" s="55">
        <v>-14.898674621481407</v>
      </c>
      <c r="Z251" s="55">
        <v>-11.120756755156817</v>
      </c>
      <c r="AA251" s="55">
        <v>-14.898674621481407</v>
      </c>
      <c r="AB251" s="55">
        <v>-11.120756755156817</v>
      </c>
    </row>
    <row r="252" spans="2:28" ht="13.8" thickBot="1">
      <c r="K252" s="49"/>
      <c r="L252" t="s">
        <v>73</v>
      </c>
      <c r="M252" t="str">
        <f>"]-∞;-"&amp;M249&amp;"[ U ]"&amp;M249&amp;";+∞["</f>
        <v>]-∞;-1,98[ U ]1,98;+∞[</v>
      </c>
      <c r="T252" s="56" t="s">
        <v>104</v>
      </c>
      <c r="U252" s="56">
        <v>1421.8881627296266</v>
      </c>
      <c r="V252" s="56">
        <v>16.339108513640536</v>
      </c>
      <c r="W252" s="56">
        <v>87.023607288156384</v>
      </c>
      <c r="X252" s="56">
        <v>6.8560181571590556E-109</v>
      </c>
      <c r="Y252" s="56">
        <v>1389.5322795622046</v>
      </c>
      <c r="Z252" s="56">
        <v>1454.2440458970486</v>
      </c>
      <c r="AA252" s="56">
        <v>1389.5322795622046</v>
      </c>
      <c r="AB252" s="56">
        <v>1454.2440458970486</v>
      </c>
    </row>
    <row r="253" spans="2:28">
      <c r="K253" s="49"/>
    </row>
    <row r="254" spans="2:28">
      <c r="K254" s="49"/>
    </row>
    <row r="255" spans="2:28" ht="14.4">
      <c r="B255" s="38" t="s">
        <v>59</v>
      </c>
      <c r="C255" s="38"/>
      <c r="D255" s="38"/>
      <c r="K255" s="49"/>
      <c r="L255" s="61" t="s">
        <v>74</v>
      </c>
      <c r="M255" s="61"/>
      <c r="N255" s="61"/>
      <c r="O255" s="61"/>
    </row>
    <row r="256" spans="2:28">
      <c r="K256" s="49"/>
    </row>
    <row r="257" spans="2:18" ht="16.2">
      <c r="C257" t="s">
        <v>14</v>
      </c>
      <c r="D257">
        <v>120</v>
      </c>
      <c r="K257" s="49"/>
      <c r="L257" s="3" t="s">
        <v>75</v>
      </c>
      <c r="M257">
        <v>0</v>
      </c>
      <c r="O257" s="50" t="s">
        <v>76</v>
      </c>
      <c r="P257" s="50"/>
      <c r="Q257" s="50"/>
      <c r="R257" s="50"/>
    </row>
    <row r="258" spans="2:18">
      <c r="B258" t="s">
        <v>60</v>
      </c>
      <c r="D258">
        <v>0.95</v>
      </c>
      <c r="K258" s="49"/>
      <c r="L258" s="3" t="s">
        <v>77</v>
      </c>
      <c r="M258" s="15">
        <f>H261</f>
        <v>8046.0812671876047</v>
      </c>
      <c r="O258" s="3" t="s">
        <v>78</v>
      </c>
      <c r="P258" s="62">
        <f>(C247-M257)/(M258*M259)</f>
        <v>8.931077759425507E-2</v>
      </c>
    </row>
    <row r="259" spans="2:18">
      <c r="C259" t="s">
        <v>61</v>
      </c>
      <c r="D259">
        <v>0.05</v>
      </c>
      <c r="K259" s="49"/>
      <c r="M259" s="13">
        <f>SQRT(1/E231)</f>
        <v>1.9786872410690133</v>
      </c>
    </row>
    <row r="260" spans="2:18">
      <c r="K260" s="49"/>
    </row>
    <row r="261" spans="2:18" ht="14.4">
      <c r="D261">
        <f>ROUND(_xlfn.T.INV(1-D259/2,D257-2),2)</f>
        <v>1.98</v>
      </c>
      <c r="G261" s="46" t="s">
        <v>63</v>
      </c>
      <c r="H261" s="47">
        <f>I7-E231*C247^2</f>
        <v>8046.0812671876047</v>
      </c>
      <c r="K261" s="49"/>
      <c r="L261" s="61" t="s">
        <v>79</v>
      </c>
      <c r="M261" s="61"/>
      <c r="N261" s="61"/>
      <c r="O261" s="61"/>
    </row>
    <row r="262" spans="2:18">
      <c r="G262" s="46" t="s">
        <v>64</v>
      </c>
      <c r="H262" s="46">
        <f>SQRT(H261/(D257-2))</f>
        <v>8.2575498413842947</v>
      </c>
      <c r="K262" s="49"/>
    </row>
    <row r="263" spans="2:18">
      <c r="K263" s="49"/>
    </row>
    <row r="264" spans="2:18">
      <c r="K264" s="49"/>
      <c r="L264" t="s">
        <v>115</v>
      </c>
    </row>
    <row r="265" spans="2:18">
      <c r="D265">
        <f>SQRT(1/E231)</f>
        <v>1.9786872410690133</v>
      </c>
      <c r="K265" s="49"/>
    </row>
    <row r="266" spans="2:18">
      <c r="K266" s="49"/>
    </row>
    <row r="267" spans="2:18">
      <c r="K267" s="49"/>
    </row>
    <row r="268" spans="2:18">
      <c r="C268" t="s">
        <v>62</v>
      </c>
      <c r="D268" s="29">
        <f>H262*D265*D261</f>
        <v>32.351434857004342</v>
      </c>
      <c r="K268" s="49"/>
    </row>
    <row r="269" spans="2:18">
      <c r="K269" s="49"/>
    </row>
    <row r="270" spans="2:18">
      <c r="C270" t="s">
        <v>65</v>
      </c>
      <c r="D270" s="10">
        <f>ROUND(C247-D268,4)</f>
        <v>1389.5367000000001</v>
      </c>
      <c r="K270" s="49"/>
    </row>
    <row r="271" spans="2:18">
      <c r="C271" t="s">
        <v>66</v>
      </c>
      <c r="D271" s="10">
        <f>ROUND(C247+D268,4)</f>
        <v>1454.2396000000001</v>
      </c>
      <c r="K271" s="49"/>
    </row>
    <row r="278" spans="1:24">
      <c r="A278" s="16"/>
      <c r="B278" s="17" t="s">
        <v>45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81" spans="1:24">
      <c r="C281">
        <f>AVERAGE('owid-covid-data'!I2:I121)</f>
        <v>685215.23333333328</v>
      </c>
      <c r="F281" s="28">
        <f>C281^2</f>
        <v>469519915992.05438</v>
      </c>
    </row>
    <row r="284" spans="1:24">
      <c r="E284" s="27">
        <f>'owid-covid-data'!R123-('P1. Y2'!C4*'P1. Y2'!F281)</f>
        <v>29096772539851.477</v>
      </c>
      <c r="K284" s="48"/>
      <c r="L284" s="38" t="s">
        <v>67</v>
      </c>
      <c r="M284" s="38"/>
    </row>
    <row r="285" spans="1:24">
      <c r="K285" s="49"/>
    </row>
    <row r="286" spans="1:24">
      <c r="K286" s="49"/>
    </row>
    <row r="287" spans="1:24">
      <c r="F287" s="28">
        <f>'owid-covid-data'!AG123-'P1. Y2'!C4*'P1. Y2'!C6*'P1. Y2'!C281</f>
        <v>-2182784800.0333333</v>
      </c>
      <c r="K287" s="49"/>
      <c r="L287" s="2" t="s">
        <v>68</v>
      </c>
      <c r="T287" t="s">
        <v>80</v>
      </c>
    </row>
    <row r="288" spans="1:24" ht="13.8" thickBot="1">
      <c r="K288" s="49"/>
    </row>
    <row r="289" spans="2:28">
      <c r="K289" s="49"/>
      <c r="L289" s="45"/>
      <c r="T289" s="58" t="s">
        <v>81</v>
      </c>
      <c r="U289" s="58"/>
    </row>
    <row r="290" spans="2:28" ht="14.4">
      <c r="B290" s="8" t="s">
        <v>22</v>
      </c>
      <c r="C290" s="8"/>
      <c r="D290" s="8"/>
      <c r="K290" s="49"/>
      <c r="L290" s="61" t="s">
        <v>69</v>
      </c>
      <c r="M290" s="61"/>
      <c r="N290" s="61"/>
      <c r="O290" s="61"/>
      <c r="T290" s="55" t="s">
        <v>82</v>
      </c>
      <c r="U290" s="55">
        <v>0.5587825643214025</v>
      </c>
    </row>
    <row r="291" spans="2:28">
      <c r="K291" s="49"/>
      <c r="L291" t="s">
        <v>70</v>
      </c>
      <c r="T291" s="55" t="s">
        <v>83</v>
      </c>
      <c r="U291" s="55">
        <v>0.31223795418960226</v>
      </c>
    </row>
    <row r="292" spans="2:28">
      <c r="K292" s="49"/>
      <c r="T292" s="55" t="s">
        <v>84</v>
      </c>
      <c r="U292" s="55">
        <v>0.30640946227595484</v>
      </c>
    </row>
    <row r="293" spans="2:28" ht="14.4">
      <c r="D293" t="s">
        <v>21</v>
      </c>
      <c r="E293" s="28">
        <f>F287/SQRT(E284*I7)</f>
        <v>-0.55878256432140139</v>
      </c>
      <c r="K293" s="49"/>
      <c r="L293" s="61" t="s">
        <v>71</v>
      </c>
      <c r="M293" s="61"/>
      <c r="N293" s="61"/>
      <c r="O293" s="61"/>
      <c r="T293" s="55" t="s">
        <v>85</v>
      </c>
      <c r="U293" s="55">
        <v>55.287094124815063</v>
      </c>
    </row>
    <row r="294" spans="2:28" ht="13.8" thickBot="1">
      <c r="K294" s="49"/>
      <c r="T294" s="56" t="s">
        <v>86</v>
      </c>
      <c r="U294" s="56">
        <v>120</v>
      </c>
    </row>
    <row r="295" spans="2:28">
      <c r="K295" s="49"/>
    </row>
    <row r="296" spans="2:28" ht="13.8" thickBot="1">
      <c r="K296" s="49"/>
      <c r="T296" t="s">
        <v>87</v>
      </c>
    </row>
    <row r="297" spans="2:28">
      <c r="B297" s="8" t="s">
        <v>25</v>
      </c>
      <c r="C297" s="8"/>
      <c r="D297" s="8"/>
      <c r="E297" s="8"/>
      <c r="F297" s="8"/>
      <c r="G297" s="9"/>
      <c r="K297" s="49"/>
      <c r="T297" s="57"/>
      <c r="U297" s="57" t="s">
        <v>92</v>
      </c>
      <c r="V297" s="57" t="s">
        <v>93</v>
      </c>
      <c r="W297" s="57" t="s">
        <v>94</v>
      </c>
      <c r="X297" s="57" t="s">
        <v>95</v>
      </c>
      <c r="Y297" s="57" t="s">
        <v>96</v>
      </c>
    </row>
    <row r="298" spans="2:28">
      <c r="K298" s="49"/>
      <c r="T298" s="55" t="s">
        <v>88</v>
      </c>
      <c r="U298" s="55">
        <v>1</v>
      </c>
      <c r="V298" s="55">
        <v>163748.38400825928</v>
      </c>
      <c r="W298" s="55">
        <v>163748.38400825928</v>
      </c>
      <c r="X298" s="55">
        <v>53.570968067828275</v>
      </c>
      <c r="Y298" s="55">
        <v>3.304069229522694E-11</v>
      </c>
    </row>
    <row r="299" spans="2:28" ht="14.4">
      <c r="K299" s="49"/>
      <c r="L299" s="61" t="s">
        <v>72</v>
      </c>
      <c r="M299" s="61"/>
      <c r="N299" s="61"/>
      <c r="O299" s="61"/>
      <c r="T299" s="55" t="s">
        <v>89</v>
      </c>
      <c r="U299" s="55">
        <v>118</v>
      </c>
      <c r="V299" s="55">
        <v>360686.20765840693</v>
      </c>
      <c r="W299" s="55">
        <v>3056.6627767661603</v>
      </c>
      <c r="X299" s="55"/>
      <c r="Y299" s="55"/>
    </row>
    <row r="300" spans="2:28" ht="13.8" thickBot="1">
      <c r="B300" t="s">
        <v>23</v>
      </c>
      <c r="C300" s="13">
        <f>F287/E284</f>
        <v>-7.5018107147236036E-5</v>
      </c>
      <c r="K300" s="49"/>
      <c r="T300" s="56" t="s">
        <v>90</v>
      </c>
      <c r="U300" s="56">
        <v>119</v>
      </c>
      <c r="V300" s="56">
        <v>524434.59166666621</v>
      </c>
      <c r="W300" s="56"/>
      <c r="X300" s="56"/>
      <c r="Y300" s="56"/>
    </row>
    <row r="301" spans="2:28" ht="13.8" thickBot="1">
      <c r="K301" s="49"/>
      <c r="L301" t="s">
        <v>61</v>
      </c>
      <c r="M301">
        <v>0.05</v>
      </c>
    </row>
    <row r="302" spans="2:28">
      <c r="B302" t="s">
        <v>24</v>
      </c>
      <c r="C302">
        <f>C6-C300*C281</f>
        <v>89.261883126451664</v>
      </c>
      <c r="K302" s="49"/>
      <c r="T302" s="57"/>
      <c r="U302" s="57" t="s">
        <v>97</v>
      </c>
      <c r="V302" s="57" t="s">
        <v>85</v>
      </c>
      <c r="W302" s="57" t="s">
        <v>98</v>
      </c>
      <c r="X302" s="57" t="s">
        <v>99</v>
      </c>
      <c r="Y302" s="57" t="s">
        <v>100</v>
      </c>
      <c r="Z302" s="57" t="s">
        <v>101</v>
      </c>
      <c r="AA302" s="57" t="s">
        <v>102</v>
      </c>
      <c r="AB302" s="57" t="s">
        <v>103</v>
      </c>
    </row>
    <row r="303" spans="2:28">
      <c r="K303" s="49"/>
      <c r="M303">
        <f>ROUND(_xlfn.T.INV(1-M301/2,D309-2),2)</f>
        <v>1.98</v>
      </c>
      <c r="T303" s="55" t="s">
        <v>91</v>
      </c>
      <c r="U303" s="55">
        <v>89.261883126451664</v>
      </c>
      <c r="V303" s="55">
        <v>8.6484687960069948</v>
      </c>
      <c r="W303" s="55">
        <v>10.321119868948818</v>
      </c>
      <c r="X303" s="55">
        <v>3.4627807084628448E-18</v>
      </c>
      <c r="Y303" s="55">
        <v>72.135560371015785</v>
      </c>
      <c r="Z303" s="55">
        <v>106.38820588188754</v>
      </c>
      <c r="AA303" s="55">
        <v>72.135560371015785</v>
      </c>
      <c r="AB303" s="55">
        <v>106.38820588188754</v>
      </c>
    </row>
    <row r="304" spans="2:28" ht="14.4" thickBot="1">
      <c r="B304" t="s">
        <v>26</v>
      </c>
      <c r="E304" t="s">
        <v>27</v>
      </c>
      <c r="G304" s="23">
        <f>C302</f>
        <v>89.261883126451664</v>
      </c>
      <c r="H304" s="30">
        <f>C300</f>
        <v>-7.5018107147236036E-5</v>
      </c>
      <c r="K304" s="49"/>
      <c r="T304" s="56" t="s">
        <v>104</v>
      </c>
      <c r="U304" s="56">
        <v>-7.5018107147236036E-5</v>
      </c>
      <c r="V304" s="56">
        <v>1.0249468725898474E-5</v>
      </c>
      <c r="W304" s="56">
        <v>-7.3192190886615842</v>
      </c>
      <c r="X304" s="56">
        <v>3.3040692295228485E-11</v>
      </c>
      <c r="Y304" s="56">
        <v>-9.5314845634923985E-5</v>
      </c>
      <c r="Z304" s="56">
        <v>-5.4721368659548086E-5</v>
      </c>
      <c r="AA304" s="56">
        <v>-9.5314845634923985E-5</v>
      </c>
      <c r="AB304" s="56">
        <v>-5.4721368659548086E-5</v>
      </c>
    </row>
    <row r="305" spans="2:18">
      <c r="K305" s="49"/>
    </row>
    <row r="306" spans="2:18">
      <c r="K306" s="49"/>
      <c r="L306" t="s">
        <v>73</v>
      </c>
      <c r="M306" t="str">
        <f>"]-∞;-"&amp;M303&amp;"[ U ]"&amp;M303&amp;";+∞["</f>
        <v>]-∞;-1,98[ U ]1,98;+∞[</v>
      </c>
    </row>
    <row r="307" spans="2:18">
      <c r="B307" s="38" t="s">
        <v>59</v>
      </c>
      <c r="C307" s="38"/>
      <c r="D307" s="38"/>
      <c r="K307" s="49"/>
    </row>
    <row r="308" spans="2:18">
      <c r="K308" s="49"/>
    </row>
    <row r="309" spans="2:18" ht="14.4">
      <c r="C309" t="s">
        <v>14</v>
      </c>
      <c r="D309">
        <v>120</v>
      </c>
      <c r="K309" s="49"/>
      <c r="L309" s="61" t="s">
        <v>74</v>
      </c>
      <c r="M309" s="61"/>
      <c r="N309" s="61"/>
      <c r="O309" s="61"/>
    </row>
    <row r="310" spans="2:18">
      <c r="B310" t="s">
        <v>60</v>
      </c>
      <c r="D310">
        <v>0.95</v>
      </c>
      <c r="K310" s="49"/>
    </row>
    <row r="311" spans="2:18" ht="16.2">
      <c r="C311" t="s">
        <v>61</v>
      </c>
      <c r="D311">
        <v>0.05</v>
      </c>
      <c r="K311" s="49"/>
      <c r="L311" s="3" t="s">
        <v>75</v>
      </c>
      <c r="M311">
        <v>0</v>
      </c>
      <c r="O311" s="50" t="s">
        <v>76</v>
      </c>
      <c r="P311" s="50"/>
      <c r="Q311" s="50"/>
      <c r="R311" s="50"/>
    </row>
    <row r="312" spans="2:18">
      <c r="K312" s="49"/>
      <c r="L312" s="3" t="s">
        <v>77</v>
      </c>
      <c r="M312" s="15">
        <f>H314</f>
        <v>55.287094124815134</v>
      </c>
      <c r="O312" s="3" t="s">
        <v>78</v>
      </c>
      <c r="P312" s="62">
        <f>(C300-M311)/(M312*M313)</f>
        <v>-7.3192190886615744</v>
      </c>
    </row>
    <row r="313" spans="2:18">
      <c r="D313">
        <f>ROUND(_xlfn.T.INV(1-D311/2,D309-2),2)</f>
        <v>1.98</v>
      </c>
      <c r="G313" s="46" t="s">
        <v>63</v>
      </c>
      <c r="H313" s="47">
        <f>I7-E284*C300^2</f>
        <v>360686.20765840786</v>
      </c>
      <c r="K313" s="49"/>
      <c r="M313" s="13">
        <f>SQRT(1/E284)</f>
        <v>1.8538628025483621E-7</v>
      </c>
    </row>
    <row r="314" spans="2:18">
      <c r="G314" s="46" t="s">
        <v>64</v>
      </c>
      <c r="H314" s="46">
        <f>SQRT(H313/(D309-2))</f>
        <v>55.287094124815134</v>
      </c>
      <c r="K314" s="49"/>
    </row>
    <row r="315" spans="2:18" ht="14.4">
      <c r="K315" s="49"/>
      <c r="L315" s="61" t="s">
        <v>79</v>
      </c>
      <c r="M315" s="61"/>
      <c r="N315" s="61"/>
      <c r="O315" s="61"/>
    </row>
    <row r="316" spans="2:18">
      <c r="K316" s="49"/>
    </row>
    <row r="317" spans="2:18">
      <c r="D317">
        <f>SQRT(1/E284)</f>
        <v>1.8538628025483621E-7</v>
      </c>
      <c r="K317" s="49"/>
    </row>
    <row r="318" spans="2:18">
      <c r="K318" s="49"/>
      <c r="L318" t="s">
        <v>116</v>
      </c>
    </row>
    <row r="319" spans="2:18">
      <c r="K319" s="49"/>
    </row>
    <row r="320" spans="2:18">
      <c r="C320" t="s">
        <v>62</v>
      </c>
      <c r="D320" s="29">
        <f>H314*D317*D313</f>
        <v>2.0293948077279004E-5</v>
      </c>
      <c r="K320" s="49"/>
    </row>
    <row r="321" spans="3:11">
      <c r="K321" s="49"/>
    </row>
    <row r="322" spans="3:11">
      <c r="C322" t="s">
        <v>65</v>
      </c>
      <c r="D322" s="10">
        <f>ROUND(C300-D320,4)</f>
        <v>-1E-4</v>
      </c>
      <c r="K322" s="49"/>
    </row>
    <row r="323" spans="3:11">
      <c r="C323" t="s">
        <v>66</v>
      </c>
      <c r="D323" s="10">
        <f>ROUND(C300+D320,4)</f>
        <v>-1E-4</v>
      </c>
      <c r="K323" s="49"/>
    </row>
    <row r="324" spans="3:11">
      <c r="K324" s="49"/>
    </row>
    <row r="325" spans="3:11">
      <c r="K325" s="49"/>
    </row>
  </sheetData>
  <mergeCells count="30">
    <mergeCell ref="L77:O77"/>
    <mergeCell ref="L22:O22"/>
    <mergeCell ref="L25:O25"/>
    <mergeCell ref="L31:O31"/>
    <mergeCell ref="L41:O41"/>
    <mergeCell ref="L47:O47"/>
    <mergeCell ref="L192:O192"/>
    <mergeCell ref="L80:O80"/>
    <mergeCell ref="L86:O86"/>
    <mergeCell ref="L96:O96"/>
    <mergeCell ref="L102:O102"/>
    <mergeCell ref="L133:O133"/>
    <mergeCell ref="L136:O136"/>
    <mergeCell ref="L142:O142"/>
    <mergeCell ref="L152:O152"/>
    <mergeCell ref="L158:O158"/>
    <mergeCell ref="L183:O183"/>
    <mergeCell ref="L186:O186"/>
    <mergeCell ref="L315:O315"/>
    <mergeCell ref="L202:O202"/>
    <mergeCell ref="L208:O208"/>
    <mergeCell ref="L236:O236"/>
    <mergeCell ref="L239:O239"/>
    <mergeCell ref="L245:O245"/>
    <mergeCell ref="L255:O255"/>
    <mergeCell ref="L261:O261"/>
    <mergeCell ref="L290:O290"/>
    <mergeCell ref="L293:O293"/>
    <mergeCell ref="L299:O299"/>
    <mergeCell ref="L309:O30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EC5D-FA87-467F-BF6A-C6F8534D5C9E}">
  <dimension ref="A2:DT267"/>
  <sheetViews>
    <sheetView topLeftCell="A19" zoomScale="70" zoomScaleNormal="70" workbookViewId="0">
      <selection activeCell="E142" sqref="E142"/>
    </sheetView>
  </sheetViews>
  <sheetFormatPr defaultRowHeight="13.2"/>
  <cols>
    <col min="2" max="2" width="14.6640625" customWidth="1"/>
    <col min="3" max="3" width="17" customWidth="1"/>
    <col min="4" max="6" width="15.6640625" bestFit="1" customWidth="1"/>
    <col min="7" max="7" width="18.33203125" bestFit="1" customWidth="1"/>
    <col min="8" max="8" width="15.6640625" bestFit="1" customWidth="1"/>
    <col min="9" max="9" width="21.88671875" bestFit="1" customWidth="1"/>
    <col min="10" max="52" width="15.6640625" bestFit="1" customWidth="1"/>
    <col min="53" max="123" width="16.6640625" bestFit="1" customWidth="1"/>
  </cols>
  <sheetData>
    <row r="2" spans="2:9">
      <c r="B2" s="2" t="s">
        <v>54</v>
      </c>
    </row>
    <row r="3" spans="2:9">
      <c r="B3" t="s">
        <v>9</v>
      </c>
    </row>
    <row r="4" spans="2:9">
      <c r="B4" s="16" t="s">
        <v>12</v>
      </c>
      <c r="C4" s="16"/>
    </row>
    <row r="7" spans="2:9">
      <c r="B7" t="s">
        <v>55</v>
      </c>
    </row>
    <row r="10" spans="2:9">
      <c r="B10" t="s">
        <v>0</v>
      </c>
      <c r="C10" t="s">
        <v>1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2:9">
      <c r="B11" s="31">
        <v>44228</v>
      </c>
      <c r="C11">
        <v>5805</v>
      </c>
      <c r="D11">
        <v>0.82</v>
      </c>
      <c r="E11">
        <v>865</v>
      </c>
      <c r="F11">
        <v>6869</v>
      </c>
      <c r="G11">
        <v>47369</v>
      </c>
      <c r="H11">
        <v>0.2036</v>
      </c>
      <c r="I11">
        <v>80488</v>
      </c>
    </row>
    <row r="12" spans="2:9">
      <c r="B12" s="31">
        <v>44229</v>
      </c>
      <c r="C12">
        <v>5540</v>
      </c>
      <c r="D12">
        <v>0.76</v>
      </c>
      <c r="E12">
        <v>852</v>
      </c>
      <c r="F12">
        <v>6775</v>
      </c>
      <c r="G12">
        <v>57995</v>
      </c>
      <c r="H12">
        <v>0.19889999999999999</v>
      </c>
      <c r="I12">
        <v>82431</v>
      </c>
    </row>
    <row r="13" spans="2:9">
      <c r="B13" s="31">
        <v>44230</v>
      </c>
      <c r="C13">
        <v>9083</v>
      </c>
      <c r="D13">
        <v>0.71</v>
      </c>
      <c r="E13">
        <v>877</v>
      </c>
      <c r="F13">
        <v>6684</v>
      </c>
      <c r="G13">
        <v>53401</v>
      </c>
      <c r="H13">
        <v>0.19259999999999999</v>
      </c>
      <c r="I13">
        <v>87588</v>
      </c>
    </row>
    <row r="14" spans="2:9">
      <c r="B14" s="31">
        <v>44231</v>
      </c>
      <c r="C14">
        <v>7914</v>
      </c>
      <c r="D14">
        <v>0.67</v>
      </c>
      <c r="E14">
        <v>863</v>
      </c>
      <c r="F14">
        <v>6496</v>
      </c>
      <c r="G14">
        <v>50384</v>
      </c>
      <c r="H14">
        <v>0.17910000000000001</v>
      </c>
      <c r="I14">
        <v>96711</v>
      </c>
    </row>
    <row r="15" spans="2:9">
      <c r="B15" s="31">
        <v>44232</v>
      </c>
      <c r="C15">
        <v>6916</v>
      </c>
      <c r="D15">
        <v>0.64</v>
      </c>
      <c r="E15">
        <v>904</v>
      </c>
      <c r="F15">
        <v>6412</v>
      </c>
      <c r="G15">
        <v>49625</v>
      </c>
      <c r="H15">
        <v>0.17030000000000001</v>
      </c>
      <c r="I15">
        <v>106652</v>
      </c>
    </row>
    <row r="16" spans="2:9">
      <c r="B16" s="31">
        <v>44233</v>
      </c>
      <c r="C16">
        <v>6132</v>
      </c>
      <c r="D16">
        <v>0.62</v>
      </c>
      <c r="E16">
        <v>891</v>
      </c>
      <c r="F16">
        <v>6158</v>
      </c>
      <c r="G16">
        <v>30356</v>
      </c>
      <c r="H16">
        <v>0.16170000000000001</v>
      </c>
      <c r="I16">
        <v>115522</v>
      </c>
    </row>
    <row r="17" spans="2:9">
      <c r="B17" s="31">
        <v>44234</v>
      </c>
      <c r="C17">
        <v>3508</v>
      </c>
      <c r="D17">
        <v>0.59</v>
      </c>
      <c r="E17">
        <v>865</v>
      </c>
      <c r="F17">
        <v>6248</v>
      </c>
      <c r="G17">
        <v>15085</v>
      </c>
      <c r="H17">
        <v>0.14760000000000001</v>
      </c>
      <c r="I17">
        <v>116262</v>
      </c>
    </row>
    <row r="18" spans="2:9">
      <c r="B18" s="31">
        <v>44235</v>
      </c>
      <c r="C18">
        <v>2505</v>
      </c>
      <c r="D18">
        <v>0.56000000000000005</v>
      </c>
      <c r="E18">
        <v>877</v>
      </c>
      <c r="F18">
        <v>6344</v>
      </c>
      <c r="G18">
        <v>34923</v>
      </c>
      <c r="H18">
        <v>0.1426</v>
      </c>
      <c r="I18">
        <v>118172</v>
      </c>
    </row>
    <row r="19" spans="2:9">
      <c r="B19" s="31">
        <v>44236</v>
      </c>
      <c r="C19">
        <v>2583</v>
      </c>
      <c r="D19">
        <v>0.53</v>
      </c>
      <c r="E19">
        <v>862</v>
      </c>
      <c r="F19">
        <v>6070</v>
      </c>
      <c r="G19">
        <v>38694</v>
      </c>
      <c r="H19">
        <v>0.14180000000000001</v>
      </c>
      <c r="I19">
        <v>119614</v>
      </c>
    </row>
    <row r="20" spans="2:9">
      <c r="B20" s="31">
        <v>44237</v>
      </c>
      <c r="C20">
        <v>4387</v>
      </c>
      <c r="D20">
        <v>0.51</v>
      </c>
      <c r="E20">
        <v>853</v>
      </c>
      <c r="F20">
        <v>5829</v>
      </c>
      <c r="G20">
        <v>37621</v>
      </c>
      <c r="H20">
        <v>0.13220000000000001</v>
      </c>
      <c r="I20">
        <v>130118</v>
      </c>
    </row>
    <row r="21" spans="2:9">
      <c r="B21" s="31">
        <v>44238</v>
      </c>
      <c r="C21">
        <v>3480</v>
      </c>
      <c r="D21">
        <v>0.49</v>
      </c>
      <c r="E21">
        <v>836</v>
      </c>
      <c r="F21">
        <v>5570</v>
      </c>
      <c r="G21">
        <v>37347</v>
      </c>
      <c r="H21">
        <v>0.1211</v>
      </c>
      <c r="I21">
        <v>146637</v>
      </c>
    </row>
    <row r="22" spans="2:9">
      <c r="B22" s="31">
        <v>44239</v>
      </c>
      <c r="C22">
        <v>2854</v>
      </c>
      <c r="D22">
        <v>0.48</v>
      </c>
      <c r="E22">
        <v>846</v>
      </c>
      <c r="F22">
        <v>5230</v>
      </c>
      <c r="G22">
        <v>38752</v>
      </c>
      <c r="H22">
        <v>0.10929999999999999</v>
      </c>
      <c r="I22">
        <v>171163</v>
      </c>
    </row>
    <row r="23" spans="2:9">
      <c r="B23" s="31">
        <v>44240</v>
      </c>
      <c r="C23">
        <v>2856</v>
      </c>
      <c r="D23">
        <v>0.48</v>
      </c>
      <c r="E23">
        <v>803</v>
      </c>
      <c r="F23">
        <v>4850</v>
      </c>
      <c r="G23">
        <v>21483</v>
      </c>
      <c r="H23">
        <v>9.9000000000000005E-2</v>
      </c>
      <c r="I23">
        <v>198253</v>
      </c>
    </row>
    <row r="24" spans="2:9">
      <c r="B24" s="31">
        <v>44241</v>
      </c>
      <c r="C24">
        <v>1677</v>
      </c>
      <c r="D24">
        <v>0.48</v>
      </c>
      <c r="E24">
        <v>795</v>
      </c>
      <c r="F24">
        <v>4826</v>
      </c>
      <c r="G24">
        <v>12100</v>
      </c>
      <c r="H24">
        <v>9.2100000000000001E-2</v>
      </c>
      <c r="I24">
        <v>208089</v>
      </c>
    </row>
    <row r="25" spans="2:9">
      <c r="B25" s="31">
        <v>44242</v>
      </c>
      <c r="C25">
        <v>1303</v>
      </c>
      <c r="D25">
        <v>0.48</v>
      </c>
      <c r="E25">
        <v>784</v>
      </c>
      <c r="F25">
        <v>4832</v>
      </c>
      <c r="G25">
        <v>33135</v>
      </c>
      <c r="H25">
        <v>8.7300000000000003E-2</v>
      </c>
      <c r="I25">
        <v>218125</v>
      </c>
    </row>
    <row r="26" spans="2:9">
      <c r="B26" s="31">
        <v>44243</v>
      </c>
      <c r="C26">
        <v>1502</v>
      </c>
      <c r="D26">
        <v>0.47</v>
      </c>
      <c r="E26">
        <v>752</v>
      </c>
      <c r="F26">
        <v>4482</v>
      </c>
      <c r="G26">
        <v>32083</v>
      </c>
      <c r="H26">
        <v>8.5000000000000006E-2</v>
      </c>
      <c r="I26">
        <v>223711</v>
      </c>
    </row>
    <row r="27" spans="2:9">
      <c r="B27" s="31">
        <v>44244</v>
      </c>
      <c r="C27">
        <v>2324</v>
      </c>
      <c r="D27">
        <v>0.47</v>
      </c>
      <c r="E27">
        <v>719</v>
      </c>
      <c r="F27">
        <v>4137</v>
      </c>
      <c r="G27">
        <v>34354</v>
      </c>
      <c r="H27">
        <v>7.6399999999999996E-2</v>
      </c>
      <c r="I27">
        <v>229743</v>
      </c>
    </row>
    <row r="28" spans="2:9">
      <c r="B28" s="31">
        <v>44245</v>
      </c>
      <c r="C28">
        <v>1944</v>
      </c>
      <c r="D28">
        <v>0.47</v>
      </c>
      <c r="E28">
        <v>688</v>
      </c>
      <c r="F28">
        <v>3819</v>
      </c>
      <c r="G28">
        <v>33985</v>
      </c>
      <c r="H28">
        <v>7.0199999999999999E-2</v>
      </c>
      <c r="I28">
        <v>237696</v>
      </c>
    </row>
    <row r="29" spans="2:9">
      <c r="B29" s="31">
        <v>44246</v>
      </c>
      <c r="C29">
        <v>1940</v>
      </c>
      <c r="D29">
        <v>0.48</v>
      </c>
      <c r="E29">
        <v>669</v>
      </c>
      <c r="F29">
        <v>3584</v>
      </c>
      <c r="G29">
        <v>33887</v>
      </c>
      <c r="H29">
        <v>6.7400000000000002E-2</v>
      </c>
      <c r="I29">
        <v>250400</v>
      </c>
    </row>
    <row r="30" spans="2:9">
      <c r="B30" s="31">
        <v>44247</v>
      </c>
      <c r="C30">
        <v>1570</v>
      </c>
      <c r="D30">
        <v>0.48</v>
      </c>
      <c r="E30">
        <v>656</v>
      </c>
      <c r="F30">
        <v>3284</v>
      </c>
      <c r="G30">
        <v>21848</v>
      </c>
      <c r="H30">
        <v>6.0900000000000003E-2</v>
      </c>
      <c r="I30">
        <v>263354</v>
      </c>
    </row>
    <row r="31" spans="2:9">
      <c r="B31" s="31">
        <v>44248</v>
      </c>
      <c r="C31">
        <v>1186</v>
      </c>
      <c r="D31">
        <v>0.49</v>
      </c>
      <c r="E31">
        <v>638</v>
      </c>
      <c r="F31">
        <v>3316</v>
      </c>
      <c r="G31">
        <v>10854</v>
      </c>
      <c r="H31">
        <v>5.8799999999999998E-2</v>
      </c>
      <c r="I31">
        <v>266858</v>
      </c>
    </row>
    <row r="32" spans="2:9">
      <c r="B32" s="31">
        <v>44249</v>
      </c>
      <c r="C32">
        <v>549</v>
      </c>
      <c r="D32">
        <v>0.49</v>
      </c>
      <c r="E32">
        <v>627</v>
      </c>
      <c r="F32">
        <v>3322</v>
      </c>
      <c r="G32">
        <v>31296</v>
      </c>
      <c r="H32">
        <v>5.5500000000000001E-2</v>
      </c>
      <c r="I32">
        <v>269203</v>
      </c>
    </row>
    <row r="33" spans="2:9">
      <c r="B33" s="31">
        <v>44250</v>
      </c>
      <c r="C33">
        <v>1032</v>
      </c>
      <c r="D33">
        <v>0.49</v>
      </c>
      <c r="E33">
        <v>597</v>
      </c>
      <c r="F33">
        <v>3012</v>
      </c>
      <c r="G33">
        <v>31577</v>
      </c>
      <c r="H33">
        <v>5.33E-2</v>
      </c>
      <c r="I33">
        <v>270927</v>
      </c>
    </row>
    <row r="34" spans="2:9">
      <c r="B34" s="31">
        <v>44251</v>
      </c>
      <c r="C34">
        <v>1480</v>
      </c>
      <c r="D34">
        <v>0.5</v>
      </c>
      <c r="E34">
        <v>567</v>
      </c>
      <c r="F34">
        <v>2767</v>
      </c>
      <c r="G34">
        <v>31235</v>
      </c>
      <c r="H34">
        <v>4.9799999999999997E-2</v>
      </c>
      <c r="I34">
        <v>273148</v>
      </c>
    </row>
    <row r="35" spans="2:9">
      <c r="B35" s="31">
        <v>44252</v>
      </c>
      <c r="C35">
        <v>1160</v>
      </c>
      <c r="D35">
        <v>0.5</v>
      </c>
      <c r="E35">
        <v>536</v>
      </c>
      <c r="F35">
        <v>2613</v>
      </c>
      <c r="G35">
        <v>30974</v>
      </c>
      <c r="H35">
        <v>4.65E-2</v>
      </c>
      <c r="I35">
        <v>276637</v>
      </c>
    </row>
    <row r="36" spans="2:9">
      <c r="B36" s="31">
        <v>44253</v>
      </c>
      <c r="C36">
        <v>1027</v>
      </c>
      <c r="D36">
        <v>0.51</v>
      </c>
      <c r="E36">
        <v>522</v>
      </c>
      <c r="F36">
        <v>2404</v>
      </c>
      <c r="G36">
        <v>32910</v>
      </c>
      <c r="H36">
        <v>4.2000000000000003E-2</v>
      </c>
      <c r="I36">
        <v>279729</v>
      </c>
    </row>
    <row r="37" spans="2:9">
      <c r="B37" s="31">
        <v>44254</v>
      </c>
      <c r="C37">
        <v>1071</v>
      </c>
      <c r="D37">
        <v>0.53</v>
      </c>
      <c r="E37">
        <v>492</v>
      </c>
      <c r="F37">
        <v>2180</v>
      </c>
      <c r="G37">
        <v>20380</v>
      </c>
      <c r="H37">
        <v>3.9699999999999999E-2</v>
      </c>
      <c r="I37">
        <v>285185</v>
      </c>
    </row>
    <row r="38" spans="2:9">
      <c r="B38" s="31">
        <v>44255</v>
      </c>
      <c r="C38">
        <v>718</v>
      </c>
      <c r="D38">
        <v>0.54</v>
      </c>
      <c r="E38">
        <v>484</v>
      </c>
      <c r="F38">
        <v>2165</v>
      </c>
      <c r="G38">
        <v>11439</v>
      </c>
      <c r="H38">
        <v>3.7100000000000001E-2</v>
      </c>
      <c r="I38">
        <v>286470</v>
      </c>
    </row>
    <row r="39" spans="2:9">
      <c r="B39" s="31">
        <v>44256</v>
      </c>
      <c r="C39">
        <v>394</v>
      </c>
      <c r="D39">
        <v>0.56000000000000005</v>
      </c>
      <c r="E39">
        <v>469</v>
      </c>
      <c r="F39">
        <v>2167</v>
      </c>
      <c r="G39">
        <v>26639</v>
      </c>
      <c r="H39">
        <v>3.7199999999999997E-2</v>
      </c>
      <c r="I39">
        <v>290637</v>
      </c>
    </row>
    <row r="40" spans="2:9">
      <c r="B40" s="31">
        <v>44257</v>
      </c>
      <c r="C40">
        <v>691</v>
      </c>
      <c r="D40">
        <v>0.56999999999999995</v>
      </c>
      <c r="E40">
        <v>446</v>
      </c>
      <c r="F40">
        <v>1997</v>
      </c>
      <c r="G40">
        <v>29735</v>
      </c>
      <c r="H40">
        <v>3.5700000000000003E-2</v>
      </c>
      <c r="I40">
        <v>291987</v>
      </c>
    </row>
    <row r="41" spans="2:9">
      <c r="B41" s="31">
        <v>44258</v>
      </c>
      <c r="C41">
        <v>979</v>
      </c>
      <c r="D41">
        <v>0.59</v>
      </c>
      <c r="E41">
        <v>415</v>
      </c>
      <c r="F41">
        <v>1827</v>
      </c>
      <c r="G41">
        <v>29388</v>
      </c>
      <c r="H41">
        <v>3.3300000000000003E-2</v>
      </c>
      <c r="I41">
        <v>293652</v>
      </c>
    </row>
    <row r="42" spans="2:9">
      <c r="B42" s="31">
        <v>44259</v>
      </c>
      <c r="C42">
        <v>830</v>
      </c>
      <c r="D42">
        <v>0.61</v>
      </c>
      <c r="E42">
        <v>399</v>
      </c>
      <c r="F42">
        <v>1708</v>
      </c>
      <c r="G42">
        <v>28081</v>
      </c>
      <c r="H42">
        <v>3.2000000000000001E-2</v>
      </c>
      <c r="I42">
        <v>298685</v>
      </c>
    </row>
    <row r="43" spans="2:9">
      <c r="B43" s="31">
        <v>44260</v>
      </c>
      <c r="C43">
        <v>949</v>
      </c>
      <c r="D43">
        <v>0.64</v>
      </c>
      <c r="E43">
        <v>383</v>
      </c>
      <c r="F43">
        <v>1583</v>
      </c>
      <c r="G43">
        <v>28636</v>
      </c>
      <c r="H43">
        <v>3.2300000000000002E-2</v>
      </c>
      <c r="I43">
        <v>304494</v>
      </c>
    </row>
    <row r="44" spans="2:9">
      <c r="B44" s="31">
        <v>44261</v>
      </c>
      <c r="C44">
        <v>1007</v>
      </c>
      <c r="D44">
        <v>0.66</v>
      </c>
      <c r="E44">
        <v>363</v>
      </c>
      <c r="F44">
        <v>1416</v>
      </c>
      <c r="G44">
        <v>19891</v>
      </c>
      <c r="H44">
        <v>3.2000000000000001E-2</v>
      </c>
      <c r="I44">
        <v>313101</v>
      </c>
    </row>
    <row r="45" spans="2:9">
      <c r="B45" s="31">
        <v>44262</v>
      </c>
      <c r="C45">
        <v>682</v>
      </c>
      <c r="D45">
        <v>0.67</v>
      </c>
      <c r="E45">
        <v>354</v>
      </c>
      <c r="F45">
        <v>1414</v>
      </c>
      <c r="G45">
        <v>9396</v>
      </c>
      <c r="H45">
        <v>3.2199999999999999E-2</v>
      </c>
      <c r="I45">
        <v>317254</v>
      </c>
    </row>
    <row r="46" spans="2:9">
      <c r="B46" s="31">
        <v>44263</v>
      </c>
      <c r="C46">
        <v>365</v>
      </c>
      <c r="D46">
        <v>0.67</v>
      </c>
      <c r="E46">
        <v>342</v>
      </c>
      <c r="F46">
        <v>1403</v>
      </c>
      <c r="G46">
        <v>25303</v>
      </c>
      <c r="H46">
        <v>3.2300000000000002E-2</v>
      </c>
      <c r="I46">
        <v>324862</v>
      </c>
    </row>
    <row r="47" spans="2:9">
      <c r="B47" s="31">
        <v>44264</v>
      </c>
      <c r="C47">
        <v>847</v>
      </c>
      <c r="D47">
        <v>0.67</v>
      </c>
      <c r="E47">
        <v>312</v>
      </c>
      <c r="F47">
        <v>1278</v>
      </c>
      <c r="G47">
        <v>24513</v>
      </c>
      <c r="H47">
        <v>3.4299999999999997E-2</v>
      </c>
      <c r="I47">
        <v>327040</v>
      </c>
    </row>
    <row r="48" spans="2:9">
      <c r="B48" s="31">
        <v>44265</v>
      </c>
      <c r="C48">
        <v>642</v>
      </c>
      <c r="D48">
        <v>0.65</v>
      </c>
      <c r="E48">
        <v>283</v>
      </c>
      <c r="F48">
        <v>1201</v>
      </c>
      <c r="G48">
        <v>26627</v>
      </c>
      <c r="H48">
        <v>3.2800000000000003E-2</v>
      </c>
      <c r="I48">
        <v>328946</v>
      </c>
    </row>
    <row r="49" spans="2:9">
      <c r="B49" s="31">
        <v>44266</v>
      </c>
      <c r="C49">
        <v>627</v>
      </c>
      <c r="D49">
        <v>0.65</v>
      </c>
      <c r="E49">
        <v>273</v>
      </c>
      <c r="F49">
        <v>1102</v>
      </c>
      <c r="G49">
        <v>24313</v>
      </c>
      <c r="H49">
        <v>3.2300000000000002E-2</v>
      </c>
      <c r="I49">
        <v>337944</v>
      </c>
    </row>
    <row r="50" spans="2:9">
      <c r="B50" s="31">
        <v>44267</v>
      </c>
      <c r="C50">
        <v>577</v>
      </c>
      <c r="D50">
        <v>0.66</v>
      </c>
      <c r="E50">
        <v>266</v>
      </c>
      <c r="F50">
        <v>1046</v>
      </c>
      <c r="G50">
        <v>27281</v>
      </c>
      <c r="H50">
        <v>3.0200000000000001E-2</v>
      </c>
      <c r="I50">
        <v>352247</v>
      </c>
    </row>
    <row r="51" spans="2:9">
      <c r="B51" s="31">
        <v>44268</v>
      </c>
      <c r="C51">
        <v>564</v>
      </c>
      <c r="D51">
        <v>0.68</v>
      </c>
      <c r="E51">
        <v>253</v>
      </c>
      <c r="F51">
        <v>980</v>
      </c>
      <c r="G51">
        <v>21016</v>
      </c>
      <c r="H51">
        <v>2.7199999999999998E-2</v>
      </c>
      <c r="I51">
        <v>365719</v>
      </c>
    </row>
    <row r="52" spans="2:9">
      <c r="B52" s="31">
        <v>44269</v>
      </c>
      <c r="C52">
        <v>541</v>
      </c>
      <c r="D52">
        <v>0.69</v>
      </c>
      <c r="E52">
        <v>242</v>
      </c>
      <c r="F52">
        <v>976</v>
      </c>
      <c r="G52">
        <v>9709</v>
      </c>
      <c r="H52">
        <v>2.6200000000000001E-2</v>
      </c>
      <c r="I52">
        <v>371084</v>
      </c>
    </row>
    <row r="53" spans="2:9">
      <c r="B53" s="31">
        <v>44270</v>
      </c>
      <c r="C53">
        <v>256</v>
      </c>
      <c r="D53">
        <v>0.7</v>
      </c>
      <c r="E53">
        <v>231</v>
      </c>
      <c r="F53">
        <v>996</v>
      </c>
      <c r="G53">
        <v>26427</v>
      </c>
      <c r="H53">
        <v>2.5399999999999999E-2</v>
      </c>
      <c r="I53">
        <v>377464</v>
      </c>
    </row>
    <row r="54" spans="2:9">
      <c r="B54" s="31">
        <v>44271</v>
      </c>
      <c r="C54">
        <v>384</v>
      </c>
      <c r="D54">
        <v>0.71</v>
      </c>
      <c r="E54">
        <v>213</v>
      </c>
      <c r="F54">
        <v>955</v>
      </c>
      <c r="G54">
        <v>41394</v>
      </c>
      <c r="H54">
        <v>2.0299999999999999E-2</v>
      </c>
      <c r="I54">
        <v>380479</v>
      </c>
    </row>
    <row r="55" spans="2:9">
      <c r="B55" s="31">
        <v>44272</v>
      </c>
      <c r="C55">
        <v>673</v>
      </c>
      <c r="D55">
        <v>0.72</v>
      </c>
      <c r="E55">
        <v>205</v>
      </c>
      <c r="F55">
        <v>856</v>
      </c>
      <c r="G55">
        <v>48102</v>
      </c>
      <c r="H55">
        <v>1.83E-2</v>
      </c>
      <c r="I55">
        <v>386426</v>
      </c>
    </row>
    <row r="56" spans="2:9">
      <c r="B56" s="31">
        <v>44273</v>
      </c>
      <c r="C56">
        <v>485</v>
      </c>
      <c r="D56">
        <v>0.74</v>
      </c>
      <c r="E56">
        <v>187</v>
      </c>
      <c r="F56">
        <v>828</v>
      </c>
      <c r="G56">
        <v>52896</v>
      </c>
      <c r="H56">
        <v>1.5299999999999999E-2</v>
      </c>
      <c r="I56">
        <v>408323</v>
      </c>
    </row>
    <row r="57" spans="2:9">
      <c r="B57" s="31">
        <v>44274</v>
      </c>
      <c r="C57">
        <v>568</v>
      </c>
      <c r="D57">
        <v>0.76</v>
      </c>
      <c r="E57">
        <v>182</v>
      </c>
      <c r="F57">
        <v>789</v>
      </c>
      <c r="G57">
        <v>53485</v>
      </c>
      <c r="H57">
        <v>1.37E-2</v>
      </c>
      <c r="I57">
        <v>441676</v>
      </c>
    </row>
    <row r="58" spans="2:9">
      <c r="B58" s="31">
        <v>44275</v>
      </c>
      <c r="C58">
        <v>457</v>
      </c>
      <c r="D58">
        <v>0.77</v>
      </c>
      <c r="E58">
        <v>170</v>
      </c>
      <c r="F58">
        <v>744</v>
      </c>
      <c r="G58">
        <v>33514</v>
      </c>
      <c r="H58">
        <v>1.2699999999999999E-2</v>
      </c>
      <c r="I58">
        <v>469651</v>
      </c>
    </row>
    <row r="59" spans="2:9">
      <c r="B59" s="31">
        <v>44276</v>
      </c>
      <c r="C59">
        <v>450</v>
      </c>
      <c r="D59">
        <v>0.79</v>
      </c>
      <c r="E59">
        <v>170</v>
      </c>
      <c r="F59">
        <v>765</v>
      </c>
      <c r="G59">
        <v>10254</v>
      </c>
      <c r="H59">
        <v>1.23E-2</v>
      </c>
      <c r="I59">
        <v>482561</v>
      </c>
    </row>
    <row r="60" spans="2:9">
      <c r="B60" s="31">
        <v>44277</v>
      </c>
      <c r="C60">
        <v>248</v>
      </c>
      <c r="D60">
        <v>0.8</v>
      </c>
      <c r="E60">
        <v>165</v>
      </c>
      <c r="F60">
        <v>771</v>
      </c>
      <c r="G60">
        <v>30283</v>
      </c>
      <c r="H60">
        <v>1.21E-2</v>
      </c>
      <c r="I60">
        <v>488236</v>
      </c>
    </row>
    <row r="61" spans="2:9">
      <c r="B61" s="31">
        <v>44278</v>
      </c>
      <c r="C61">
        <v>434</v>
      </c>
      <c r="D61">
        <v>0.81</v>
      </c>
      <c r="E61">
        <v>159</v>
      </c>
      <c r="F61">
        <v>743</v>
      </c>
      <c r="G61">
        <v>31200</v>
      </c>
      <c r="H61">
        <v>1.2800000000000001E-2</v>
      </c>
      <c r="I61">
        <v>495868</v>
      </c>
    </row>
    <row r="62" spans="2:9">
      <c r="B62" s="31">
        <v>44279</v>
      </c>
      <c r="C62">
        <v>575</v>
      </c>
      <c r="D62">
        <v>0.82</v>
      </c>
      <c r="E62">
        <v>155</v>
      </c>
      <c r="F62">
        <v>712</v>
      </c>
      <c r="G62">
        <v>29256</v>
      </c>
      <c r="H62">
        <v>1.34E-2</v>
      </c>
      <c r="I62">
        <v>497940</v>
      </c>
    </row>
    <row r="63" spans="2:9">
      <c r="B63" s="31">
        <v>44280</v>
      </c>
      <c r="C63">
        <v>423</v>
      </c>
      <c r="D63">
        <v>0.83</v>
      </c>
      <c r="E63">
        <v>154</v>
      </c>
      <c r="F63">
        <v>695</v>
      </c>
      <c r="G63">
        <v>27478</v>
      </c>
      <c r="H63">
        <v>1.46E-2</v>
      </c>
      <c r="I63">
        <v>501547</v>
      </c>
    </row>
    <row r="64" spans="2:9">
      <c r="B64" s="31">
        <v>44281</v>
      </c>
      <c r="C64">
        <v>488</v>
      </c>
      <c r="D64">
        <v>0.84</v>
      </c>
      <c r="E64">
        <v>155</v>
      </c>
      <c r="F64">
        <v>669</v>
      </c>
      <c r="G64">
        <v>30147</v>
      </c>
      <c r="H64">
        <v>1.6E-2</v>
      </c>
      <c r="I64">
        <v>506051</v>
      </c>
    </row>
    <row r="65" spans="2:9">
      <c r="B65" s="31">
        <v>44282</v>
      </c>
      <c r="C65">
        <v>344</v>
      </c>
      <c r="D65">
        <v>0.86</v>
      </c>
      <c r="E65">
        <v>148</v>
      </c>
      <c r="F65">
        <v>618</v>
      </c>
      <c r="G65">
        <v>22158</v>
      </c>
      <c r="H65">
        <v>1.6400000000000001E-2</v>
      </c>
      <c r="I65">
        <v>508507</v>
      </c>
    </row>
    <row r="66" spans="2:9">
      <c r="B66" s="31">
        <v>44283</v>
      </c>
      <c r="C66">
        <v>365</v>
      </c>
      <c r="D66">
        <v>0.89</v>
      </c>
      <c r="E66">
        <v>142</v>
      </c>
      <c r="F66">
        <v>633</v>
      </c>
      <c r="G66">
        <v>10845</v>
      </c>
      <c r="H66">
        <v>1.5900000000000001E-2</v>
      </c>
      <c r="I66">
        <v>510025</v>
      </c>
    </row>
    <row r="67" spans="2:9">
      <c r="B67" s="31">
        <v>44284</v>
      </c>
      <c r="C67">
        <v>309</v>
      </c>
      <c r="D67">
        <v>0.92</v>
      </c>
      <c r="E67">
        <v>136</v>
      </c>
      <c r="F67">
        <v>623</v>
      </c>
      <c r="G67">
        <v>30192</v>
      </c>
      <c r="H67">
        <v>1.6199999999999999E-2</v>
      </c>
      <c r="I67">
        <v>511095</v>
      </c>
    </row>
    <row r="68" spans="2:9">
      <c r="B68" s="31">
        <v>44285</v>
      </c>
      <c r="C68">
        <v>388</v>
      </c>
      <c r="D68">
        <v>0.94</v>
      </c>
      <c r="E68">
        <v>129</v>
      </c>
      <c r="F68">
        <v>584</v>
      </c>
      <c r="G68">
        <v>29244</v>
      </c>
      <c r="H68">
        <v>1.61E-2</v>
      </c>
      <c r="I68">
        <v>513723</v>
      </c>
    </row>
    <row r="69" spans="2:9">
      <c r="B69" s="31">
        <v>44286</v>
      </c>
      <c r="C69">
        <v>618</v>
      </c>
      <c r="D69">
        <v>0.97</v>
      </c>
      <c r="E69">
        <v>127</v>
      </c>
      <c r="F69">
        <v>558</v>
      </c>
      <c r="G69">
        <v>28880</v>
      </c>
      <c r="H69">
        <v>1.6400000000000001E-2</v>
      </c>
      <c r="I69">
        <v>517319</v>
      </c>
    </row>
    <row r="70" spans="2:9">
      <c r="B70" s="31">
        <v>44287</v>
      </c>
      <c r="C70">
        <v>592</v>
      </c>
      <c r="D70">
        <v>0.98</v>
      </c>
      <c r="E70">
        <v>129</v>
      </c>
      <c r="F70">
        <v>538</v>
      </c>
      <c r="G70">
        <v>28742</v>
      </c>
      <c r="H70">
        <v>1.72E-2</v>
      </c>
      <c r="I70">
        <v>527026</v>
      </c>
    </row>
    <row r="71" spans="2:9">
      <c r="B71" s="31">
        <v>44288</v>
      </c>
      <c r="C71">
        <v>548</v>
      </c>
      <c r="D71">
        <v>0.98</v>
      </c>
      <c r="E71">
        <v>131</v>
      </c>
      <c r="F71">
        <v>513</v>
      </c>
      <c r="G71">
        <v>14921</v>
      </c>
      <c r="H71">
        <v>1.9199999999999998E-2</v>
      </c>
      <c r="I71">
        <v>569074</v>
      </c>
    </row>
    <row r="72" spans="2:9">
      <c r="B72" s="31">
        <v>44289</v>
      </c>
      <c r="C72">
        <v>280</v>
      </c>
      <c r="D72">
        <v>0.97</v>
      </c>
      <c r="E72">
        <v>126</v>
      </c>
      <c r="F72">
        <v>512</v>
      </c>
      <c r="G72">
        <v>23135</v>
      </c>
      <c r="H72">
        <v>1.8700000000000001E-2</v>
      </c>
      <c r="I72">
        <v>585830</v>
      </c>
    </row>
    <row r="73" spans="2:9">
      <c r="B73" s="31">
        <v>44290</v>
      </c>
      <c r="C73">
        <v>193</v>
      </c>
      <c r="D73">
        <v>1</v>
      </c>
      <c r="E73">
        <v>117</v>
      </c>
      <c r="F73">
        <v>517</v>
      </c>
      <c r="G73">
        <v>12404</v>
      </c>
      <c r="H73">
        <v>1.7500000000000002E-2</v>
      </c>
      <c r="I73">
        <v>592953</v>
      </c>
    </row>
    <row r="74" spans="2:9">
      <c r="B74" s="31">
        <v>44291</v>
      </c>
      <c r="C74">
        <v>159</v>
      </c>
      <c r="D74">
        <v>1.06</v>
      </c>
      <c r="E74">
        <v>112</v>
      </c>
      <c r="F74">
        <v>536</v>
      </c>
      <c r="G74">
        <v>59246</v>
      </c>
      <c r="H74">
        <v>1.41E-2</v>
      </c>
      <c r="I74">
        <v>596680</v>
      </c>
    </row>
    <row r="75" spans="2:9">
      <c r="B75" s="31">
        <v>44292</v>
      </c>
      <c r="C75">
        <v>874</v>
      </c>
      <c r="D75">
        <v>1.1399999999999999</v>
      </c>
      <c r="E75">
        <v>113</v>
      </c>
      <c r="F75">
        <v>504</v>
      </c>
      <c r="G75">
        <v>63682</v>
      </c>
      <c r="H75">
        <v>1.41E-2</v>
      </c>
      <c r="I75">
        <v>602600</v>
      </c>
    </row>
    <row r="76" spans="2:9">
      <c r="B76" s="31">
        <v>44293</v>
      </c>
      <c r="C76">
        <v>663</v>
      </c>
      <c r="D76">
        <v>1.1399999999999999</v>
      </c>
      <c r="E76">
        <v>116</v>
      </c>
      <c r="F76">
        <v>488</v>
      </c>
      <c r="G76">
        <v>63338</v>
      </c>
      <c r="H76">
        <v>1.2500000000000001E-2</v>
      </c>
      <c r="I76">
        <v>605682</v>
      </c>
    </row>
    <row r="77" spans="2:9">
      <c r="B77" s="31">
        <v>44294</v>
      </c>
      <c r="C77">
        <v>602</v>
      </c>
      <c r="D77">
        <v>1.1299999999999999</v>
      </c>
      <c r="E77">
        <v>122</v>
      </c>
      <c r="F77">
        <v>495</v>
      </c>
      <c r="G77">
        <v>58289</v>
      </c>
      <c r="H77">
        <v>1.1299999999999999E-2</v>
      </c>
      <c r="I77">
        <v>616121</v>
      </c>
    </row>
    <row r="78" spans="2:9">
      <c r="B78" s="31">
        <v>44295</v>
      </c>
      <c r="C78">
        <v>694</v>
      </c>
      <c r="D78">
        <v>1.1200000000000001</v>
      </c>
      <c r="E78">
        <v>128</v>
      </c>
      <c r="F78">
        <v>486</v>
      </c>
      <c r="G78">
        <v>60156</v>
      </c>
      <c r="H78">
        <v>1.0200000000000001E-2</v>
      </c>
      <c r="I78">
        <v>631127</v>
      </c>
    </row>
    <row r="79" spans="2:9">
      <c r="B79" s="31">
        <v>44296</v>
      </c>
      <c r="C79">
        <v>601</v>
      </c>
      <c r="D79">
        <v>1.1000000000000001</v>
      </c>
      <c r="E79">
        <v>119</v>
      </c>
      <c r="F79">
        <v>466</v>
      </c>
      <c r="G79">
        <v>31800</v>
      </c>
      <c r="H79">
        <v>1.09E-2</v>
      </c>
      <c r="I79">
        <v>643712</v>
      </c>
    </row>
    <row r="80" spans="2:9">
      <c r="B80" s="31">
        <v>44297</v>
      </c>
      <c r="C80">
        <v>566</v>
      </c>
      <c r="D80">
        <v>1.07</v>
      </c>
      <c r="E80">
        <v>113</v>
      </c>
      <c r="F80">
        <v>466</v>
      </c>
      <c r="G80">
        <v>12842</v>
      </c>
      <c r="H80">
        <v>1.1900000000000001E-2</v>
      </c>
      <c r="I80">
        <v>645818</v>
      </c>
    </row>
    <row r="81" spans="2:9">
      <c r="B81" s="31">
        <v>44298</v>
      </c>
      <c r="C81">
        <v>271</v>
      </c>
      <c r="D81">
        <v>1.04</v>
      </c>
      <c r="E81">
        <v>119</v>
      </c>
      <c r="F81">
        <v>479</v>
      </c>
      <c r="G81">
        <v>38795</v>
      </c>
      <c r="H81">
        <v>1.2999999999999999E-2</v>
      </c>
      <c r="I81">
        <v>651251</v>
      </c>
    </row>
    <row r="82" spans="2:9">
      <c r="B82" s="31">
        <v>44299</v>
      </c>
      <c r="C82">
        <v>408</v>
      </c>
      <c r="D82">
        <v>1.01</v>
      </c>
      <c r="E82">
        <v>118</v>
      </c>
      <c r="F82">
        <v>459</v>
      </c>
      <c r="G82">
        <v>41484</v>
      </c>
      <c r="H82">
        <v>1.24E-2</v>
      </c>
      <c r="I82">
        <v>653413</v>
      </c>
    </row>
    <row r="83" spans="2:9">
      <c r="B83" s="31">
        <v>44300</v>
      </c>
      <c r="C83">
        <v>684</v>
      </c>
      <c r="D83">
        <v>1.01</v>
      </c>
      <c r="E83">
        <v>116</v>
      </c>
      <c r="F83">
        <v>447</v>
      </c>
      <c r="G83">
        <v>41634</v>
      </c>
      <c r="H83">
        <v>1.34E-2</v>
      </c>
      <c r="I83">
        <v>655193</v>
      </c>
    </row>
    <row r="84" spans="2:9">
      <c r="B84" s="31">
        <v>44301</v>
      </c>
      <c r="C84">
        <v>501</v>
      </c>
      <c r="D84">
        <v>1</v>
      </c>
      <c r="E84">
        <v>109</v>
      </c>
      <c r="F84">
        <v>423</v>
      </c>
      <c r="G84">
        <v>42082</v>
      </c>
      <c r="H84">
        <v>1.3899999999999999E-2</v>
      </c>
      <c r="I84">
        <v>666086</v>
      </c>
    </row>
    <row r="85" spans="2:9">
      <c r="B85" s="31">
        <v>44302</v>
      </c>
      <c r="C85">
        <v>553</v>
      </c>
      <c r="D85">
        <v>1</v>
      </c>
      <c r="E85">
        <v>101</v>
      </c>
      <c r="F85">
        <v>429</v>
      </c>
      <c r="G85">
        <v>47052</v>
      </c>
      <c r="H85">
        <v>1.4E-2</v>
      </c>
      <c r="I85">
        <v>676217</v>
      </c>
    </row>
    <row r="86" spans="2:9">
      <c r="B86" s="31">
        <v>44303</v>
      </c>
      <c r="C86">
        <v>649</v>
      </c>
      <c r="D86">
        <v>1</v>
      </c>
      <c r="E86">
        <v>103</v>
      </c>
      <c r="F86">
        <v>415</v>
      </c>
      <c r="G86">
        <v>31461</v>
      </c>
      <c r="H86">
        <v>1.4200000000000001E-2</v>
      </c>
      <c r="I86">
        <v>696172</v>
      </c>
    </row>
    <row r="87" spans="2:9">
      <c r="B87" s="31">
        <v>44304</v>
      </c>
      <c r="C87">
        <v>441</v>
      </c>
      <c r="D87">
        <v>0.99</v>
      </c>
      <c r="E87">
        <v>109</v>
      </c>
      <c r="F87">
        <v>428</v>
      </c>
      <c r="G87">
        <v>14429</v>
      </c>
      <c r="H87">
        <v>1.3599999999999999E-2</v>
      </c>
      <c r="I87">
        <v>701102</v>
      </c>
    </row>
    <row r="88" spans="2:9">
      <c r="B88" s="31">
        <v>44305</v>
      </c>
      <c r="C88">
        <v>220</v>
      </c>
      <c r="D88">
        <v>0.98</v>
      </c>
      <c r="E88">
        <v>112</v>
      </c>
      <c r="F88">
        <v>454</v>
      </c>
      <c r="G88">
        <v>78716</v>
      </c>
      <c r="H88">
        <v>1.1599999999999999E-2</v>
      </c>
      <c r="I88">
        <v>706842</v>
      </c>
    </row>
    <row r="89" spans="2:9">
      <c r="B89" s="31">
        <v>44306</v>
      </c>
      <c r="C89">
        <v>424</v>
      </c>
      <c r="D89">
        <v>0.97</v>
      </c>
      <c r="E89">
        <v>113</v>
      </c>
      <c r="F89">
        <v>429</v>
      </c>
      <c r="G89">
        <v>96934</v>
      </c>
      <c r="H89">
        <v>9.9000000000000008E-3</v>
      </c>
      <c r="I89">
        <v>718009</v>
      </c>
    </row>
    <row r="90" spans="2:9">
      <c r="B90" s="31">
        <v>44307</v>
      </c>
      <c r="C90">
        <v>610</v>
      </c>
      <c r="D90">
        <v>0.97</v>
      </c>
      <c r="E90">
        <v>110</v>
      </c>
      <c r="F90">
        <v>397</v>
      </c>
      <c r="G90">
        <v>98744</v>
      </c>
      <c r="H90">
        <v>8.3000000000000001E-3</v>
      </c>
      <c r="I90">
        <v>726985</v>
      </c>
    </row>
    <row r="91" spans="2:9">
      <c r="B91" s="31">
        <v>44308</v>
      </c>
      <c r="C91">
        <v>636</v>
      </c>
      <c r="D91">
        <v>0.97</v>
      </c>
      <c r="E91">
        <v>104</v>
      </c>
      <c r="F91">
        <v>395</v>
      </c>
      <c r="G91">
        <v>98063</v>
      </c>
      <c r="H91">
        <v>7.6E-3</v>
      </c>
      <c r="I91">
        <v>750872</v>
      </c>
    </row>
    <row r="92" spans="2:9">
      <c r="B92" s="31">
        <v>44309</v>
      </c>
      <c r="C92">
        <v>506</v>
      </c>
      <c r="D92">
        <v>0.96</v>
      </c>
      <c r="E92">
        <v>98</v>
      </c>
      <c r="F92">
        <v>384</v>
      </c>
      <c r="G92">
        <v>88546</v>
      </c>
      <c r="H92">
        <v>6.8999999999999999E-3</v>
      </c>
      <c r="I92">
        <v>790203</v>
      </c>
    </row>
    <row r="93" spans="2:9">
      <c r="B93" s="31">
        <v>44310</v>
      </c>
      <c r="C93">
        <v>567</v>
      </c>
      <c r="D93">
        <v>0.96</v>
      </c>
      <c r="E93">
        <v>98</v>
      </c>
      <c r="F93">
        <v>342</v>
      </c>
      <c r="G93">
        <v>41386</v>
      </c>
      <c r="H93">
        <v>6.6E-3</v>
      </c>
      <c r="I93">
        <v>828138</v>
      </c>
    </row>
    <row r="94" spans="2:9">
      <c r="B94" s="31">
        <v>44311</v>
      </c>
      <c r="C94">
        <v>478</v>
      </c>
      <c r="D94">
        <v>0.94</v>
      </c>
      <c r="E94">
        <v>98</v>
      </c>
      <c r="F94">
        <v>348</v>
      </c>
      <c r="G94">
        <v>14485</v>
      </c>
      <c r="H94">
        <v>6.7000000000000002E-3</v>
      </c>
      <c r="I94">
        <v>840420</v>
      </c>
    </row>
    <row r="95" spans="2:9">
      <c r="B95" s="31">
        <v>44312</v>
      </c>
      <c r="C95">
        <v>196</v>
      </c>
      <c r="D95">
        <v>0.92</v>
      </c>
      <c r="E95">
        <v>91</v>
      </c>
      <c r="F95">
        <v>365</v>
      </c>
      <c r="G95">
        <v>53464</v>
      </c>
      <c r="H95">
        <v>7.0000000000000001E-3</v>
      </c>
      <c r="I95">
        <v>847664</v>
      </c>
    </row>
    <row r="96" spans="2:9">
      <c r="B96" s="31">
        <v>44313</v>
      </c>
      <c r="C96">
        <v>353</v>
      </c>
      <c r="D96">
        <v>0.91</v>
      </c>
      <c r="E96">
        <v>86</v>
      </c>
      <c r="F96">
        <v>346</v>
      </c>
      <c r="G96">
        <v>57452</v>
      </c>
      <c r="H96">
        <v>7.4000000000000003E-3</v>
      </c>
      <c r="I96">
        <v>856281</v>
      </c>
    </row>
    <row r="97" spans="2:9">
      <c r="B97" s="31">
        <v>44314</v>
      </c>
      <c r="C97">
        <v>572</v>
      </c>
      <c r="D97">
        <v>0.9</v>
      </c>
      <c r="E97">
        <v>88</v>
      </c>
      <c r="F97">
        <v>332</v>
      </c>
      <c r="G97">
        <v>53345</v>
      </c>
      <c r="H97">
        <v>8.0999999999999996E-3</v>
      </c>
      <c r="I97">
        <v>866481</v>
      </c>
    </row>
    <row r="98" spans="2:9">
      <c r="B98" s="31">
        <v>44315</v>
      </c>
      <c r="C98">
        <v>470</v>
      </c>
      <c r="D98">
        <v>0.89</v>
      </c>
      <c r="E98">
        <v>89</v>
      </c>
      <c r="F98">
        <v>324</v>
      </c>
      <c r="G98">
        <v>54101</v>
      </c>
      <c r="H98">
        <v>8.6999999999999994E-3</v>
      </c>
      <c r="I98">
        <v>885339</v>
      </c>
    </row>
    <row r="99" spans="2:9">
      <c r="B99" s="31">
        <v>44316</v>
      </c>
      <c r="C99">
        <v>460</v>
      </c>
      <c r="D99">
        <v>0.88</v>
      </c>
      <c r="E99">
        <v>89</v>
      </c>
      <c r="F99">
        <v>324</v>
      </c>
      <c r="G99">
        <v>64169</v>
      </c>
      <c r="H99">
        <v>9.1000000000000004E-3</v>
      </c>
      <c r="I99">
        <v>903570</v>
      </c>
    </row>
    <row r="100" spans="2:9">
      <c r="B100" s="31">
        <v>44317</v>
      </c>
      <c r="C100">
        <v>454</v>
      </c>
      <c r="D100">
        <v>0.87</v>
      </c>
      <c r="E100">
        <v>84</v>
      </c>
      <c r="F100">
        <v>302</v>
      </c>
      <c r="G100">
        <v>31454</v>
      </c>
      <c r="H100">
        <v>9.1000000000000004E-3</v>
      </c>
      <c r="I100">
        <v>920598</v>
      </c>
    </row>
    <row r="101" spans="2:9">
      <c r="B101" s="31">
        <v>44318</v>
      </c>
      <c r="C101">
        <v>330</v>
      </c>
      <c r="D101">
        <v>0.86</v>
      </c>
      <c r="E101">
        <v>85</v>
      </c>
      <c r="F101">
        <v>311</v>
      </c>
      <c r="G101">
        <v>17140</v>
      </c>
      <c r="H101">
        <v>8.6E-3</v>
      </c>
      <c r="I101">
        <v>930042</v>
      </c>
    </row>
    <row r="102" spans="2:9">
      <c r="B102" s="31">
        <v>44319</v>
      </c>
      <c r="C102">
        <v>180</v>
      </c>
      <c r="D102">
        <v>0.86</v>
      </c>
      <c r="E102">
        <v>90</v>
      </c>
      <c r="F102">
        <v>322</v>
      </c>
      <c r="G102">
        <v>52011</v>
      </c>
      <c r="H102">
        <v>8.6E-3</v>
      </c>
      <c r="I102">
        <v>939105</v>
      </c>
    </row>
    <row r="103" spans="2:9">
      <c r="B103" s="31">
        <v>44320</v>
      </c>
      <c r="C103">
        <v>258</v>
      </c>
      <c r="D103">
        <v>0.85</v>
      </c>
      <c r="E103">
        <v>87</v>
      </c>
      <c r="F103">
        <v>296</v>
      </c>
      <c r="G103">
        <v>52560</v>
      </c>
      <c r="H103">
        <v>8.3999999999999995E-3</v>
      </c>
      <c r="I103">
        <v>952721</v>
      </c>
    </row>
    <row r="104" spans="2:9">
      <c r="B104" s="31">
        <v>44321</v>
      </c>
      <c r="C104">
        <v>387</v>
      </c>
      <c r="D104">
        <v>0.85</v>
      </c>
      <c r="E104">
        <v>83</v>
      </c>
      <c r="F104">
        <v>297</v>
      </c>
      <c r="G104">
        <v>49255</v>
      </c>
      <c r="H104">
        <v>7.9000000000000008E-3</v>
      </c>
      <c r="I104">
        <v>969630</v>
      </c>
    </row>
    <row r="105" spans="2:9">
      <c r="B105" s="31">
        <v>44322</v>
      </c>
      <c r="C105">
        <v>373</v>
      </c>
      <c r="D105">
        <v>0.87</v>
      </c>
      <c r="E105">
        <v>77</v>
      </c>
      <c r="F105">
        <v>283</v>
      </c>
      <c r="G105">
        <v>48583</v>
      </c>
      <c r="H105">
        <v>7.7000000000000002E-3</v>
      </c>
      <c r="I105">
        <v>1012002</v>
      </c>
    </row>
    <row r="106" spans="2:9">
      <c r="B106" s="31">
        <v>44323</v>
      </c>
      <c r="C106">
        <v>377</v>
      </c>
      <c r="D106">
        <v>0.89</v>
      </c>
      <c r="E106">
        <v>75</v>
      </c>
      <c r="F106">
        <v>280</v>
      </c>
      <c r="G106">
        <v>47849</v>
      </c>
      <c r="H106">
        <v>7.9000000000000008E-3</v>
      </c>
      <c r="I106">
        <v>1063299</v>
      </c>
    </row>
    <row r="107" spans="2:9">
      <c r="B107" s="31">
        <v>44324</v>
      </c>
      <c r="C107">
        <v>406</v>
      </c>
      <c r="D107">
        <v>0.91</v>
      </c>
      <c r="E107">
        <v>74</v>
      </c>
      <c r="F107">
        <v>260</v>
      </c>
      <c r="G107">
        <v>31498</v>
      </c>
      <c r="H107">
        <v>7.7000000000000002E-3</v>
      </c>
      <c r="I107">
        <v>1120117</v>
      </c>
    </row>
    <row r="108" spans="2:9">
      <c r="B108" s="31">
        <v>44325</v>
      </c>
      <c r="C108">
        <v>324</v>
      </c>
      <c r="D108">
        <v>0.93</v>
      </c>
      <c r="E108">
        <v>74</v>
      </c>
      <c r="F108">
        <v>268</v>
      </c>
      <c r="G108">
        <v>15940</v>
      </c>
      <c r="H108">
        <v>7.7000000000000002E-3</v>
      </c>
      <c r="I108">
        <v>1134005</v>
      </c>
    </row>
    <row r="109" spans="2:9">
      <c r="B109" s="31">
        <v>44326</v>
      </c>
      <c r="C109">
        <v>158</v>
      </c>
      <c r="D109">
        <v>0.95</v>
      </c>
      <c r="E109">
        <v>73</v>
      </c>
      <c r="F109">
        <v>277</v>
      </c>
      <c r="G109">
        <v>39435</v>
      </c>
      <c r="H109">
        <v>8.0000000000000002E-3</v>
      </c>
      <c r="I109">
        <v>1160784</v>
      </c>
    </row>
    <row r="110" spans="2:9">
      <c r="B110" s="31">
        <v>44327</v>
      </c>
      <c r="C110">
        <v>268</v>
      </c>
      <c r="D110">
        <v>0.97</v>
      </c>
      <c r="E110">
        <v>71</v>
      </c>
      <c r="F110">
        <v>257</v>
      </c>
      <c r="G110">
        <v>41873</v>
      </c>
      <c r="H110">
        <v>8.3999999999999995E-3</v>
      </c>
      <c r="I110">
        <v>1180469</v>
      </c>
    </row>
    <row r="111" spans="2:9">
      <c r="B111" s="31">
        <v>44328</v>
      </c>
      <c r="C111">
        <v>485</v>
      </c>
      <c r="D111">
        <v>1</v>
      </c>
      <c r="E111">
        <v>71</v>
      </c>
      <c r="F111">
        <v>248</v>
      </c>
      <c r="G111">
        <v>43813</v>
      </c>
      <c r="H111">
        <v>8.8999999999999999E-3</v>
      </c>
      <c r="I111">
        <v>1196536</v>
      </c>
    </row>
    <row r="112" spans="2:9">
      <c r="B112" s="31">
        <v>44329</v>
      </c>
      <c r="C112">
        <v>436</v>
      </c>
      <c r="D112">
        <v>1.02</v>
      </c>
      <c r="E112">
        <v>70</v>
      </c>
      <c r="F112">
        <v>244</v>
      </c>
      <c r="G112">
        <v>40249</v>
      </c>
      <c r="H112">
        <v>9.4000000000000004E-3</v>
      </c>
      <c r="I112">
        <v>1211653</v>
      </c>
    </row>
    <row r="113" spans="2:9">
      <c r="B113" s="31">
        <v>44330</v>
      </c>
      <c r="C113">
        <v>450</v>
      </c>
      <c r="D113">
        <v>1.04</v>
      </c>
      <c r="E113">
        <v>72</v>
      </c>
      <c r="F113">
        <v>236</v>
      </c>
      <c r="G113">
        <v>46370</v>
      </c>
      <c r="H113">
        <v>9.7999999999999997E-3</v>
      </c>
      <c r="I113">
        <v>1231250</v>
      </c>
    </row>
    <row r="114" spans="2:9">
      <c r="B114" s="31">
        <v>44331</v>
      </c>
      <c r="C114">
        <v>469</v>
      </c>
      <c r="D114">
        <v>1.05</v>
      </c>
      <c r="E114">
        <v>71</v>
      </c>
      <c r="F114">
        <v>223</v>
      </c>
      <c r="G114">
        <v>30962</v>
      </c>
      <c r="H114">
        <v>0.01</v>
      </c>
      <c r="I114">
        <v>1287442</v>
      </c>
    </row>
    <row r="115" spans="2:9">
      <c r="B115" s="31">
        <v>44332</v>
      </c>
      <c r="C115">
        <v>334</v>
      </c>
      <c r="D115">
        <v>1.06</v>
      </c>
      <c r="E115">
        <v>76</v>
      </c>
      <c r="F115">
        <v>245</v>
      </c>
      <c r="G115">
        <v>15707</v>
      </c>
      <c r="H115">
        <v>1.01E-2</v>
      </c>
      <c r="I115">
        <v>1411270</v>
      </c>
    </row>
    <row r="116" spans="2:9">
      <c r="B116" s="31">
        <v>44333</v>
      </c>
      <c r="C116">
        <v>199</v>
      </c>
      <c r="D116">
        <v>1.07</v>
      </c>
      <c r="E116">
        <v>72</v>
      </c>
      <c r="F116">
        <v>246</v>
      </c>
      <c r="G116">
        <v>43293</v>
      </c>
      <c r="H116">
        <v>1.01E-2</v>
      </c>
      <c r="I116">
        <v>1469159</v>
      </c>
    </row>
    <row r="117" spans="2:9">
      <c r="B117" s="31">
        <v>44334</v>
      </c>
      <c r="C117">
        <v>386</v>
      </c>
      <c r="D117">
        <v>1.08</v>
      </c>
      <c r="E117">
        <v>66</v>
      </c>
      <c r="F117">
        <v>233</v>
      </c>
      <c r="G117">
        <v>41470</v>
      </c>
      <c r="H117">
        <v>1.0500000000000001E-2</v>
      </c>
      <c r="I117">
        <v>1489854</v>
      </c>
    </row>
    <row r="118" spans="2:9">
      <c r="B118" s="31">
        <v>44335</v>
      </c>
      <c r="C118">
        <v>511</v>
      </c>
      <c r="D118">
        <v>1.0900000000000001</v>
      </c>
      <c r="E118">
        <v>56</v>
      </c>
      <c r="F118">
        <v>211</v>
      </c>
      <c r="G118">
        <v>44399</v>
      </c>
      <c r="H118">
        <v>1.06E-2</v>
      </c>
      <c r="I118">
        <v>1513415</v>
      </c>
    </row>
    <row r="119" spans="2:9">
      <c r="B119" s="31">
        <v>44336</v>
      </c>
      <c r="C119">
        <v>451</v>
      </c>
      <c r="D119">
        <v>1.1000000000000001</v>
      </c>
      <c r="E119">
        <v>58</v>
      </c>
      <c r="F119">
        <v>208</v>
      </c>
      <c r="G119">
        <v>44577</v>
      </c>
      <c r="H119">
        <v>1.0500000000000001E-2</v>
      </c>
      <c r="I119">
        <v>1539964</v>
      </c>
    </row>
    <row r="120" spans="2:9">
      <c r="B120" s="31">
        <v>44337</v>
      </c>
      <c r="C120">
        <v>559</v>
      </c>
      <c r="D120">
        <v>1.1200000000000001</v>
      </c>
      <c r="E120">
        <v>55</v>
      </c>
      <c r="F120">
        <v>207</v>
      </c>
      <c r="G120">
        <v>45378</v>
      </c>
      <c r="H120">
        <v>1.09E-2</v>
      </c>
      <c r="I120">
        <v>1568208</v>
      </c>
    </row>
    <row r="121" spans="2:9">
      <c r="B121" s="31">
        <v>44338</v>
      </c>
      <c r="C121">
        <v>523</v>
      </c>
      <c r="D121">
        <v>1.1200000000000001</v>
      </c>
      <c r="E121">
        <v>59</v>
      </c>
      <c r="F121">
        <v>210</v>
      </c>
      <c r="G121">
        <v>33560</v>
      </c>
      <c r="H121">
        <v>1.0999999999999999E-2</v>
      </c>
      <c r="I121">
        <v>1604322</v>
      </c>
    </row>
    <row r="122" spans="2:9">
      <c r="B122" s="31">
        <v>44339</v>
      </c>
      <c r="C122">
        <v>413</v>
      </c>
      <c r="D122">
        <v>1.1200000000000001</v>
      </c>
      <c r="E122">
        <v>58</v>
      </c>
      <c r="F122">
        <v>220</v>
      </c>
      <c r="G122">
        <v>16152</v>
      </c>
      <c r="H122">
        <v>1.1299999999999999E-2</v>
      </c>
      <c r="I122">
        <v>1638859</v>
      </c>
    </row>
    <row r="123" spans="2:9">
      <c r="B123" s="31">
        <v>44340</v>
      </c>
      <c r="C123">
        <v>241</v>
      </c>
      <c r="D123">
        <v>1.1100000000000001</v>
      </c>
      <c r="E123">
        <v>57</v>
      </c>
      <c r="F123">
        <v>239</v>
      </c>
      <c r="G123">
        <v>42680</v>
      </c>
      <c r="H123">
        <v>1.15E-2</v>
      </c>
      <c r="I123">
        <v>1701479</v>
      </c>
    </row>
    <row r="124" spans="2:9">
      <c r="B124" s="31">
        <v>44341</v>
      </c>
      <c r="C124">
        <v>375</v>
      </c>
      <c r="D124">
        <v>1.1200000000000001</v>
      </c>
      <c r="E124">
        <v>52</v>
      </c>
      <c r="F124">
        <v>237</v>
      </c>
      <c r="G124">
        <v>43590</v>
      </c>
      <c r="H124">
        <v>1.14E-2</v>
      </c>
      <c r="I124">
        <v>1725903</v>
      </c>
    </row>
    <row r="125" spans="2:9">
      <c r="B125" s="31">
        <v>44342</v>
      </c>
      <c r="C125">
        <v>594</v>
      </c>
      <c r="D125">
        <v>1.1299999999999999</v>
      </c>
      <c r="E125">
        <v>53</v>
      </c>
      <c r="F125">
        <v>233</v>
      </c>
      <c r="G125">
        <v>50409</v>
      </c>
      <c r="H125">
        <v>1.14E-2</v>
      </c>
      <c r="I125">
        <v>1745225</v>
      </c>
    </row>
    <row r="126" spans="2:9">
      <c r="B126" s="31">
        <v>44343</v>
      </c>
      <c r="C126">
        <v>572</v>
      </c>
      <c r="D126">
        <v>1.1399999999999999</v>
      </c>
      <c r="E126">
        <v>53</v>
      </c>
      <c r="F126">
        <v>233</v>
      </c>
      <c r="G126">
        <v>53947</v>
      </c>
      <c r="H126">
        <v>1.15E-2</v>
      </c>
      <c r="I126">
        <v>1788676</v>
      </c>
    </row>
    <row r="127" spans="2:9">
      <c r="B127" s="31">
        <v>44344</v>
      </c>
      <c r="C127">
        <v>598</v>
      </c>
      <c r="D127">
        <v>1.1599999999999999</v>
      </c>
      <c r="E127">
        <v>52</v>
      </c>
      <c r="F127">
        <v>246</v>
      </c>
      <c r="G127">
        <v>59275</v>
      </c>
      <c r="H127">
        <v>1.11E-2</v>
      </c>
      <c r="I127">
        <v>1845836</v>
      </c>
    </row>
    <row r="128" spans="2:9">
      <c r="B128" s="31">
        <v>44345</v>
      </c>
      <c r="C128">
        <v>609</v>
      </c>
      <c r="D128">
        <v>1.1599999999999999</v>
      </c>
      <c r="E128">
        <v>49</v>
      </c>
      <c r="F128">
        <v>244</v>
      </c>
      <c r="G128">
        <v>43319</v>
      </c>
      <c r="H128">
        <v>1.0999999999999999E-2</v>
      </c>
      <c r="I128">
        <v>1910212</v>
      </c>
    </row>
    <row r="129" spans="2:124">
      <c r="B129" s="31">
        <v>44346</v>
      </c>
      <c r="C129">
        <v>445</v>
      </c>
      <c r="D129">
        <v>1.1599999999999999</v>
      </c>
      <c r="E129">
        <v>54</v>
      </c>
      <c r="F129">
        <v>271</v>
      </c>
      <c r="G129">
        <v>20369</v>
      </c>
      <c r="H129">
        <v>1.0999999999999999E-2</v>
      </c>
      <c r="I129">
        <v>1949349</v>
      </c>
    </row>
    <row r="130" spans="2:124">
      <c r="B130" s="31">
        <v>44347</v>
      </c>
      <c r="C130">
        <v>435</v>
      </c>
      <c r="D130">
        <v>1.1599999999999999</v>
      </c>
      <c r="E130">
        <v>52</v>
      </c>
      <c r="F130">
        <v>283</v>
      </c>
      <c r="G130">
        <v>49817</v>
      </c>
      <c r="H130">
        <v>1.1299999999999999E-2</v>
      </c>
      <c r="I130">
        <v>2054154</v>
      </c>
    </row>
    <row r="135" spans="2:124">
      <c r="B135" t="s">
        <v>57</v>
      </c>
    </row>
    <row r="136" spans="2:124">
      <c r="E136" s="32">
        <v>5805</v>
      </c>
      <c r="F136" s="32">
        <v>5540</v>
      </c>
      <c r="G136" s="32">
        <v>9083</v>
      </c>
      <c r="H136" s="32">
        <v>7914</v>
      </c>
      <c r="I136" s="32">
        <v>6916</v>
      </c>
      <c r="J136" s="32">
        <v>6132</v>
      </c>
      <c r="K136" s="32">
        <v>3508</v>
      </c>
      <c r="L136" s="32">
        <v>2505</v>
      </c>
      <c r="M136" s="32">
        <v>2583</v>
      </c>
      <c r="N136" s="32">
        <v>4387</v>
      </c>
      <c r="O136" s="32">
        <v>3480</v>
      </c>
      <c r="P136" s="32">
        <v>2854</v>
      </c>
      <c r="Q136" s="32">
        <v>2856</v>
      </c>
      <c r="R136" s="32">
        <v>1677</v>
      </c>
      <c r="S136" s="32">
        <v>1303</v>
      </c>
      <c r="T136" s="32">
        <v>1502</v>
      </c>
      <c r="U136" s="32">
        <v>2324</v>
      </c>
      <c r="V136" s="32">
        <v>1944</v>
      </c>
      <c r="W136" s="32">
        <v>1940</v>
      </c>
      <c r="X136" s="32">
        <v>1570</v>
      </c>
      <c r="Y136" s="32">
        <v>1186</v>
      </c>
      <c r="Z136" s="32">
        <v>549</v>
      </c>
      <c r="AA136" s="32">
        <v>1032</v>
      </c>
      <c r="AB136" s="32">
        <v>1480</v>
      </c>
      <c r="AC136" s="32">
        <v>1160</v>
      </c>
      <c r="AD136" s="32">
        <v>1027</v>
      </c>
      <c r="AE136" s="32">
        <v>1071</v>
      </c>
      <c r="AF136" s="32">
        <v>718</v>
      </c>
      <c r="AG136" s="32">
        <v>394</v>
      </c>
      <c r="AH136" s="32">
        <v>691</v>
      </c>
      <c r="AI136" s="32">
        <v>979</v>
      </c>
      <c r="AJ136" s="32">
        <v>830</v>
      </c>
      <c r="AK136" s="32">
        <v>949</v>
      </c>
      <c r="AL136" s="32">
        <v>1007</v>
      </c>
      <c r="AM136" s="32">
        <v>682</v>
      </c>
      <c r="AN136" s="32">
        <v>365</v>
      </c>
      <c r="AO136" s="32">
        <v>847</v>
      </c>
      <c r="AP136" s="32">
        <v>642</v>
      </c>
      <c r="AQ136" s="32">
        <v>627</v>
      </c>
      <c r="AR136" s="32">
        <v>577</v>
      </c>
      <c r="AS136" s="32">
        <v>564</v>
      </c>
      <c r="AT136" s="32">
        <v>541</v>
      </c>
      <c r="AU136" s="32">
        <v>256</v>
      </c>
      <c r="AV136" s="32">
        <v>384</v>
      </c>
      <c r="AW136" s="32">
        <v>673</v>
      </c>
      <c r="AX136" s="32">
        <v>485</v>
      </c>
      <c r="AY136" s="32">
        <v>568</v>
      </c>
      <c r="AZ136" s="32">
        <v>457</v>
      </c>
      <c r="BA136" s="32">
        <v>450</v>
      </c>
      <c r="BB136" s="32">
        <v>248</v>
      </c>
      <c r="BC136" s="32">
        <v>434</v>
      </c>
      <c r="BD136" s="32">
        <v>575</v>
      </c>
      <c r="BE136" s="32">
        <v>423</v>
      </c>
      <c r="BF136" s="32">
        <v>488</v>
      </c>
      <c r="BG136" s="32">
        <v>344</v>
      </c>
      <c r="BH136" s="32">
        <v>365</v>
      </c>
      <c r="BI136" s="32">
        <v>309</v>
      </c>
      <c r="BJ136" s="32">
        <v>388</v>
      </c>
      <c r="BK136" s="32">
        <v>618</v>
      </c>
      <c r="BL136" s="32">
        <v>592</v>
      </c>
      <c r="BM136" s="32">
        <v>548</v>
      </c>
      <c r="BN136" s="32">
        <v>280</v>
      </c>
      <c r="BO136" s="32">
        <v>193</v>
      </c>
      <c r="BP136" s="32">
        <v>159</v>
      </c>
      <c r="BQ136" s="32">
        <v>874</v>
      </c>
      <c r="BR136" s="32">
        <v>663</v>
      </c>
      <c r="BS136" s="32">
        <v>602</v>
      </c>
      <c r="BT136" s="32">
        <v>694</v>
      </c>
      <c r="BU136" s="32">
        <v>601</v>
      </c>
      <c r="BV136" s="32">
        <v>566</v>
      </c>
      <c r="BW136" s="32">
        <v>271</v>
      </c>
      <c r="BX136" s="32">
        <v>408</v>
      </c>
      <c r="BY136" s="32">
        <v>684</v>
      </c>
      <c r="BZ136" s="32">
        <v>501</v>
      </c>
      <c r="CA136" s="32">
        <v>553</v>
      </c>
      <c r="CB136" s="32">
        <v>649</v>
      </c>
      <c r="CC136" s="32">
        <v>441</v>
      </c>
      <c r="CD136" s="32">
        <v>220</v>
      </c>
      <c r="CE136" s="32">
        <v>424</v>
      </c>
      <c r="CF136" s="32">
        <v>610</v>
      </c>
      <c r="CG136" s="32">
        <v>636</v>
      </c>
      <c r="CH136" s="32">
        <v>506</v>
      </c>
      <c r="CI136" s="32">
        <v>567</v>
      </c>
      <c r="CJ136" s="32">
        <v>478</v>
      </c>
      <c r="CK136" s="32">
        <v>196</v>
      </c>
      <c r="CL136" s="32">
        <v>353</v>
      </c>
      <c r="CM136" s="32">
        <v>572</v>
      </c>
      <c r="CN136" s="32">
        <v>470</v>
      </c>
      <c r="CO136" s="32">
        <v>460</v>
      </c>
      <c r="CP136" s="32">
        <v>454</v>
      </c>
      <c r="CQ136" s="32">
        <v>330</v>
      </c>
      <c r="CR136" s="32">
        <v>180</v>
      </c>
      <c r="CS136" s="32">
        <v>258</v>
      </c>
      <c r="CT136" s="32">
        <v>387</v>
      </c>
      <c r="CU136" s="32">
        <v>373</v>
      </c>
      <c r="CV136" s="32">
        <v>377</v>
      </c>
      <c r="CW136" s="32">
        <v>406</v>
      </c>
      <c r="CX136" s="32">
        <v>324</v>
      </c>
      <c r="CY136" s="32">
        <v>158</v>
      </c>
      <c r="CZ136" s="32">
        <v>268</v>
      </c>
      <c r="DA136" s="32">
        <v>485</v>
      </c>
      <c r="DB136" s="32">
        <v>436</v>
      </c>
      <c r="DC136" s="32">
        <v>450</v>
      </c>
      <c r="DD136" s="32">
        <v>469</v>
      </c>
      <c r="DE136" s="32">
        <v>334</v>
      </c>
      <c r="DF136" s="32">
        <v>199</v>
      </c>
      <c r="DG136" s="32">
        <v>386</v>
      </c>
      <c r="DH136" s="32">
        <v>511</v>
      </c>
      <c r="DI136" s="32">
        <v>451</v>
      </c>
      <c r="DJ136" s="32">
        <v>559</v>
      </c>
      <c r="DK136" s="32">
        <v>523</v>
      </c>
      <c r="DL136" s="32">
        <v>413</v>
      </c>
      <c r="DM136" s="32">
        <v>241</v>
      </c>
      <c r="DN136" s="32">
        <v>375</v>
      </c>
      <c r="DO136" s="32">
        <v>594</v>
      </c>
      <c r="DP136" s="32">
        <v>572</v>
      </c>
      <c r="DQ136" s="32">
        <v>598</v>
      </c>
      <c r="DR136" s="32">
        <v>609</v>
      </c>
      <c r="DS136" s="32">
        <v>445</v>
      </c>
      <c r="DT136" s="32">
        <v>435</v>
      </c>
    </row>
    <row r="137" spans="2:124">
      <c r="E137" s="32">
        <v>0.82</v>
      </c>
      <c r="F137" s="32">
        <v>0.76</v>
      </c>
      <c r="G137" s="32">
        <v>0.71</v>
      </c>
      <c r="H137" s="32">
        <v>0.67</v>
      </c>
      <c r="I137" s="32">
        <v>0.64</v>
      </c>
      <c r="J137" s="32">
        <v>0.62</v>
      </c>
      <c r="K137" s="32">
        <v>0.59</v>
      </c>
      <c r="L137" s="32">
        <v>0.56000000000000005</v>
      </c>
      <c r="M137" s="32">
        <v>0.53</v>
      </c>
      <c r="N137" s="32">
        <v>0.51</v>
      </c>
      <c r="O137" s="32">
        <v>0.49</v>
      </c>
      <c r="P137" s="32">
        <v>0.48</v>
      </c>
      <c r="Q137" s="32">
        <v>0.48</v>
      </c>
      <c r="R137" s="32">
        <v>0.48</v>
      </c>
      <c r="S137" s="32">
        <v>0.48</v>
      </c>
      <c r="T137" s="32">
        <v>0.47</v>
      </c>
      <c r="U137" s="32">
        <v>0.47</v>
      </c>
      <c r="V137" s="32">
        <v>0.47</v>
      </c>
      <c r="W137" s="32">
        <v>0.48</v>
      </c>
      <c r="X137" s="32">
        <v>0.48</v>
      </c>
      <c r="Y137" s="32">
        <v>0.49</v>
      </c>
      <c r="Z137" s="32">
        <v>0.49</v>
      </c>
      <c r="AA137" s="32">
        <v>0.49</v>
      </c>
      <c r="AB137" s="32">
        <v>0.5</v>
      </c>
      <c r="AC137" s="32">
        <v>0.5</v>
      </c>
      <c r="AD137" s="32">
        <v>0.51</v>
      </c>
      <c r="AE137" s="32">
        <v>0.53</v>
      </c>
      <c r="AF137" s="32">
        <v>0.54</v>
      </c>
      <c r="AG137" s="32">
        <v>0.56000000000000005</v>
      </c>
      <c r="AH137" s="32">
        <v>0.56999999999999995</v>
      </c>
      <c r="AI137" s="32">
        <v>0.59</v>
      </c>
      <c r="AJ137" s="32">
        <v>0.61</v>
      </c>
      <c r="AK137" s="32">
        <v>0.64</v>
      </c>
      <c r="AL137" s="32">
        <v>0.66</v>
      </c>
      <c r="AM137" s="32">
        <v>0.67</v>
      </c>
      <c r="AN137" s="32">
        <v>0.67</v>
      </c>
      <c r="AO137" s="32">
        <v>0.67</v>
      </c>
      <c r="AP137" s="32">
        <v>0.65</v>
      </c>
      <c r="AQ137" s="32">
        <v>0.65</v>
      </c>
      <c r="AR137" s="32">
        <v>0.66</v>
      </c>
      <c r="AS137" s="32">
        <v>0.68</v>
      </c>
      <c r="AT137" s="32">
        <v>0.69</v>
      </c>
      <c r="AU137" s="32">
        <v>0.7</v>
      </c>
      <c r="AV137" s="32">
        <v>0.71</v>
      </c>
      <c r="AW137" s="32">
        <v>0.72</v>
      </c>
      <c r="AX137" s="32">
        <v>0.74</v>
      </c>
      <c r="AY137" s="32">
        <v>0.76</v>
      </c>
      <c r="AZ137" s="32">
        <v>0.77</v>
      </c>
      <c r="BA137" s="32">
        <v>0.79</v>
      </c>
      <c r="BB137" s="32">
        <v>0.8</v>
      </c>
      <c r="BC137" s="32">
        <v>0.81</v>
      </c>
      <c r="BD137" s="32">
        <v>0.82</v>
      </c>
      <c r="BE137" s="32">
        <v>0.83</v>
      </c>
      <c r="BF137" s="32">
        <v>0.84</v>
      </c>
      <c r="BG137" s="32">
        <v>0.86</v>
      </c>
      <c r="BH137" s="32">
        <v>0.89</v>
      </c>
      <c r="BI137" s="32">
        <v>0.92</v>
      </c>
      <c r="BJ137" s="32">
        <v>0.94</v>
      </c>
      <c r="BK137" s="32">
        <v>0.97</v>
      </c>
      <c r="BL137" s="32">
        <v>0.98</v>
      </c>
      <c r="BM137" s="32">
        <v>0.98</v>
      </c>
      <c r="BN137" s="32">
        <v>0.97</v>
      </c>
      <c r="BO137" s="32">
        <v>1</v>
      </c>
      <c r="BP137" s="32">
        <v>1.06</v>
      </c>
      <c r="BQ137" s="32">
        <v>1.1399999999999999</v>
      </c>
      <c r="BR137" s="32">
        <v>1.1399999999999999</v>
      </c>
      <c r="BS137" s="32">
        <v>1.1299999999999999</v>
      </c>
      <c r="BT137" s="32">
        <v>1.1200000000000001</v>
      </c>
      <c r="BU137" s="32">
        <v>1.1000000000000001</v>
      </c>
      <c r="BV137" s="32">
        <v>1.07</v>
      </c>
      <c r="BW137" s="32">
        <v>1.04</v>
      </c>
      <c r="BX137" s="32">
        <v>1.01</v>
      </c>
      <c r="BY137" s="32">
        <v>1.01</v>
      </c>
      <c r="BZ137" s="32">
        <v>1</v>
      </c>
      <c r="CA137" s="32">
        <v>1</v>
      </c>
      <c r="CB137" s="32">
        <v>1</v>
      </c>
      <c r="CC137" s="32">
        <v>0.99</v>
      </c>
      <c r="CD137" s="32">
        <v>0.98</v>
      </c>
      <c r="CE137" s="32">
        <v>0.97</v>
      </c>
      <c r="CF137" s="32">
        <v>0.97</v>
      </c>
      <c r="CG137" s="32">
        <v>0.97</v>
      </c>
      <c r="CH137" s="32">
        <v>0.96</v>
      </c>
      <c r="CI137" s="32">
        <v>0.96</v>
      </c>
      <c r="CJ137" s="32">
        <v>0.94</v>
      </c>
      <c r="CK137" s="32">
        <v>0.92</v>
      </c>
      <c r="CL137" s="32">
        <v>0.91</v>
      </c>
      <c r="CM137" s="32">
        <v>0.9</v>
      </c>
      <c r="CN137" s="32">
        <v>0.89</v>
      </c>
      <c r="CO137" s="32">
        <v>0.88</v>
      </c>
      <c r="CP137" s="32">
        <v>0.87</v>
      </c>
      <c r="CQ137" s="32">
        <v>0.86</v>
      </c>
      <c r="CR137" s="32">
        <v>0.86</v>
      </c>
      <c r="CS137" s="32">
        <v>0.85</v>
      </c>
      <c r="CT137" s="32">
        <v>0.85</v>
      </c>
      <c r="CU137" s="32">
        <v>0.87</v>
      </c>
      <c r="CV137" s="32">
        <v>0.89</v>
      </c>
      <c r="CW137" s="32">
        <v>0.91</v>
      </c>
      <c r="CX137" s="32">
        <v>0.93</v>
      </c>
      <c r="CY137" s="32">
        <v>0.95</v>
      </c>
      <c r="CZ137" s="32">
        <v>0.97</v>
      </c>
      <c r="DA137" s="32">
        <v>1</v>
      </c>
      <c r="DB137" s="32">
        <v>1.02</v>
      </c>
      <c r="DC137" s="32">
        <v>1.04</v>
      </c>
      <c r="DD137" s="32">
        <v>1.05</v>
      </c>
      <c r="DE137" s="32">
        <v>1.06</v>
      </c>
      <c r="DF137" s="32">
        <v>1.07</v>
      </c>
      <c r="DG137" s="32">
        <v>1.08</v>
      </c>
      <c r="DH137" s="32">
        <v>1.0900000000000001</v>
      </c>
      <c r="DI137" s="32">
        <v>1.1000000000000001</v>
      </c>
      <c r="DJ137" s="32">
        <v>1.1200000000000001</v>
      </c>
      <c r="DK137" s="32">
        <v>1.1200000000000001</v>
      </c>
      <c r="DL137" s="32">
        <v>1.1200000000000001</v>
      </c>
      <c r="DM137" s="32">
        <v>1.1100000000000001</v>
      </c>
      <c r="DN137" s="32">
        <v>1.1200000000000001</v>
      </c>
      <c r="DO137" s="32">
        <v>1.1299999999999999</v>
      </c>
      <c r="DP137" s="32">
        <v>1.1399999999999999</v>
      </c>
      <c r="DQ137" s="32">
        <v>1.1599999999999999</v>
      </c>
      <c r="DR137" s="32">
        <v>1.1599999999999999</v>
      </c>
      <c r="DS137" s="32">
        <v>1.1599999999999999</v>
      </c>
      <c r="DT137" s="32">
        <v>1.1599999999999999</v>
      </c>
    </row>
    <row r="138" spans="2:124">
      <c r="E138" s="32">
        <v>865</v>
      </c>
      <c r="F138" s="32">
        <v>852</v>
      </c>
      <c r="G138" s="32">
        <v>877</v>
      </c>
      <c r="H138" s="32">
        <v>863</v>
      </c>
      <c r="I138" s="32">
        <v>904</v>
      </c>
      <c r="J138" s="32">
        <v>891</v>
      </c>
      <c r="K138" s="32">
        <v>865</v>
      </c>
      <c r="L138" s="32">
        <v>877</v>
      </c>
      <c r="M138" s="32">
        <v>862</v>
      </c>
      <c r="N138" s="32">
        <v>853</v>
      </c>
      <c r="O138" s="32">
        <v>836</v>
      </c>
      <c r="P138" s="32">
        <v>846</v>
      </c>
      <c r="Q138" s="32">
        <v>803</v>
      </c>
      <c r="R138" s="32">
        <v>795</v>
      </c>
      <c r="S138" s="32">
        <v>784</v>
      </c>
      <c r="T138" s="32">
        <v>752</v>
      </c>
      <c r="U138" s="32">
        <v>719</v>
      </c>
      <c r="V138" s="32">
        <v>688</v>
      </c>
      <c r="W138" s="32">
        <v>669</v>
      </c>
      <c r="X138" s="32">
        <v>656</v>
      </c>
      <c r="Y138" s="32">
        <v>638</v>
      </c>
      <c r="Z138" s="32">
        <v>627</v>
      </c>
      <c r="AA138" s="32">
        <v>597</v>
      </c>
      <c r="AB138" s="32">
        <v>567</v>
      </c>
      <c r="AC138" s="32">
        <v>536</v>
      </c>
      <c r="AD138" s="32">
        <v>522</v>
      </c>
      <c r="AE138" s="32">
        <v>492</v>
      </c>
      <c r="AF138" s="32">
        <v>484</v>
      </c>
      <c r="AG138" s="32">
        <v>469</v>
      </c>
      <c r="AH138" s="32">
        <v>446</v>
      </c>
      <c r="AI138" s="32">
        <v>415</v>
      </c>
      <c r="AJ138" s="32">
        <v>399</v>
      </c>
      <c r="AK138" s="32">
        <v>383</v>
      </c>
      <c r="AL138" s="32">
        <v>363</v>
      </c>
      <c r="AM138" s="32">
        <v>354</v>
      </c>
      <c r="AN138" s="32">
        <v>342</v>
      </c>
      <c r="AO138" s="32">
        <v>312</v>
      </c>
      <c r="AP138" s="32">
        <v>283</v>
      </c>
      <c r="AQ138" s="32">
        <v>273</v>
      </c>
      <c r="AR138" s="32">
        <v>266</v>
      </c>
      <c r="AS138" s="32">
        <v>253</v>
      </c>
      <c r="AT138" s="32">
        <v>242</v>
      </c>
      <c r="AU138" s="32">
        <v>231</v>
      </c>
      <c r="AV138" s="32">
        <v>213</v>
      </c>
      <c r="AW138" s="32">
        <v>205</v>
      </c>
      <c r="AX138" s="32">
        <v>187</v>
      </c>
      <c r="AY138" s="32">
        <v>182</v>
      </c>
      <c r="AZ138" s="32">
        <v>170</v>
      </c>
      <c r="BA138" s="32">
        <v>170</v>
      </c>
      <c r="BB138" s="32">
        <v>165</v>
      </c>
      <c r="BC138" s="32">
        <v>159</v>
      </c>
      <c r="BD138" s="32">
        <v>155</v>
      </c>
      <c r="BE138" s="32">
        <v>154</v>
      </c>
      <c r="BF138" s="32">
        <v>155</v>
      </c>
      <c r="BG138" s="32">
        <v>148</v>
      </c>
      <c r="BH138" s="32">
        <v>142</v>
      </c>
      <c r="BI138" s="32">
        <v>136</v>
      </c>
      <c r="BJ138" s="32">
        <v>129</v>
      </c>
      <c r="BK138" s="32">
        <v>127</v>
      </c>
      <c r="BL138" s="32">
        <v>129</v>
      </c>
      <c r="BM138" s="32">
        <v>131</v>
      </c>
      <c r="BN138" s="32">
        <v>126</v>
      </c>
      <c r="BO138" s="32">
        <v>117</v>
      </c>
      <c r="BP138" s="32">
        <v>112</v>
      </c>
      <c r="BQ138" s="32">
        <v>113</v>
      </c>
      <c r="BR138" s="32">
        <v>116</v>
      </c>
      <c r="BS138" s="32">
        <v>122</v>
      </c>
      <c r="BT138" s="32">
        <v>128</v>
      </c>
      <c r="BU138" s="32">
        <v>119</v>
      </c>
      <c r="BV138" s="32">
        <v>113</v>
      </c>
      <c r="BW138" s="32">
        <v>119</v>
      </c>
      <c r="BX138" s="32">
        <v>118</v>
      </c>
      <c r="BY138" s="32">
        <v>116</v>
      </c>
      <c r="BZ138" s="32">
        <v>109</v>
      </c>
      <c r="CA138" s="32">
        <v>101</v>
      </c>
      <c r="CB138" s="32">
        <v>103</v>
      </c>
      <c r="CC138" s="32">
        <v>109</v>
      </c>
      <c r="CD138" s="32">
        <v>112</v>
      </c>
      <c r="CE138" s="32">
        <v>113</v>
      </c>
      <c r="CF138" s="32">
        <v>110</v>
      </c>
      <c r="CG138" s="32">
        <v>104</v>
      </c>
      <c r="CH138" s="32">
        <v>98</v>
      </c>
      <c r="CI138" s="32">
        <v>98</v>
      </c>
      <c r="CJ138" s="32">
        <v>98</v>
      </c>
      <c r="CK138" s="32">
        <v>91</v>
      </c>
      <c r="CL138" s="32">
        <v>86</v>
      </c>
      <c r="CM138" s="32">
        <v>88</v>
      </c>
      <c r="CN138" s="32">
        <v>89</v>
      </c>
      <c r="CO138" s="32">
        <v>89</v>
      </c>
      <c r="CP138" s="32">
        <v>84</v>
      </c>
      <c r="CQ138" s="32">
        <v>85</v>
      </c>
      <c r="CR138" s="32">
        <v>90</v>
      </c>
      <c r="CS138" s="32">
        <v>87</v>
      </c>
      <c r="CT138" s="32">
        <v>83</v>
      </c>
      <c r="CU138" s="32">
        <v>77</v>
      </c>
      <c r="CV138" s="32">
        <v>75</v>
      </c>
      <c r="CW138" s="32">
        <v>74</v>
      </c>
      <c r="CX138" s="32">
        <v>74</v>
      </c>
      <c r="CY138" s="32">
        <v>73</v>
      </c>
      <c r="CZ138" s="32">
        <v>71</v>
      </c>
      <c r="DA138" s="32">
        <v>71</v>
      </c>
      <c r="DB138" s="32">
        <v>70</v>
      </c>
      <c r="DC138" s="32">
        <v>72</v>
      </c>
      <c r="DD138" s="32">
        <v>71</v>
      </c>
      <c r="DE138" s="32">
        <v>76</v>
      </c>
      <c r="DF138" s="32">
        <v>72</v>
      </c>
      <c r="DG138" s="32">
        <v>66</v>
      </c>
      <c r="DH138" s="32">
        <v>56</v>
      </c>
      <c r="DI138" s="32">
        <v>58</v>
      </c>
      <c r="DJ138" s="32">
        <v>55</v>
      </c>
      <c r="DK138" s="32">
        <v>59</v>
      </c>
      <c r="DL138" s="32">
        <v>58</v>
      </c>
      <c r="DM138" s="32">
        <v>57</v>
      </c>
      <c r="DN138" s="32">
        <v>52</v>
      </c>
      <c r="DO138" s="32">
        <v>53</v>
      </c>
      <c r="DP138" s="32">
        <v>53</v>
      </c>
      <c r="DQ138" s="32">
        <v>52</v>
      </c>
      <c r="DR138" s="32">
        <v>49</v>
      </c>
      <c r="DS138" s="32">
        <v>54</v>
      </c>
      <c r="DT138" s="32">
        <v>52</v>
      </c>
    </row>
    <row r="139" spans="2:124">
      <c r="E139" s="32">
        <v>6869</v>
      </c>
      <c r="F139" s="32">
        <v>6775</v>
      </c>
      <c r="G139" s="32">
        <v>6684</v>
      </c>
      <c r="H139" s="32">
        <v>6496</v>
      </c>
      <c r="I139" s="32">
        <v>6412</v>
      </c>
      <c r="J139" s="32">
        <v>6158</v>
      </c>
      <c r="K139" s="32">
        <v>6248</v>
      </c>
      <c r="L139" s="32">
        <v>6344</v>
      </c>
      <c r="M139" s="32">
        <v>6070</v>
      </c>
      <c r="N139" s="32">
        <v>5829</v>
      </c>
      <c r="O139" s="32">
        <v>5570</v>
      </c>
      <c r="P139" s="32">
        <v>5230</v>
      </c>
      <c r="Q139" s="32">
        <v>4850</v>
      </c>
      <c r="R139" s="32">
        <v>4826</v>
      </c>
      <c r="S139" s="32">
        <v>4832</v>
      </c>
      <c r="T139" s="32">
        <v>4482</v>
      </c>
      <c r="U139" s="32">
        <v>4137</v>
      </c>
      <c r="V139" s="32">
        <v>3819</v>
      </c>
      <c r="W139" s="32">
        <v>3584</v>
      </c>
      <c r="X139" s="32">
        <v>3284</v>
      </c>
      <c r="Y139" s="32">
        <v>3316</v>
      </c>
      <c r="Z139" s="32">
        <v>3322</v>
      </c>
      <c r="AA139" s="32">
        <v>3012</v>
      </c>
      <c r="AB139" s="32">
        <v>2767</v>
      </c>
      <c r="AC139" s="32">
        <v>2613</v>
      </c>
      <c r="AD139" s="32">
        <v>2404</v>
      </c>
      <c r="AE139" s="32">
        <v>2180</v>
      </c>
      <c r="AF139" s="32">
        <v>2165</v>
      </c>
      <c r="AG139" s="32">
        <v>2167</v>
      </c>
      <c r="AH139" s="32">
        <v>1997</v>
      </c>
      <c r="AI139" s="32">
        <v>1827</v>
      </c>
      <c r="AJ139" s="32">
        <v>1708</v>
      </c>
      <c r="AK139" s="32">
        <v>1583</v>
      </c>
      <c r="AL139" s="32">
        <v>1416</v>
      </c>
      <c r="AM139" s="32">
        <v>1414</v>
      </c>
      <c r="AN139" s="32">
        <v>1403</v>
      </c>
      <c r="AO139" s="32">
        <v>1278</v>
      </c>
      <c r="AP139" s="32">
        <v>1201</v>
      </c>
      <c r="AQ139" s="32">
        <v>1102</v>
      </c>
      <c r="AR139" s="32">
        <v>1046</v>
      </c>
      <c r="AS139" s="32">
        <v>980</v>
      </c>
      <c r="AT139" s="32">
        <v>976</v>
      </c>
      <c r="AU139" s="32">
        <v>996</v>
      </c>
      <c r="AV139" s="32">
        <v>955</v>
      </c>
      <c r="AW139" s="32">
        <v>856</v>
      </c>
      <c r="AX139" s="32">
        <v>828</v>
      </c>
      <c r="AY139" s="32">
        <v>789</v>
      </c>
      <c r="AZ139" s="32">
        <v>744</v>
      </c>
      <c r="BA139" s="32">
        <v>765</v>
      </c>
      <c r="BB139" s="32">
        <v>771</v>
      </c>
      <c r="BC139" s="32">
        <v>743</v>
      </c>
      <c r="BD139" s="32">
        <v>712</v>
      </c>
      <c r="BE139" s="32">
        <v>695</v>
      </c>
      <c r="BF139" s="32">
        <v>669</v>
      </c>
      <c r="BG139" s="32">
        <v>618</v>
      </c>
      <c r="BH139" s="32">
        <v>633</v>
      </c>
      <c r="BI139" s="32">
        <v>623</v>
      </c>
      <c r="BJ139" s="32">
        <v>584</v>
      </c>
      <c r="BK139" s="32">
        <v>558</v>
      </c>
      <c r="BL139" s="32">
        <v>538</v>
      </c>
      <c r="BM139" s="32">
        <v>513</v>
      </c>
      <c r="BN139" s="32">
        <v>512</v>
      </c>
      <c r="BO139" s="32">
        <v>517</v>
      </c>
      <c r="BP139" s="32">
        <v>536</v>
      </c>
      <c r="BQ139" s="32">
        <v>504</v>
      </c>
      <c r="BR139" s="32">
        <v>488</v>
      </c>
      <c r="BS139" s="32">
        <v>495</v>
      </c>
      <c r="BT139" s="32">
        <v>486</v>
      </c>
      <c r="BU139" s="32">
        <v>466</v>
      </c>
      <c r="BV139" s="32">
        <v>466</v>
      </c>
      <c r="BW139" s="32">
        <v>479</v>
      </c>
      <c r="BX139" s="32">
        <v>459</v>
      </c>
      <c r="BY139" s="32">
        <v>447</v>
      </c>
      <c r="BZ139" s="32">
        <v>423</v>
      </c>
      <c r="CA139" s="32">
        <v>429</v>
      </c>
      <c r="CB139" s="32">
        <v>415</v>
      </c>
      <c r="CC139" s="32">
        <v>428</v>
      </c>
      <c r="CD139" s="32">
        <v>454</v>
      </c>
      <c r="CE139" s="32">
        <v>429</v>
      </c>
      <c r="CF139" s="32">
        <v>397</v>
      </c>
      <c r="CG139" s="32">
        <v>395</v>
      </c>
      <c r="CH139" s="32">
        <v>384</v>
      </c>
      <c r="CI139" s="32">
        <v>342</v>
      </c>
      <c r="CJ139" s="32">
        <v>348</v>
      </c>
      <c r="CK139" s="32">
        <v>365</v>
      </c>
      <c r="CL139" s="32">
        <v>346</v>
      </c>
      <c r="CM139" s="32">
        <v>332</v>
      </c>
      <c r="CN139" s="32">
        <v>324</v>
      </c>
      <c r="CO139" s="32">
        <v>324</v>
      </c>
      <c r="CP139" s="32">
        <v>302</v>
      </c>
      <c r="CQ139" s="32">
        <v>311</v>
      </c>
      <c r="CR139" s="32">
        <v>322</v>
      </c>
      <c r="CS139" s="32">
        <v>296</v>
      </c>
      <c r="CT139" s="32">
        <v>297</v>
      </c>
      <c r="CU139" s="32">
        <v>283</v>
      </c>
      <c r="CV139" s="32">
        <v>280</v>
      </c>
      <c r="CW139" s="32">
        <v>260</v>
      </c>
      <c r="CX139" s="32">
        <v>268</v>
      </c>
      <c r="CY139" s="32">
        <v>277</v>
      </c>
      <c r="CZ139" s="32">
        <v>257</v>
      </c>
      <c r="DA139" s="32">
        <v>248</v>
      </c>
      <c r="DB139" s="32">
        <v>244</v>
      </c>
      <c r="DC139" s="32">
        <v>236</v>
      </c>
      <c r="DD139" s="32">
        <v>223</v>
      </c>
      <c r="DE139" s="32">
        <v>245</v>
      </c>
      <c r="DF139" s="32">
        <v>246</v>
      </c>
      <c r="DG139" s="32">
        <v>233</v>
      </c>
      <c r="DH139" s="32">
        <v>211</v>
      </c>
      <c r="DI139" s="32">
        <v>208</v>
      </c>
      <c r="DJ139" s="32">
        <v>207</v>
      </c>
      <c r="DK139" s="32">
        <v>210</v>
      </c>
      <c r="DL139" s="32">
        <v>220</v>
      </c>
      <c r="DM139" s="32">
        <v>239</v>
      </c>
      <c r="DN139" s="32">
        <v>237</v>
      </c>
      <c r="DO139" s="32">
        <v>233</v>
      </c>
      <c r="DP139" s="32">
        <v>233</v>
      </c>
      <c r="DQ139" s="32">
        <v>246</v>
      </c>
      <c r="DR139" s="32">
        <v>244</v>
      </c>
      <c r="DS139" s="32">
        <v>271</v>
      </c>
      <c r="DT139" s="32">
        <v>283</v>
      </c>
    </row>
    <row r="140" spans="2:124">
      <c r="E140" s="32">
        <v>47369</v>
      </c>
      <c r="F140" s="32">
        <v>57995</v>
      </c>
      <c r="G140" s="32">
        <v>53401</v>
      </c>
      <c r="H140" s="32">
        <v>50384</v>
      </c>
      <c r="I140" s="32">
        <v>49625</v>
      </c>
      <c r="J140" s="32">
        <v>30356</v>
      </c>
      <c r="K140" s="32">
        <v>15085</v>
      </c>
      <c r="L140" s="32">
        <v>34923</v>
      </c>
      <c r="M140" s="32">
        <v>38694</v>
      </c>
      <c r="N140" s="32">
        <v>37621</v>
      </c>
      <c r="O140" s="32">
        <v>37347</v>
      </c>
      <c r="P140" s="32">
        <v>38752</v>
      </c>
      <c r="Q140" s="32">
        <v>21483</v>
      </c>
      <c r="R140" s="32">
        <v>12100</v>
      </c>
      <c r="S140" s="32">
        <v>33135</v>
      </c>
      <c r="T140" s="32">
        <v>32083</v>
      </c>
      <c r="U140" s="32">
        <v>34354</v>
      </c>
      <c r="V140" s="32">
        <v>33985</v>
      </c>
      <c r="W140" s="32">
        <v>33887</v>
      </c>
      <c r="X140" s="32">
        <v>21848</v>
      </c>
      <c r="Y140" s="32">
        <v>10854</v>
      </c>
      <c r="Z140" s="32">
        <v>31296</v>
      </c>
      <c r="AA140" s="32">
        <v>31577</v>
      </c>
      <c r="AB140" s="32">
        <v>31235</v>
      </c>
      <c r="AC140" s="32">
        <v>30974</v>
      </c>
      <c r="AD140" s="32">
        <v>32910</v>
      </c>
      <c r="AE140" s="32">
        <v>20380</v>
      </c>
      <c r="AF140" s="32">
        <v>11439</v>
      </c>
      <c r="AG140" s="32">
        <v>26639</v>
      </c>
      <c r="AH140" s="32">
        <v>29735</v>
      </c>
      <c r="AI140" s="32">
        <v>29388</v>
      </c>
      <c r="AJ140" s="32">
        <v>28081</v>
      </c>
      <c r="AK140" s="32">
        <v>28636</v>
      </c>
      <c r="AL140" s="32">
        <v>19891</v>
      </c>
      <c r="AM140" s="32">
        <v>9396</v>
      </c>
      <c r="AN140" s="32">
        <v>25303</v>
      </c>
      <c r="AO140" s="32">
        <v>24513</v>
      </c>
      <c r="AP140" s="32">
        <v>26627</v>
      </c>
      <c r="AQ140" s="32">
        <v>24313</v>
      </c>
      <c r="AR140" s="32">
        <v>27281</v>
      </c>
      <c r="AS140" s="32">
        <v>21016</v>
      </c>
      <c r="AT140" s="32">
        <v>9709</v>
      </c>
      <c r="AU140" s="32">
        <v>26427</v>
      </c>
      <c r="AV140" s="32">
        <v>41394</v>
      </c>
      <c r="AW140" s="32">
        <v>48102</v>
      </c>
      <c r="AX140" s="32">
        <v>52896</v>
      </c>
      <c r="AY140" s="32">
        <v>53485</v>
      </c>
      <c r="AZ140" s="32">
        <v>33514</v>
      </c>
      <c r="BA140" s="32">
        <v>10254</v>
      </c>
      <c r="BB140" s="32">
        <v>30283</v>
      </c>
      <c r="BC140" s="32">
        <v>31200</v>
      </c>
      <c r="BD140" s="32">
        <v>29256</v>
      </c>
      <c r="BE140" s="32">
        <v>27478</v>
      </c>
      <c r="BF140" s="32">
        <v>30147</v>
      </c>
      <c r="BG140" s="32">
        <v>22158</v>
      </c>
      <c r="BH140" s="32">
        <v>10845</v>
      </c>
      <c r="BI140" s="32">
        <v>30192</v>
      </c>
      <c r="BJ140" s="32">
        <v>29244</v>
      </c>
      <c r="BK140" s="32">
        <v>28880</v>
      </c>
      <c r="BL140" s="32">
        <v>28742</v>
      </c>
      <c r="BM140" s="32">
        <v>14921</v>
      </c>
      <c r="BN140" s="32">
        <v>23135</v>
      </c>
      <c r="BO140" s="32">
        <v>12404</v>
      </c>
      <c r="BP140" s="32">
        <v>59246</v>
      </c>
      <c r="BQ140" s="32">
        <v>63682</v>
      </c>
      <c r="BR140" s="32">
        <v>63338</v>
      </c>
      <c r="BS140" s="32">
        <v>58289</v>
      </c>
      <c r="BT140" s="32">
        <v>60156</v>
      </c>
      <c r="BU140" s="32">
        <v>31800</v>
      </c>
      <c r="BV140" s="32">
        <v>12842</v>
      </c>
      <c r="BW140" s="32">
        <v>38795</v>
      </c>
      <c r="BX140" s="32">
        <v>41484</v>
      </c>
      <c r="BY140" s="32">
        <v>41634</v>
      </c>
      <c r="BZ140" s="32">
        <v>42082</v>
      </c>
      <c r="CA140" s="32">
        <v>47052</v>
      </c>
      <c r="CB140" s="32">
        <v>31461</v>
      </c>
      <c r="CC140" s="32">
        <v>14429</v>
      </c>
      <c r="CD140" s="32">
        <v>78716</v>
      </c>
      <c r="CE140" s="32">
        <v>96934</v>
      </c>
      <c r="CF140" s="32">
        <v>98744</v>
      </c>
      <c r="CG140" s="32">
        <v>98063</v>
      </c>
      <c r="CH140" s="32">
        <v>88546</v>
      </c>
      <c r="CI140" s="32">
        <v>41386</v>
      </c>
      <c r="CJ140" s="32">
        <v>14485</v>
      </c>
      <c r="CK140" s="32">
        <v>53464</v>
      </c>
      <c r="CL140" s="32">
        <v>57452</v>
      </c>
      <c r="CM140" s="32">
        <v>53345</v>
      </c>
      <c r="CN140" s="32">
        <v>54101</v>
      </c>
      <c r="CO140" s="32">
        <v>64169</v>
      </c>
      <c r="CP140" s="32">
        <v>31454</v>
      </c>
      <c r="CQ140" s="32">
        <v>17140</v>
      </c>
      <c r="CR140" s="32">
        <v>52011</v>
      </c>
      <c r="CS140" s="32">
        <v>52560</v>
      </c>
      <c r="CT140" s="32">
        <v>49255</v>
      </c>
      <c r="CU140" s="32">
        <v>48583</v>
      </c>
      <c r="CV140" s="32">
        <v>47849</v>
      </c>
      <c r="CW140" s="32">
        <v>31498</v>
      </c>
      <c r="CX140" s="32">
        <v>15940</v>
      </c>
      <c r="CY140" s="32">
        <v>39435</v>
      </c>
      <c r="CZ140" s="32">
        <v>41873</v>
      </c>
      <c r="DA140" s="32">
        <v>43813</v>
      </c>
      <c r="DB140" s="32">
        <v>40249</v>
      </c>
      <c r="DC140" s="32">
        <v>46370</v>
      </c>
      <c r="DD140" s="32">
        <v>30962</v>
      </c>
      <c r="DE140" s="32">
        <v>15707</v>
      </c>
      <c r="DF140" s="32">
        <v>43293</v>
      </c>
      <c r="DG140" s="32">
        <v>41470</v>
      </c>
      <c r="DH140" s="32">
        <v>44399</v>
      </c>
      <c r="DI140" s="32">
        <v>44577</v>
      </c>
      <c r="DJ140" s="32">
        <v>45378</v>
      </c>
      <c r="DK140" s="32">
        <v>33560</v>
      </c>
      <c r="DL140" s="32">
        <v>16152</v>
      </c>
      <c r="DM140" s="32">
        <v>42680</v>
      </c>
      <c r="DN140" s="32">
        <v>43590</v>
      </c>
      <c r="DO140" s="32">
        <v>50409</v>
      </c>
      <c r="DP140" s="32">
        <v>53947</v>
      </c>
      <c r="DQ140" s="32">
        <v>59275</v>
      </c>
      <c r="DR140" s="32">
        <v>43319</v>
      </c>
      <c r="DS140" s="32">
        <v>20369</v>
      </c>
      <c r="DT140" s="32">
        <v>49817</v>
      </c>
    </row>
    <row r="141" spans="2:124">
      <c r="E141" s="32">
        <v>0.2036</v>
      </c>
      <c r="F141" s="32">
        <v>0.19889999999999999</v>
      </c>
      <c r="G141" s="32">
        <v>0.19259999999999999</v>
      </c>
      <c r="H141" s="32">
        <v>0.17910000000000001</v>
      </c>
      <c r="I141" s="32">
        <v>0.17030000000000001</v>
      </c>
      <c r="J141" s="32">
        <v>0.16170000000000001</v>
      </c>
      <c r="K141" s="32">
        <v>0.14760000000000001</v>
      </c>
      <c r="L141" s="32">
        <v>0.1426</v>
      </c>
      <c r="M141" s="32">
        <v>0.14180000000000001</v>
      </c>
      <c r="N141" s="32">
        <v>0.13220000000000001</v>
      </c>
      <c r="O141" s="32">
        <v>0.1211</v>
      </c>
      <c r="P141" s="32">
        <v>0.10929999999999999</v>
      </c>
      <c r="Q141" s="32">
        <v>9.9000000000000005E-2</v>
      </c>
      <c r="R141" s="32">
        <v>9.2100000000000001E-2</v>
      </c>
      <c r="S141" s="32">
        <v>8.7300000000000003E-2</v>
      </c>
      <c r="T141" s="32">
        <v>8.5000000000000006E-2</v>
      </c>
      <c r="U141" s="32">
        <v>7.6399999999999996E-2</v>
      </c>
      <c r="V141" s="32">
        <v>7.0199999999999999E-2</v>
      </c>
      <c r="W141" s="32">
        <v>6.7400000000000002E-2</v>
      </c>
      <c r="X141" s="32">
        <v>6.0900000000000003E-2</v>
      </c>
      <c r="Y141" s="32">
        <v>5.8799999999999998E-2</v>
      </c>
      <c r="Z141" s="32">
        <v>5.5500000000000001E-2</v>
      </c>
      <c r="AA141" s="32">
        <v>5.33E-2</v>
      </c>
      <c r="AB141" s="32">
        <v>4.9799999999999997E-2</v>
      </c>
      <c r="AC141" s="32">
        <v>4.65E-2</v>
      </c>
      <c r="AD141" s="32">
        <v>4.2000000000000003E-2</v>
      </c>
      <c r="AE141" s="32">
        <v>3.9699999999999999E-2</v>
      </c>
      <c r="AF141" s="32">
        <v>3.7100000000000001E-2</v>
      </c>
      <c r="AG141" s="32">
        <v>3.7199999999999997E-2</v>
      </c>
      <c r="AH141" s="32">
        <v>3.5700000000000003E-2</v>
      </c>
      <c r="AI141" s="32">
        <v>3.3300000000000003E-2</v>
      </c>
      <c r="AJ141" s="32">
        <v>3.2000000000000001E-2</v>
      </c>
      <c r="AK141" s="32">
        <v>3.2300000000000002E-2</v>
      </c>
      <c r="AL141" s="32">
        <v>3.2000000000000001E-2</v>
      </c>
      <c r="AM141" s="32">
        <v>3.2199999999999999E-2</v>
      </c>
      <c r="AN141" s="32">
        <v>3.2300000000000002E-2</v>
      </c>
      <c r="AO141" s="32">
        <v>3.4299999999999997E-2</v>
      </c>
      <c r="AP141" s="32">
        <v>3.2800000000000003E-2</v>
      </c>
      <c r="AQ141" s="32">
        <v>3.2300000000000002E-2</v>
      </c>
      <c r="AR141" s="32">
        <v>3.0200000000000001E-2</v>
      </c>
      <c r="AS141" s="32">
        <v>2.7199999999999998E-2</v>
      </c>
      <c r="AT141" s="32">
        <v>2.6200000000000001E-2</v>
      </c>
      <c r="AU141" s="32">
        <v>2.5399999999999999E-2</v>
      </c>
      <c r="AV141" s="32">
        <v>2.0299999999999999E-2</v>
      </c>
      <c r="AW141" s="32">
        <v>1.83E-2</v>
      </c>
      <c r="AX141" s="32">
        <v>1.5299999999999999E-2</v>
      </c>
      <c r="AY141" s="32">
        <v>1.37E-2</v>
      </c>
      <c r="AZ141" s="32">
        <v>1.2699999999999999E-2</v>
      </c>
      <c r="BA141" s="32">
        <v>1.23E-2</v>
      </c>
      <c r="BB141" s="32">
        <v>1.21E-2</v>
      </c>
      <c r="BC141" s="32">
        <v>1.2800000000000001E-2</v>
      </c>
      <c r="BD141" s="32">
        <v>1.34E-2</v>
      </c>
      <c r="BE141" s="32">
        <v>1.46E-2</v>
      </c>
      <c r="BF141" s="32">
        <v>1.6E-2</v>
      </c>
      <c r="BG141" s="32">
        <v>1.6400000000000001E-2</v>
      </c>
      <c r="BH141" s="32">
        <v>1.5900000000000001E-2</v>
      </c>
      <c r="BI141" s="32">
        <v>1.6199999999999999E-2</v>
      </c>
      <c r="BJ141" s="32">
        <v>1.61E-2</v>
      </c>
      <c r="BK141" s="32">
        <v>1.6400000000000001E-2</v>
      </c>
      <c r="BL141" s="32">
        <v>1.72E-2</v>
      </c>
      <c r="BM141" s="32">
        <v>1.9199999999999998E-2</v>
      </c>
      <c r="BN141" s="32">
        <v>1.8700000000000001E-2</v>
      </c>
      <c r="BO141" s="32">
        <v>1.7500000000000002E-2</v>
      </c>
      <c r="BP141" s="32">
        <v>1.41E-2</v>
      </c>
      <c r="BQ141" s="32">
        <v>1.41E-2</v>
      </c>
      <c r="BR141" s="32">
        <v>1.2500000000000001E-2</v>
      </c>
      <c r="BS141" s="32">
        <v>1.1299999999999999E-2</v>
      </c>
      <c r="BT141" s="32">
        <v>1.0200000000000001E-2</v>
      </c>
      <c r="BU141" s="32">
        <v>1.09E-2</v>
      </c>
      <c r="BV141" s="32">
        <v>1.1900000000000001E-2</v>
      </c>
      <c r="BW141" s="32">
        <v>1.2999999999999999E-2</v>
      </c>
      <c r="BX141" s="32">
        <v>1.24E-2</v>
      </c>
      <c r="BY141" s="32">
        <v>1.34E-2</v>
      </c>
      <c r="BZ141" s="32">
        <v>1.3899999999999999E-2</v>
      </c>
      <c r="CA141" s="32">
        <v>1.4E-2</v>
      </c>
      <c r="CB141" s="32">
        <v>1.4200000000000001E-2</v>
      </c>
      <c r="CC141" s="32">
        <v>1.3599999999999999E-2</v>
      </c>
      <c r="CD141" s="32">
        <v>1.1599999999999999E-2</v>
      </c>
      <c r="CE141" s="32">
        <v>9.9000000000000008E-3</v>
      </c>
      <c r="CF141" s="32">
        <v>8.3000000000000001E-3</v>
      </c>
      <c r="CG141" s="32">
        <v>7.6E-3</v>
      </c>
      <c r="CH141" s="32">
        <v>6.8999999999999999E-3</v>
      </c>
      <c r="CI141" s="32">
        <v>6.6E-3</v>
      </c>
      <c r="CJ141" s="32">
        <v>6.7000000000000002E-3</v>
      </c>
      <c r="CK141" s="32">
        <v>7.0000000000000001E-3</v>
      </c>
      <c r="CL141" s="32">
        <v>7.4000000000000003E-3</v>
      </c>
      <c r="CM141" s="32">
        <v>8.0999999999999996E-3</v>
      </c>
      <c r="CN141" s="32">
        <v>8.6999999999999994E-3</v>
      </c>
      <c r="CO141" s="32">
        <v>9.1000000000000004E-3</v>
      </c>
      <c r="CP141" s="32">
        <v>9.1000000000000004E-3</v>
      </c>
      <c r="CQ141" s="32">
        <v>8.6E-3</v>
      </c>
      <c r="CR141" s="32">
        <v>8.6E-3</v>
      </c>
      <c r="CS141" s="32">
        <v>8.3999999999999995E-3</v>
      </c>
      <c r="CT141" s="32">
        <v>7.9000000000000008E-3</v>
      </c>
      <c r="CU141" s="32">
        <v>7.7000000000000002E-3</v>
      </c>
      <c r="CV141" s="32">
        <v>7.9000000000000008E-3</v>
      </c>
      <c r="CW141" s="32">
        <v>7.7000000000000002E-3</v>
      </c>
      <c r="CX141" s="32">
        <v>7.7000000000000002E-3</v>
      </c>
      <c r="CY141" s="32">
        <v>8.0000000000000002E-3</v>
      </c>
      <c r="CZ141" s="32">
        <v>8.3999999999999995E-3</v>
      </c>
      <c r="DA141" s="32">
        <v>8.8999999999999999E-3</v>
      </c>
      <c r="DB141" s="32">
        <v>9.4000000000000004E-3</v>
      </c>
      <c r="DC141" s="32">
        <v>9.7999999999999997E-3</v>
      </c>
      <c r="DD141" s="32">
        <v>0.01</v>
      </c>
      <c r="DE141" s="32">
        <v>1.01E-2</v>
      </c>
      <c r="DF141" s="32">
        <v>1.01E-2</v>
      </c>
      <c r="DG141" s="32">
        <v>1.0500000000000001E-2</v>
      </c>
      <c r="DH141" s="32">
        <v>1.06E-2</v>
      </c>
      <c r="DI141" s="32">
        <v>1.0500000000000001E-2</v>
      </c>
      <c r="DJ141" s="32">
        <v>1.09E-2</v>
      </c>
      <c r="DK141" s="32">
        <v>1.0999999999999999E-2</v>
      </c>
      <c r="DL141" s="32">
        <v>1.1299999999999999E-2</v>
      </c>
      <c r="DM141" s="32">
        <v>1.15E-2</v>
      </c>
      <c r="DN141" s="32">
        <v>1.14E-2</v>
      </c>
      <c r="DO141" s="32">
        <v>1.14E-2</v>
      </c>
      <c r="DP141" s="32">
        <v>1.15E-2</v>
      </c>
      <c r="DQ141" s="32">
        <v>1.11E-2</v>
      </c>
      <c r="DR141" s="32">
        <v>1.0999999999999999E-2</v>
      </c>
      <c r="DS141" s="32">
        <v>1.0999999999999999E-2</v>
      </c>
      <c r="DT141" s="32">
        <v>1.1299999999999999E-2</v>
      </c>
    </row>
    <row r="142" spans="2:124">
      <c r="E142" s="32">
        <v>80488</v>
      </c>
      <c r="F142" s="32">
        <v>82431</v>
      </c>
      <c r="G142" s="32">
        <v>87588</v>
      </c>
      <c r="H142" s="32">
        <v>96711</v>
      </c>
      <c r="I142" s="32">
        <v>106652</v>
      </c>
      <c r="J142" s="32">
        <v>115522</v>
      </c>
      <c r="K142" s="32">
        <v>116262</v>
      </c>
      <c r="L142" s="32">
        <v>118172</v>
      </c>
      <c r="M142" s="32">
        <v>119614</v>
      </c>
      <c r="N142" s="32">
        <v>130118</v>
      </c>
      <c r="O142" s="32">
        <v>146637</v>
      </c>
      <c r="P142" s="32">
        <v>171163</v>
      </c>
      <c r="Q142" s="32">
        <v>198253</v>
      </c>
      <c r="R142" s="32">
        <v>208089</v>
      </c>
      <c r="S142" s="32">
        <v>218125</v>
      </c>
      <c r="T142" s="32">
        <v>223711</v>
      </c>
      <c r="U142" s="32">
        <v>229743</v>
      </c>
      <c r="V142" s="32">
        <v>237696</v>
      </c>
      <c r="W142" s="32">
        <v>250400</v>
      </c>
      <c r="X142" s="32">
        <v>263354</v>
      </c>
      <c r="Y142" s="32">
        <v>266858</v>
      </c>
      <c r="Z142" s="32">
        <v>269203</v>
      </c>
      <c r="AA142" s="32">
        <v>270927</v>
      </c>
      <c r="AB142" s="32">
        <v>273148</v>
      </c>
      <c r="AC142" s="32">
        <v>276637</v>
      </c>
      <c r="AD142" s="32">
        <v>279729</v>
      </c>
      <c r="AE142" s="32">
        <v>285185</v>
      </c>
      <c r="AF142" s="32">
        <v>286470</v>
      </c>
      <c r="AG142" s="32">
        <v>290637</v>
      </c>
      <c r="AH142" s="32">
        <v>291987</v>
      </c>
      <c r="AI142" s="32">
        <v>293652</v>
      </c>
      <c r="AJ142" s="32">
        <v>298685</v>
      </c>
      <c r="AK142" s="32">
        <v>304494</v>
      </c>
      <c r="AL142" s="32">
        <v>313101</v>
      </c>
      <c r="AM142" s="32">
        <v>317254</v>
      </c>
      <c r="AN142" s="32">
        <v>324862</v>
      </c>
      <c r="AO142" s="32">
        <v>327040</v>
      </c>
      <c r="AP142" s="32">
        <v>328946</v>
      </c>
      <c r="AQ142" s="32">
        <v>337944</v>
      </c>
      <c r="AR142" s="32">
        <v>352247</v>
      </c>
      <c r="AS142" s="32">
        <v>365719</v>
      </c>
      <c r="AT142" s="32">
        <v>371084</v>
      </c>
      <c r="AU142" s="32">
        <v>377464</v>
      </c>
      <c r="AV142" s="32">
        <v>380479</v>
      </c>
      <c r="AW142" s="32">
        <v>386426</v>
      </c>
      <c r="AX142" s="32">
        <v>408323</v>
      </c>
      <c r="AY142" s="32">
        <v>441676</v>
      </c>
      <c r="AZ142" s="32">
        <v>469651</v>
      </c>
      <c r="BA142" s="32">
        <v>482561</v>
      </c>
      <c r="BB142" s="32">
        <v>488236</v>
      </c>
      <c r="BC142" s="32">
        <v>495868</v>
      </c>
      <c r="BD142" s="32">
        <v>497940</v>
      </c>
      <c r="BE142" s="32">
        <v>501547</v>
      </c>
      <c r="BF142" s="32">
        <v>506051</v>
      </c>
      <c r="BG142" s="32">
        <v>508507</v>
      </c>
      <c r="BH142" s="32">
        <v>510025</v>
      </c>
      <c r="BI142" s="32">
        <v>511095</v>
      </c>
      <c r="BJ142" s="32">
        <v>513723</v>
      </c>
      <c r="BK142" s="32">
        <v>517319</v>
      </c>
      <c r="BL142" s="32">
        <v>527026</v>
      </c>
      <c r="BM142" s="32">
        <v>569074</v>
      </c>
      <c r="BN142" s="32">
        <v>585830</v>
      </c>
      <c r="BO142" s="32">
        <v>592953</v>
      </c>
      <c r="BP142" s="32">
        <v>596680</v>
      </c>
      <c r="BQ142" s="32">
        <v>602600</v>
      </c>
      <c r="BR142" s="32">
        <v>605682</v>
      </c>
      <c r="BS142" s="32">
        <v>616121</v>
      </c>
      <c r="BT142" s="32">
        <v>631127</v>
      </c>
      <c r="BU142" s="32">
        <v>643712</v>
      </c>
      <c r="BV142" s="32">
        <v>645818</v>
      </c>
      <c r="BW142" s="32">
        <v>651251</v>
      </c>
      <c r="BX142" s="32">
        <v>653413</v>
      </c>
      <c r="BY142" s="32">
        <v>655193</v>
      </c>
      <c r="BZ142" s="32">
        <v>666086</v>
      </c>
      <c r="CA142" s="32">
        <v>676217</v>
      </c>
      <c r="CB142" s="32">
        <v>696172</v>
      </c>
      <c r="CC142" s="32">
        <v>701102</v>
      </c>
      <c r="CD142" s="32">
        <v>706842</v>
      </c>
      <c r="CE142" s="32">
        <v>718009</v>
      </c>
      <c r="CF142" s="32">
        <v>726985</v>
      </c>
      <c r="CG142" s="32">
        <v>750872</v>
      </c>
      <c r="CH142" s="32">
        <v>790203</v>
      </c>
      <c r="CI142" s="32">
        <v>828138</v>
      </c>
      <c r="CJ142" s="32">
        <v>840420</v>
      </c>
      <c r="CK142" s="32">
        <v>847664</v>
      </c>
      <c r="CL142" s="32">
        <v>856281</v>
      </c>
      <c r="CM142" s="32">
        <v>866481</v>
      </c>
      <c r="CN142" s="32">
        <v>885339</v>
      </c>
      <c r="CO142" s="32">
        <v>903570</v>
      </c>
      <c r="CP142" s="32">
        <v>920598</v>
      </c>
      <c r="CQ142" s="32">
        <v>930042</v>
      </c>
      <c r="CR142" s="32">
        <v>939105</v>
      </c>
      <c r="CS142" s="32">
        <v>952721</v>
      </c>
      <c r="CT142" s="32">
        <v>969630</v>
      </c>
      <c r="CU142" s="32">
        <v>1012002</v>
      </c>
      <c r="CV142" s="32">
        <v>1063299</v>
      </c>
      <c r="CW142" s="32">
        <v>1120117</v>
      </c>
      <c r="CX142" s="32">
        <v>1134005</v>
      </c>
      <c r="CY142" s="32">
        <v>1160784</v>
      </c>
      <c r="CZ142" s="32">
        <v>1180469</v>
      </c>
      <c r="DA142" s="32">
        <v>1196536</v>
      </c>
      <c r="DB142" s="32">
        <v>1211653</v>
      </c>
      <c r="DC142" s="32">
        <v>1231250</v>
      </c>
      <c r="DD142" s="32">
        <v>1287442</v>
      </c>
      <c r="DE142" s="32">
        <v>1411270</v>
      </c>
      <c r="DF142" s="32">
        <v>1469159</v>
      </c>
      <c r="DG142" s="32">
        <v>1489854</v>
      </c>
      <c r="DH142" s="32">
        <v>1513415</v>
      </c>
      <c r="DI142" s="32">
        <v>1539964</v>
      </c>
      <c r="DJ142" s="32">
        <v>1568208</v>
      </c>
      <c r="DK142" s="32">
        <v>1604322</v>
      </c>
      <c r="DL142" s="32">
        <v>1638859</v>
      </c>
      <c r="DM142" s="32">
        <v>1701479</v>
      </c>
      <c r="DN142" s="32">
        <v>1725903</v>
      </c>
      <c r="DO142" s="32">
        <v>1745225</v>
      </c>
      <c r="DP142" s="32">
        <v>1788676</v>
      </c>
      <c r="DQ142" s="32">
        <v>1845836</v>
      </c>
      <c r="DR142" s="32">
        <v>1910212</v>
      </c>
      <c r="DS142" s="32">
        <v>1949349</v>
      </c>
      <c r="DT142" s="32">
        <v>2054154</v>
      </c>
    </row>
    <row r="146" spans="1:123">
      <c r="A146" t="s">
        <v>56</v>
      </c>
      <c r="M146" s="14"/>
      <c r="N146" s="14"/>
      <c r="O146" s="14"/>
      <c r="P146" s="14"/>
      <c r="Q146" s="14"/>
      <c r="R146" s="14"/>
      <c r="S146" s="14"/>
      <c r="T146" s="14"/>
    </row>
    <row r="147" spans="1:123">
      <c r="K147" t="s">
        <v>58</v>
      </c>
      <c r="M147" s="14"/>
      <c r="N147" s="14"/>
      <c r="O147" s="14"/>
      <c r="P147" s="14"/>
      <c r="Q147" s="14"/>
      <c r="R147" s="14"/>
      <c r="S147" s="14"/>
      <c r="T147" s="14"/>
    </row>
    <row r="148" spans="1:123">
      <c r="D148" s="14"/>
      <c r="E148" s="14"/>
      <c r="F148" s="14"/>
      <c r="G148" s="14"/>
      <c r="H148" s="14"/>
      <c r="I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</row>
    <row r="149" spans="1:123">
      <c r="C149" s="32" cm="1">
        <f t="array" ref="C149:I155">MMULT(E136:DT142,C11:I130)</f>
        <v>423547897</v>
      </c>
      <c r="D149" s="33">
        <v>90806.080000000016</v>
      </c>
      <c r="E149" s="33">
        <v>75527663</v>
      </c>
      <c r="F149" s="33">
        <v>500585311</v>
      </c>
      <c r="G149" s="33">
        <v>5016683024</v>
      </c>
      <c r="H149" s="33">
        <v>12514.191900000014</v>
      </c>
      <c r="I149" s="33">
        <v>47336476826</v>
      </c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</row>
    <row r="150" spans="1:123">
      <c r="C150" s="32">
        <v>90806.080000000016</v>
      </c>
      <c r="D150" s="33">
        <v>88.893900000000031</v>
      </c>
      <c r="E150" s="33">
        <v>22146.890000000007</v>
      </c>
      <c r="F150" s="33">
        <v>117452.48000000003</v>
      </c>
      <c r="G150" s="33">
        <v>3909655.5200000005</v>
      </c>
      <c r="H150" s="33">
        <v>2.8748780000000012</v>
      </c>
      <c r="I150" s="33">
        <v>78657825.980000004</v>
      </c>
      <c r="M150" s="36" cm="1">
        <f t="array" ref="M150:S156">MINVERSE(C149:I155)</f>
        <v>3.6717024595407581E-8</v>
      </c>
      <c r="N150" s="36">
        <v>1.499863467769705E-5</v>
      </c>
      <c r="O150" s="36">
        <v>-4.593754382931327E-8</v>
      </c>
      <c r="P150" s="36">
        <v>3.8364759359788606E-8</v>
      </c>
      <c r="Q150" s="36">
        <v>-2.5997595021526653E-10</v>
      </c>
      <c r="R150" s="36">
        <v>-2.4153914265988346E-3</v>
      </c>
      <c r="S150" s="36">
        <v>-2.4880743946123393E-12</v>
      </c>
      <c r="T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</row>
    <row r="151" spans="1:123">
      <c r="C151" s="32">
        <v>75527663</v>
      </c>
      <c r="D151" s="33">
        <v>22146.890000000007</v>
      </c>
      <c r="E151" s="33">
        <v>18548310</v>
      </c>
      <c r="F151" s="33">
        <v>113478976</v>
      </c>
      <c r="G151" s="33">
        <v>1149940618</v>
      </c>
      <c r="H151" s="33">
        <v>2599.5675999999999</v>
      </c>
      <c r="I151" s="33">
        <v>11624964557</v>
      </c>
      <c r="M151" s="36">
        <v>1.4998634677696121E-5</v>
      </c>
      <c r="N151" s="36">
        <v>0.25097148014275916</v>
      </c>
      <c r="O151" s="36">
        <v>-7.0714385177119234E-4</v>
      </c>
      <c r="P151" s="36">
        <v>1.884898211113639E-4</v>
      </c>
      <c r="Q151" s="36">
        <v>-1.7157938117449539E-6</v>
      </c>
      <c r="R151" s="36">
        <v>-4.4487719805901049</v>
      </c>
      <c r="S151" s="36">
        <v>-1.2270261938332479E-7</v>
      </c>
      <c r="T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</row>
    <row r="152" spans="1:123">
      <c r="C152" s="32">
        <v>500585311</v>
      </c>
      <c r="D152" s="33">
        <v>117452.48000000003</v>
      </c>
      <c r="E152" s="33">
        <v>113478976</v>
      </c>
      <c r="F152" s="33">
        <v>721892924</v>
      </c>
      <c r="G152" s="33">
        <v>6411756165</v>
      </c>
      <c r="H152" s="33">
        <v>16901.123500000005</v>
      </c>
      <c r="I152" s="33">
        <v>53937973737</v>
      </c>
      <c r="M152" s="36">
        <v>-4.5937543829313912E-8</v>
      </c>
      <c r="N152" s="36">
        <v>-7.0714385177121923E-4</v>
      </c>
      <c r="O152" s="36">
        <v>5.6929211832385444E-6</v>
      </c>
      <c r="P152" s="36">
        <v>-1.5017751146056373E-6</v>
      </c>
      <c r="Q152" s="36">
        <v>2.5822439415841813E-9</v>
      </c>
      <c r="R152" s="36">
        <v>3.0412386970044097E-2</v>
      </c>
      <c r="S152" s="36">
        <v>2.5186697902082161E-10</v>
      </c>
      <c r="T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</row>
    <row r="153" spans="1:123">
      <c r="C153" s="32">
        <v>5016683024</v>
      </c>
      <c r="D153" s="33">
        <v>3909655.5200000005</v>
      </c>
      <c r="E153" s="33">
        <v>1149940618</v>
      </c>
      <c r="F153" s="33">
        <v>6411756165</v>
      </c>
      <c r="G153" s="34">
        <v>207752370780</v>
      </c>
      <c r="H153" s="33">
        <v>154729.97150000004</v>
      </c>
      <c r="I153" s="33">
        <v>3317078082135</v>
      </c>
      <c r="M153" s="36">
        <v>3.836475935978887E-8</v>
      </c>
      <c r="N153" s="36">
        <v>1.8848982111137309E-4</v>
      </c>
      <c r="O153" s="36">
        <v>-1.5017751146056412E-6</v>
      </c>
      <c r="P153" s="36">
        <v>4.5899324307320315E-7</v>
      </c>
      <c r="Q153" s="36">
        <v>-9.3941179345042146E-10</v>
      </c>
      <c r="R153" s="36">
        <v>-1.1368156036892774E-2</v>
      </c>
      <c r="S153" s="36">
        <v>-5.7651694531783202E-11</v>
      </c>
      <c r="T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</row>
    <row r="154" spans="1:123">
      <c r="C154" s="32">
        <v>12514.191900000014</v>
      </c>
      <c r="D154" s="33">
        <v>2.8748780000000012</v>
      </c>
      <c r="E154" s="33">
        <v>2599.5675999999999</v>
      </c>
      <c r="F154" s="33">
        <v>16901.123500000005</v>
      </c>
      <c r="G154" s="33">
        <v>154729.97150000004</v>
      </c>
      <c r="H154" s="33">
        <v>0.40899665999999968</v>
      </c>
      <c r="I154" s="33">
        <v>1398601.5219999994</v>
      </c>
      <c r="M154" s="36">
        <v>-2.5997595021525702E-10</v>
      </c>
      <c r="N154" s="36">
        <v>-1.7157938117449374E-6</v>
      </c>
      <c r="O154" s="36">
        <v>2.5822439415839067E-9</v>
      </c>
      <c r="P154" s="36">
        <v>-9.3941179345032882E-10</v>
      </c>
      <c r="Q154" s="36">
        <v>3.3092942148270546E-11</v>
      </c>
      <c r="R154" s="36">
        <v>2.921035212263405E-5</v>
      </c>
      <c r="S154" s="36">
        <v>2.0240033307260333E-13</v>
      </c>
      <c r="T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</row>
    <row r="155" spans="1:123">
      <c r="C155" s="37">
        <v>47336476826</v>
      </c>
      <c r="D155" s="33">
        <v>78657825.980000004</v>
      </c>
      <c r="E155" s="33">
        <v>11624964557</v>
      </c>
      <c r="F155" s="33">
        <v>53937973737</v>
      </c>
      <c r="G155" s="33">
        <v>3317078082135</v>
      </c>
      <c r="H155" s="33">
        <v>1398601.5219999994</v>
      </c>
      <c r="I155" s="35">
        <v>85439162458898</v>
      </c>
      <c r="M155" s="36">
        <v>-2.4153914265988385E-3</v>
      </c>
      <c r="N155" s="36">
        <v>-4.4487719805903536</v>
      </c>
      <c r="O155" s="36">
        <v>3.0412386970044229E-2</v>
      </c>
      <c r="P155" s="36">
        <v>-1.136815603689278E-2</v>
      </c>
      <c r="Q155" s="36">
        <v>2.9210352122636536E-5</v>
      </c>
      <c r="R155" s="36">
        <v>368.57697428811849</v>
      </c>
      <c r="S155" s="36">
        <v>1.3051848178296712E-6</v>
      </c>
      <c r="T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</row>
    <row r="156" spans="1:123">
      <c r="D156" s="14"/>
      <c r="E156" s="14"/>
      <c r="F156" s="14"/>
      <c r="G156" s="14"/>
      <c r="H156" s="14"/>
      <c r="I156" s="14"/>
      <c r="M156" s="36">
        <v>-2.4880743946119196E-12</v>
      </c>
      <c r="N156" s="36">
        <v>-1.2270261938332453E-7</v>
      </c>
      <c r="O156" s="36">
        <v>2.5186697902081194E-10</v>
      </c>
      <c r="P156" s="36">
        <v>-5.7651694531779809E-11</v>
      </c>
      <c r="Q156" s="36">
        <v>2.0240033307260604E-13</v>
      </c>
      <c r="R156" s="36">
        <v>1.3051848178295744E-6</v>
      </c>
      <c r="S156" s="36">
        <v>9.8949444439205715E-14</v>
      </c>
      <c r="T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</row>
    <row r="157" spans="1:123"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</row>
    <row r="158" spans="1:123"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</row>
    <row r="159" spans="1:123"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</row>
    <row r="160" spans="1:123"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</row>
    <row r="161" spans="4:123"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</row>
    <row r="162" spans="4:123"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</row>
    <row r="163" spans="4:123"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</row>
    <row r="164" spans="4:123"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</row>
    <row r="165" spans="4:123"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</row>
    <row r="166" spans="4:123"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</row>
    <row r="167" spans="4:123"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</row>
    <row r="168" spans="4:123"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</row>
    <row r="169" spans="4:123"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</row>
    <row r="170" spans="4:123"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</row>
    <row r="171" spans="4:123"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</row>
    <row r="172" spans="4:123"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</row>
    <row r="173" spans="4:123"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</row>
    <row r="174" spans="4:123"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</row>
    <row r="175" spans="4:123"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</row>
    <row r="176" spans="4:123"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</row>
    <row r="177" spans="4:123"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</row>
    <row r="178" spans="4:123"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</row>
    <row r="179" spans="4:123"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</row>
    <row r="180" spans="4:123"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</row>
    <row r="181" spans="4:123"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</row>
    <row r="182" spans="4:123"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</row>
    <row r="183" spans="4:123"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</row>
    <row r="184" spans="4:123"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</row>
    <row r="185" spans="4:123"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</row>
    <row r="186" spans="4:123"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</row>
    <row r="187" spans="4:123"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</row>
    <row r="188" spans="4:123"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</row>
    <row r="189" spans="4:123"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</row>
    <row r="190" spans="4:123"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</row>
    <row r="191" spans="4:123"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</row>
    <row r="192" spans="4:123"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</row>
    <row r="193" spans="4:123"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</row>
    <row r="194" spans="4:123"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</row>
    <row r="195" spans="4:123"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</row>
    <row r="196" spans="4:123"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</row>
    <row r="197" spans="4:123"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</row>
    <row r="198" spans="4:123"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</row>
    <row r="199" spans="4:123"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</row>
    <row r="200" spans="4:123"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</row>
    <row r="201" spans="4:123"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</row>
    <row r="202" spans="4:123"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</row>
    <row r="203" spans="4:123"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</row>
    <row r="204" spans="4:123"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</row>
    <row r="205" spans="4:123"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</row>
    <row r="206" spans="4:123"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</row>
    <row r="207" spans="4:123"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</row>
    <row r="208" spans="4:123"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</row>
    <row r="209" spans="4:123"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</row>
    <row r="210" spans="4:123"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</row>
    <row r="211" spans="4:123"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</row>
    <row r="212" spans="4:123"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</row>
    <row r="213" spans="4:123"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</row>
    <row r="214" spans="4:123"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</row>
    <row r="215" spans="4:123"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</row>
    <row r="216" spans="4:123"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</row>
    <row r="217" spans="4:123"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</row>
    <row r="218" spans="4:123"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</row>
    <row r="219" spans="4:123"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</row>
    <row r="220" spans="4:123"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</row>
    <row r="221" spans="4:123"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</row>
    <row r="222" spans="4:123"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</row>
    <row r="223" spans="4:123"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</row>
    <row r="224" spans="4:123"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</row>
    <row r="225" spans="4:123"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</row>
    <row r="226" spans="4:123"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</row>
    <row r="227" spans="4:123"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</row>
    <row r="228" spans="4:123"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</row>
    <row r="229" spans="4:123"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</row>
    <row r="230" spans="4:123"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</row>
    <row r="231" spans="4:123"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</row>
    <row r="232" spans="4:123"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</row>
    <row r="233" spans="4:123"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</row>
    <row r="234" spans="4:123"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</row>
    <row r="235" spans="4:123"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</row>
    <row r="236" spans="4:123"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</row>
    <row r="237" spans="4:123"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</row>
    <row r="238" spans="4:123"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</row>
    <row r="239" spans="4:123"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</row>
    <row r="240" spans="4:123"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</row>
    <row r="241" spans="4:123"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</row>
    <row r="242" spans="4:123"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</row>
    <row r="243" spans="4:123"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</row>
    <row r="244" spans="4:123"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</row>
    <row r="245" spans="4:123"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</row>
    <row r="246" spans="4:123"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</row>
    <row r="247" spans="4:123"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</row>
    <row r="248" spans="4:123"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</row>
    <row r="249" spans="4:123"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</row>
    <row r="250" spans="4:123"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</row>
    <row r="251" spans="4:123"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</row>
    <row r="252" spans="4:123"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</row>
    <row r="253" spans="4:123"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</row>
    <row r="254" spans="4:123"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</row>
    <row r="255" spans="4:123"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</row>
    <row r="256" spans="4:123"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</row>
    <row r="257" spans="4:123"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</row>
    <row r="258" spans="4:123"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</row>
    <row r="259" spans="4:123"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</row>
    <row r="260" spans="4:123"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</row>
    <row r="261" spans="4:123"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</row>
    <row r="262" spans="4:123"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</row>
    <row r="263" spans="4:123"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</row>
    <row r="264" spans="4:123"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</row>
    <row r="265" spans="4:123"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</row>
    <row r="266" spans="4:123"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</row>
    <row r="267" spans="4:123"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owid-covid-data</vt:lpstr>
      <vt:lpstr>P1. Y1</vt:lpstr>
      <vt:lpstr>P1. Y2</vt:lpstr>
      <vt:lpstr>P2. Y1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 Soares</cp:lastModifiedBy>
  <cp:revision>1</cp:revision>
  <dcterms:created xsi:type="dcterms:W3CDTF">2022-03-15T17:33:44Z</dcterms:created>
  <dcterms:modified xsi:type="dcterms:W3CDTF">2022-06-19T20:23:36Z</dcterms:modified>
  <cp:category/>
  <cp:contentStatus/>
</cp:coreProperties>
</file>