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12F698A3-0976-4C14-8662-E532C32EFC27}" xr6:coauthVersionLast="47" xr6:coauthVersionMax="47" xr10:uidLastSave="{00000000-0000-0000-0000-000000000000}"/>
  <bookViews>
    <workbookView xWindow="-120" yWindow="-120" windowWidth="20730" windowHeight="11310" tabRatio="500" activeTab="1" xr2:uid="{00000000-000D-0000-FFFF-FFFF00000000}"/>
  </bookViews>
  <sheets>
    <sheet name="Lote Esp P" sheetId="1" r:id="rId1"/>
    <sheet name="Jaula 7" sheetId="2" r:id="rId2"/>
    <sheet name="Folha1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1" i="2" l="1"/>
  <c r="Q11" i="2"/>
  <c r="P11" i="2"/>
  <c r="O11" i="2"/>
  <c r="G11" i="2"/>
  <c r="E13" i="2"/>
  <c r="E12" i="2"/>
  <c r="C13" i="2"/>
  <c r="C12" i="2"/>
  <c r="C11" i="2"/>
  <c r="R12" i="2"/>
  <c r="W16" i="2"/>
  <c r="C1" i="1"/>
  <c r="C1" i="1" a="1"/>
  <c r="E5" i="1"/>
  <c r="G5" i="1"/>
  <c r="H5" i="1"/>
  <c r="I5" i="1"/>
  <c r="K5" i="1"/>
  <c r="L5" i="1"/>
  <c r="M5" i="1"/>
  <c r="P5" i="1"/>
  <c r="Q5" i="1"/>
  <c r="S5" i="1"/>
  <c r="T5" i="1"/>
  <c r="U5" i="1"/>
  <c r="V5" i="1"/>
  <c r="W5" i="1"/>
  <c r="X5" i="1"/>
  <c r="A11" i="1"/>
  <c r="A12" i="1"/>
  <c r="O5" i="1"/>
  <c r="N5" i="1"/>
  <c r="E11" i="2" l="1"/>
  <c r="S11" i="2"/>
  <c r="T11" i="2" s="1"/>
  <c r="I11" i="2" l="1"/>
  <c r="K11" i="2" s="1"/>
  <c r="L11" i="2" s="1"/>
  <c r="H11" i="2"/>
  <c r="S12" i="2"/>
  <c r="U12" i="2" s="1"/>
  <c r="T12" i="2" s="1"/>
  <c r="D12" i="2" l="1"/>
  <c r="O12" i="2" s="1"/>
  <c r="S13" i="2"/>
  <c r="U13" i="2" s="1"/>
  <c r="G12" i="2"/>
  <c r="M11" i="2"/>
  <c r="T13" i="2" l="1"/>
  <c r="C14" i="2"/>
  <c r="Q12" i="2"/>
  <c r="G13" i="2" s="1"/>
  <c r="H13" i="2" s="1"/>
  <c r="P12" i="2"/>
  <c r="D13" i="2" s="1"/>
  <c r="Y11" i="2"/>
  <c r="H12" i="2"/>
  <c r="I12" i="2"/>
  <c r="K12" i="2" s="1"/>
  <c r="L12" i="2" s="1"/>
  <c r="M12" i="2" s="1"/>
  <c r="I13" i="2" l="1"/>
  <c r="K13" i="2" s="1"/>
  <c r="L13" i="2" s="1"/>
  <c r="X12" i="2"/>
  <c r="Y12" i="2" s="1"/>
  <c r="S14" i="2"/>
  <c r="U14" i="2" s="1"/>
  <c r="T14" i="2" s="1"/>
  <c r="C15" i="2" l="1"/>
  <c r="O13" i="2"/>
  <c r="Q13" i="2" s="1"/>
  <c r="G14" i="2" s="1"/>
  <c r="M13" i="2"/>
  <c r="G15" i="2"/>
  <c r="P13" i="2" l="1"/>
  <c r="D14" i="2" s="1"/>
  <c r="S15" i="2"/>
  <c r="U15" i="2" s="1"/>
  <c r="T15" i="2" s="1"/>
  <c r="H15" i="2"/>
  <c r="I15" i="2"/>
  <c r="I14" i="2"/>
  <c r="K14" i="2" s="1"/>
  <c r="H14" i="2"/>
  <c r="X13" i="2" l="1"/>
  <c r="Y13" i="2" s="1"/>
  <c r="E14" i="2"/>
  <c r="O14" i="2" s="1"/>
  <c r="Q14" i="2" s="1"/>
  <c r="C16" i="2"/>
  <c r="K15" i="2"/>
  <c r="P14" i="2" l="1"/>
  <c r="D15" i="2" s="1"/>
  <c r="L14" i="2"/>
  <c r="M14" i="2" s="1"/>
  <c r="D23" i="2"/>
  <c r="V16" i="2" s="1"/>
  <c r="S16" i="2"/>
  <c r="U16" i="2" s="1"/>
  <c r="T16" i="2" s="1"/>
  <c r="O15" i="2" l="1"/>
  <c r="Q15" i="2" s="1"/>
  <c r="E15" i="2"/>
  <c r="C17" i="2"/>
  <c r="S17" i="2" s="1"/>
  <c r="U17" i="2" s="1"/>
  <c r="T17" i="2" s="1"/>
  <c r="X14" i="2"/>
  <c r="Y14" i="2" s="1"/>
  <c r="L15" i="2"/>
  <c r="G16" i="2" s="1"/>
  <c r="P15" i="2" l="1"/>
  <c r="D16" i="2" s="1"/>
  <c r="E16" i="2" s="1"/>
  <c r="M15" i="2"/>
  <c r="I16" i="2"/>
  <c r="H16" i="2"/>
  <c r="X15" i="2" l="1"/>
  <c r="Y15" i="2" s="1"/>
  <c r="O16" i="2"/>
  <c r="K16" i="2"/>
  <c r="L16" i="2" s="1"/>
  <c r="M16" i="2" s="1"/>
  <c r="Q16" i="2" l="1"/>
  <c r="P16" i="2"/>
  <c r="D17" i="2" s="1"/>
  <c r="E17" i="2" s="1"/>
  <c r="G17" i="2" l="1"/>
  <c r="H17" i="2" s="1"/>
  <c r="X16" i="2"/>
  <c r="Y16" i="2" s="1"/>
  <c r="I17" i="2" l="1"/>
  <c r="N17" i="2" s="1"/>
  <c r="O17" i="2" s="1"/>
  <c r="P17" i="2" s="1"/>
  <c r="K17" i="2" l="1"/>
  <c r="L17" i="2" s="1"/>
  <c r="M17" i="2" s="1"/>
  <c r="Q17" i="2"/>
</calcChain>
</file>

<file path=xl/sharedStrings.xml><?xml version="1.0" encoding="utf-8"?>
<sst xmlns="http://schemas.openxmlformats.org/spreadsheetml/2006/main" count="133" uniqueCount="89">
  <si>
    <t>lote ESP</t>
  </si>
  <si>
    <t>pequenos</t>
  </si>
  <si>
    <t>Ração</t>
  </si>
  <si>
    <t xml:space="preserve">Esperado a 30 dias </t>
  </si>
  <si>
    <t xml:space="preserve">PM teorico C/ alim. real </t>
  </si>
  <si>
    <t xml:space="preserve"> Real </t>
  </si>
  <si>
    <t>teóricas</t>
  </si>
  <si>
    <t xml:space="preserve">real </t>
  </si>
  <si>
    <t xml:space="preserve">Calibragem </t>
  </si>
  <si>
    <t>data</t>
  </si>
  <si>
    <t xml:space="preserve">Nº peixes </t>
  </si>
  <si>
    <t>PM</t>
  </si>
  <si>
    <t>Biom</t>
  </si>
  <si>
    <t xml:space="preserve">% alim </t>
  </si>
  <si>
    <t>kg</t>
  </si>
  <si>
    <t xml:space="preserve">sacos </t>
  </si>
  <si>
    <t xml:space="preserve">total 30 dias </t>
  </si>
  <si>
    <t>FC</t>
  </si>
  <si>
    <t>aum biom</t>
  </si>
  <si>
    <t>biom total</t>
  </si>
  <si>
    <t>P medio</t>
  </si>
  <si>
    <t xml:space="preserve">Alim real </t>
  </si>
  <si>
    <t xml:space="preserve">PM </t>
  </si>
  <si>
    <t xml:space="preserve">Biom real </t>
  </si>
  <si>
    <t>%</t>
  </si>
  <si>
    <t>Nº</t>
  </si>
  <si>
    <t xml:space="preserve">data </t>
  </si>
  <si>
    <t xml:space="preserve">número total </t>
  </si>
  <si>
    <t>perdas</t>
  </si>
  <si>
    <t xml:space="preserve">pequenos </t>
  </si>
  <si>
    <t xml:space="preserve">vacina </t>
  </si>
  <si>
    <t xml:space="preserve">Data </t>
  </si>
  <si>
    <t xml:space="preserve">Peso médio </t>
  </si>
  <si>
    <t xml:space="preserve">número </t>
  </si>
  <si>
    <t xml:space="preserve">Para </t>
  </si>
  <si>
    <t>8 e 26 Abril</t>
  </si>
  <si>
    <t>jaula 10</t>
  </si>
  <si>
    <t>jaula 7</t>
  </si>
  <si>
    <t>jaula 9</t>
  </si>
  <si>
    <t xml:space="preserve">13 junho temperatura a 26 graus medida a 2 m profundidade </t>
  </si>
  <si>
    <t xml:space="preserve">Lote espanha pequenos- entrada a 30 Março </t>
  </si>
  <si>
    <t xml:space="preserve">foram vaciados e separados sem calibrar </t>
  </si>
  <si>
    <t>biomassa total/n peixes inicial</t>
  </si>
  <si>
    <t>aumento biomassa+biomassa inicial</t>
  </si>
  <si>
    <t>total ração teorica / factor conversão</t>
  </si>
  <si>
    <t xml:space="preserve">pm teorico C/ alimentação real </t>
  </si>
  <si>
    <t xml:space="preserve">PM real </t>
  </si>
  <si>
    <t>% real</t>
  </si>
  <si>
    <t xml:space="preserve">para </t>
  </si>
  <si>
    <t>de</t>
  </si>
  <si>
    <t>Aum biom</t>
  </si>
  <si>
    <t xml:space="preserve">FC real </t>
  </si>
  <si>
    <t>agosto</t>
  </si>
  <si>
    <t>outubro</t>
  </si>
  <si>
    <t>maio</t>
  </si>
  <si>
    <t>tabela de entrada e saida de peixe</t>
  </si>
  <si>
    <t>N TRUTAS</t>
  </si>
  <si>
    <t xml:space="preserve">Calibragens </t>
  </si>
  <si>
    <t xml:space="preserve">% alimentação - valor a ir buscar à tabela de temperaturas / tamanho </t>
  </si>
  <si>
    <t xml:space="preserve">celulas para introduzir os valores  reais </t>
  </si>
  <si>
    <t>,quando não dados reais por defeito vai buscar os valores teoricos</t>
  </si>
  <si>
    <t xml:space="preserve">valores a ir buscar à tabela do FC/ temperatura / tamanho </t>
  </si>
  <si>
    <t>valores a ir buscar à tabela mortalidade/ temperatura / tamanho</t>
  </si>
  <si>
    <t>Ajustes para ano seguinte devem poder ser validados</t>
  </si>
  <si>
    <t xml:space="preserve">o programa deve conseguir ir prevendo e atualizando as mortalidades, FC e % alimentação ou seja atualizando as tabelas que lhes estamos a dar </t>
  </si>
  <si>
    <t>estas novas tabelas só devem passar a ser utilizadas se forem validadas por nós</t>
  </si>
  <si>
    <t xml:space="preserve">células que quero ter possibilidade de ajustar </t>
  </si>
  <si>
    <t>% alimentação</t>
  </si>
  <si>
    <t>as células que quero ter possibilidade de visualizar no ecra são as que estão a negrito</t>
  </si>
  <si>
    <t xml:space="preserve">queria também ter a possibilidade de poder ver os kg/m3 de cada jaula para isso quando lanço os peixes numa jaula tenho que ter a possibilide de definir os m3 da jaula </t>
  </si>
  <si>
    <t>igual ao teorico a não ser quando há uma amostragem</t>
  </si>
  <si>
    <t>(pm real *(num peixes - mortalidade-de +para)</t>
  </si>
  <si>
    <t>Junho</t>
  </si>
  <si>
    <t>Julho</t>
  </si>
  <si>
    <t>Agosto</t>
  </si>
  <si>
    <t>Setembro</t>
  </si>
  <si>
    <t>Ração teorica</t>
  </si>
  <si>
    <t>Janeiro</t>
  </si>
  <si>
    <t>Fevereiro</t>
  </si>
  <si>
    <t>Março</t>
  </si>
  <si>
    <t>Abril</t>
  </si>
  <si>
    <t>Maio</t>
  </si>
  <si>
    <t>Outubro</t>
  </si>
  <si>
    <t>Novembro</t>
  </si>
  <si>
    <t>Dezembro</t>
  </si>
  <si>
    <t>% Mortalidade</t>
  </si>
  <si>
    <t>(total ração real/ factor conversão teorico)+biomassa inicial )/número de peixes inicial</t>
  </si>
  <si>
    <t>Nº peixes inicial</t>
  </si>
  <si>
    <t>FC teorico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</si>
</sst>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"/>
    <numFmt numFmtId="166" formatCode="0.0%"/>
    <numFmt numFmtId="167" formatCode="0.0000"/>
    <numFmt numFmtId="168" formatCode="0.000"/>
  </numFmts>
  <fonts count="3" x14ac:knownFonts="1"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8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indexed="40"/>
        <bgColor indexed="21"/>
      </patternFill>
    </fill>
    <fill>
      <patternFill patternType="solid">
        <fgColor indexed="51"/>
        <bgColor indexed="52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34"/>
        <bgColor indexed="13"/>
      </patternFill>
    </fill>
    <fill>
      <patternFill patternType="solid">
        <fgColor indexed="52"/>
        <bgColor indexed="51"/>
      </patternFill>
    </fill>
    <fill>
      <patternFill patternType="solid">
        <fgColor indexed="21"/>
        <bgColor indexed="40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right"/>
    </xf>
    <xf numFmtId="17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3" borderId="2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" fontId="0" fillId="0" borderId="1" xfId="0" applyNumberFormat="1" applyBorder="1" applyAlignment="1">
      <alignment horizontal="right"/>
    </xf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 vertical="center"/>
    </xf>
    <xf numFmtId="2" fontId="0" fillId="0" borderId="1" xfId="0" applyNumberFormat="1" applyBorder="1"/>
    <xf numFmtId="0" fontId="0" fillId="0" borderId="1" xfId="0" applyBorder="1"/>
    <xf numFmtId="167" fontId="0" fillId="3" borderId="1" xfId="0" applyNumberFormat="1" applyFill="1" applyBorder="1"/>
    <xf numFmtId="165" fontId="0" fillId="2" borderId="1" xfId="0" applyNumberFormat="1" applyFill="1" applyBorder="1"/>
    <xf numFmtId="167" fontId="0" fillId="5" borderId="1" xfId="0" applyNumberFormat="1" applyFill="1" applyBorder="1"/>
    <xf numFmtId="168" fontId="0" fillId="0" borderId="1" xfId="0" applyNumberFormat="1" applyBorder="1"/>
    <xf numFmtId="1" fontId="0" fillId="2" borderId="1" xfId="0" applyNumberFormat="1" applyFill="1" applyBorder="1"/>
    <xf numFmtId="14" fontId="0" fillId="0" borderId="1" xfId="0" applyNumberFormat="1" applyBorder="1"/>
    <xf numFmtId="1" fontId="0" fillId="4" borderId="0" xfId="0" applyNumberFormat="1" applyFill="1" applyAlignment="1">
      <alignment horizontal="center" vertical="center"/>
    </xf>
    <xf numFmtId="168" fontId="0" fillId="0" borderId="0" xfId="0" applyNumberFormat="1"/>
    <xf numFmtId="1" fontId="0" fillId="0" borderId="0" xfId="0" applyNumberFormat="1"/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" fontId="0" fillId="0" borderId="0" xfId="0" applyNumberFormat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3" borderId="9" xfId="0" applyFont="1" applyFill="1" applyBorder="1"/>
    <xf numFmtId="0" fontId="1" fillId="2" borderId="9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16" fontId="1" fillId="0" borderId="10" xfId="0" applyNumberFormat="1" applyFont="1" applyBorder="1" applyAlignment="1">
      <alignment horizontal="right"/>
    </xf>
    <xf numFmtId="1" fontId="0" fillId="9" borderId="11" xfId="0" applyNumberFormat="1" applyFill="1" applyBorder="1"/>
    <xf numFmtId="168" fontId="0" fillId="9" borderId="1" xfId="0" applyNumberFormat="1" applyFill="1" applyBorder="1"/>
    <xf numFmtId="165" fontId="0" fillId="9" borderId="12" xfId="0" applyNumberFormat="1" applyFill="1" applyBorder="1"/>
    <xf numFmtId="166" fontId="0" fillId="10" borderId="11" xfId="0" applyNumberFormat="1" applyFill="1" applyBorder="1" applyAlignment="1">
      <alignment horizontal="right" vertical="center"/>
    </xf>
    <xf numFmtId="2" fontId="0" fillId="9" borderId="10" xfId="0" applyNumberFormat="1" applyFill="1" applyBorder="1"/>
    <xf numFmtId="165" fontId="0" fillId="9" borderId="13" xfId="0" applyNumberFormat="1" applyFill="1" applyBorder="1"/>
    <xf numFmtId="165" fontId="0" fillId="0" borderId="14" xfId="0" applyNumberFormat="1" applyBorder="1"/>
    <xf numFmtId="0" fontId="0" fillId="7" borderId="1" xfId="0" applyFill="1" applyBorder="1"/>
    <xf numFmtId="165" fontId="0" fillId="0" borderId="10" xfId="0" applyNumberFormat="1" applyBorder="1"/>
    <xf numFmtId="167" fontId="0" fillId="11" borderId="13" xfId="0" applyNumberFormat="1" applyFill="1" applyBorder="1"/>
    <xf numFmtId="165" fontId="0" fillId="12" borderId="13" xfId="0" applyNumberFormat="1" applyFill="1" applyBorder="1"/>
    <xf numFmtId="167" fontId="0" fillId="9" borderId="11" xfId="0" applyNumberFormat="1" applyFill="1" applyBorder="1"/>
    <xf numFmtId="167" fontId="0" fillId="12" borderId="12" xfId="0" applyNumberFormat="1" applyFill="1" applyBorder="1"/>
    <xf numFmtId="0" fontId="0" fillId="8" borderId="1" xfId="0" applyFill="1" applyBorder="1"/>
    <xf numFmtId="168" fontId="0" fillId="0" borderId="10" xfId="0" applyNumberFormat="1" applyBorder="1"/>
    <xf numFmtId="1" fontId="0" fillId="12" borderId="13" xfId="0" applyNumberFormat="1" applyFill="1" applyBorder="1"/>
    <xf numFmtId="2" fontId="0" fillId="2" borderId="14" xfId="0" applyNumberFormat="1" applyFill="1" applyBorder="1"/>
    <xf numFmtId="0" fontId="0" fillId="2" borderId="1" xfId="0" applyFill="1" applyBorder="1"/>
    <xf numFmtId="1" fontId="0" fillId="0" borderId="10" xfId="0" applyNumberFormat="1" applyBorder="1"/>
    <xf numFmtId="168" fontId="0" fillId="9" borderId="13" xfId="0" applyNumberFormat="1" applyFill="1" applyBorder="1"/>
    <xf numFmtId="1" fontId="0" fillId="2" borderId="14" xfId="0" applyNumberFormat="1" applyFill="1" applyBorder="1" applyAlignment="1">
      <alignment horizontal="center"/>
    </xf>
    <xf numFmtId="1" fontId="0" fillId="2" borderId="14" xfId="0" applyNumberFormat="1" applyFill="1" applyBorder="1"/>
    <xf numFmtId="1" fontId="0" fillId="2" borderId="1" xfId="0" applyNumberFormat="1" applyFill="1" applyBorder="1" applyAlignment="1">
      <alignment horizontal="center"/>
    </xf>
    <xf numFmtId="0" fontId="0" fillId="2" borderId="14" xfId="0" applyFill="1" applyBorder="1"/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167" fontId="0" fillId="0" borderId="0" xfId="0" applyNumberFormat="1"/>
    <xf numFmtId="1" fontId="0" fillId="0" borderId="0" xfId="0" applyNumberFormat="1" applyAlignment="1">
      <alignment horizontal="center"/>
    </xf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167" fontId="0" fillId="13" borderId="0" xfId="0" applyNumberFormat="1" applyFill="1"/>
    <xf numFmtId="0" fontId="0" fillId="13" borderId="0" xfId="0" applyFill="1"/>
    <xf numFmtId="1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9AD2"/>
      <rgbColor rgb="00C5E0B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0E0E0"/>
      <rgbColor rgb="00000080"/>
      <rgbColor rgb="00FF00FF"/>
      <rgbColor rgb="00E0E0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2D050"/>
      <rgbColor rgb="00FFC000"/>
      <rgbColor rgb="00E0A8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workbookViewId="0">
      <selection activeCell="D11" sqref="D11"/>
    </sheetView>
  </sheetViews>
  <sheetFormatPr defaultColWidth="8.5703125" defaultRowHeight="15" x14ac:dyDescent="0.25"/>
  <cols>
    <col min="1" max="2" width="13" customWidth="1"/>
    <col min="3" max="3" width="14.7109375" customWidth="1"/>
    <col min="4" max="4" width="12.140625" customWidth="1"/>
    <col min="5" max="5" width="15.5703125" customWidth="1"/>
    <col min="6" max="6" width="13.42578125" customWidth="1"/>
    <col min="9" max="9" width="13.140625" customWidth="1"/>
    <col min="10" max="10" width="13.42578125" customWidth="1"/>
    <col min="11" max="12" width="14.140625" customWidth="1"/>
    <col min="14" max="14" width="12.85546875" customWidth="1"/>
    <col min="20" max="20" width="9.5703125" customWidth="1"/>
    <col min="21" max="21" width="10" customWidth="1"/>
    <col min="22" max="22" width="10.7109375" customWidth="1"/>
    <col min="23" max="23" width="14.28515625" customWidth="1"/>
    <col min="24" max="24" width="12.140625" customWidth="1"/>
  </cols>
  <sheetData>
    <row r="1" spans="1:25" x14ac:dyDescent="0.25">
      <c r="A1" s="1" t="s">
        <v>0</v>
      </c>
      <c r="B1" t="s">
        <v>1</v>
      </c>
      <c r="C1" t="e">
        <f t="array" ref="C1">NA()</f>
        <v>#N/A</v>
      </c>
    </row>
    <row r="2" spans="1:25" x14ac:dyDescent="0.25">
      <c r="B2" s="1"/>
    </row>
    <row r="3" spans="1:25" ht="15" customHeight="1" x14ac:dyDescent="0.25">
      <c r="C3" s="2"/>
      <c r="G3" s="106" t="s">
        <v>2</v>
      </c>
      <c r="H3" s="106"/>
      <c r="I3" s="106"/>
      <c r="J3" s="4"/>
      <c r="K3" s="108" t="s">
        <v>3</v>
      </c>
      <c r="L3" s="108"/>
      <c r="M3" s="108"/>
      <c r="N3" s="109" t="s">
        <v>4</v>
      </c>
      <c r="O3" s="110" t="s">
        <v>5</v>
      </c>
      <c r="P3" s="110"/>
      <c r="Q3" s="110"/>
      <c r="R3" s="106" t="s">
        <v>6</v>
      </c>
      <c r="S3" s="106"/>
      <c r="T3" s="110" t="s">
        <v>7</v>
      </c>
      <c r="U3" s="110"/>
      <c r="V3" s="106" t="s">
        <v>8</v>
      </c>
      <c r="W3" s="106"/>
    </row>
    <row r="4" spans="1:25" x14ac:dyDescent="0.25">
      <c r="B4" s="6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8" t="s">
        <v>17</v>
      </c>
      <c r="K4" s="7" t="s">
        <v>18</v>
      </c>
      <c r="L4" s="7" t="s">
        <v>19</v>
      </c>
      <c r="M4" s="9" t="s">
        <v>20</v>
      </c>
      <c r="N4" s="109"/>
      <c r="O4" s="10" t="s">
        <v>21</v>
      </c>
      <c r="P4" s="11" t="s">
        <v>22</v>
      </c>
      <c r="Q4" s="12" t="s">
        <v>23</v>
      </c>
      <c r="R4" s="3" t="s">
        <v>24</v>
      </c>
      <c r="S4" s="3" t="s">
        <v>25</v>
      </c>
      <c r="T4" s="3" t="s">
        <v>24</v>
      </c>
      <c r="U4" s="5" t="s">
        <v>25</v>
      </c>
      <c r="V4" s="5" t="s">
        <v>26</v>
      </c>
      <c r="W4" s="5" t="s">
        <v>27</v>
      </c>
      <c r="X4" s="13" t="s">
        <v>28</v>
      </c>
      <c r="Y4" s="14"/>
    </row>
    <row r="5" spans="1:25" x14ac:dyDescent="0.25">
      <c r="B5" s="15">
        <v>44650</v>
      </c>
      <c r="C5" s="16">
        <v>100000</v>
      </c>
      <c r="D5" s="17">
        <v>6.0000000000000001E-3</v>
      </c>
      <c r="E5" s="18">
        <f>+C5*D5</f>
        <v>600</v>
      </c>
      <c r="F5" s="19">
        <v>0.03</v>
      </c>
      <c r="G5" s="20">
        <f>+E5*F5</f>
        <v>18</v>
      </c>
      <c r="H5" s="18">
        <f>+G5/25</f>
        <v>0.72</v>
      </c>
      <c r="I5" s="18">
        <f>+G5*30</f>
        <v>540</v>
      </c>
      <c r="J5" s="21">
        <v>1</v>
      </c>
      <c r="K5" s="20">
        <f>+I5/J5</f>
        <v>540</v>
      </c>
      <c r="L5" s="18">
        <f>+K5+E5</f>
        <v>1140</v>
      </c>
      <c r="M5" s="22">
        <f>+L5/C5</f>
        <v>1.14E-2</v>
      </c>
      <c r="N5" s="22">
        <f>+((O5/J5)+E5)/C5</f>
        <v>1.14E-2</v>
      </c>
      <c r="O5" s="23">
        <f>+I5</f>
        <v>540</v>
      </c>
      <c r="P5" s="24">
        <f>10.8/1000</f>
        <v>1.0800000000000001E-2</v>
      </c>
      <c r="Q5" s="18">
        <f>+((P5*(C5-S5)))</f>
        <v>1074.6000000000001</v>
      </c>
      <c r="R5" s="21">
        <v>5.0000000000000001E-3</v>
      </c>
      <c r="S5" s="16">
        <f>+C5*R5</f>
        <v>500</v>
      </c>
      <c r="T5" s="25">
        <f>+U5/C5*100</f>
        <v>0.5</v>
      </c>
      <c r="U5" s="26">
        <f>+S5</f>
        <v>500</v>
      </c>
      <c r="V5" s="27" t="str">
        <f>+B10</f>
        <v>8 e 26 Abril</v>
      </c>
      <c r="W5" s="20">
        <f>+D10+G10+J10</f>
        <v>40000</v>
      </c>
      <c r="X5" s="28">
        <f>+W5-C5</f>
        <v>-60000</v>
      </c>
      <c r="Y5" s="29"/>
    </row>
    <row r="7" spans="1:25" x14ac:dyDescent="0.25">
      <c r="P7" s="14"/>
      <c r="Q7" s="30"/>
    </row>
    <row r="8" spans="1:25" x14ac:dyDescent="0.25">
      <c r="B8" s="31"/>
      <c r="C8" s="14"/>
      <c r="D8" s="107" t="s">
        <v>29</v>
      </c>
      <c r="E8" s="107"/>
      <c r="F8" s="107"/>
      <c r="G8" s="4"/>
      <c r="H8" s="4"/>
      <c r="I8" s="4"/>
      <c r="J8" s="4"/>
      <c r="K8" s="4"/>
      <c r="L8" s="4"/>
      <c r="M8" s="32"/>
      <c r="N8" s="32"/>
    </row>
    <row r="9" spans="1:25" x14ac:dyDescent="0.25">
      <c r="A9" s="33" t="s">
        <v>30</v>
      </c>
      <c r="B9" s="3" t="s">
        <v>31</v>
      </c>
      <c r="C9" s="3" t="s">
        <v>32</v>
      </c>
      <c r="D9" s="3" t="s">
        <v>33</v>
      </c>
      <c r="E9" s="3" t="s">
        <v>11</v>
      </c>
      <c r="F9" s="3" t="s">
        <v>34</v>
      </c>
      <c r="G9" s="14"/>
      <c r="H9" s="14"/>
      <c r="I9" s="14"/>
      <c r="J9" s="14"/>
      <c r="K9" s="14"/>
      <c r="L9" s="14"/>
      <c r="M9" s="34"/>
      <c r="N9" s="34"/>
      <c r="T9" s="35"/>
    </row>
    <row r="10" spans="1:25" x14ac:dyDescent="0.25">
      <c r="A10" s="36" t="s">
        <v>30</v>
      </c>
      <c r="B10" s="37" t="s">
        <v>35</v>
      </c>
      <c r="C10" s="20"/>
      <c r="D10" s="38">
        <v>40000</v>
      </c>
      <c r="E10" s="39">
        <v>9.9000000000000008E-3</v>
      </c>
      <c r="F10" s="38" t="s">
        <v>36</v>
      </c>
      <c r="G10" s="30"/>
      <c r="I10" s="40"/>
      <c r="J10" s="30"/>
      <c r="K10" s="29"/>
      <c r="L10" s="40"/>
      <c r="M10" s="41"/>
    </row>
    <row r="11" spans="1:25" x14ac:dyDescent="0.25">
      <c r="A11" s="36" t="str">
        <f>+A10</f>
        <v xml:space="preserve">vacina </v>
      </c>
      <c r="B11" s="37" t="s">
        <v>35</v>
      </c>
      <c r="C11" s="20"/>
      <c r="D11" s="38">
        <v>30000</v>
      </c>
      <c r="E11" s="39">
        <v>1.0999999999999999E-2</v>
      </c>
      <c r="F11" s="38" t="s">
        <v>37</v>
      </c>
      <c r="G11" s="30"/>
      <c r="I11" s="40"/>
      <c r="J11" s="30"/>
      <c r="K11" s="29"/>
      <c r="L11" s="40"/>
      <c r="M11" s="41"/>
    </row>
    <row r="12" spans="1:25" x14ac:dyDescent="0.25">
      <c r="A12" s="36" t="str">
        <f>+A11</f>
        <v xml:space="preserve">vacina </v>
      </c>
      <c r="B12" s="37" t="s">
        <v>35</v>
      </c>
      <c r="C12" s="20"/>
      <c r="D12" s="38">
        <v>30000</v>
      </c>
      <c r="E12" s="39">
        <v>1.1400000000000002E-2</v>
      </c>
      <c r="F12" s="38" t="s">
        <v>38</v>
      </c>
      <c r="G12" s="30"/>
      <c r="I12" s="40"/>
      <c r="J12" s="30"/>
      <c r="K12" s="29"/>
      <c r="L12" s="40"/>
    </row>
    <row r="13" spans="1:25" x14ac:dyDescent="0.25">
      <c r="A13" s="21"/>
      <c r="B13" s="37"/>
      <c r="C13" s="20"/>
      <c r="D13" s="38"/>
      <c r="E13" s="39"/>
      <c r="F13" s="38"/>
      <c r="G13" s="30"/>
      <c r="I13" s="40"/>
      <c r="J13" s="30"/>
      <c r="K13" s="29"/>
      <c r="L13" s="40"/>
    </row>
    <row r="14" spans="1:25" x14ac:dyDescent="0.25">
      <c r="A14" s="34"/>
    </row>
    <row r="15" spans="1:25" x14ac:dyDescent="0.25">
      <c r="B15" s="42"/>
    </row>
    <row r="16" spans="1:25" ht="15" customHeight="1" x14ac:dyDescent="0.25">
      <c r="A16" s="34"/>
    </row>
    <row r="19" spans="26:26" x14ac:dyDescent="0.25">
      <c r="Z19" t="s">
        <v>39</v>
      </c>
    </row>
    <row r="27" spans="26:26" ht="15.75" customHeight="1" x14ac:dyDescent="0.25"/>
    <row r="36" spans="3:14" x14ac:dyDescent="0.25">
      <c r="C36" s="34"/>
      <c r="D36" s="31"/>
      <c r="E36" s="14"/>
      <c r="F36" s="4"/>
      <c r="G36" s="4"/>
      <c r="H36" s="4"/>
      <c r="I36" s="4"/>
      <c r="J36" s="4"/>
      <c r="K36" s="4"/>
      <c r="L36" s="4"/>
      <c r="M36" s="4"/>
      <c r="N36" s="4"/>
    </row>
    <row r="37" spans="3:14" x14ac:dyDescent="0.25">
      <c r="C37" s="14"/>
      <c r="D37" s="43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3:14" x14ac:dyDescent="0.25">
      <c r="C38" s="34"/>
      <c r="E38" s="40"/>
      <c r="F38" s="6"/>
      <c r="G38" s="29"/>
      <c r="H38" s="44"/>
      <c r="I38" s="30"/>
      <c r="J38" s="29"/>
      <c r="K38" s="40"/>
      <c r="L38" s="30"/>
      <c r="M38" s="29"/>
      <c r="N38" s="40"/>
    </row>
    <row r="39" spans="3:14" x14ac:dyDescent="0.25">
      <c r="C39" s="34"/>
    </row>
  </sheetData>
  <sheetProtection selectLockedCells="1" selectUnlockedCells="1"/>
  <mergeCells count="8">
    <mergeCell ref="V3:W3"/>
    <mergeCell ref="D8:F8"/>
    <mergeCell ref="G3:I3"/>
    <mergeCell ref="K3:M3"/>
    <mergeCell ref="N3:N4"/>
    <mergeCell ref="O3:Q3"/>
    <mergeCell ref="R3:S3"/>
    <mergeCell ref="T3:U3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5"/>
  <sheetViews>
    <sheetView tabSelected="1" topLeftCell="P5" zoomScale="110" zoomScaleNormal="110" workbookViewId="0">
      <selection activeCell="V21" sqref="V21"/>
    </sheetView>
  </sheetViews>
  <sheetFormatPr defaultColWidth="8.5703125" defaultRowHeight="15" x14ac:dyDescent="0.25"/>
  <cols>
    <col min="2" max="2" width="11.140625" customWidth="1"/>
    <col min="3" max="3" width="12.140625" customWidth="1"/>
    <col min="4" max="4" width="11.7109375" customWidth="1"/>
    <col min="5" max="5" width="12.42578125" customWidth="1"/>
    <col min="7" max="7" width="14.140625" customWidth="1"/>
    <col min="9" max="9" width="11.7109375" customWidth="1"/>
    <col min="11" max="11" width="10.28515625" customWidth="1"/>
    <col min="12" max="12" width="11" customWidth="1"/>
    <col min="14" max="14" width="11.5703125" customWidth="1"/>
    <col min="15" max="15" width="29" customWidth="1"/>
    <col min="16" max="16" width="35.140625" customWidth="1"/>
    <col min="17" max="17" width="12.85546875" customWidth="1"/>
    <col min="22" max="22" width="12" customWidth="1"/>
    <col min="23" max="23" width="12.85546875" customWidth="1"/>
    <col min="24" max="24" width="11.140625" customWidth="1"/>
  </cols>
  <sheetData>
    <row r="1" spans="1:25" x14ac:dyDescent="0.25">
      <c r="E1" s="45" t="s">
        <v>40</v>
      </c>
    </row>
    <row r="3" spans="1:25" x14ac:dyDescent="0.25">
      <c r="B3" s="31"/>
      <c r="C3" s="14"/>
      <c r="D3" s="4"/>
      <c r="E3" s="4"/>
      <c r="F3" s="4"/>
      <c r="G3" s="4"/>
      <c r="H3" s="4"/>
      <c r="I3" s="4"/>
      <c r="J3" s="4"/>
      <c r="K3" s="4"/>
      <c r="L3" s="4"/>
      <c r="M3" s="32"/>
    </row>
    <row r="4" spans="1:25" x14ac:dyDescent="0.25">
      <c r="B4" s="33" t="s">
        <v>30</v>
      </c>
      <c r="C4" s="3" t="s">
        <v>31</v>
      </c>
      <c r="D4" s="3" t="s">
        <v>32</v>
      </c>
      <c r="E4" s="3" t="s">
        <v>33</v>
      </c>
      <c r="F4" s="3" t="s">
        <v>11</v>
      </c>
      <c r="G4" s="3" t="s">
        <v>34</v>
      </c>
      <c r="H4" s="14"/>
      <c r="I4" s="14"/>
      <c r="J4" s="14"/>
      <c r="K4" s="14"/>
      <c r="L4" s="14"/>
      <c r="M4" s="34"/>
      <c r="T4" s="35"/>
    </row>
    <row r="5" spans="1:25" x14ac:dyDescent="0.25">
      <c r="B5" s="33" t="s">
        <v>30</v>
      </c>
      <c r="C5" s="27">
        <v>44659</v>
      </c>
      <c r="D5" s="20"/>
      <c r="E5" s="38">
        <v>30000</v>
      </c>
      <c r="F5" s="39">
        <v>1.0999999999999999E-2</v>
      </c>
      <c r="G5" s="38" t="s">
        <v>37</v>
      </c>
      <c r="H5" s="30" t="s">
        <v>41</v>
      </c>
      <c r="J5" s="40"/>
      <c r="K5" s="29"/>
      <c r="L5" s="40"/>
      <c r="M5" s="41"/>
    </row>
    <row r="6" spans="1:25" x14ac:dyDescent="0.25">
      <c r="B6" s="33" t="s">
        <v>30</v>
      </c>
      <c r="C6" s="27">
        <v>44677</v>
      </c>
      <c r="D6" s="20"/>
      <c r="E6" s="38">
        <v>30000</v>
      </c>
      <c r="F6" s="39">
        <v>1.0999999999999999E-2</v>
      </c>
      <c r="G6" s="38" t="s">
        <v>37</v>
      </c>
      <c r="I6" s="40"/>
      <c r="J6" s="30"/>
      <c r="K6" s="29"/>
      <c r="L6" s="40"/>
      <c r="M6" t="s">
        <v>42</v>
      </c>
    </row>
    <row r="7" spans="1:25" x14ac:dyDescent="0.25">
      <c r="L7" t="s">
        <v>43</v>
      </c>
      <c r="Q7" t="s">
        <v>71</v>
      </c>
    </row>
    <row r="8" spans="1:25" x14ac:dyDescent="0.25">
      <c r="A8" s="34"/>
      <c r="B8" s="34"/>
      <c r="K8" t="s">
        <v>44</v>
      </c>
      <c r="O8" t="s">
        <v>86</v>
      </c>
      <c r="P8" t="s">
        <v>70</v>
      </c>
    </row>
    <row r="9" spans="1:25" ht="15.75" customHeight="1" x14ac:dyDescent="0.25">
      <c r="B9" s="34" t="s">
        <v>37</v>
      </c>
      <c r="C9" s="2"/>
      <c r="G9" s="107" t="s">
        <v>76</v>
      </c>
      <c r="H9" s="107"/>
      <c r="I9" s="107"/>
      <c r="J9" s="4"/>
      <c r="K9" s="108" t="s">
        <v>3</v>
      </c>
      <c r="L9" s="108"/>
      <c r="M9" s="108"/>
      <c r="N9" s="112" t="s">
        <v>5</v>
      </c>
      <c r="O9" s="112"/>
      <c r="P9" s="112"/>
      <c r="Q9" s="112"/>
      <c r="R9" s="106" t="s">
        <v>6</v>
      </c>
      <c r="S9" s="106"/>
      <c r="T9" s="110" t="s">
        <v>7</v>
      </c>
      <c r="U9" s="110"/>
      <c r="V9" s="110" t="s">
        <v>8</v>
      </c>
      <c r="W9" s="110"/>
      <c r="X9" s="21"/>
      <c r="Y9" s="21"/>
    </row>
    <row r="10" spans="1:25" x14ac:dyDescent="0.25">
      <c r="B10" s="6"/>
      <c r="C10" s="46" t="s">
        <v>87</v>
      </c>
      <c r="D10" s="47" t="s">
        <v>11</v>
      </c>
      <c r="E10" s="48" t="s">
        <v>12</v>
      </c>
      <c r="F10" s="49" t="s">
        <v>13</v>
      </c>
      <c r="G10" s="50" t="s">
        <v>14</v>
      </c>
      <c r="H10" s="51" t="s">
        <v>15</v>
      </c>
      <c r="I10" s="52" t="s">
        <v>16</v>
      </c>
      <c r="J10" s="53" t="s">
        <v>88</v>
      </c>
      <c r="K10" s="7" t="s">
        <v>18</v>
      </c>
      <c r="L10" s="54" t="s">
        <v>19</v>
      </c>
      <c r="M10" s="55" t="s">
        <v>20</v>
      </c>
      <c r="N10" s="56" t="s">
        <v>21</v>
      </c>
      <c r="O10" s="57" t="s">
        <v>45</v>
      </c>
      <c r="P10" s="58" t="s">
        <v>46</v>
      </c>
      <c r="Q10" s="59" t="s">
        <v>23</v>
      </c>
      <c r="R10" s="60" t="s">
        <v>24</v>
      </c>
      <c r="S10" s="12" t="s">
        <v>25</v>
      </c>
      <c r="T10" s="8" t="s">
        <v>47</v>
      </c>
      <c r="U10" s="56" t="s">
        <v>25</v>
      </c>
      <c r="V10" s="10" t="s">
        <v>48</v>
      </c>
      <c r="W10" s="61" t="s">
        <v>49</v>
      </c>
      <c r="X10" s="8" t="s">
        <v>50</v>
      </c>
      <c r="Y10" s="62" t="s">
        <v>51</v>
      </c>
    </row>
    <row r="11" spans="1:25" x14ac:dyDescent="0.25">
      <c r="B11" s="63" t="s">
        <v>54</v>
      </c>
      <c r="C11" s="64">
        <f>+'Lote Esp P'!D11</f>
        <v>30000</v>
      </c>
      <c r="D11" s="65">
        <v>1.0999999999999999E-2</v>
      </c>
      <c r="E11" s="66">
        <f>+C11*D11</f>
        <v>330</v>
      </c>
      <c r="F11" s="67">
        <v>3.5000000000000003E-2</v>
      </c>
      <c r="G11" s="68">
        <f>+E11*F11</f>
        <v>11.55</v>
      </c>
      <c r="H11" s="69">
        <f t="shared" ref="H11:H17" si="0">+G11/25</f>
        <v>0.46200000000000002</v>
      </c>
      <c r="I11" s="70">
        <f>+G11*30</f>
        <v>346.5</v>
      </c>
      <c r="J11" s="71">
        <v>1</v>
      </c>
      <c r="K11" s="20">
        <f>+I11/J11</f>
        <v>346.5</v>
      </c>
      <c r="L11" s="72">
        <f t="shared" ref="L11:L17" si="1">+K11+E11</f>
        <v>676.5</v>
      </c>
      <c r="M11" s="73">
        <f>+L11/C11</f>
        <v>2.2550000000000001E-2</v>
      </c>
      <c r="N11" s="74">
        <v>300</v>
      </c>
      <c r="O11" s="75">
        <f>+((N11/J11)+E11)/C11</f>
        <v>2.1000000000000001E-2</v>
      </c>
      <c r="P11" s="76">
        <f>+O11</f>
        <v>2.1000000000000001E-2</v>
      </c>
      <c r="Q11" s="70">
        <f>+((O11*(C11-S11)))</f>
        <v>626.85</v>
      </c>
      <c r="R11" s="77">
        <v>5.0000000000000001E-3</v>
      </c>
      <c r="S11" s="16">
        <f>+R11*C11</f>
        <v>150</v>
      </c>
      <c r="T11" s="78">
        <f t="shared" ref="T11:T17" si="2">+U11/C11*100</f>
        <v>0.5</v>
      </c>
      <c r="U11" s="79">
        <v>150</v>
      </c>
      <c r="V11" s="80"/>
      <c r="W11" s="81"/>
      <c r="X11" s="82">
        <f>+(C12*D12)-(C11*D11)</f>
        <v>296.85000000000002</v>
      </c>
      <c r="Y11" s="83">
        <f>+N11/X11</f>
        <v>1.0106114199090448</v>
      </c>
    </row>
    <row r="12" spans="1:25" x14ac:dyDescent="0.25">
      <c r="B12" s="63" t="s">
        <v>72</v>
      </c>
      <c r="C12" s="64">
        <f>C11-U11-V11+W11</f>
        <v>29850</v>
      </c>
      <c r="D12" s="65">
        <f>+P11</f>
        <v>2.1000000000000001E-2</v>
      </c>
      <c r="E12" s="66">
        <f>+D12*C12</f>
        <v>626.85</v>
      </c>
      <c r="F12" s="67">
        <v>0.03</v>
      </c>
      <c r="G12" s="68">
        <f>+L11*F12</f>
        <v>20.294999999999998</v>
      </c>
      <c r="H12" s="69">
        <f t="shared" si="0"/>
        <v>0.81179999999999997</v>
      </c>
      <c r="I12" s="70">
        <f>+G12*30</f>
        <v>608.84999999999991</v>
      </c>
      <c r="J12" s="71">
        <v>1.2</v>
      </c>
      <c r="K12" s="20">
        <f>+I12/J12</f>
        <v>507.37499999999994</v>
      </c>
      <c r="L12" s="72">
        <f>+K12+E12</f>
        <v>1134.2249999999999</v>
      </c>
      <c r="M12" s="73">
        <f>+L12/C12</f>
        <v>3.799748743718593E-2</v>
      </c>
      <c r="N12" s="74">
        <v>608</v>
      </c>
      <c r="O12" s="75">
        <f t="shared" ref="O12:O17" si="3">+((N12/J12)+E12)/C12</f>
        <v>3.7973757677275267E-2</v>
      </c>
      <c r="P12" s="76">
        <f t="shared" ref="P12:P17" si="4">+O12</f>
        <v>3.7973757677275267E-2</v>
      </c>
      <c r="Q12" s="70">
        <f t="shared" ref="Q12:Q17" si="5">+((O12*(C12-S12)))</f>
        <v>1127.8490833333335</v>
      </c>
      <c r="R12" s="77">
        <f>+R11</f>
        <v>5.0000000000000001E-3</v>
      </c>
      <c r="S12" s="16">
        <f t="shared" ref="S12:S17" si="6">+C12*R12</f>
        <v>149.25</v>
      </c>
      <c r="T12" s="78">
        <f t="shared" si="2"/>
        <v>0.5</v>
      </c>
      <c r="U12" s="79">
        <f>+S12</f>
        <v>149.25</v>
      </c>
      <c r="V12" s="84"/>
      <c r="W12" s="81"/>
      <c r="X12" s="82">
        <f>+(C13*D13)-(C12*D12)</f>
        <v>500.99908333333349</v>
      </c>
      <c r="Y12" s="83">
        <f>+N12/X12</f>
        <v>1.2135750747381604</v>
      </c>
    </row>
    <row r="13" spans="1:25" x14ac:dyDescent="0.25">
      <c r="B13" s="63" t="s">
        <v>73</v>
      </c>
      <c r="C13" s="64">
        <f t="shared" ref="C13:C17" si="7">C12-U12-V12+W12</f>
        <v>29700.75</v>
      </c>
      <c r="D13" s="65">
        <f t="shared" ref="D13:D17" si="8">+P12</f>
        <v>3.7973757677275267E-2</v>
      </c>
      <c r="E13" s="66">
        <f t="shared" ref="E13:E17" si="9">+D13*C13</f>
        <v>1127.8490833333335</v>
      </c>
      <c r="F13" s="67">
        <v>1.4999999999999999E-2</v>
      </c>
      <c r="G13" s="68">
        <f>+Q12*F13</f>
        <v>16.917736250000001</v>
      </c>
      <c r="H13" s="69">
        <f t="shared" si="0"/>
        <v>0.67670945000000005</v>
      </c>
      <c r="I13" s="70">
        <f>+G13*20</f>
        <v>338.35472500000003</v>
      </c>
      <c r="J13" s="71">
        <v>1.2</v>
      </c>
      <c r="K13" s="20">
        <f t="shared" ref="K13:K17" si="10">+I13/J13</f>
        <v>281.96227083333338</v>
      </c>
      <c r="L13" s="72">
        <f t="shared" si="1"/>
        <v>1409.8113541666669</v>
      </c>
      <c r="M13" s="73">
        <f t="shared" ref="M13:M17" si="11">+L13/C13</f>
        <v>4.746719709659409E-2</v>
      </c>
      <c r="N13" s="74">
        <v>250</v>
      </c>
      <c r="O13" s="75">
        <f t="shared" si="3"/>
        <v>4.4988170893552074E-2</v>
      </c>
      <c r="P13" s="76">
        <f t="shared" si="4"/>
        <v>4.4988170893552074E-2</v>
      </c>
      <c r="Q13" s="70">
        <f t="shared" si="5"/>
        <v>1322.8205925000002</v>
      </c>
      <c r="R13" s="77">
        <v>0.01</v>
      </c>
      <c r="S13" s="16">
        <f t="shared" si="6"/>
        <v>297.00749999999999</v>
      </c>
      <c r="T13" s="78">
        <f t="shared" si="2"/>
        <v>1</v>
      </c>
      <c r="U13" s="79">
        <f t="shared" ref="U13:U17" si="12">+S13</f>
        <v>297.00749999999999</v>
      </c>
      <c r="V13" s="84"/>
      <c r="W13" s="26"/>
      <c r="X13" s="82">
        <f>+(C14*D14)-(C13*D13)</f>
        <v>194.97150916666669</v>
      </c>
      <c r="Y13" s="83">
        <f>+N13/X13</f>
        <v>1.2822386258819669</v>
      </c>
    </row>
    <row r="14" spans="1:25" x14ac:dyDescent="0.25">
      <c r="B14" s="63" t="s">
        <v>74</v>
      </c>
      <c r="C14" s="64">
        <f t="shared" si="7"/>
        <v>29403.7425</v>
      </c>
      <c r="D14" s="65">
        <f t="shared" si="8"/>
        <v>4.4988170893552074E-2</v>
      </c>
      <c r="E14" s="66">
        <f t="shared" si="9"/>
        <v>1322.8205925000002</v>
      </c>
      <c r="F14" s="67">
        <v>1.4999999999999999E-2</v>
      </c>
      <c r="G14" s="68">
        <f>+Q13*F14</f>
        <v>19.842308887500003</v>
      </c>
      <c r="H14" s="69">
        <f t="shared" si="0"/>
        <v>0.79369235550000017</v>
      </c>
      <c r="I14" s="70">
        <f>+G14*10</f>
        <v>198.42308887500002</v>
      </c>
      <c r="J14" s="71">
        <v>1.2</v>
      </c>
      <c r="K14" s="20">
        <f t="shared" si="10"/>
        <v>165.35257406250003</v>
      </c>
      <c r="L14" s="72">
        <f t="shared" si="1"/>
        <v>1488.1731665625002</v>
      </c>
      <c r="M14" s="73">
        <f t="shared" si="11"/>
        <v>5.0611692255246088E-2</v>
      </c>
      <c r="N14" s="74">
        <v>144.1</v>
      </c>
      <c r="O14" s="75">
        <f t="shared" si="3"/>
        <v>4.9072118143917681E-2</v>
      </c>
      <c r="P14" s="76">
        <f t="shared" si="4"/>
        <v>4.9072118143917681E-2</v>
      </c>
      <c r="Q14" s="70">
        <f t="shared" si="5"/>
        <v>1428.4748865750003</v>
      </c>
      <c r="R14" s="77">
        <v>0.01</v>
      </c>
      <c r="S14" s="16">
        <f t="shared" si="6"/>
        <v>294.03742499999998</v>
      </c>
      <c r="T14" s="78">
        <f t="shared" si="2"/>
        <v>1</v>
      </c>
      <c r="U14" s="79">
        <f t="shared" si="12"/>
        <v>294.03742499999998</v>
      </c>
      <c r="V14" s="84"/>
      <c r="W14" s="26"/>
      <c r="X14" s="82">
        <f>+(C15*D15)-(C14*D14)</f>
        <v>105.65429407500005</v>
      </c>
      <c r="Y14" s="83">
        <f>+N14/X14</f>
        <v>1.3638820954850048</v>
      </c>
    </row>
    <row r="15" spans="1:25" x14ac:dyDescent="0.25">
      <c r="B15" s="63" t="s">
        <v>52</v>
      </c>
      <c r="C15" s="64">
        <f t="shared" si="7"/>
        <v>29109.705075000002</v>
      </c>
      <c r="D15" s="65">
        <f t="shared" si="8"/>
        <v>4.9072118143917681E-2</v>
      </c>
      <c r="E15" s="66">
        <f t="shared" si="9"/>
        <v>1428.4748865750003</v>
      </c>
      <c r="F15" s="67">
        <v>0.02</v>
      </c>
      <c r="G15" s="68">
        <f>+L13*F15</f>
        <v>28.196227083333337</v>
      </c>
      <c r="H15" s="69">
        <f t="shared" si="0"/>
        <v>1.1278490833333334</v>
      </c>
      <c r="I15" s="70">
        <f t="shared" ref="I15:I17" si="13">+G15*30</f>
        <v>845.88681250000013</v>
      </c>
      <c r="J15" s="71">
        <v>1.5</v>
      </c>
      <c r="K15" s="20">
        <f t="shared" si="10"/>
        <v>563.92454166666676</v>
      </c>
      <c r="L15" s="72">
        <f t="shared" si="1"/>
        <v>1992.399428241667</v>
      </c>
      <c r="M15" s="73">
        <f t="shared" si="11"/>
        <v>6.8444507531365537E-2</v>
      </c>
      <c r="N15" s="74">
        <v>626.4</v>
      </c>
      <c r="O15" s="75">
        <f t="shared" si="3"/>
        <v>6.3417849195608861E-2</v>
      </c>
      <c r="P15" s="76">
        <f t="shared" si="4"/>
        <v>6.3417849195608861E-2</v>
      </c>
      <c r="Q15" s="70">
        <f t="shared" si="5"/>
        <v>1753.7711422462501</v>
      </c>
      <c r="R15" s="77">
        <v>0.05</v>
      </c>
      <c r="S15" s="16">
        <f t="shared" si="6"/>
        <v>1455.4852537500001</v>
      </c>
      <c r="T15" s="78">
        <f t="shared" si="2"/>
        <v>5</v>
      </c>
      <c r="U15" s="79">
        <f t="shared" si="12"/>
        <v>1455.4852537500001</v>
      </c>
      <c r="V15" s="84"/>
      <c r="W15" s="26"/>
      <c r="X15" s="82">
        <f>+(C16*D16)-(C15*D15)</f>
        <v>325.29625567124981</v>
      </c>
      <c r="Y15" s="83">
        <f>+N15/X15</f>
        <v>1.9256292966158546</v>
      </c>
    </row>
    <row r="16" spans="1:25" x14ac:dyDescent="0.25">
      <c r="B16" s="63" t="s">
        <v>75</v>
      </c>
      <c r="C16" s="64">
        <f t="shared" si="7"/>
        <v>27654.219821250001</v>
      </c>
      <c r="D16" s="65">
        <f t="shared" si="8"/>
        <v>6.3417849195608861E-2</v>
      </c>
      <c r="E16" s="66">
        <f t="shared" si="9"/>
        <v>1753.7711422462501</v>
      </c>
      <c r="F16" s="67">
        <v>0.03</v>
      </c>
      <c r="G16" s="68">
        <f>+L15*F16</f>
        <v>59.771982847250008</v>
      </c>
      <c r="H16" s="69">
        <f t="shared" si="0"/>
        <v>2.3908793138900002</v>
      </c>
      <c r="I16" s="70">
        <f t="shared" si="13"/>
        <v>1793.1594854175003</v>
      </c>
      <c r="J16" s="71">
        <v>1.2</v>
      </c>
      <c r="K16" s="20">
        <f t="shared" si="10"/>
        <v>1494.2995711812503</v>
      </c>
      <c r="L16" s="72">
        <f t="shared" si="1"/>
        <v>3248.0707134275003</v>
      </c>
      <c r="M16" s="73">
        <f t="shared" si="11"/>
        <v>0.11745298672037113</v>
      </c>
      <c r="N16" s="74">
        <v>1400</v>
      </c>
      <c r="O16" s="75">
        <f t="shared" si="3"/>
        <v>0.10560550352857179</v>
      </c>
      <c r="P16" s="76">
        <f t="shared" si="4"/>
        <v>0.10560550352857179</v>
      </c>
      <c r="Q16" s="70">
        <f t="shared" si="5"/>
        <v>2862.0290527346583</v>
      </c>
      <c r="R16" s="77">
        <v>0.02</v>
      </c>
      <c r="S16" s="16">
        <f t="shared" si="6"/>
        <v>553.08439642500002</v>
      </c>
      <c r="T16" s="78">
        <f t="shared" si="2"/>
        <v>2</v>
      </c>
      <c r="U16" s="79">
        <f t="shared" si="12"/>
        <v>553.08439642500002</v>
      </c>
      <c r="V16" s="85">
        <f>+D22+D23</f>
        <v>27654.219821250001</v>
      </c>
      <c r="W16" s="86">
        <f>+D24</f>
        <v>24700</v>
      </c>
      <c r="X16" s="82">
        <f t="shared" ref="X16" si="14">+(C17*D17)-(C16*D16)</f>
        <v>796.27603873121438</v>
      </c>
      <c r="Y16" s="83">
        <f t="shared" ref="Y16" si="15">+N16/X16</f>
        <v>1.7581842626217397</v>
      </c>
    </row>
    <row r="17" spans="2:25" x14ac:dyDescent="0.25">
      <c r="B17" s="63" t="s">
        <v>53</v>
      </c>
      <c r="C17" s="64">
        <f t="shared" si="7"/>
        <v>24146.915603574998</v>
      </c>
      <c r="D17" s="65">
        <f t="shared" si="8"/>
        <v>0.10560550352857179</v>
      </c>
      <c r="E17" s="66">
        <f t="shared" si="9"/>
        <v>2550.0471809774644</v>
      </c>
      <c r="F17" s="67">
        <v>0.02</v>
      </c>
      <c r="G17" s="68">
        <f>+E17*F17</f>
        <v>51.00094361954929</v>
      </c>
      <c r="H17" s="69">
        <f t="shared" si="0"/>
        <v>2.0400377447819715</v>
      </c>
      <c r="I17" s="70">
        <f t="shared" si="13"/>
        <v>1530.0283085864787</v>
      </c>
      <c r="J17" s="71">
        <v>1.2</v>
      </c>
      <c r="K17" s="20">
        <f t="shared" si="10"/>
        <v>1275.0235904887322</v>
      </c>
      <c r="L17" s="72">
        <f t="shared" si="1"/>
        <v>3825.0707714661967</v>
      </c>
      <c r="M17" s="73">
        <f t="shared" si="11"/>
        <v>0.15840825529285768</v>
      </c>
      <c r="N17" s="74">
        <f t="shared" ref="N17" si="16">+I17</f>
        <v>1530.0283085864787</v>
      </c>
      <c r="O17" s="75">
        <f t="shared" si="3"/>
        <v>0.15840825529285768</v>
      </c>
      <c r="P17" s="76">
        <f t="shared" si="4"/>
        <v>0.15840825529285768</v>
      </c>
      <c r="Q17" s="70">
        <f t="shared" si="5"/>
        <v>3805.9454176088657</v>
      </c>
      <c r="R17" s="77">
        <v>5.0000000000000001E-3</v>
      </c>
      <c r="S17" s="16">
        <f t="shared" si="6"/>
        <v>120.73457801787499</v>
      </c>
      <c r="T17" s="78">
        <f t="shared" si="2"/>
        <v>0.5</v>
      </c>
      <c r="U17" s="79">
        <f t="shared" si="12"/>
        <v>120.73457801787499</v>
      </c>
      <c r="V17" s="87"/>
      <c r="W17" s="26"/>
      <c r="X17" s="82"/>
      <c r="Y17" s="83"/>
    </row>
    <row r="18" spans="2:25" x14ac:dyDescent="0.25">
      <c r="O18" s="103"/>
    </row>
    <row r="19" spans="2:25" x14ac:dyDescent="0.25">
      <c r="O19" s="103"/>
    </row>
    <row r="20" spans="2:25" x14ac:dyDescent="0.25">
      <c r="B20" s="111" t="s">
        <v>55</v>
      </c>
      <c r="C20" s="111"/>
      <c r="D20" s="111"/>
      <c r="E20" s="111"/>
      <c r="F20" s="111"/>
      <c r="G20" s="111"/>
      <c r="O20" s="103"/>
    </row>
    <row r="21" spans="2:25" x14ac:dyDescent="0.25">
      <c r="B21" s="88" t="s">
        <v>31</v>
      </c>
      <c r="C21" s="89" t="s">
        <v>11</v>
      </c>
      <c r="D21" s="89" t="s">
        <v>56</v>
      </c>
      <c r="E21" s="3" t="s">
        <v>57</v>
      </c>
      <c r="F21" s="89" t="s">
        <v>49</v>
      </c>
      <c r="G21" s="89" t="s">
        <v>48</v>
      </c>
      <c r="H21" s="4"/>
      <c r="I21" s="4"/>
      <c r="J21" s="4"/>
      <c r="K21" s="4"/>
      <c r="L21" s="4"/>
      <c r="M21" s="4"/>
      <c r="O21" s="103"/>
    </row>
    <row r="22" spans="2:25" x14ac:dyDescent="0.25">
      <c r="B22" s="90">
        <v>44813</v>
      </c>
      <c r="C22" s="36"/>
      <c r="D22" s="36">
        <v>8600</v>
      </c>
      <c r="E22" s="36"/>
      <c r="F22" s="36"/>
      <c r="G22" s="36">
        <v>13</v>
      </c>
      <c r="H22" s="91">
        <v>8.4000000000000005E-2</v>
      </c>
      <c r="I22" s="14"/>
      <c r="J22" s="14"/>
      <c r="K22" s="14"/>
      <c r="L22" s="14"/>
      <c r="M22" s="14"/>
      <c r="O22" s="103"/>
    </row>
    <row r="23" spans="2:25" x14ac:dyDescent="0.25">
      <c r="B23" s="90">
        <v>44813</v>
      </c>
      <c r="C23" s="36"/>
      <c r="D23" s="92">
        <f>+C16-D22</f>
        <v>19054.219821250001</v>
      </c>
      <c r="E23" s="36"/>
      <c r="F23" s="39"/>
      <c r="G23" s="92">
        <v>9</v>
      </c>
      <c r="H23" s="93">
        <v>3.9E-2</v>
      </c>
      <c r="I23" s="29"/>
      <c r="J23" s="42"/>
      <c r="K23" s="30"/>
      <c r="L23" s="14"/>
      <c r="M23" s="40"/>
      <c r="O23" s="104"/>
    </row>
    <row r="24" spans="2:25" x14ac:dyDescent="0.25">
      <c r="B24" s="90">
        <v>44813</v>
      </c>
      <c r="C24" s="36">
        <v>0.04</v>
      </c>
      <c r="D24" s="36">
        <v>24700</v>
      </c>
      <c r="E24" s="94"/>
      <c r="F24" s="95">
        <v>5</v>
      </c>
      <c r="G24" s="96"/>
      <c r="H24" s="92"/>
      <c r="I24" s="29"/>
      <c r="J24" s="40"/>
      <c r="K24" s="30"/>
      <c r="L24" s="14"/>
      <c r="M24" s="40"/>
    </row>
    <row r="25" spans="2:25" x14ac:dyDescent="0.25">
      <c r="L25" s="14"/>
    </row>
    <row r="26" spans="2:25" x14ac:dyDescent="0.25">
      <c r="L26" s="14"/>
    </row>
    <row r="27" spans="2:25" x14ac:dyDescent="0.25">
      <c r="E27" s="97"/>
      <c r="F27" s="98"/>
      <c r="L27" s="14"/>
    </row>
    <row r="28" spans="2:25" x14ac:dyDescent="0.25">
      <c r="B28" s="99" t="s">
        <v>58</v>
      </c>
      <c r="C28" s="99"/>
      <c r="D28" s="99"/>
      <c r="E28" s="99"/>
      <c r="F28" s="99"/>
      <c r="G28" s="99"/>
      <c r="L28" s="14"/>
    </row>
    <row r="29" spans="2:25" x14ac:dyDescent="0.25">
      <c r="B29" s="100" t="s">
        <v>59</v>
      </c>
      <c r="C29" s="100"/>
      <c r="D29" s="100"/>
      <c r="E29" s="100" t="s">
        <v>60</v>
      </c>
      <c r="F29" s="100"/>
      <c r="G29" s="100"/>
      <c r="H29" s="100"/>
      <c r="I29" s="100"/>
      <c r="L29" s="14"/>
    </row>
    <row r="30" spans="2:25" x14ac:dyDescent="0.25">
      <c r="B30" s="101" t="s">
        <v>61</v>
      </c>
      <c r="C30" s="101"/>
      <c r="D30" s="101"/>
      <c r="E30" s="101"/>
      <c r="F30" s="101"/>
      <c r="L30" s="14"/>
    </row>
    <row r="31" spans="2:25" x14ac:dyDescent="0.25">
      <c r="B31" s="102" t="s">
        <v>62</v>
      </c>
      <c r="C31" s="102"/>
      <c r="D31" s="102"/>
      <c r="E31" s="102"/>
      <c r="F31" s="102"/>
      <c r="L31" s="14"/>
    </row>
    <row r="32" spans="2:25" x14ac:dyDescent="0.25">
      <c r="L32" s="14"/>
    </row>
    <row r="33" spans="2:12" x14ac:dyDescent="0.25">
      <c r="L33" s="14"/>
    </row>
    <row r="34" spans="2:12" x14ac:dyDescent="0.25">
      <c r="B34" t="s">
        <v>63</v>
      </c>
      <c r="L34" s="14"/>
    </row>
    <row r="35" spans="2:12" x14ac:dyDescent="0.25">
      <c r="L35" s="14"/>
    </row>
    <row r="36" spans="2:12" x14ac:dyDescent="0.25">
      <c r="B36" t="s">
        <v>64</v>
      </c>
      <c r="L36" s="14"/>
    </row>
    <row r="37" spans="2:12" x14ac:dyDescent="0.25">
      <c r="B37" t="s">
        <v>65</v>
      </c>
      <c r="L37" s="14"/>
    </row>
    <row r="38" spans="2:12" x14ac:dyDescent="0.25">
      <c r="L38" s="14"/>
    </row>
    <row r="39" spans="2:12" x14ac:dyDescent="0.25">
      <c r="L39" s="14"/>
    </row>
    <row r="40" spans="2:12" x14ac:dyDescent="0.25">
      <c r="B40" t="s">
        <v>66</v>
      </c>
      <c r="F40" t="s">
        <v>67</v>
      </c>
      <c r="L40" s="14"/>
    </row>
    <row r="41" spans="2:12" x14ac:dyDescent="0.25">
      <c r="B41" t="s">
        <v>68</v>
      </c>
      <c r="L41" s="14"/>
    </row>
    <row r="42" spans="2:12" x14ac:dyDescent="0.25">
      <c r="B42" t="s">
        <v>69</v>
      </c>
      <c r="L42" s="14"/>
    </row>
    <row r="43" spans="2:12" x14ac:dyDescent="0.25">
      <c r="L43" s="14"/>
    </row>
    <row r="44" spans="2:12" x14ac:dyDescent="0.25">
      <c r="L44" s="14"/>
    </row>
    <row r="45" spans="2:12" x14ac:dyDescent="0.25">
      <c r="L45" s="14"/>
    </row>
  </sheetData>
  <sheetProtection selectLockedCells="1" selectUnlockedCells="1"/>
  <mergeCells count="7">
    <mergeCell ref="V9:W9"/>
    <mergeCell ref="B20:G20"/>
    <mergeCell ref="G9:I9"/>
    <mergeCell ref="K9:M9"/>
    <mergeCell ref="N9:Q9"/>
    <mergeCell ref="R9:S9"/>
    <mergeCell ref="T9:U9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2537-975B-4C63-8720-8119C584C796}">
  <dimension ref="B2:C14"/>
  <sheetViews>
    <sheetView workbookViewId="0">
      <selection activeCell="D15" sqref="D15"/>
    </sheetView>
  </sheetViews>
  <sheetFormatPr defaultRowHeight="15" x14ac:dyDescent="0.25"/>
  <cols>
    <col min="3" max="3" width="13.140625" customWidth="1"/>
  </cols>
  <sheetData>
    <row r="2" spans="2:3" x14ac:dyDescent="0.25">
      <c r="C2" t="s">
        <v>85</v>
      </c>
    </row>
    <row r="3" spans="2:3" x14ac:dyDescent="0.25">
      <c r="B3" t="s">
        <v>77</v>
      </c>
      <c r="C3" s="105">
        <v>2E-3</v>
      </c>
    </row>
    <row r="4" spans="2:3" x14ac:dyDescent="0.25">
      <c r="B4" t="s">
        <v>78</v>
      </c>
      <c r="C4" s="105">
        <v>2E-3</v>
      </c>
    </row>
    <row r="5" spans="2:3" x14ac:dyDescent="0.25">
      <c r="B5" t="s">
        <v>79</v>
      </c>
      <c r="C5">
        <v>0.2</v>
      </c>
    </row>
    <row r="6" spans="2:3" x14ac:dyDescent="0.25">
      <c r="B6" t="s">
        <v>80</v>
      </c>
      <c r="C6">
        <v>0.5</v>
      </c>
    </row>
    <row r="7" spans="2:3" x14ac:dyDescent="0.25">
      <c r="B7" t="s">
        <v>81</v>
      </c>
      <c r="C7">
        <v>0.5</v>
      </c>
    </row>
    <row r="8" spans="2:3" x14ac:dyDescent="0.25">
      <c r="B8" t="s">
        <v>72</v>
      </c>
      <c r="C8">
        <v>0.8</v>
      </c>
    </row>
    <row r="9" spans="2:3" x14ac:dyDescent="0.25">
      <c r="B9" t="s">
        <v>73</v>
      </c>
      <c r="C9">
        <v>1</v>
      </c>
    </row>
    <row r="10" spans="2:3" x14ac:dyDescent="0.25">
      <c r="B10" t="s">
        <v>74</v>
      </c>
      <c r="C10">
        <v>2</v>
      </c>
    </row>
    <row r="11" spans="2:3" x14ac:dyDescent="0.25">
      <c r="B11" t="s">
        <v>75</v>
      </c>
      <c r="C11">
        <v>1.5</v>
      </c>
    </row>
    <row r="12" spans="2:3" x14ac:dyDescent="0.25">
      <c r="B12" t="s">
        <v>82</v>
      </c>
      <c r="C12">
        <v>0.5</v>
      </c>
    </row>
    <row r="13" spans="2:3" x14ac:dyDescent="0.25">
      <c r="B13" t="s">
        <v>83</v>
      </c>
      <c r="C13">
        <v>0.2</v>
      </c>
    </row>
    <row r="14" spans="2:3" x14ac:dyDescent="0.25">
      <c r="B14" t="s">
        <v>84</v>
      </c>
      <c r="C14">
        <v>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Lote Esp P</vt:lpstr>
      <vt:lpstr>Jaula 7</vt:lpstr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Manuela</dc:creator>
  <cp:keywords/>
  <dc:description/>
  <cp:lastModifiedBy>Utilizador</cp:lastModifiedBy>
  <cp:revision>4</cp:revision>
  <dcterms:created xsi:type="dcterms:W3CDTF">2022-05-02T20:10:47Z</dcterms:created>
  <dcterms:modified xsi:type="dcterms:W3CDTF">2023-05-10T11:58:44Z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