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Projectos\Universidade de Aveiro\"/>
    </mc:Choice>
  </mc:AlternateContent>
  <xr:revisionPtr revIDLastSave="0" documentId="8_{ACBCBF35-22C6-44D9-A361-EF114CE1D3E0}" xr6:coauthVersionLast="47" xr6:coauthVersionMax="47" xr10:uidLastSave="{00000000-0000-0000-0000-000000000000}"/>
  <bookViews>
    <workbookView xWindow="-120" yWindow="-120" windowWidth="29040" windowHeight="15840" activeTab="1" xr2:uid="{3486DE80-113F-4F62-B327-9BE836CA1790}"/>
  </bookViews>
  <sheets>
    <sheet name="Lote Esp P" sheetId="5" r:id="rId1"/>
    <sheet name="Jaula 7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2" i="7" l="1"/>
  <c r="V22" i="7"/>
  <c r="U13" i="7"/>
  <c r="V13" i="7"/>
  <c r="T14" i="7"/>
  <c r="V14" i="7" s="1"/>
  <c r="C14" i="7"/>
  <c r="T11" i="7"/>
  <c r="Y12" i="7"/>
  <c r="Y13" i="7"/>
  <c r="Z13" i="7" s="1"/>
  <c r="Z12" i="7"/>
  <c r="Z11" i="7"/>
  <c r="Y11" i="7"/>
  <c r="M12" i="7"/>
  <c r="L12" i="7"/>
  <c r="K12" i="7"/>
  <c r="O11" i="7"/>
  <c r="U11" i="7"/>
  <c r="Q12" i="7"/>
  <c r="R11" i="7"/>
  <c r="Q13" i="7"/>
  <c r="Q15" i="7"/>
  <c r="Q11" i="7"/>
  <c r="X16" i="7"/>
  <c r="O14" i="7" l="1"/>
  <c r="O12" i="7" l="1"/>
  <c r="C1" i="5" l="1" a="1"/>
  <c r="C1" i="5" s="1"/>
  <c r="F27" i="7" l="1"/>
  <c r="F28" i="7" s="1"/>
  <c r="F29" i="7" s="1"/>
  <c r="J22" i="7"/>
  <c r="J23" i="7" s="1"/>
  <c r="J24" i="7" s="1"/>
  <c r="J25" i="7" s="1"/>
  <c r="J26" i="7" s="1"/>
  <c r="J27" i="7" s="1"/>
  <c r="J28" i="7" s="1"/>
  <c r="J29" i="7" s="1"/>
  <c r="S12" i="7"/>
  <c r="C11" i="7"/>
  <c r="E11" i="7" l="1"/>
  <c r="P11" i="7" s="1"/>
  <c r="V11" i="7"/>
  <c r="A11" i="5"/>
  <c r="A12" i="5" s="1"/>
  <c r="G11" i="7" l="1"/>
  <c r="I11" i="7" s="1"/>
  <c r="N11" i="7" s="1"/>
  <c r="C12" i="7"/>
  <c r="C13" i="7" s="1"/>
  <c r="H11" i="7" l="1"/>
  <c r="T12" i="7"/>
  <c r="U12" i="7" s="1"/>
  <c r="E12" i="7"/>
  <c r="K11" i="7"/>
  <c r="L11" i="7" s="1"/>
  <c r="M11" i="7" s="1"/>
  <c r="P5" i="5"/>
  <c r="N12" i="7" l="1"/>
  <c r="P12" i="7" s="1"/>
  <c r="R12" i="7" s="1"/>
  <c r="G12" i="7"/>
  <c r="T13" i="7" l="1"/>
  <c r="I12" i="7"/>
  <c r="H12" i="7"/>
  <c r="W5" i="5" l="1"/>
  <c r="X5" i="5" s="1"/>
  <c r="V5" i="5"/>
  <c r="S5" i="5"/>
  <c r="U5" i="5" s="1"/>
  <c r="E5" i="5"/>
  <c r="G5" i="5" s="1"/>
  <c r="I5" i="5" s="1"/>
  <c r="D13" i="7" l="1"/>
  <c r="G13" i="7"/>
  <c r="I13" i="7" s="1"/>
  <c r="H5" i="5"/>
  <c r="T5" i="5"/>
  <c r="O5" i="5"/>
  <c r="N5" i="5" s="1"/>
  <c r="K5" i="5"/>
  <c r="L5" i="5" s="1"/>
  <c r="C15" i="7" l="1"/>
  <c r="T15" i="7" s="1"/>
  <c r="H13" i="7"/>
  <c r="E13" i="7"/>
  <c r="M5" i="5"/>
  <c r="V15" i="7" l="1"/>
  <c r="U15" i="7" s="1"/>
  <c r="U14" i="7"/>
  <c r="O13" i="7"/>
  <c r="N13" i="7" s="1"/>
  <c r="K13" i="7"/>
  <c r="L13" i="7" s="1"/>
  <c r="Q5" i="5"/>
  <c r="C16" i="7" l="1"/>
  <c r="G15" i="7"/>
  <c r="M13" i="7"/>
  <c r="D14" i="7" s="1"/>
  <c r="T16" i="7" l="1"/>
  <c r="V16" i="7" s="1"/>
  <c r="U16" i="7" s="1"/>
  <c r="D34" i="7"/>
  <c r="W16" i="7" s="1"/>
  <c r="C18" i="7" s="1"/>
  <c r="E14" i="7"/>
  <c r="N14" i="7" s="1"/>
  <c r="P14" i="7" s="1"/>
  <c r="R13" i="7"/>
  <c r="G14" i="7" s="1"/>
  <c r="I14" i="7" s="1"/>
  <c r="I15" i="7"/>
  <c r="H15" i="7"/>
  <c r="T18" i="7" l="1"/>
  <c r="V18" i="7" s="1"/>
  <c r="U18" i="7" s="1"/>
  <c r="C19" i="7"/>
  <c r="R14" i="7"/>
  <c r="Q14" i="7"/>
  <c r="H14" i="7"/>
  <c r="O15" i="7"/>
  <c r="K15" i="7"/>
  <c r="T19" i="7" l="1"/>
  <c r="V19" i="7" s="1"/>
  <c r="K14" i="7"/>
  <c r="L14" i="7" s="1"/>
  <c r="M14" i="7" s="1"/>
  <c r="U19" i="7" l="1"/>
  <c r="C20" i="7"/>
  <c r="D15" i="7"/>
  <c r="Y14" i="7" l="1"/>
  <c r="Z14" i="7" s="1"/>
  <c r="Y15" i="7"/>
  <c r="Z15" i="7" s="1"/>
  <c r="T20" i="7"/>
  <c r="V20" i="7" s="1"/>
  <c r="E15" i="7"/>
  <c r="N15" i="7" s="1"/>
  <c r="U20" i="7" l="1"/>
  <c r="C21" i="7"/>
  <c r="L15" i="7"/>
  <c r="T21" i="7" l="1"/>
  <c r="V21" i="7" s="1"/>
  <c r="G16" i="7"/>
  <c r="M15" i="7"/>
  <c r="U21" i="7" l="1"/>
  <c r="C22" i="7"/>
  <c r="D16" i="7"/>
  <c r="R15" i="7"/>
  <c r="I16" i="7"/>
  <c r="H16" i="7"/>
  <c r="T22" i="7" l="1"/>
  <c r="K16" i="7"/>
  <c r="O16" i="7"/>
  <c r="E16" i="7"/>
  <c r="N16" i="7" l="1"/>
  <c r="C23" i="7"/>
  <c r="L16" i="7"/>
  <c r="M16" i="7" s="1"/>
  <c r="P16" i="7" s="1"/>
  <c r="Q16" i="7" s="1"/>
  <c r="T23" i="7" l="1"/>
  <c r="V23" i="7" s="1"/>
  <c r="R16" i="7"/>
  <c r="U23" i="7" l="1"/>
  <c r="C24" i="7"/>
  <c r="E18" i="7"/>
  <c r="G18" i="7" s="1"/>
  <c r="T24" i="7" l="1"/>
  <c r="V24" i="7" s="1"/>
  <c r="I18" i="7"/>
  <c r="H18" i="7"/>
  <c r="U24" i="7" l="1"/>
  <c r="C25" i="7"/>
  <c r="K18" i="7"/>
  <c r="L18" i="7" s="1"/>
  <c r="O18" i="7"/>
  <c r="N18" i="7" l="1"/>
  <c r="T25" i="7"/>
  <c r="V25" i="7" s="1"/>
  <c r="U25" i="7" s="1"/>
  <c r="M18" i="7"/>
  <c r="P18" i="7" s="1"/>
  <c r="Q18" i="7" s="1"/>
  <c r="G19" i="7"/>
  <c r="C26" i="7" l="1"/>
  <c r="I19" i="7"/>
  <c r="H19" i="7"/>
  <c r="D19" i="7"/>
  <c r="Y18" i="7" s="1"/>
  <c r="Z18" i="7" s="1"/>
  <c r="R18" i="7"/>
  <c r="T26" i="7" l="1"/>
  <c r="V26" i="7" s="1"/>
  <c r="E19" i="7"/>
  <c r="O19" i="7"/>
  <c r="K19" i="7"/>
  <c r="U26" i="7" l="1"/>
  <c r="C27" i="7"/>
  <c r="N19" i="7"/>
  <c r="L19" i="7"/>
  <c r="M19" i="7" s="1"/>
  <c r="P19" i="7" s="1"/>
  <c r="Q19" i="7" s="1"/>
  <c r="T27" i="7" l="1"/>
  <c r="V27" i="7" s="1"/>
  <c r="U27" i="7" s="1"/>
  <c r="G20" i="7"/>
  <c r="H20" i="7" s="1"/>
  <c r="D20" i="7"/>
  <c r="Y19" i="7" s="1"/>
  <c r="Z19" i="7" s="1"/>
  <c r="R19" i="7"/>
  <c r="C28" i="7" l="1"/>
  <c r="I20" i="7"/>
  <c r="O20" i="7" s="1"/>
  <c r="E20" i="7"/>
  <c r="T28" i="7" l="1"/>
  <c r="V28" i="7" s="1"/>
  <c r="N20" i="7"/>
  <c r="K20" i="7"/>
  <c r="L20" i="7" s="1"/>
  <c r="U28" i="7" l="1"/>
  <c r="C29" i="7"/>
  <c r="T29" i="7" s="1"/>
  <c r="V29" i="7" s="1"/>
  <c r="U29" i="7" s="1"/>
  <c r="M20" i="7"/>
  <c r="P20" i="7" s="1"/>
  <c r="Q20" i="7" s="1"/>
  <c r="G21" i="7"/>
  <c r="I21" i="7" l="1"/>
  <c r="H21" i="7"/>
  <c r="R20" i="7"/>
  <c r="D21" i="7"/>
  <c r="Y20" i="7" s="1"/>
  <c r="Z20" i="7" s="1"/>
  <c r="E21" i="7" l="1"/>
  <c r="O21" i="7"/>
  <c r="K21" i="7"/>
  <c r="N21" i="7" l="1"/>
  <c r="L21" i="7"/>
  <c r="M21" i="7" l="1"/>
  <c r="P21" i="7" s="1"/>
  <c r="Q21" i="7" s="1"/>
  <c r="G22" i="7"/>
  <c r="H22" i="7" l="1"/>
  <c r="I22" i="7"/>
  <c r="D22" i="7"/>
  <c r="Y21" i="7" s="1"/>
  <c r="Z21" i="7" s="1"/>
  <c r="R21" i="7"/>
  <c r="E22" i="7" l="1"/>
  <c r="K22" i="7"/>
  <c r="O22" i="7"/>
  <c r="N22" i="7" l="1"/>
  <c r="L22" i="7"/>
  <c r="G23" i="7" s="1"/>
  <c r="M22" i="7" l="1"/>
  <c r="P22" i="7" s="1"/>
  <c r="H23" i="7"/>
  <c r="I23" i="7"/>
  <c r="D23" i="7" l="1"/>
  <c r="Y22" i="7" s="1"/>
  <c r="Z22" i="7" s="1"/>
  <c r="Q22" i="7"/>
  <c r="R22" i="7"/>
  <c r="K23" i="7"/>
  <c r="O23" i="7"/>
  <c r="E23" i="7" l="1"/>
  <c r="N23" i="7"/>
  <c r="L23" i="7"/>
  <c r="M23" i="7" l="1"/>
  <c r="P23" i="7" s="1"/>
  <c r="Q23" i="7" s="1"/>
  <c r="G24" i="7"/>
  <c r="H24" i="7" l="1"/>
  <c r="I24" i="7"/>
  <c r="R23" i="7"/>
  <c r="D24" i="7"/>
  <c r="Y23" i="7" s="1"/>
  <c r="Z23" i="7" s="1"/>
  <c r="E24" i="7" l="1"/>
  <c r="K24" i="7"/>
  <c r="O24" i="7"/>
  <c r="N24" i="7" l="1"/>
  <c r="L24" i="7"/>
  <c r="G25" i="7" s="1"/>
  <c r="M24" i="7" l="1"/>
  <c r="P24" i="7" s="1"/>
  <c r="I25" i="7"/>
  <c r="H25" i="7"/>
  <c r="R24" i="7" l="1"/>
  <c r="Q24" i="7"/>
  <c r="D25" i="7"/>
  <c r="Y24" i="7" s="1"/>
  <c r="Z24" i="7" s="1"/>
  <c r="O25" i="7"/>
  <c r="K25" i="7"/>
  <c r="E25" i="7" l="1"/>
  <c r="L25" i="7" s="1"/>
  <c r="N25" i="7"/>
  <c r="G26" i="7" l="1"/>
  <c r="M25" i="7"/>
  <c r="P25" i="7" s="1"/>
  <c r="Q25" i="7" s="1"/>
  <c r="D26" i="7" l="1"/>
  <c r="Y25" i="7" s="1"/>
  <c r="Z25" i="7" s="1"/>
  <c r="R25" i="7"/>
  <c r="H26" i="7"/>
  <c r="I26" i="7"/>
  <c r="O26" i="7" l="1"/>
  <c r="K26" i="7"/>
  <c r="E26" i="7"/>
  <c r="N26" i="7" l="1"/>
  <c r="L26" i="7"/>
  <c r="M26" i="7" s="1"/>
  <c r="P26" i="7" s="1"/>
  <c r="Q26" i="7" s="1"/>
  <c r="G27" i="7" l="1"/>
  <c r="H27" i="7" s="1"/>
  <c r="D27" i="7"/>
  <c r="Y26" i="7" s="1"/>
  <c r="Z26" i="7" s="1"/>
  <c r="R26" i="7"/>
  <c r="I27" i="7" l="1"/>
  <c r="O27" i="7" s="1"/>
  <c r="E27" i="7"/>
  <c r="N27" i="7" l="1"/>
  <c r="K27" i="7"/>
  <c r="L27" i="7" s="1"/>
  <c r="M27" i="7" l="1"/>
  <c r="P27" i="7" s="1"/>
  <c r="Q27" i="7" s="1"/>
  <c r="G28" i="7"/>
  <c r="H28" i="7" l="1"/>
  <c r="I28" i="7"/>
  <c r="D28" i="7"/>
  <c r="Y27" i="7" s="1"/>
  <c r="Z27" i="7" s="1"/>
  <c r="R27" i="7"/>
  <c r="E28" i="7" l="1"/>
  <c r="O28" i="7"/>
  <c r="N28" i="7" s="1"/>
  <c r="K28" i="7"/>
  <c r="L28" i="7" l="1"/>
  <c r="G29" i="7" s="1"/>
  <c r="H29" i="7" s="1"/>
  <c r="I29" i="7"/>
  <c r="O29" i="7" s="1"/>
  <c r="K29" i="7" l="1"/>
  <c r="M28" i="7"/>
  <c r="P28" i="7" s="1"/>
  <c r="Q28" i="7" s="1"/>
  <c r="R28" i="7" l="1"/>
  <c r="D29" i="7"/>
  <c r="Y28" i="7" s="1"/>
  <c r="E29" i="7" l="1"/>
  <c r="N29" i="7" s="1"/>
  <c r="Z28" i="7"/>
  <c r="L29" i="7" l="1"/>
  <c r="M29" i="7" s="1"/>
  <c r="P29" i="7" s="1"/>
  <c r="R29" i="7" l="1"/>
  <c r="Q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<sst xmlns="http://schemas.openxmlformats.org/spreadsheetml/2006/main" count="124" uniqueCount="78">
  <si>
    <t>Ração</t>
  </si>
  <si>
    <t xml:space="preserve">Esperado a 30 dias </t>
  </si>
  <si>
    <t xml:space="preserve"> Real </t>
  </si>
  <si>
    <t xml:space="preserve">Calibragem </t>
  </si>
  <si>
    <t xml:space="preserve">Nº peixes </t>
  </si>
  <si>
    <t>PM</t>
  </si>
  <si>
    <t>Biom</t>
  </si>
  <si>
    <t xml:space="preserve">% alim </t>
  </si>
  <si>
    <t>kg</t>
  </si>
  <si>
    <t xml:space="preserve">sacos </t>
  </si>
  <si>
    <t xml:space="preserve">total 30 dias </t>
  </si>
  <si>
    <t>FC</t>
  </si>
  <si>
    <t>aum biom</t>
  </si>
  <si>
    <t>biom total</t>
  </si>
  <si>
    <t>P medio</t>
  </si>
  <si>
    <t xml:space="preserve">Alim real </t>
  </si>
  <si>
    <t xml:space="preserve">PM </t>
  </si>
  <si>
    <t xml:space="preserve">Biom real </t>
  </si>
  <si>
    <t>%</t>
  </si>
  <si>
    <t>Nº</t>
  </si>
  <si>
    <t xml:space="preserve">para </t>
  </si>
  <si>
    <t>Aum biom</t>
  </si>
  <si>
    <t xml:space="preserve">FC real </t>
  </si>
  <si>
    <t xml:space="preserve">Data </t>
  </si>
  <si>
    <t xml:space="preserve">Para </t>
  </si>
  <si>
    <t xml:space="preserve">número </t>
  </si>
  <si>
    <t xml:space="preserve">pequenos </t>
  </si>
  <si>
    <t xml:space="preserve">Peso médio </t>
  </si>
  <si>
    <t xml:space="preserve">número total </t>
  </si>
  <si>
    <t xml:space="preserve">real </t>
  </si>
  <si>
    <t>teóricas</t>
  </si>
  <si>
    <t xml:space="preserve">PM teorico C/ alim. real </t>
  </si>
  <si>
    <t>com mortalidade</t>
  </si>
  <si>
    <t>pequenos</t>
  </si>
  <si>
    <t xml:space="preserve">data </t>
  </si>
  <si>
    <t>perdas</t>
  </si>
  <si>
    <t>data</t>
  </si>
  <si>
    <t>lote ESP</t>
  </si>
  <si>
    <t xml:space="preserve">vacina </t>
  </si>
  <si>
    <t>jaula 10</t>
  </si>
  <si>
    <t>jaula 7</t>
  </si>
  <si>
    <t>jaula 9</t>
  </si>
  <si>
    <t xml:space="preserve">13 junho temperatura a 26 graus medida a 2 m profundidade </t>
  </si>
  <si>
    <t>8 e 26 Abril</t>
  </si>
  <si>
    <t>julho</t>
  </si>
  <si>
    <t>agosto</t>
  </si>
  <si>
    <t>outubro</t>
  </si>
  <si>
    <t>novembro</t>
  </si>
  <si>
    <t>dezembro</t>
  </si>
  <si>
    <t>janeiro</t>
  </si>
  <si>
    <t>fevereiro</t>
  </si>
  <si>
    <t xml:space="preserve">Lote espanha pequenos- entrada a 30 Março </t>
  </si>
  <si>
    <t>N TRUTAS</t>
  </si>
  <si>
    <t xml:space="preserve">Calibragens </t>
  </si>
  <si>
    <t>de</t>
  </si>
  <si>
    <t xml:space="preserve">foram vaciados e separados sem calibrar </t>
  </si>
  <si>
    <t>março</t>
  </si>
  <si>
    <t>abril</t>
  </si>
  <si>
    <t>maio</t>
  </si>
  <si>
    <t>junho</t>
  </si>
  <si>
    <t>j5</t>
  </si>
  <si>
    <t>c 13</t>
  </si>
  <si>
    <t xml:space="preserve">% alimentação - valor a ir buscar à tabela de temperaturas / tamanho </t>
  </si>
  <si>
    <t xml:space="preserve">celulas para introduzir os valores  reais </t>
  </si>
  <si>
    <t xml:space="preserve">valores a ir buscar à tabela do FC/ temperatura / tamanho </t>
  </si>
  <si>
    <t xml:space="preserve">pm teorico C/ alimentação real </t>
  </si>
  <si>
    <t>,quando não dados reais por defeito vai buscar os valores teoricos</t>
  </si>
  <si>
    <t>valores a ir buscar à tabela mortalidade/ temperatura / tamanho</t>
  </si>
  <si>
    <t xml:space="preserve">PM real </t>
  </si>
  <si>
    <t>% real</t>
  </si>
  <si>
    <t>Ajustes para ano seguinte devem poder ser validados</t>
  </si>
  <si>
    <t xml:space="preserve">o programa deve conseguir ir prevendo e atualizando as mortalidades, FC e % alimentação ou seja atualizando as tabelas que lhes estamos a dar </t>
  </si>
  <si>
    <t>estas novas tabelas só devem passar a ser utilizadas se forem validadas por nós</t>
  </si>
  <si>
    <t>% alimentação</t>
  </si>
  <si>
    <t>as células que quero ter possibilidade de visualizar no ecra são as que estão a negrito</t>
  </si>
  <si>
    <t xml:space="preserve">células que quero ter possibilidade de ajustar </t>
  </si>
  <si>
    <t>tabela de entrada e saida de peixe</t>
  </si>
  <si>
    <t xml:space="preserve">queria também ter a possibilidade de poder ver os kg/m3 de cada jaula para isso quando lanço os peixes numa jaula tenho que ter a possibilide de definir os m3 da jaula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</si>
</sst>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"/>
    <numFmt numFmtId="167" formatCode="0.0%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gray125">
        <bgColor rgb="FFFFC000"/>
      </patternFill>
    </fill>
    <fill>
      <patternFill patternType="gray125">
        <bgColor rgb="FFFFFF00"/>
      </patternFill>
    </fill>
    <fill>
      <patternFill patternType="gray125">
        <bgColor theme="0" tint="-0.249977111117893"/>
      </patternFill>
    </fill>
    <fill>
      <patternFill patternType="gray125">
        <bgColor theme="2" tint="-9.9978637043366805E-2"/>
      </patternFill>
    </fill>
    <fill>
      <patternFill patternType="gray125">
        <bgColor rgb="FF00B0F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2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5" xfId="0" applyBorder="1"/>
    <xf numFmtId="1" fontId="0" fillId="0" borderId="5" xfId="0" applyNumberFormat="1" applyBorder="1"/>
    <xf numFmtId="2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center"/>
    </xf>
    <xf numFmtId="165" fontId="0" fillId="0" borderId="5" xfId="0" applyNumberFormat="1" applyBorder="1"/>
    <xf numFmtId="168" fontId="0" fillId="0" borderId="5" xfId="0" applyNumberFormat="1" applyBorder="1"/>
    <xf numFmtId="164" fontId="0" fillId="2" borderId="5" xfId="0" applyNumberFormat="1" applyFill="1" applyBorder="1"/>
    <xf numFmtId="0" fontId="0" fillId="4" borderId="5" xfId="0" applyFill="1" applyBorder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5" xfId="0" applyFont="1" applyBorder="1"/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3" borderId="5" xfId="0" applyNumberFormat="1" applyFill="1" applyBorder="1"/>
    <xf numFmtId="1" fontId="0" fillId="3" borderId="5" xfId="0" applyNumberFormat="1" applyFill="1" applyBorder="1"/>
    <xf numFmtId="14" fontId="0" fillId="0" borderId="5" xfId="0" applyNumberFormat="1" applyBorder="1"/>
    <xf numFmtId="168" fontId="0" fillId="0" borderId="0" xfId="0" applyNumberFormat="1"/>
    <xf numFmtId="0" fontId="1" fillId="5" borderId="0" xfId="0" applyFon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16" fontId="0" fillId="0" borderId="5" xfId="0" applyNumberFormat="1" applyBorder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0" fillId="0" borderId="0" xfId="0" applyNumberFormat="1"/>
    <xf numFmtId="164" fontId="0" fillId="6" borderId="5" xfId="0" applyNumberFormat="1" applyFill="1" applyBorder="1"/>
    <xf numFmtId="49" fontId="0" fillId="0" borderId="5" xfId="0" applyNumberFormat="1" applyBorder="1"/>
    <xf numFmtId="164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" fontId="0" fillId="0" borderId="0" xfId="0" applyNumberFormat="1" applyAlignment="1">
      <alignment horizontal="right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" fontId="0" fillId="7" borderId="5" xfId="0" applyNumberFormat="1" applyFill="1" applyBorder="1"/>
    <xf numFmtId="0" fontId="1" fillId="3" borderId="6" xfId="0" applyFont="1" applyFill="1" applyBorder="1" applyAlignment="1">
      <alignment horizontal="center"/>
    </xf>
    <xf numFmtId="0" fontId="0" fillId="8" borderId="0" xfId="0" applyFill="1"/>
    <xf numFmtId="0" fontId="0" fillId="3" borderId="0" xfId="0" applyFill="1"/>
    <xf numFmtId="0" fontId="1" fillId="9" borderId="6" xfId="0" applyFon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/>
    <xf numFmtId="0" fontId="0" fillId="3" borderId="5" xfId="0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1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" fontId="1" fillId="0" borderId="2" xfId="0" applyNumberFormat="1" applyFont="1" applyBorder="1" applyAlignment="1">
      <alignment horizontal="right"/>
    </xf>
    <xf numFmtId="16" fontId="1" fillId="7" borderId="2" xfId="0" applyNumberFormat="1" applyFont="1" applyFill="1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6" fontId="0" fillId="0" borderId="4" xfId="0" applyNumberFormat="1" applyBorder="1"/>
    <xf numFmtId="166" fontId="0" fillId="7" borderId="4" xfId="0" applyNumberFormat="1" applyFill="1" applyBorder="1"/>
    <xf numFmtId="0" fontId="1" fillId="0" borderId="18" xfId="0" applyFont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6" fontId="0" fillId="0" borderId="2" xfId="0" applyNumberFormat="1" applyBorder="1"/>
    <xf numFmtId="0" fontId="1" fillId="2" borderId="18" xfId="0" applyFont="1" applyFill="1" applyBorder="1"/>
    <xf numFmtId="164" fontId="0" fillId="0" borderId="3" xfId="0" applyNumberFormat="1" applyBorder="1"/>
    <xf numFmtId="0" fontId="1" fillId="0" borderId="7" xfId="0" applyFont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8" fontId="0" fillId="0" borderId="2" xfId="0" applyNumberFormat="1" applyBorder="1"/>
    <xf numFmtId="168" fontId="0" fillId="7" borderId="2" xfId="0" applyNumberFormat="1" applyFill="1" applyBorder="1"/>
    <xf numFmtId="2" fontId="0" fillId="3" borderId="4" xfId="0" applyNumberFormat="1" applyFill="1" applyBorder="1"/>
    <xf numFmtId="1" fontId="0" fillId="3" borderId="4" xfId="0" applyNumberFormat="1" applyFill="1" applyBorder="1" applyAlignment="1">
      <alignment horizontal="center"/>
    </xf>
    <xf numFmtId="1" fontId="0" fillId="3" borderId="4" xfId="0" applyNumberFormat="1" applyFill="1" applyBorder="1"/>
    <xf numFmtId="0" fontId="0" fillId="3" borderId="4" xfId="0" applyFill="1" applyBorder="1"/>
    <xf numFmtId="1" fontId="0" fillId="0" borderId="2" xfId="0" applyNumberFormat="1" applyBorder="1"/>
    <xf numFmtId="0" fontId="1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10" borderId="19" xfId="0" applyNumberFormat="1" applyFill="1" applyBorder="1"/>
    <xf numFmtId="164" fontId="0" fillId="10" borderId="20" xfId="0" applyNumberFormat="1" applyFill="1" applyBorder="1"/>
    <xf numFmtId="1" fontId="0" fillId="1" borderId="12" xfId="0" applyNumberFormat="1" applyFill="1" applyBorder="1"/>
    <xf numFmtId="168" fontId="0" fillId="1" borderId="5" xfId="0" applyNumberFormat="1" applyFill="1" applyBorder="1"/>
    <xf numFmtId="166" fontId="0" fillId="1" borderId="13" xfId="0" applyNumberFormat="1" applyFill="1" applyBorder="1"/>
    <xf numFmtId="167" fontId="0" fillId="11" borderId="12" xfId="0" applyNumberFormat="1" applyFill="1" applyBorder="1" applyAlignment="1">
      <alignment horizontal="right" vertical="center"/>
    </xf>
    <xf numFmtId="2" fontId="0" fillId="1" borderId="2" xfId="0" applyNumberFormat="1" applyFill="1" applyBorder="1"/>
    <xf numFmtId="166" fontId="0" fillId="1" borderId="19" xfId="0" applyNumberFormat="1" applyFill="1" applyBorder="1"/>
    <xf numFmtId="164" fontId="0" fillId="1" borderId="5" xfId="0" applyNumberFormat="1" applyFill="1" applyBorder="1"/>
    <xf numFmtId="1" fontId="0" fillId="12" borderId="12" xfId="0" applyNumberFormat="1" applyFill="1" applyBorder="1"/>
    <xf numFmtId="164" fontId="0" fillId="13" borderId="5" xfId="0" applyNumberFormat="1" applyFill="1" applyBorder="1"/>
    <xf numFmtId="166" fontId="0" fillId="12" borderId="13" xfId="0" applyNumberFormat="1" applyFill="1" applyBorder="1"/>
    <xf numFmtId="2" fontId="0" fillId="12" borderId="2" xfId="0" applyNumberFormat="1" applyFill="1" applyBorder="1"/>
    <xf numFmtId="166" fontId="0" fillId="12" borderId="19" xfId="0" applyNumberFormat="1" applyFill="1" applyBorder="1"/>
    <xf numFmtId="1" fontId="0" fillId="1" borderId="14" xfId="0" applyNumberFormat="1" applyFill="1" applyBorder="1"/>
    <xf numFmtId="164" fontId="0" fillId="1" borderId="15" xfId="0" applyNumberFormat="1" applyFill="1" applyBorder="1"/>
    <xf numFmtId="166" fontId="0" fillId="1" borderId="16" xfId="0" applyNumberFormat="1" applyFill="1" applyBorder="1"/>
    <xf numFmtId="167" fontId="0" fillId="11" borderId="14" xfId="0" applyNumberFormat="1" applyFill="1" applyBorder="1" applyAlignment="1">
      <alignment horizontal="right" vertical="center"/>
    </xf>
    <xf numFmtId="2" fontId="0" fillId="1" borderId="22" xfId="0" applyNumberFormat="1" applyFill="1" applyBorder="1"/>
    <xf numFmtId="166" fontId="0" fillId="1" borderId="20" xfId="0" applyNumberFormat="1" applyFill="1" applyBorder="1"/>
    <xf numFmtId="166" fontId="0" fillId="14" borderId="19" xfId="0" applyNumberFormat="1" applyFill="1" applyBorder="1"/>
    <xf numFmtId="164" fontId="0" fillId="1" borderId="12" xfId="0" applyNumberFormat="1" applyFill="1" applyBorder="1"/>
    <xf numFmtId="164" fontId="0" fillId="14" borderId="13" xfId="0" applyNumberFormat="1" applyFill="1" applyBorder="1"/>
    <xf numFmtId="166" fontId="0" fillId="14" borderId="20" xfId="0" applyNumberFormat="1" applyFill="1" applyBorder="1"/>
    <xf numFmtId="164" fontId="0" fillId="1" borderId="14" xfId="0" applyNumberFormat="1" applyFill="1" applyBorder="1"/>
    <xf numFmtId="164" fontId="0" fillId="14" borderId="16" xfId="0" applyNumberFormat="1" applyFill="1" applyBorder="1"/>
    <xf numFmtId="1" fontId="0" fillId="14" borderId="19" xfId="0" applyNumberFormat="1" applyFill="1" applyBorder="1"/>
    <xf numFmtId="1" fontId="0" fillId="14" borderId="20" xfId="0" applyNumberFormat="1" applyFill="1" applyBorder="1"/>
    <xf numFmtId="168" fontId="0" fillId="1" borderId="19" xfId="0" applyNumberFormat="1" applyFill="1" applyBorder="1"/>
    <xf numFmtId="168" fontId="0" fillId="1" borderId="2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9E66-4CD8-4FD0-AA3F-76231F937FCA}">
  <dimension ref="A1:Z39"/>
  <sheetViews>
    <sheetView workbookViewId="0">
      <selection activeCell="F33" sqref="F33"/>
    </sheetView>
  </sheetViews>
  <sheetFormatPr defaultRowHeight="15" x14ac:dyDescent="0.25"/>
  <cols>
    <col min="1" max="2" width="13" customWidth="1"/>
    <col min="3" max="3" width="14.7109375" customWidth="1"/>
    <col min="4" max="4" width="12.140625" customWidth="1"/>
    <col min="5" max="5" width="15.5703125" customWidth="1"/>
    <col min="6" max="6" width="13.42578125" customWidth="1"/>
    <col min="9" max="9" width="13.140625" customWidth="1"/>
    <col min="10" max="10" width="13.42578125" customWidth="1"/>
    <col min="11" max="12" width="14.140625" customWidth="1"/>
    <col min="14" max="14" width="12.85546875" customWidth="1"/>
    <col min="20" max="20" width="9.5703125" customWidth="1"/>
    <col min="21" max="21" width="10" customWidth="1"/>
    <col min="22" max="22" width="10.7109375" bestFit="1" customWidth="1"/>
    <col min="23" max="23" width="14.28515625" customWidth="1"/>
    <col min="24" max="24" width="12.140625" customWidth="1"/>
  </cols>
  <sheetData>
    <row r="1" spans="1:25" x14ac:dyDescent="0.25">
      <c r="A1" s="33" t="s">
        <v>37</v>
      </c>
      <c r="B1" t="s">
        <v>33</v>
      </c>
      <c r="C1" t="e" cm="1">
        <f t="array" ref="C1">- chegaram e não foram calibrados so vacinados</f>
        <v>#NAME?</v>
      </c>
    </row>
    <row r="2" spans="1:25" x14ac:dyDescent="0.25">
      <c r="B2" s="33"/>
    </row>
    <row r="3" spans="1:25" x14ac:dyDescent="0.25">
      <c r="C3" s="3"/>
      <c r="G3" s="101" t="s">
        <v>0</v>
      </c>
      <c r="H3" s="102"/>
      <c r="I3" s="103"/>
      <c r="J3" s="4"/>
      <c r="K3" s="104" t="s">
        <v>1</v>
      </c>
      <c r="L3" s="105"/>
      <c r="M3" s="106"/>
      <c r="N3" s="107" t="s">
        <v>31</v>
      </c>
      <c r="O3" s="109" t="s">
        <v>2</v>
      </c>
      <c r="P3" s="110"/>
      <c r="Q3" s="111"/>
      <c r="R3" s="99" t="s">
        <v>30</v>
      </c>
      <c r="S3" s="99"/>
      <c r="T3" s="112" t="s">
        <v>29</v>
      </c>
      <c r="U3" s="112"/>
      <c r="V3" s="99" t="s">
        <v>3</v>
      </c>
      <c r="W3" s="99"/>
    </row>
    <row r="4" spans="1:25" x14ac:dyDescent="0.25">
      <c r="B4" s="5" t="s">
        <v>36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7" t="s">
        <v>11</v>
      </c>
      <c r="K4" s="6" t="s">
        <v>12</v>
      </c>
      <c r="L4" s="6" t="s">
        <v>13</v>
      </c>
      <c r="M4" s="8" t="s">
        <v>14</v>
      </c>
      <c r="N4" s="108"/>
      <c r="O4" s="9" t="s">
        <v>15</v>
      </c>
      <c r="P4" s="10" t="s">
        <v>16</v>
      </c>
      <c r="Q4" s="26" t="s">
        <v>17</v>
      </c>
      <c r="R4" s="41" t="s">
        <v>18</v>
      </c>
      <c r="S4" s="41" t="s">
        <v>19</v>
      </c>
      <c r="T4" s="41" t="s">
        <v>18</v>
      </c>
      <c r="U4" s="39" t="s">
        <v>19</v>
      </c>
      <c r="V4" s="39" t="s">
        <v>34</v>
      </c>
      <c r="W4" s="39" t="s">
        <v>28</v>
      </c>
      <c r="X4" s="31" t="s">
        <v>35</v>
      </c>
      <c r="Y4" s="21"/>
    </row>
    <row r="5" spans="1:25" x14ac:dyDescent="0.25">
      <c r="B5" s="34">
        <v>44650</v>
      </c>
      <c r="C5" s="12">
        <v>100000</v>
      </c>
      <c r="D5" s="17">
        <v>6.0000000000000001E-3</v>
      </c>
      <c r="E5" s="14">
        <f>+C5*D5</f>
        <v>600</v>
      </c>
      <c r="F5" s="15">
        <v>0.03</v>
      </c>
      <c r="G5" s="13">
        <f>+E5*F5</f>
        <v>18</v>
      </c>
      <c r="H5" s="14">
        <f>+G5/25</f>
        <v>0.72</v>
      </c>
      <c r="I5" s="14">
        <f>+G5*30</f>
        <v>540</v>
      </c>
      <c r="J5" s="11">
        <v>1</v>
      </c>
      <c r="K5" s="13">
        <f>+I5/J5</f>
        <v>540</v>
      </c>
      <c r="L5" s="14">
        <f>+K5+E5</f>
        <v>1140</v>
      </c>
      <c r="M5" s="19">
        <f>+L5/C5</f>
        <v>1.14E-2</v>
      </c>
      <c r="N5" s="19">
        <f>+((O5/J5)+E5)/C5</f>
        <v>1.14E-2</v>
      </c>
      <c r="O5" s="27">
        <f>+I5</f>
        <v>540</v>
      </c>
      <c r="P5" s="43">
        <f>10.8/1000</f>
        <v>1.0800000000000001E-2</v>
      </c>
      <c r="Q5" s="14">
        <f>+((P5*(C5-S5)))</f>
        <v>1074.6000000000001</v>
      </c>
      <c r="R5" s="11">
        <v>5.0000000000000001E-3</v>
      </c>
      <c r="S5" s="12">
        <f>+C5*R5</f>
        <v>500</v>
      </c>
      <c r="T5" s="18">
        <f>+U5/C5*100</f>
        <v>0.5</v>
      </c>
      <c r="U5" s="28">
        <f>+S5</f>
        <v>500</v>
      </c>
      <c r="V5" s="29" t="str">
        <f>+B10</f>
        <v>8 e 26 Abril</v>
      </c>
      <c r="W5" s="13">
        <f>+D10+G10+J10</f>
        <v>40000</v>
      </c>
      <c r="X5" s="32">
        <f>+W5-C5</f>
        <v>-60000</v>
      </c>
      <c r="Y5" s="30"/>
    </row>
    <row r="7" spans="1:25" x14ac:dyDescent="0.25">
      <c r="P7" s="21"/>
      <c r="Q7" s="22"/>
    </row>
    <row r="8" spans="1:25" x14ac:dyDescent="0.25">
      <c r="B8" s="25"/>
      <c r="C8" s="21"/>
      <c r="D8" s="100" t="s">
        <v>26</v>
      </c>
      <c r="E8" s="100"/>
      <c r="F8" s="100"/>
      <c r="G8" s="4"/>
      <c r="H8" s="4"/>
      <c r="I8" s="4"/>
      <c r="J8" s="4"/>
      <c r="K8" s="4"/>
      <c r="L8" s="4"/>
      <c r="M8" s="24"/>
      <c r="N8" s="24"/>
    </row>
    <row r="9" spans="1:25" x14ac:dyDescent="0.25">
      <c r="A9" s="23" t="s">
        <v>38</v>
      </c>
      <c r="B9" s="41" t="s">
        <v>23</v>
      </c>
      <c r="C9" s="41" t="s">
        <v>27</v>
      </c>
      <c r="D9" s="41" t="s">
        <v>25</v>
      </c>
      <c r="E9" s="41" t="s">
        <v>5</v>
      </c>
      <c r="F9" s="41" t="s">
        <v>24</v>
      </c>
      <c r="G9" s="21"/>
      <c r="H9" s="21"/>
      <c r="I9" s="21"/>
      <c r="J9" s="21"/>
      <c r="K9" s="21"/>
      <c r="L9" s="21"/>
      <c r="M9" s="1"/>
      <c r="N9" s="1"/>
      <c r="T9" s="42"/>
    </row>
    <row r="10" spans="1:25" x14ac:dyDescent="0.25">
      <c r="A10" s="40" t="s">
        <v>38</v>
      </c>
      <c r="B10" s="44" t="s">
        <v>43</v>
      </c>
      <c r="C10" s="13"/>
      <c r="D10" s="46">
        <v>40000</v>
      </c>
      <c r="E10" s="45">
        <v>9.9000000000000008E-3</v>
      </c>
      <c r="F10" s="46" t="s">
        <v>39</v>
      </c>
      <c r="G10" s="22"/>
      <c r="I10" s="35"/>
      <c r="J10" s="22"/>
      <c r="K10" s="30"/>
      <c r="L10" s="35"/>
      <c r="M10" s="48"/>
    </row>
    <row r="11" spans="1:25" x14ac:dyDescent="0.25">
      <c r="A11" s="40" t="str">
        <f>+A10</f>
        <v xml:space="preserve">vacina </v>
      </c>
      <c r="B11" s="44" t="s">
        <v>43</v>
      </c>
      <c r="C11" s="13"/>
      <c r="D11" s="46">
        <v>30000</v>
      </c>
      <c r="E11" s="45">
        <v>1.0999999999999999E-2</v>
      </c>
      <c r="F11" s="46" t="s">
        <v>40</v>
      </c>
      <c r="G11" s="22"/>
      <c r="I11" s="35"/>
      <c r="J11" s="22"/>
      <c r="K11" s="30"/>
      <c r="L11" s="35"/>
      <c r="M11" s="48"/>
    </row>
    <row r="12" spans="1:25" x14ac:dyDescent="0.25">
      <c r="A12" s="40" t="str">
        <f>+A11</f>
        <v xml:space="preserve">vacina </v>
      </c>
      <c r="B12" s="44" t="s">
        <v>43</v>
      </c>
      <c r="C12" s="13"/>
      <c r="D12" s="46">
        <v>30000</v>
      </c>
      <c r="E12" s="45">
        <v>1.14E-2</v>
      </c>
      <c r="F12" s="46" t="s">
        <v>41</v>
      </c>
      <c r="G12" s="22"/>
      <c r="I12" s="35"/>
      <c r="J12" s="22"/>
      <c r="K12" s="30"/>
      <c r="L12" s="35"/>
    </row>
    <row r="13" spans="1:25" x14ac:dyDescent="0.25">
      <c r="A13" s="11"/>
      <c r="B13" s="44"/>
      <c r="C13" s="13"/>
      <c r="D13" s="46"/>
      <c r="E13" s="45"/>
      <c r="F13" s="46"/>
      <c r="G13" s="22"/>
      <c r="I13" s="35"/>
      <c r="J13" s="22"/>
      <c r="K13" s="30"/>
      <c r="L13" s="35"/>
    </row>
    <row r="14" spans="1:25" x14ac:dyDescent="0.25">
      <c r="A14" s="1"/>
    </row>
    <row r="15" spans="1:25" x14ac:dyDescent="0.25">
      <c r="B15" s="2"/>
    </row>
    <row r="16" spans="1:25" ht="15" customHeight="1" x14ac:dyDescent="0.25">
      <c r="A16" s="1"/>
    </row>
    <row r="19" spans="26:26" x14ac:dyDescent="0.25">
      <c r="Z19" t="s">
        <v>42</v>
      </c>
    </row>
    <row r="27" spans="26:26" ht="15.75" customHeight="1" x14ac:dyDescent="0.25"/>
    <row r="36" spans="3:14" x14ac:dyDescent="0.25">
      <c r="C36" s="1"/>
      <c r="D36" s="25"/>
      <c r="E36" s="21"/>
      <c r="F36" s="4"/>
      <c r="G36" s="4"/>
      <c r="H36" s="4"/>
      <c r="I36" s="4"/>
      <c r="J36" s="4"/>
      <c r="K36" s="4"/>
      <c r="L36" s="4"/>
      <c r="M36" s="4"/>
      <c r="N36" s="4"/>
    </row>
    <row r="37" spans="3:14" x14ac:dyDescent="0.25">
      <c r="C37" s="21"/>
      <c r="D37" s="47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3:14" x14ac:dyDescent="0.25">
      <c r="C38" s="1"/>
      <c r="E38" s="35"/>
      <c r="F38" s="5"/>
      <c r="G38" s="30"/>
      <c r="H38" s="36"/>
      <c r="I38" s="22"/>
      <c r="J38" s="30"/>
      <c r="K38" s="35"/>
      <c r="L38" s="22"/>
      <c r="M38" s="30"/>
      <c r="N38" s="35"/>
    </row>
    <row r="39" spans="3:14" x14ac:dyDescent="0.25">
      <c r="C39" s="1"/>
    </row>
  </sheetData>
  <mergeCells count="8">
    <mergeCell ref="V3:W3"/>
    <mergeCell ref="D8:F8"/>
    <mergeCell ref="G3:I3"/>
    <mergeCell ref="K3:M3"/>
    <mergeCell ref="N3:N4"/>
    <mergeCell ref="O3:Q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09DA-3FD5-41F8-AE24-E406F406BD90}">
  <dimension ref="A1:Z56"/>
  <sheetViews>
    <sheetView tabSelected="1" zoomScale="110" zoomScaleNormal="110" workbookViewId="0">
      <selection activeCell="Z11" sqref="Z11:Z29"/>
    </sheetView>
  </sheetViews>
  <sheetFormatPr defaultRowHeight="15" x14ac:dyDescent="0.25"/>
  <cols>
    <col min="2" max="2" width="11.140625" customWidth="1"/>
    <col min="3" max="3" width="12.140625" customWidth="1"/>
    <col min="4" max="4" width="11.7109375" customWidth="1"/>
    <col min="5" max="5" width="12.42578125" customWidth="1"/>
    <col min="7" max="7" width="14.140625" customWidth="1"/>
    <col min="9" max="9" width="11.7109375" customWidth="1"/>
    <col min="11" max="11" width="10.28515625" customWidth="1"/>
    <col min="12" max="12" width="11" customWidth="1"/>
    <col min="14" max="14" width="15.85546875" customWidth="1"/>
    <col min="15" max="15" width="11.5703125" customWidth="1"/>
    <col min="16" max="16" width="29" customWidth="1"/>
    <col min="17" max="17" width="35.140625" customWidth="1"/>
    <col min="23" max="23" width="12" customWidth="1"/>
    <col min="24" max="24" width="12.85546875" customWidth="1"/>
    <col min="25" max="25" width="11.140625" customWidth="1"/>
  </cols>
  <sheetData>
    <row r="1" spans="1:26" x14ac:dyDescent="0.25">
      <c r="E1" s="49" t="s">
        <v>51</v>
      </c>
    </row>
    <row r="3" spans="1:26" x14ac:dyDescent="0.25">
      <c r="B3" s="25"/>
      <c r="C3" s="21"/>
      <c r="D3" s="4"/>
      <c r="E3" s="4"/>
      <c r="F3" s="4"/>
      <c r="G3" s="4"/>
      <c r="H3" s="4"/>
      <c r="I3" s="4"/>
      <c r="J3" s="4"/>
      <c r="K3" s="4"/>
      <c r="L3" s="4"/>
      <c r="M3" s="24"/>
      <c r="N3" s="24"/>
    </row>
    <row r="4" spans="1:26" x14ac:dyDescent="0.25">
      <c r="A4" s="23" t="s">
        <v>38</v>
      </c>
      <c r="B4" s="41" t="s">
        <v>23</v>
      </c>
      <c r="C4" s="41" t="s">
        <v>27</v>
      </c>
      <c r="D4" s="41" t="s">
        <v>25</v>
      </c>
      <c r="E4" s="41" t="s">
        <v>5</v>
      </c>
      <c r="F4" s="41" t="s">
        <v>24</v>
      </c>
      <c r="G4" s="21"/>
      <c r="H4" s="21"/>
      <c r="I4" s="21"/>
      <c r="J4" s="21"/>
      <c r="K4" s="21"/>
      <c r="L4" s="21"/>
      <c r="M4" s="1"/>
      <c r="N4" s="1"/>
      <c r="U4" s="42"/>
    </row>
    <row r="5" spans="1:26" x14ac:dyDescent="0.25">
      <c r="A5" s="23" t="s">
        <v>38</v>
      </c>
      <c r="B5" s="44" t="s">
        <v>43</v>
      </c>
      <c r="C5" s="13"/>
      <c r="D5" s="46">
        <v>30000</v>
      </c>
      <c r="E5" s="45">
        <v>1.0999999999999999E-2</v>
      </c>
      <c r="F5" s="46" t="s">
        <v>40</v>
      </c>
      <c r="G5" s="22" t="s">
        <v>55</v>
      </c>
      <c r="I5" s="35"/>
      <c r="J5" s="22"/>
      <c r="K5" s="30"/>
      <c r="L5" s="35"/>
      <c r="M5" s="48"/>
    </row>
    <row r="6" spans="1:26" x14ac:dyDescent="0.25">
      <c r="B6" s="50"/>
      <c r="C6" s="35"/>
      <c r="D6" s="51"/>
      <c r="E6" s="47"/>
      <c r="F6" s="51"/>
      <c r="G6" s="22"/>
      <c r="I6" s="35"/>
      <c r="J6" s="22"/>
      <c r="K6" s="30"/>
      <c r="L6" s="35"/>
    </row>
    <row r="8" spans="1:26" x14ac:dyDescent="0.25">
      <c r="A8" s="1"/>
      <c r="B8" s="1"/>
    </row>
    <row r="9" spans="1:26" ht="15.75" thickBot="1" x14ac:dyDescent="0.3">
      <c r="B9" s="1" t="s">
        <v>40</v>
      </c>
      <c r="C9" s="3"/>
      <c r="G9" s="118" t="s">
        <v>0</v>
      </c>
      <c r="H9" s="119"/>
      <c r="I9" s="103"/>
      <c r="J9" s="4"/>
      <c r="K9" s="104" t="s">
        <v>1</v>
      </c>
      <c r="L9" s="105"/>
      <c r="M9" s="120"/>
      <c r="N9" s="121" t="s">
        <v>31</v>
      </c>
      <c r="O9" s="123" t="s">
        <v>2</v>
      </c>
      <c r="P9" s="124"/>
      <c r="Q9" s="124"/>
      <c r="R9" s="111"/>
      <c r="S9" s="99" t="s">
        <v>30</v>
      </c>
      <c r="T9" s="99"/>
      <c r="U9" s="112" t="s">
        <v>29</v>
      </c>
      <c r="V9" s="125"/>
      <c r="W9" s="112" t="s">
        <v>3</v>
      </c>
      <c r="X9" s="112"/>
      <c r="Y9" s="116" t="s">
        <v>32</v>
      </c>
      <c r="Z9" s="117"/>
    </row>
    <row r="10" spans="1:26" x14ac:dyDescent="0.25">
      <c r="B10" s="5"/>
      <c r="C10" s="74" t="s">
        <v>4</v>
      </c>
      <c r="D10" s="75" t="s">
        <v>5</v>
      </c>
      <c r="E10" s="76" t="s">
        <v>6</v>
      </c>
      <c r="F10" s="81" t="s">
        <v>7</v>
      </c>
      <c r="G10" s="82" t="s">
        <v>8</v>
      </c>
      <c r="H10" s="80" t="s">
        <v>9</v>
      </c>
      <c r="I10" s="77" t="s">
        <v>10</v>
      </c>
      <c r="J10" s="64" t="s">
        <v>11</v>
      </c>
      <c r="K10" s="6" t="s">
        <v>12</v>
      </c>
      <c r="L10" s="83" t="s">
        <v>13</v>
      </c>
      <c r="M10" s="85" t="s">
        <v>14</v>
      </c>
      <c r="N10" s="122"/>
      <c r="O10" s="88" t="s">
        <v>15</v>
      </c>
      <c r="P10" s="89" t="s">
        <v>65</v>
      </c>
      <c r="Q10" s="90" t="s">
        <v>68</v>
      </c>
      <c r="R10" s="87" t="s">
        <v>17</v>
      </c>
      <c r="S10" s="68" t="s">
        <v>18</v>
      </c>
      <c r="T10" s="26" t="s">
        <v>19</v>
      </c>
      <c r="U10" s="7" t="s">
        <v>69</v>
      </c>
      <c r="V10" s="88" t="s">
        <v>19</v>
      </c>
      <c r="W10" s="9" t="s">
        <v>20</v>
      </c>
      <c r="X10" s="61" t="s">
        <v>54</v>
      </c>
      <c r="Y10" s="7" t="s">
        <v>21</v>
      </c>
      <c r="Z10" s="98" t="s">
        <v>22</v>
      </c>
    </row>
    <row r="11" spans="1:26" x14ac:dyDescent="0.25">
      <c r="B11" s="72">
        <v>44685</v>
      </c>
      <c r="C11" s="128">
        <f>+'Lote Esp P'!D11</f>
        <v>30000</v>
      </c>
      <c r="D11" s="129">
        <v>1.0999999999999999E-2</v>
      </c>
      <c r="E11" s="130">
        <f>+C11*D11</f>
        <v>330</v>
      </c>
      <c r="F11" s="131">
        <v>3.5000000000000003E-2</v>
      </c>
      <c r="G11" s="132">
        <f>+E11*F11</f>
        <v>11.55</v>
      </c>
      <c r="H11" s="133">
        <f t="shared" ref="H11:H29" si="0">+G11/25</f>
        <v>0.46200000000000002</v>
      </c>
      <c r="I11" s="78">
        <f>+G11*30</f>
        <v>346.5</v>
      </c>
      <c r="J11" s="65">
        <v>1</v>
      </c>
      <c r="K11" s="13">
        <f t="shared" ref="K11:K29" si="1">+I11/J11</f>
        <v>346.5</v>
      </c>
      <c r="L11" s="84">
        <f t="shared" ref="L11:L29" si="2">+K11+E11</f>
        <v>676.5</v>
      </c>
      <c r="M11" s="126">
        <f t="shared" ref="M11:M29" si="3">+L11/C11</f>
        <v>2.2550000000000001E-2</v>
      </c>
      <c r="N11" s="86">
        <f>+((I11/J11)+E11)/C11</f>
        <v>2.2550000000000001E-2</v>
      </c>
      <c r="O11" s="146">
        <f>4.5*25</f>
        <v>112.5</v>
      </c>
      <c r="P11" s="147">
        <f>+((O11/J11)+E11)/C11</f>
        <v>1.4749999999999999E-2</v>
      </c>
      <c r="Q11" s="148">
        <f>+P11</f>
        <v>1.4749999999999999E-2</v>
      </c>
      <c r="R11" s="78">
        <f t="shared" ref="R11:R16" si="4">+((P11*(C11-T11)))</f>
        <v>440.28749999999997</v>
      </c>
      <c r="S11" s="20">
        <v>5.0000000000000001E-3</v>
      </c>
      <c r="T11" s="12">
        <f>+S11*C11</f>
        <v>150</v>
      </c>
      <c r="U11" s="91">
        <f>+V11/C11*100</f>
        <v>0.5</v>
      </c>
      <c r="V11" s="152">
        <f>+T11</f>
        <v>150</v>
      </c>
      <c r="W11" s="93"/>
      <c r="X11" s="67"/>
      <c r="Y11" s="97">
        <f>+(C12*D12)-(C11*D11)</f>
        <v>296.85000000000002</v>
      </c>
      <c r="Z11" s="154">
        <f>+O11/Y11</f>
        <v>0.37897928246589185</v>
      </c>
    </row>
    <row r="12" spans="1:26" x14ac:dyDescent="0.25">
      <c r="B12" s="72">
        <v>44713</v>
      </c>
      <c r="C12" s="128">
        <f>C11-V11</f>
        <v>29850</v>
      </c>
      <c r="D12" s="129">
        <v>2.1000000000000001E-2</v>
      </c>
      <c r="E12" s="130">
        <f t="shared" ref="E12:E29" si="5">+D12*C12</f>
        <v>626.85</v>
      </c>
      <c r="F12" s="131">
        <v>0.03</v>
      </c>
      <c r="G12" s="132">
        <f>+L11*F12</f>
        <v>20.294999999999998</v>
      </c>
      <c r="H12" s="133">
        <f t="shared" si="0"/>
        <v>0.81179999999999997</v>
      </c>
      <c r="I12" s="78">
        <f>+G12*30</f>
        <v>608.84999999999991</v>
      </c>
      <c r="J12" s="65">
        <v>1.2</v>
      </c>
      <c r="K12" s="13">
        <f>+I12/J12</f>
        <v>507.37499999999994</v>
      </c>
      <c r="L12" s="84">
        <f>+K12+E12</f>
        <v>1134.2249999999999</v>
      </c>
      <c r="M12" s="126">
        <f>+L12/C12</f>
        <v>3.799748743718593E-2</v>
      </c>
      <c r="N12" s="86">
        <f>+((O12/J12)+E12)/C12</f>
        <v>3.1120044667783363E-2</v>
      </c>
      <c r="O12" s="146">
        <f>14.5*25</f>
        <v>362.5</v>
      </c>
      <c r="P12" s="147">
        <f>+N12</f>
        <v>3.1120044667783363E-2</v>
      </c>
      <c r="Q12" s="148">
        <f>+P12</f>
        <v>3.1120044667783363E-2</v>
      </c>
      <c r="R12" s="78">
        <f t="shared" si="4"/>
        <v>924.2886666666667</v>
      </c>
      <c r="S12" s="20">
        <f>+S11</f>
        <v>5.0000000000000001E-3</v>
      </c>
      <c r="T12" s="12">
        <f t="shared" ref="T12:T29" si="6">+C12*S12</f>
        <v>149.25</v>
      </c>
      <c r="U12" s="91">
        <f t="shared" ref="U12:U29" si="7">+V12/C12*100</f>
        <v>32.773869346733669</v>
      </c>
      <c r="V12" s="152">
        <v>9783</v>
      </c>
      <c r="W12" s="94"/>
      <c r="X12" s="67"/>
      <c r="Y12" s="97">
        <f t="shared" ref="Y12:Y28" si="8">+(C13*D13)-(C12*D12)</f>
        <v>-2.3640636515913229</v>
      </c>
      <c r="Z12" s="154">
        <f t="shared" ref="Z12:Z27" si="9">+O12/Y12</f>
        <v>-153.3376648957782</v>
      </c>
    </row>
    <row r="13" spans="1:26" x14ac:dyDescent="0.25">
      <c r="B13" s="72" t="s">
        <v>44</v>
      </c>
      <c r="C13" s="128">
        <f>C12-V12+W12-X12</f>
        <v>20067</v>
      </c>
      <c r="D13" s="134">
        <f t="shared" ref="D13:D29" si="10">+P12</f>
        <v>3.1120044667783363E-2</v>
      </c>
      <c r="E13" s="130">
        <f t="shared" si="5"/>
        <v>624.4859363484087</v>
      </c>
      <c r="F13" s="131">
        <v>1.4999999999999999E-2</v>
      </c>
      <c r="G13" s="132">
        <f>+R12*F13</f>
        <v>13.864330000000001</v>
      </c>
      <c r="H13" s="133">
        <f t="shared" si="0"/>
        <v>0.55457319999999999</v>
      </c>
      <c r="I13" s="78">
        <f>+G13*20</f>
        <v>277.28660000000002</v>
      </c>
      <c r="J13" s="65">
        <v>1.2</v>
      </c>
      <c r="K13" s="13">
        <f t="shared" si="1"/>
        <v>231.0721666666667</v>
      </c>
      <c r="L13" s="84">
        <f t="shared" si="2"/>
        <v>855.5581030150754</v>
      </c>
      <c r="M13" s="126">
        <f t="shared" si="3"/>
        <v>4.2635077640657569E-2</v>
      </c>
      <c r="N13" s="86">
        <f>+((O13/J13)+E13)/C13</f>
        <v>4.2635077640657569E-2</v>
      </c>
      <c r="O13" s="146">
        <f t="shared" ref="O13:O29" si="11">+I13</f>
        <v>277.28660000000002</v>
      </c>
      <c r="P13" s="147">
        <v>3.7999999999999999E-2</v>
      </c>
      <c r="Q13" s="148">
        <f t="shared" ref="Q13:Q29" si="12">+P13</f>
        <v>3.7999999999999999E-2</v>
      </c>
      <c r="R13" s="78">
        <f t="shared" si="4"/>
        <v>754.92054000000007</v>
      </c>
      <c r="S13" s="20">
        <v>0.01</v>
      </c>
      <c r="T13" s="12">
        <f t="shared" si="6"/>
        <v>200.67000000000002</v>
      </c>
      <c r="U13" s="91">
        <f>+V13/C13*100</f>
        <v>1</v>
      </c>
      <c r="V13" s="152">
        <f>+T13</f>
        <v>200.67000000000002</v>
      </c>
      <c r="W13" s="94"/>
      <c r="X13" s="28"/>
      <c r="Y13" s="97">
        <f t="shared" si="8"/>
        <v>130.43460365159137</v>
      </c>
      <c r="Z13" s="154">
        <f t="shared" si="9"/>
        <v>2.1258668500321463</v>
      </c>
    </row>
    <row r="14" spans="1:26" x14ac:dyDescent="0.25">
      <c r="B14" s="72">
        <v>44762</v>
      </c>
      <c r="C14" s="128">
        <f t="shared" ref="C14:C16" si="13">C13-V13+W13-X13</f>
        <v>19866.330000000002</v>
      </c>
      <c r="D14" s="134">
        <f t="shared" ref="D14" si="14">+P13</f>
        <v>3.7999999999999999E-2</v>
      </c>
      <c r="E14" s="130">
        <f t="shared" ref="E14" si="15">+D14*C14</f>
        <v>754.92054000000007</v>
      </c>
      <c r="F14" s="131">
        <v>1.4999999999999999E-2</v>
      </c>
      <c r="G14" s="132">
        <f>+R13*F14</f>
        <v>11.323808100000001</v>
      </c>
      <c r="H14" s="133">
        <f t="shared" ref="H14" si="16">+G14/25</f>
        <v>0.45295232400000002</v>
      </c>
      <c r="I14" s="78">
        <f>+G14*10</f>
        <v>113.23808100000001</v>
      </c>
      <c r="J14" s="65">
        <v>1.2</v>
      </c>
      <c r="K14" s="13">
        <f t="shared" ref="K14" si="17">+I14/J14</f>
        <v>94.365067500000009</v>
      </c>
      <c r="L14" s="84">
        <f t="shared" ref="L14" si="18">+K14+E14</f>
        <v>849.28560750000008</v>
      </c>
      <c r="M14" s="126">
        <f t="shared" ref="M14" si="19">+L14/C14</f>
        <v>4.2750000000000003E-2</v>
      </c>
      <c r="N14" s="86">
        <f t="shared" ref="N14" si="20">+((O14/J14)+E14)/C14</f>
        <v>5.0584105871592788E-2</v>
      </c>
      <c r="O14" s="146">
        <f>12*25</f>
        <v>300</v>
      </c>
      <c r="P14" s="147">
        <f>+N14</f>
        <v>5.0584105871592788E-2</v>
      </c>
      <c r="Q14" s="148">
        <f t="shared" si="12"/>
        <v>5.0584105871592788E-2</v>
      </c>
      <c r="R14" s="78">
        <f t="shared" si="4"/>
        <v>994.87133460000007</v>
      </c>
      <c r="S14" s="20">
        <v>0.01</v>
      </c>
      <c r="T14" s="12">
        <f>+C14*S14</f>
        <v>198.66330000000002</v>
      </c>
      <c r="U14" s="91">
        <f t="shared" ref="U14" si="21">+V14/C14*100</f>
        <v>1</v>
      </c>
      <c r="V14" s="152">
        <f>+T14</f>
        <v>198.66330000000002</v>
      </c>
      <c r="W14" s="94"/>
      <c r="X14" s="28"/>
      <c r="Y14" s="97">
        <f t="shared" si="8"/>
        <v>239.95079459999999</v>
      </c>
      <c r="Z14" s="154">
        <f t="shared" si="9"/>
        <v>1.2502563306785566</v>
      </c>
    </row>
    <row r="15" spans="1:26" x14ac:dyDescent="0.25">
      <c r="B15" s="72" t="s">
        <v>45</v>
      </c>
      <c r="C15" s="128">
        <f t="shared" si="13"/>
        <v>19667.666700000002</v>
      </c>
      <c r="D15" s="134">
        <f>+P14</f>
        <v>5.0584105871592788E-2</v>
      </c>
      <c r="E15" s="130">
        <f t="shared" si="5"/>
        <v>994.87133460000007</v>
      </c>
      <c r="F15" s="131">
        <v>0.02</v>
      </c>
      <c r="G15" s="132">
        <f>+L13*F15</f>
        <v>17.11116206030151</v>
      </c>
      <c r="H15" s="133">
        <f t="shared" si="0"/>
        <v>0.68444648241206041</v>
      </c>
      <c r="I15" s="78">
        <f>+G15*30</f>
        <v>513.33486180904526</v>
      </c>
      <c r="J15" s="65">
        <v>1.5</v>
      </c>
      <c r="K15" s="13">
        <f t="shared" si="1"/>
        <v>342.2232412060302</v>
      </c>
      <c r="L15" s="84">
        <f t="shared" si="2"/>
        <v>1337.0945758060302</v>
      </c>
      <c r="M15" s="126">
        <f t="shared" si="3"/>
        <v>6.7984402837476907E-2</v>
      </c>
      <c r="N15" s="86">
        <f t="shared" ref="N15:N29" si="22">+((O15/J15)+E15)/C15</f>
        <v>6.7984402837476907E-2</v>
      </c>
      <c r="O15" s="146">
        <f t="shared" si="11"/>
        <v>513.33486180904526</v>
      </c>
      <c r="P15" s="147">
        <v>6.6000000000000003E-2</v>
      </c>
      <c r="Q15" s="148">
        <f t="shared" si="12"/>
        <v>6.6000000000000003E-2</v>
      </c>
      <c r="R15" s="78">
        <f t="shared" si="4"/>
        <v>1233.1627020900003</v>
      </c>
      <c r="S15" s="20">
        <v>0.05</v>
      </c>
      <c r="T15" s="12">
        <f>+C15*S15</f>
        <v>983.3833350000001</v>
      </c>
      <c r="U15" s="91">
        <f t="shared" si="7"/>
        <v>5</v>
      </c>
      <c r="V15" s="152">
        <f t="shared" ref="V15:V29" si="23">+T15</f>
        <v>983.3833350000001</v>
      </c>
      <c r="W15" s="94"/>
      <c r="X15" s="28"/>
      <c r="Y15" s="97">
        <f t="shared" si="8"/>
        <v>238.2913674900002</v>
      </c>
      <c r="Z15" s="154">
        <f t="shared" si="9"/>
        <v>2.1542318851755597</v>
      </c>
    </row>
    <row r="16" spans="1:26" x14ac:dyDescent="0.25">
      <c r="B16" s="72">
        <v>44812</v>
      </c>
      <c r="C16" s="128">
        <f t="shared" si="13"/>
        <v>18684.283365000003</v>
      </c>
      <c r="D16" s="134">
        <f t="shared" si="10"/>
        <v>6.6000000000000003E-2</v>
      </c>
      <c r="E16" s="130">
        <f t="shared" si="5"/>
        <v>1233.1627020900003</v>
      </c>
      <c r="F16" s="131">
        <v>0.03</v>
      </c>
      <c r="G16" s="132">
        <f>+L15*F16</f>
        <v>40.112837274180905</v>
      </c>
      <c r="H16" s="133">
        <f t="shared" si="0"/>
        <v>1.6045134909672363</v>
      </c>
      <c r="I16" s="78">
        <f>+G16*30</f>
        <v>1203.385118225427</v>
      </c>
      <c r="J16" s="65">
        <v>1.2</v>
      </c>
      <c r="K16" s="13">
        <f t="shared" si="1"/>
        <v>1002.8209318545225</v>
      </c>
      <c r="L16" s="84">
        <f t="shared" si="2"/>
        <v>2235.9836339445228</v>
      </c>
      <c r="M16" s="126">
        <f t="shared" si="3"/>
        <v>0.11967189697695545</v>
      </c>
      <c r="N16" s="86">
        <f t="shared" si="22"/>
        <v>0.11967189697695545</v>
      </c>
      <c r="O16" s="146">
        <f t="shared" si="11"/>
        <v>1203.385118225427</v>
      </c>
      <c r="P16" s="147">
        <f>+M16</f>
        <v>0.11967189697695545</v>
      </c>
      <c r="Q16" s="148">
        <f t="shared" si="12"/>
        <v>0.11967189697695545</v>
      </c>
      <c r="R16" s="78">
        <f t="shared" si="4"/>
        <v>2191.2639612656321</v>
      </c>
      <c r="S16" s="20">
        <v>0.02</v>
      </c>
      <c r="T16" s="12">
        <f t="shared" si="6"/>
        <v>373.68566730000009</v>
      </c>
      <c r="U16" s="91">
        <f t="shared" si="7"/>
        <v>2</v>
      </c>
      <c r="V16" s="152">
        <f t="shared" si="23"/>
        <v>373.68566730000009</v>
      </c>
      <c r="W16" s="95">
        <f>+D33+D34</f>
        <v>18684.283365000003</v>
      </c>
      <c r="X16" s="70">
        <f>+D35</f>
        <v>24700</v>
      </c>
      <c r="Y16" s="97"/>
      <c r="Z16" s="154"/>
    </row>
    <row r="17" spans="2:26" ht="3.75" customHeight="1" x14ac:dyDescent="0.25">
      <c r="B17" s="73"/>
      <c r="C17" s="135"/>
      <c r="D17" s="136"/>
      <c r="E17" s="137"/>
      <c r="F17" s="131"/>
      <c r="G17" s="138"/>
      <c r="H17" s="139"/>
      <c r="I17" s="79"/>
      <c r="J17" s="65"/>
      <c r="K17" s="13"/>
      <c r="L17" s="84"/>
      <c r="M17" s="126"/>
      <c r="N17" s="86"/>
      <c r="O17" s="146"/>
      <c r="P17" s="147"/>
      <c r="Q17" s="148"/>
      <c r="R17" s="79"/>
      <c r="S17" s="20"/>
      <c r="T17" s="60"/>
      <c r="U17" s="92"/>
      <c r="V17" s="152"/>
      <c r="W17" s="95"/>
      <c r="X17" s="70"/>
      <c r="Y17" s="97"/>
      <c r="Z17" s="154"/>
    </row>
    <row r="18" spans="2:26" x14ac:dyDescent="0.25">
      <c r="B18" s="72">
        <v>44813</v>
      </c>
      <c r="C18" s="128">
        <f>+C16-W16+X16</f>
        <v>24700</v>
      </c>
      <c r="D18" s="134">
        <v>0.04</v>
      </c>
      <c r="E18" s="130">
        <f t="shared" si="5"/>
        <v>988</v>
      </c>
      <c r="F18" s="131">
        <v>0.02</v>
      </c>
      <c r="G18" s="132">
        <f>+E18*F18</f>
        <v>19.760000000000002</v>
      </c>
      <c r="H18" s="133">
        <f t="shared" si="0"/>
        <v>0.7904000000000001</v>
      </c>
      <c r="I18" s="78">
        <f>+G18*30</f>
        <v>592.80000000000007</v>
      </c>
      <c r="J18" s="65">
        <v>1.2</v>
      </c>
      <c r="K18" s="13">
        <f t="shared" si="1"/>
        <v>494.00000000000006</v>
      </c>
      <c r="L18" s="84">
        <f t="shared" si="2"/>
        <v>1482</v>
      </c>
      <c r="M18" s="126">
        <f t="shared" si="3"/>
        <v>0.06</v>
      </c>
      <c r="N18" s="86">
        <f t="shared" si="22"/>
        <v>0.06</v>
      </c>
      <c r="O18" s="146">
        <f t="shared" si="11"/>
        <v>592.80000000000007</v>
      </c>
      <c r="P18" s="147">
        <f t="shared" ref="P18:P29" si="24">+M18</f>
        <v>0.06</v>
      </c>
      <c r="Q18" s="148">
        <f t="shared" si="12"/>
        <v>0.06</v>
      </c>
      <c r="R18" s="78">
        <f t="shared" ref="R18:R29" si="25">+((P18*(C18-T18)))</f>
        <v>1474.59</v>
      </c>
      <c r="S18" s="20">
        <v>5.0000000000000001E-3</v>
      </c>
      <c r="T18" s="12">
        <f t="shared" si="6"/>
        <v>123.5</v>
      </c>
      <c r="U18" s="91">
        <f t="shared" si="7"/>
        <v>0.5</v>
      </c>
      <c r="V18" s="152">
        <f t="shared" si="23"/>
        <v>123.5</v>
      </c>
      <c r="W18" s="96"/>
      <c r="X18" s="28"/>
      <c r="Y18" s="97">
        <f>+(C19*D19)-(C18*D18)</f>
        <v>486.58999999999992</v>
      </c>
      <c r="Z18" s="154">
        <f>+O18/Y18</f>
        <v>1.2182741116751272</v>
      </c>
    </row>
    <row r="19" spans="2:26" x14ac:dyDescent="0.25">
      <c r="B19" s="72" t="s">
        <v>46</v>
      </c>
      <c r="C19" s="128">
        <f t="shared" ref="C19:C29" si="26">C18-V18+W18-X18</f>
        <v>24576.5</v>
      </c>
      <c r="D19" s="134">
        <f t="shared" si="10"/>
        <v>0.06</v>
      </c>
      <c r="E19" s="130">
        <f t="shared" si="5"/>
        <v>1474.59</v>
      </c>
      <c r="F19" s="131">
        <v>0.03</v>
      </c>
      <c r="G19" s="132">
        <f t="shared" ref="G19:G29" si="27">+L18*F19</f>
        <v>44.46</v>
      </c>
      <c r="H19" s="133">
        <f t="shared" si="0"/>
        <v>1.7784</v>
      </c>
      <c r="I19" s="78">
        <f>+G19*30</f>
        <v>1333.8</v>
      </c>
      <c r="J19" s="65">
        <v>1.2</v>
      </c>
      <c r="K19" s="13">
        <f t="shared" si="1"/>
        <v>1111.5</v>
      </c>
      <c r="L19" s="84">
        <f t="shared" si="2"/>
        <v>2586.09</v>
      </c>
      <c r="M19" s="126">
        <f t="shared" si="3"/>
        <v>0.10522613065326633</v>
      </c>
      <c r="N19" s="86">
        <f t="shared" si="22"/>
        <v>0.10522613065326633</v>
      </c>
      <c r="O19" s="146">
        <f t="shared" si="11"/>
        <v>1333.8</v>
      </c>
      <c r="P19" s="147">
        <f t="shared" si="24"/>
        <v>0.10522613065326633</v>
      </c>
      <c r="Q19" s="148">
        <f t="shared" si="12"/>
        <v>0.10522613065326633</v>
      </c>
      <c r="R19" s="78">
        <f t="shared" si="25"/>
        <v>2573.1595499999999</v>
      </c>
      <c r="S19" s="20">
        <v>5.0000000000000001E-3</v>
      </c>
      <c r="T19" s="12">
        <f t="shared" si="6"/>
        <v>122.88250000000001</v>
      </c>
      <c r="U19" s="91">
        <f t="shared" si="7"/>
        <v>0.5</v>
      </c>
      <c r="V19" s="152">
        <f t="shared" si="23"/>
        <v>122.88250000000001</v>
      </c>
      <c r="W19" s="96"/>
      <c r="X19" s="28"/>
      <c r="Y19" s="97">
        <f t="shared" si="8"/>
        <v>1098.5695499999999</v>
      </c>
      <c r="Z19" s="154">
        <f t="shared" si="9"/>
        <v>1.2141243128393646</v>
      </c>
    </row>
    <row r="20" spans="2:26" x14ac:dyDescent="0.25">
      <c r="B20" s="72" t="s">
        <v>47</v>
      </c>
      <c r="C20" s="128">
        <f t="shared" si="26"/>
        <v>24453.6175</v>
      </c>
      <c r="D20" s="134">
        <f t="shared" si="10"/>
        <v>0.10522613065326633</v>
      </c>
      <c r="E20" s="130">
        <f t="shared" si="5"/>
        <v>2573.1595499999999</v>
      </c>
      <c r="F20" s="131">
        <v>0.02</v>
      </c>
      <c r="G20" s="132">
        <f t="shared" si="27"/>
        <v>51.721800000000002</v>
      </c>
      <c r="H20" s="133">
        <f t="shared" si="0"/>
        <v>2.0688720000000003</v>
      </c>
      <c r="I20" s="78">
        <f>+G20*30</f>
        <v>1551.654</v>
      </c>
      <c r="J20" s="65">
        <v>1.2</v>
      </c>
      <c r="K20" s="13">
        <f t="shared" si="1"/>
        <v>1293.0450000000001</v>
      </c>
      <c r="L20" s="84">
        <f t="shared" si="2"/>
        <v>3866.2045499999999</v>
      </c>
      <c r="M20" s="126">
        <f t="shared" si="3"/>
        <v>0.1581035832428474</v>
      </c>
      <c r="N20" s="86">
        <f t="shared" si="22"/>
        <v>0.1581035832428474</v>
      </c>
      <c r="O20" s="146">
        <f t="shared" si="11"/>
        <v>1551.654</v>
      </c>
      <c r="P20" s="147">
        <f t="shared" si="24"/>
        <v>0.1581035832428474</v>
      </c>
      <c r="Q20" s="148">
        <f t="shared" si="12"/>
        <v>0.1581035832428474</v>
      </c>
      <c r="R20" s="78">
        <f t="shared" si="25"/>
        <v>3858.4721409000003</v>
      </c>
      <c r="S20" s="20">
        <v>2E-3</v>
      </c>
      <c r="T20" s="12">
        <f t="shared" si="6"/>
        <v>48.907235</v>
      </c>
      <c r="U20" s="91">
        <f t="shared" si="7"/>
        <v>0.2</v>
      </c>
      <c r="V20" s="152">
        <f t="shared" si="23"/>
        <v>48.907235</v>
      </c>
      <c r="W20" s="96"/>
      <c r="X20" s="71"/>
      <c r="Y20" s="97">
        <f t="shared" si="8"/>
        <v>1285.3125909000005</v>
      </c>
      <c r="Z20" s="154">
        <f t="shared" si="9"/>
        <v>1.2072191706404294</v>
      </c>
    </row>
    <row r="21" spans="2:26" x14ac:dyDescent="0.25">
      <c r="B21" s="72" t="s">
        <v>48</v>
      </c>
      <c r="C21" s="128">
        <f t="shared" si="26"/>
        <v>24404.710265000002</v>
      </c>
      <c r="D21" s="134">
        <f t="shared" si="10"/>
        <v>0.1581035832428474</v>
      </c>
      <c r="E21" s="130">
        <f t="shared" si="5"/>
        <v>3858.4721409000003</v>
      </c>
      <c r="F21" s="131">
        <v>0.01</v>
      </c>
      <c r="G21" s="132">
        <f t="shared" si="27"/>
        <v>38.662045499999998</v>
      </c>
      <c r="H21" s="133">
        <f t="shared" si="0"/>
        <v>1.5464818199999999</v>
      </c>
      <c r="I21" s="78">
        <f>+G21*30</f>
        <v>1159.861365</v>
      </c>
      <c r="J21" s="65">
        <v>1.2</v>
      </c>
      <c r="K21" s="13">
        <f t="shared" si="1"/>
        <v>966.55113749999998</v>
      </c>
      <c r="L21" s="84">
        <f t="shared" si="2"/>
        <v>4825.0232784</v>
      </c>
      <c r="M21" s="126">
        <f t="shared" si="3"/>
        <v>0.19770868926560475</v>
      </c>
      <c r="N21" s="86">
        <f t="shared" si="22"/>
        <v>0.19770868926560475</v>
      </c>
      <c r="O21" s="146">
        <f t="shared" si="11"/>
        <v>1159.861365</v>
      </c>
      <c r="P21" s="147">
        <f t="shared" si="24"/>
        <v>0.19770868926560475</v>
      </c>
      <c r="Q21" s="148">
        <f t="shared" si="12"/>
        <v>0.19770868926560475</v>
      </c>
      <c r="R21" s="78">
        <f t="shared" si="25"/>
        <v>4815.3732318432003</v>
      </c>
      <c r="S21" s="20">
        <v>2E-3</v>
      </c>
      <c r="T21" s="12">
        <f t="shared" si="6"/>
        <v>48.809420530000004</v>
      </c>
      <c r="U21" s="91">
        <f t="shared" si="7"/>
        <v>0.2</v>
      </c>
      <c r="V21" s="152">
        <f t="shared" si="23"/>
        <v>48.809420530000004</v>
      </c>
      <c r="W21" s="96"/>
      <c r="X21" s="70"/>
      <c r="Y21" s="97">
        <f t="shared" si="8"/>
        <v>956.90109094319996</v>
      </c>
      <c r="Z21" s="154">
        <f t="shared" si="9"/>
        <v>1.2121016226000387</v>
      </c>
    </row>
    <row r="22" spans="2:26" x14ac:dyDescent="0.25">
      <c r="B22" s="72" t="s">
        <v>49</v>
      </c>
      <c r="C22" s="128">
        <f t="shared" si="26"/>
        <v>24355.900844470001</v>
      </c>
      <c r="D22" s="134">
        <f t="shared" si="10"/>
        <v>0.19770868926560475</v>
      </c>
      <c r="E22" s="130">
        <f t="shared" si="5"/>
        <v>4815.3732318432003</v>
      </c>
      <c r="F22" s="131">
        <v>0.01</v>
      </c>
      <c r="G22" s="132">
        <f t="shared" si="27"/>
        <v>48.250232783999998</v>
      </c>
      <c r="H22" s="133">
        <f t="shared" si="0"/>
        <v>1.9300093113599999</v>
      </c>
      <c r="I22" s="78">
        <f t="shared" ref="I22:I29" si="28">+G22*25</f>
        <v>1206.2558196</v>
      </c>
      <c r="J22" s="65">
        <f t="shared" ref="J22:J29" si="29">+J21</f>
        <v>1.2</v>
      </c>
      <c r="K22" s="13">
        <f t="shared" si="1"/>
        <v>1005.2131830000001</v>
      </c>
      <c r="L22" s="84">
        <f t="shared" si="2"/>
        <v>5820.5864148432001</v>
      </c>
      <c r="M22" s="126">
        <f t="shared" si="3"/>
        <v>0.23898054323721565</v>
      </c>
      <c r="N22" s="86">
        <f t="shared" si="22"/>
        <v>0.23898054323721565</v>
      </c>
      <c r="O22" s="146">
        <f t="shared" si="11"/>
        <v>1206.2558196</v>
      </c>
      <c r="P22" s="147">
        <f t="shared" si="24"/>
        <v>0.23898054323721565</v>
      </c>
      <c r="Q22" s="148">
        <f t="shared" si="12"/>
        <v>0.23898054323721565</v>
      </c>
      <c r="R22" s="78">
        <f t="shared" si="25"/>
        <v>5808.945242013514</v>
      </c>
      <c r="S22" s="20">
        <v>2E-3</v>
      </c>
      <c r="T22" s="12">
        <f t="shared" si="6"/>
        <v>48.711801688940007</v>
      </c>
      <c r="U22" s="91">
        <f>+V22/C22*100</f>
        <v>0.2</v>
      </c>
      <c r="V22" s="152">
        <f>+T22</f>
        <v>48.711801688940007</v>
      </c>
      <c r="W22" s="96"/>
      <c r="X22" s="71"/>
      <c r="Y22" s="97">
        <f t="shared" si="8"/>
        <v>993.57201017031366</v>
      </c>
      <c r="Z22" s="154">
        <f t="shared" si="9"/>
        <v>1.2140597835412343</v>
      </c>
    </row>
    <row r="23" spans="2:26" x14ac:dyDescent="0.25">
      <c r="B23" s="72" t="s">
        <v>50</v>
      </c>
      <c r="C23" s="128">
        <f t="shared" si="26"/>
        <v>24307.189042781061</v>
      </c>
      <c r="D23" s="134">
        <f t="shared" si="10"/>
        <v>0.23898054323721565</v>
      </c>
      <c r="E23" s="130">
        <f t="shared" si="5"/>
        <v>5808.945242013514</v>
      </c>
      <c r="F23" s="131">
        <v>0.01</v>
      </c>
      <c r="G23" s="132">
        <f t="shared" si="27"/>
        <v>58.205864148431999</v>
      </c>
      <c r="H23" s="133">
        <f t="shared" si="0"/>
        <v>2.3282345659372798</v>
      </c>
      <c r="I23" s="78">
        <f t="shared" si="28"/>
        <v>1455.1466037108</v>
      </c>
      <c r="J23" s="65">
        <f t="shared" si="29"/>
        <v>1.2</v>
      </c>
      <c r="K23" s="13">
        <f t="shared" si="1"/>
        <v>1212.6221697590001</v>
      </c>
      <c r="L23" s="84">
        <f t="shared" si="2"/>
        <v>7021.5674117725139</v>
      </c>
      <c r="M23" s="126">
        <f t="shared" si="3"/>
        <v>0.28886793118753623</v>
      </c>
      <c r="N23" s="86">
        <f t="shared" si="22"/>
        <v>0.28886793118753623</v>
      </c>
      <c r="O23" s="146">
        <f t="shared" si="11"/>
        <v>1455.1466037108</v>
      </c>
      <c r="P23" s="147">
        <f t="shared" si="24"/>
        <v>0.28886793118753623</v>
      </c>
      <c r="Q23" s="148">
        <f t="shared" si="12"/>
        <v>0.28886793118753623</v>
      </c>
      <c r="R23" s="78">
        <f t="shared" si="25"/>
        <v>7007.5242769489687</v>
      </c>
      <c r="S23" s="20">
        <v>2E-3</v>
      </c>
      <c r="T23" s="12">
        <f t="shared" si="6"/>
        <v>48.614378085562123</v>
      </c>
      <c r="U23" s="91">
        <f t="shared" si="7"/>
        <v>0.2</v>
      </c>
      <c r="V23" s="152">
        <f t="shared" si="23"/>
        <v>48.614378085562123</v>
      </c>
      <c r="W23" s="96"/>
      <c r="X23" s="70"/>
      <c r="Y23" s="97">
        <f t="shared" si="8"/>
        <v>1198.5790349354547</v>
      </c>
      <c r="Z23" s="154">
        <f t="shared" si="9"/>
        <v>1.2140597835412346</v>
      </c>
    </row>
    <row r="24" spans="2:26" x14ac:dyDescent="0.25">
      <c r="B24" s="72" t="s">
        <v>56</v>
      </c>
      <c r="C24" s="128">
        <f t="shared" si="26"/>
        <v>24258.574664695498</v>
      </c>
      <c r="D24" s="134">
        <f t="shared" si="10"/>
        <v>0.28886793118753623</v>
      </c>
      <c r="E24" s="130">
        <f t="shared" si="5"/>
        <v>7007.5242769489687</v>
      </c>
      <c r="F24" s="131">
        <v>1.4999999999999999E-2</v>
      </c>
      <c r="G24" s="132">
        <f t="shared" si="27"/>
        <v>105.3235111765877</v>
      </c>
      <c r="H24" s="133">
        <f t="shared" si="0"/>
        <v>4.2129404470635077</v>
      </c>
      <c r="I24" s="78">
        <f t="shared" si="28"/>
        <v>2633.0877794146927</v>
      </c>
      <c r="J24" s="65">
        <f t="shared" si="29"/>
        <v>1.2</v>
      </c>
      <c r="K24" s="13">
        <f t="shared" si="1"/>
        <v>2194.2398161789106</v>
      </c>
      <c r="L24" s="84">
        <f t="shared" si="2"/>
        <v>9201.7640931278802</v>
      </c>
      <c r="M24" s="126">
        <f t="shared" si="3"/>
        <v>0.37932006394916457</v>
      </c>
      <c r="N24" s="86">
        <f t="shared" si="22"/>
        <v>0.37932006394916457</v>
      </c>
      <c r="O24" s="146">
        <f t="shared" si="11"/>
        <v>2633.0877794146927</v>
      </c>
      <c r="P24" s="147">
        <f t="shared" si="24"/>
        <v>0.37932006394916457</v>
      </c>
      <c r="Q24" s="148">
        <f t="shared" si="12"/>
        <v>0.37932006394916457</v>
      </c>
      <c r="R24" s="78">
        <f t="shared" si="25"/>
        <v>9183.360564941624</v>
      </c>
      <c r="S24" s="20">
        <v>2E-3</v>
      </c>
      <c r="T24" s="12">
        <f t="shared" si="6"/>
        <v>48.517149329390996</v>
      </c>
      <c r="U24" s="91">
        <f t="shared" si="7"/>
        <v>0.2</v>
      </c>
      <c r="V24" s="152">
        <f t="shared" si="23"/>
        <v>48.517149329390996</v>
      </c>
      <c r="W24" s="96"/>
      <c r="X24" s="70"/>
      <c r="Y24" s="97">
        <f t="shared" si="8"/>
        <v>2175.8362879926553</v>
      </c>
      <c r="Z24" s="154">
        <f t="shared" si="9"/>
        <v>1.2101497681353042</v>
      </c>
    </row>
    <row r="25" spans="2:26" x14ac:dyDescent="0.25">
      <c r="B25" s="72" t="s">
        <v>57</v>
      </c>
      <c r="C25" s="128">
        <f t="shared" si="26"/>
        <v>24210.057515366108</v>
      </c>
      <c r="D25" s="134">
        <f t="shared" si="10"/>
        <v>0.37932006394916457</v>
      </c>
      <c r="E25" s="130">
        <f t="shared" si="5"/>
        <v>9183.360564941624</v>
      </c>
      <c r="F25" s="131">
        <v>0.02</v>
      </c>
      <c r="G25" s="132">
        <f t="shared" si="27"/>
        <v>184.03528186255761</v>
      </c>
      <c r="H25" s="133">
        <f t="shared" si="0"/>
        <v>7.3614112745023048</v>
      </c>
      <c r="I25" s="78">
        <f t="shared" si="28"/>
        <v>4600.8820465639401</v>
      </c>
      <c r="J25" s="65">
        <f t="shared" si="29"/>
        <v>1.2</v>
      </c>
      <c r="K25" s="13">
        <f t="shared" si="1"/>
        <v>3834.0683721366167</v>
      </c>
      <c r="L25" s="84">
        <f t="shared" si="2"/>
        <v>13017.428937078241</v>
      </c>
      <c r="M25" s="126">
        <f t="shared" si="3"/>
        <v>0.53768682411498137</v>
      </c>
      <c r="N25" s="86">
        <f t="shared" si="22"/>
        <v>0.53768682411498137</v>
      </c>
      <c r="O25" s="146">
        <f t="shared" si="11"/>
        <v>4600.8820465639401</v>
      </c>
      <c r="P25" s="147">
        <f t="shared" si="24"/>
        <v>0.53768682411498137</v>
      </c>
      <c r="Q25" s="148">
        <f t="shared" si="12"/>
        <v>0.53768682411498137</v>
      </c>
      <c r="R25" s="78">
        <f t="shared" si="25"/>
        <v>12991.394079204083</v>
      </c>
      <c r="S25" s="20">
        <v>2E-3</v>
      </c>
      <c r="T25" s="12">
        <f t="shared" si="6"/>
        <v>48.420115030732219</v>
      </c>
      <c r="U25" s="91">
        <f t="shared" si="7"/>
        <v>0.2</v>
      </c>
      <c r="V25" s="152">
        <f t="shared" si="23"/>
        <v>48.420115030732219</v>
      </c>
      <c r="W25" s="96"/>
      <c r="X25" s="70"/>
      <c r="Y25" s="97">
        <f t="shared" si="8"/>
        <v>3808.033514262459</v>
      </c>
      <c r="Z25" s="154">
        <f t="shared" si="9"/>
        <v>1.2082041897299427</v>
      </c>
    </row>
    <row r="26" spans="2:26" x14ac:dyDescent="0.25">
      <c r="B26" s="72" t="s">
        <v>58</v>
      </c>
      <c r="C26" s="128">
        <f t="shared" si="26"/>
        <v>24161.637400335378</v>
      </c>
      <c r="D26" s="134">
        <f t="shared" si="10"/>
        <v>0.53768682411498137</v>
      </c>
      <c r="E26" s="130">
        <f t="shared" si="5"/>
        <v>12991.394079204083</v>
      </c>
      <c r="F26" s="131">
        <v>0.02</v>
      </c>
      <c r="G26" s="132">
        <f t="shared" si="27"/>
        <v>260.34857874156484</v>
      </c>
      <c r="H26" s="133">
        <f t="shared" si="0"/>
        <v>10.413943149662593</v>
      </c>
      <c r="I26" s="78">
        <f t="shared" si="28"/>
        <v>6508.7144685391213</v>
      </c>
      <c r="J26" s="65">
        <f t="shared" si="29"/>
        <v>1.2</v>
      </c>
      <c r="K26" s="13">
        <f t="shared" si="1"/>
        <v>5423.9287237826011</v>
      </c>
      <c r="L26" s="84">
        <f t="shared" si="2"/>
        <v>18415.322802986684</v>
      </c>
      <c r="M26" s="126">
        <f t="shared" si="3"/>
        <v>0.76217197112357415</v>
      </c>
      <c r="N26" s="86">
        <f t="shared" si="22"/>
        <v>0.76217197112357415</v>
      </c>
      <c r="O26" s="146">
        <f t="shared" si="11"/>
        <v>6508.7144685391213</v>
      </c>
      <c r="P26" s="147">
        <f t="shared" si="24"/>
        <v>0.76217197112357415</v>
      </c>
      <c r="Q26" s="148">
        <f t="shared" si="12"/>
        <v>0.76217197112357415</v>
      </c>
      <c r="R26" s="78">
        <f t="shared" si="25"/>
        <v>18378.492157380711</v>
      </c>
      <c r="S26" s="20">
        <v>2E-3</v>
      </c>
      <c r="T26" s="12">
        <f t="shared" si="6"/>
        <v>48.32327480067076</v>
      </c>
      <c r="U26" s="91">
        <f t="shared" si="7"/>
        <v>0.2</v>
      </c>
      <c r="V26" s="152">
        <f t="shared" si="23"/>
        <v>48.32327480067076</v>
      </c>
      <c r="W26" s="96"/>
      <c r="X26" s="71"/>
      <c r="Y26" s="97">
        <f t="shared" si="8"/>
        <v>5387.0980781766284</v>
      </c>
      <c r="Z26" s="154">
        <f t="shared" si="9"/>
        <v>1.208204189729942</v>
      </c>
    </row>
    <row r="27" spans="2:26" x14ac:dyDescent="0.25">
      <c r="B27" s="72" t="s">
        <v>59</v>
      </c>
      <c r="C27" s="128">
        <f t="shared" si="26"/>
        <v>24113.314125534707</v>
      </c>
      <c r="D27" s="134">
        <f t="shared" si="10"/>
        <v>0.76217197112357415</v>
      </c>
      <c r="E27" s="130">
        <f t="shared" si="5"/>
        <v>18378.492157380711</v>
      </c>
      <c r="F27" s="131">
        <f>+F26</f>
        <v>0.02</v>
      </c>
      <c r="G27" s="132">
        <f t="shared" si="27"/>
        <v>368.3064560597337</v>
      </c>
      <c r="H27" s="133">
        <f t="shared" si="0"/>
        <v>14.732258242389348</v>
      </c>
      <c r="I27" s="78">
        <f t="shared" si="28"/>
        <v>9207.6614014933421</v>
      </c>
      <c r="J27" s="65">
        <f t="shared" si="29"/>
        <v>1.2</v>
      </c>
      <c r="K27" s="13">
        <f t="shared" si="1"/>
        <v>7673.0511679111187</v>
      </c>
      <c r="L27" s="84">
        <f t="shared" si="2"/>
        <v>26051.54332529183</v>
      </c>
      <c r="M27" s="126">
        <f t="shared" si="3"/>
        <v>1.0803800418999494</v>
      </c>
      <c r="N27" s="86">
        <f t="shared" si="22"/>
        <v>1.0803800418999494</v>
      </c>
      <c r="O27" s="146">
        <f t="shared" si="11"/>
        <v>9207.6614014933421</v>
      </c>
      <c r="P27" s="147">
        <f t="shared" si="24"/>
        <v>1.0803800418999494</v>
      </c>
      <c r="Q27" s="148">
        <f t="shared" si="12"/>
        <v>1.0803800418999494</v>
      </c>
      <c r="R27" s="78">
        <f t="shared" si="25"/>
        <v>23967.419859268481</v>
      </c>
      <c r="S27" s="20">
        <v>0.08</v>
      </c>
      <c r="T27" s="12">
        <f t="shared" si="6"/>
        <v>1929.0651300427767</v>
      </c>
      <c r="U27" s="91">
        <f t="shared" si="7"/>
        <v>8</v>
      </c>
      <c r="V27" s="152">
        <f t="shared" si="23"/>
        <v>1929.0651300427767</v>
      </c>
      <c r="W27" s="96"/>
      <c r="X27" s="67"/>
      <c r="Y27" s="97">
        <f t="shared" si="8"/>
        <v>5588.9277018877692</v>
      </c>
      <c r="Z27" s="154">
        <f t="shared" si="9"/>
        <v>1.6474826465161243</v>
      </c>
    </row>
    <row r="28" spans="2:26" x14ac:dyDescent="0.25">
      <c r="B28" s="72" t="s">
        <v>44</v>
      </c>
      <c r="C28" s="128">
        <f t="shared" si="26"/>
        <v>22184.248995491929</v>
      </c>
      <c r="D28" s="134">
        <f t="shared" si="10"/>
        <v>1.0803800418999494</v>
      </c>
      <c r="E28" s="130">
        <f t="shared" si="5"/>
        <v>23967.419859268481</v>
      </c>
      <c r="F28" s="131">
        <f>+F27</f>
        <v>0.02</v>
      </c>
      <c r="G28" s="132">
        <f t="shared" si="27"/>
        <v>521.03086650583657</v>
      </c>
      <c r="H28" s="133">
        <f t="shared" si="0"/>
        <v>20.841234660233464</v>
      </c>
      <c r="I28" s="78">
        <f t="shared" si="28"/>
        <v>13025.771662645915</v>
      </c>
      <c r="J28" s="65">
        <f t="shared" si="29"/>
        <v>1.2</v>
      </c>
      <c r="K28" s="13">
        <f t="shared" si="1"/>
        <v>10854.809718871596</v>
      </c>
      <c r="L28" s="84">
        <f t="shared" si="2"/>
        <v>34822.229578140075</v>
      </c>
      <c r="M28" s="126">
        <f t="shared" si="3"/>
        <v>1.5696825971082597</v>
      </c>
      <c r="N28" s="86">
        <f t="shared" si="22"/>
        <v>1.5696825971082597</v>
      </c>
      <c r="O28" s="146">
        <f t="shared" si="11"/>
        <v>13025.771662645915</v>
      </c>
      <c r="P28" s="147">
        <f t="shared" si="24"/>
        <v>1.5696825971082597</v>
      </c>
      <c r="Q28" s="148">
        <f t="shared" si="12"/>
        <v>1.5696825971082597</v>
      </c>
      <c r="R28" s="78">
        <f t="shared" si="25"/>
        <v>31688.228916107466</v>
      </c>
      <c r="S28" s="20">
        <v>0.09</v>
      </c>
      <c r="T28" s="12">
        <f t="shared" si="6"/>
        <v>1996.5824095942735</v>
      </c>
      <c r="U28" s="91">
        <f t="shared" si="7"/>
        <v>9</v>
      </c>
      <c r="V28" s="152">
        <f t="shared" si="23"/>
        <v>1996.5824095942735</v>
      </c>
      <c r="W28" s="96"/>
      <c r="X28" s="67"/>
      <c r="Y28" s="97">
        <f t="shared" si="8"/>
        <v>7720.8090568389853</v>
      </c>
      <c r="Z28" s="154">
        <f t="shared" ref="Z28" si="30">+O28/Y28</f>
        <v>1.6870993139129464</v>
      </c>
    </row>
    <row r="29" spans="2:26" ht="15.75" thickBot="1" x14ac:dyDescent="0.3">
      <c r="B29" s="72" t="s">
        <v>45</v>
      </c>
      <c r="C29" s="140">
        <f t="shared" si="26"/>
        <v>20187.666585897656</v>
      </c>
      <c r="D29" s="141">
        <f t="shared" si="10"/>
        <v>1.5696825971082597</v>
      </c>
      <c r="E29" s="142">
        <f t="shared" si="5"/>
        <v>31688.228916107466</v>
      </c>
      <c r="F29" s="143">
        <f>+F28</f>
        <v>0.02</v>
      </c>
      <c r="G29" s="144">
        <f t="shared" si="27"/>
        <v>696.44459156280152</v>
      </c>
      <c r="H29" s="145">
        <f t="shared" si="0"/>
        <v>27.857783662512063</v>
      </c>
      <c r="I29" s="78">
        <f t="shared" si="28"/>
        <v>17411.114789070038</v>
      </c>
      <c r="J29" s="65">
        <f t="shared" si="29"/>
        <v>1.2</v>
      </c>
      <c r="K29" s="13">
        <f t="shared" si="1"/>
        <v>14509.262324225032</v>
      </c>
      <c r="L29" s="84">
        <f t="shared" si="2"/>
        <v>46197.4912403325</v>
      </c>
      <c r="M29" s="127">
        <f t="shared" si="3"/>
        <v>2.2884017349783421</v>
      </c>
      <c r="N29" s="86">
        <f t="shared" si="22"/>
        <v>2.2884017349783421</v>
      </c>
      <c r="O29" s="149">
        <f t="shared" si="11"/>
        <v>17411.114789070038</v>
      </c>
      <c r="P29" s="150">
        <f t="shared" si="24"/>
        <v>2.2884017349783421</v>
      </c>
      <c r="Q29" s="151">
        <f t="shared" si="12"/>
        <v>2.2884017349783421</v>
      </c>
      <c r="R29" s="78">
        <f t="shared" si="25"/>
        <v>42039.717028702573</v>
      </c>
      <c r="S29" s="20">
        <v>0.09</v>
      </c>
      <c r="T29" s="12">
        <f t="shared" si="6"/>
        <v>1816.8899927307889</v>
      </c>
      <c r="U29" s="91">
        <f t="shared" si="7"/>
        <v>9</v>
      </c>
      <c r="V29" s="153">
        <f t="shared" si="23"/>
        <v>1816.8899927307889</v>
      </c>
      <c r="W29" s="96"/>
      <c r="X29" s="67"/>
      <c r="Y29" s="97"/>
      <c r="Z29" s="155"/>
    </row>
    <row r="31" spans="2:26" x14ac:dyDescent="0.25">
      <c r="B31" s="113" t="s">
        <v>76</v>
      </c>
      <c r="C31" s="114"/>
      <c r="D31" s="114"/>
      <c r="E31" s="114"/>
      <c r="F31" s="114"/>
      <c r="G31" s="115"/>
    </row>
    <row r="32" spans="2:26" x14ac:dyDescent="0.25">
      <c r="B32" s="52" t="s">
        <v>23</v>
      </c>
      <c r="C32" s="56" t="s">
        <v>5</v>
      </c>
      <c r="D32" s="56" t="s">
        <v>52</v>
      </c>
      <c r="E32" s="41" t="s">
        <v>53</v>
      </c>
      <c r="F32" s="56" t="s">
        <v>54</v>
      </c>
      <c r="G32" s="56" t="s">
        <v>20</v>
      </c>
      <c r="H32" s="4"/>
      <c r="I32" s="4"/>
      <c r="J32" s="4"/>
      <c r="K32" s="4"/>
      <c r="L32" s="4"/>
      <c r="M32" s="4"/>
    </row>
    <row r="33" spans="2:13" x14ac:dyDescent="0.25">
      <c r="B33" s="58">
        <v>44813</v>
      </c>
      <c r="C33" s="40"/>
      <c r="D33" s="40">
        <v>8600</v>
      </c>
      <c r="E33" s="40"/>
      <c r="F33" s="40"/>
      <c r="G33" s="40" t="s">
        <v>61</v>
      </c>
      <c r="H33" s="57">
        <v>8.4000000000000005E-2</v>
      </c>
      <c r="I33" s="21"/>
      <c r="J33" s="21"/>
      <c r="K33" s="21"/>
      <c r="L33" s="21"/>
      <c r="M33" s="21"/>
    </row>
    <row r="34" spans="2:13" x14ac:dyDescent="0.25">
      <c r="B34" s="58">
        <v>44813</v>
      </c>
      <c r="C34" s="40"/>
      <c r="D34" s="16">
        <f>+C16-D33</f>
        <v>10084.283365000003</v>
      </c>
      <c r="E34" s="40"/>
      <c r="F34" s="45"/>
      <c r="G34" s="16" t="s">
        <v>41</v>
      </c>
      <c r="H34" s="53">
        <v>3.9E-2</v>
      </c>
      <c r="I34" s="30"/>
      <c r="J34" s="2"/>
      <c r="K34" s="22"/>
      <c r="L34" s="21"/>
      <c r="M34" s="35"/>
    </row>
    <row r="35" spans="2:13" x14ac:dyDescent="0.25">
      <c r="B35" s="58">
        <v>44813</v>
      </c>
      <c r="C35" s="40">
        <v>0.04</v>
      </c>
      <c r="D35" s="40">
        <v>24700</v>
      </c>
      <c r="E35" s="37"/>
      <c r="F35" s="59" t="s">
        <v>60</v>
      </c>
      <c r="G35" s="38"/>
      <c r="H35" s="16"/>
      <c r="I35" s="30"/>
      <c r="J35" s="35"/>
      <c r="K35" s="22"/>
      <c r="L35" s="21"/>
      <c r="M35" s="35"/>
    </row>
    <row r="36" spans="2:13" x14ac:dyDescent="0.25">
      <c r="L36" s="21"/>
    </row>
    <row r="37" spans="2:13" x14ac:dyDescent="0.25">
      <c r="L37" s="21"/>
    </row>
    <row r="38" spans="2:13" x14ac:dyDescent="0.25">
      <c r="E38" s="54"/>
      <c r="F38" s="55"/>
      <c r="L38" s="21"/>
    </row>
    <row r="39" spans="2:13" x14ac:dyDescent="0.25">
      <c r="B39" s="62" t="s">
        <v>62</v>
      </c>
      <c r="C39" s="62"/>
      <c r="D39" s="62"/>
      <c r="E39" s="62"/>
      <c r="F39" s="62"/>
      <c r="G39" s="62"/>
      <c r="L39" s="21"/>
    </row>
    <row r="40" spans="2:13" x14ac:dyDescent="0.25">
      <c r="B40" s="63" t="s">
        <v>63</v>
      </c>
      <c r="C40" s="63"/>
      <c r="D40" s="63"/>
      <c r="E40" s="63" t="s">
        <v>66</v>
      </c>
      <c r="F40" s="63"/>
      <c r="G40" s="63"/>
      <c r="H40" s="63"/>
      <c r="I40" s="63"/>
      <c r="L40" s="21"/>
    </row>
    <row r="41" spans="2:13" x14ac:dyDescent="0.25">
      <c r="B41" s="66" t="s">
        <v>64</v>
      </c>
      <c r="C41" s="66"/>
      <c r="D41" s="66"/>
      <c r="E41" s="66"/>
      <c r="F41" s="66"/>
      <c r="L41" s="21"/>
    </row>
    <row r="42" spans="2:13" x14ac:dyDescent="0.25">
      <c r="B42" s="69" t="s">
        <v>67</v>
      </c>
      <c r="C42" s="69"/>
      <c r="D42" s="69"/>
      <c r="E42" s="69"/>
      <c r="F42" s="69"/>
      <c r="L42" s="21"/>
    </row>
    <row r="43" spans="2:13" x14ac:dyDescent="0.25">
      <c r="L43" s="21"/>
    </row>
    <row r="44" spans="2:13" x14ac:dyDescent="0.25">
      <c r="L44" s="21"/>
    </row>
    <row r="45" spans="2:13" x14ac:dyDescent="0.25">
      <c r="B45" t="s">
        <v>70</v>
      </c>
      <c r="L45" s="21"/>
    </row>
    <row r="46" spans="2:13" x14ac:dyDescent="0.25">
      <c r="L46" s="21"/>
    </row>
    <row r="47" spans="2:13" x14ac:dyDescent="0.25">
      <c r="B47" t="s">
        <v>71</v>
      </c>
      <c r="L47" s="21"/>
    </row>
    <row r="48" spans="2:13" x14ac:dyDescent="0.25">
      <c r="B48" t="s">
        <v>72</v>
      </c>
      <c r="L48" s="21"/>
    </row>
    <row r="49" spans="2:12" x14ac:dyDescent="0.25">
      <c r="L49" s="21"/>
    </row>
    <row r="50" spans="2:12" x14ac:dyDescent="0.25">
      <c r="L50" s="21"/>
    </row>
    <row r="51" spans="2:12" x14ac:dyDescent="0.25">
      <c r="B51" t="s">
        <v>75</v>
      </c>
      <c r="F51" t="s">
        <v>73</v>
      </c>
      <c r="L51" s="21"/>
    </row>
    <row r="52" spans="2:12" x14ac:dyDescent="0.25">
      <c r="B52" t="s">
        <v>74</v>
      </c>
      <c r="L52" s="21"/>
    </row>
    <row r="53" spans="2:12" x14ac:dyDescent="0.25">
      <c r="B53" t="s">
        <v>77</v>
      </c>
      <c r="L53" s="21"/>
    </row>
    <row r="54" spans="2:12" x14ac:dyDescent="0.25">
      <c r="L54" s="21"/>
    </row>
    <row r="55" spans="2:12" x14ac:dyDescent="0.25">
      <c r="L55" s="21"/>
    </row>
    <row r="56" spans="2:12" x14ac:dyDescent="0.25">
      <c r="L56" s="21"/>
    </row>
  </sheetData>
  <mergeCells count="9">
    <mergeCell ref="B31:G31"/>
    <mergeCell ref="W9:X9"/>
    <mergeCell ref="Y9:Z9"/>
    <mergeCell ref="G9:I9"/>
    <mergeCell ref="K9:M9"/>
    <mergeCell ref="N9:N10"/>
    <mergeCell ref="O9:R9"/>
    <mergeCell ref="S9:T9"/>
    <mergeCell ref="U9:V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Lote Esp P</vt:lpstr>
      <vt:lpstr>Jaula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Utilizador</cp:lastModifiedBy>
  <cp:lastPrinted>2022-07-28T16:20:02Z</cp:lastPrinted>
  <dcterms:created xsi:type="dcterms:W3CDTF">2022-05-02T20:10:47Z</dcterms:created>
  <dcterms:modified xsi:type="dcterms:W3CDTF">2022-10-17T16:59:44Z</dcterms:modified>
</cp:coreProperties>
</file>