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 -&gt;" sheetId="1" r:id="rId3"/>
    <sheet state="visible" name="Queries" sheetId="2" r:id="rId4"/>
    <sheet state="visible" name="WoW bins Weekly Cohort Analysis" sheetId="3" r:id="rId5"/>
    <sheet state="visible" name="WoW Weekly Cohort Analysis By a" sheetId="4" r:id="rId6"/>
    <sheet state="visible" name="Biweekly Weekly Cohort Analysis" sheetId="5" r:id="rId7"/>
    <sheet state="visible" name="DoD Weekly Cohort Analysis" sheetId="6" r:id="rId8"/>
    <sheet state="visible" name="Pivot Table  for weekly" sheetId="7" r:id="rId9"/>
    <sheet state="visible" name="Pivot Table for acq weekly" sheetId="8" r:id="rId10"/>
    <sheet state="visible" name="Adhoc acq pivot" sheetId="9" r:id="rId11"/>
    <sheet state="visible" name="RAW DATA" sheetId="10" r:id="rId12"/>
    <sheet state="visible" name="DoD RAW DATA" sheetId="11" r:id="rId13"/>
    <sheet state="visible" name="Acquisition RAW DATA" sheetId="12" r:id="rId14"/>
    <sheet state="visible" name="AOV" sheetId="13" r:id="rId15"/>
  </sheets>
  <definedNames>
    <definedName hidden="1" localSheetId="4" name="_xlnm._FilterDatabase">'Biweekly Weekly Cohort Analysis'!$B$3:$X$29</definedName>
    <definedName hidden="1" localSheetId="2" name="_xlnm._FilterDatabase">'WoW bins Weekly Cohort Analysis'!$B$3:$X$29</definedName>
    <definedName hidden="1" localSheetId="3" name="_xlnm._FilterDatabase">'WoW Weekly Cohort Analysis By a'!$A$1:$Z$52</definedName>
    <definedName hidden="1" localSheetId="5" name="_xlnm._FilterDatabase">'DoD Weekly Cohort Analysis'!$B$2:$X$28</definedName>
    <definedName hidden="1" localSheetId="12" name="_xlnm._FilterDatabase">AOV!$A$1:$B$24</definedName>
    <definedName hidden="1" localSheetId="11" name="_xlnm._FilterDatabase">'Acquisition RAW DATA'!$A$1:$E$3962</definedName>
  </definedNames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<sst xmlns="http://schemas.openxmlformats.org/spreadsheetml/2006/main" count="113" uniqueCount="81">
  <si>
    <t>Weekly Cohorts</t>
  </si>
  <si>
    <t>Every 4th week retetnion increases</t>
  </si>
  <si>
    <t>19% decrease in retention from Week 4 to Week 17</t>
  </si>
  <si>
    <t>Months (M)</t>
  </si>
  <si>
    <t>Increase in Retention</t>
  </si>
  <si>
    <t>Week of 2018-07-01</t>
  </si>
  <si>
    <t>Week of 2018-06-03</t>
  </si>
  <si>
    <t>Week 4 (M1)</t>
  </si>
  <si>
    <t>Week 8 (M1)</t>
  </si>
  <si>
    <t>Month 13 (M1)</t>
  </si>
  <si>
    <t>Month 18(M1)</t>
  </si>
  <si>
    <t>Ship Week</t>
  </si>
  <si>
    <t>Week 0</t>
  </si>
  <si>
    <t>Week 1</t>
  </si>
  <si>
    <t>Week 3</t>
  </si>
  <si>
    <t>Week 5</t>
  </si>
  <si>
    <t>Week 7</t>
  </si>
  <si>
    <t>Week 9</t>
  </si>
  <si>
    <t>Week 11</t>
  </si>
  <si>
    <t>Week 13</t>
  </si>
  <si>
    <t>Week 15</t>
  </si>
  <si>
    <t>Week 17</t>
  </si>
  <si>
    <t>Week 19</t>
  </si>
  <si>
    <t>Week 21</t>
  </si>
  <si>
    <t>Tools used: https://sqliteonline.com/</t>
  </si>
  <si>
    <t>Base query to get all the data</t>
  </si>
  <si>
    <t>Query for AOV</t>
  </si>
  <si>
    <t>--New cuistomes
WITH first_orders as 
(
  SELECT * 
  FROM (
        SELECT        
                  shipment_date,
                  customer_id,
                  order_number,
                  order_value,
                  acquisition_channel_id,
                  RANK() OVER (PARTITION BY customer_id ORDER BY shipment_date) as customer_shipment_date_sequence
          FROM orders
          GROUP BY 1,2,3,4,5
    )
  where customer_shipment_date_sequence = 1
)
-- Customers coming back 
, retention_days AS (
    SELECT
        first_orders.acquisition_channel_id,
        first_orders.shipment_date AS shipment_date,
        strftime('%Y-%m-%d',first_orders.shipment_date,"WEEKDAY 0") as first_shipment_week,
        orders.shipment_date AS new_shipment_date,
        first_orders.customer_id AS customer_id,
        strftime('%Y-%m-%d',orders.shipment_date,"WEEKDAY 0") as shipment_week
    FROM first_orders 
    LEFT JOIN orders ON first_orders.customer_id = orders.customer_id
    GROUP BY 1,2,3,4,5,6
  )
--/*
 SELECT
     acquisition_channel_id,
     first_shipment_week,
     (FLOOR(JulianDay(shipment_week) - JulianDay(first_shipment_week)) / 7) AS week_number,
     COUNT(customer_id) as count_of_customers
 FROM retention_days
 GROUP BY 1,2,3
;</t>
  </si>
  <si>
    <t>SELECT 
    strftime('%Y-%m-%d',shipment_date,"WEEKDAY 0") as shipment_week,
    AVG(SUBSTR(order_value,2)) as AOV
  FROM orders
  GROUP BY 1
  ;</t>
  </si>
  <si>
    <t>acquisition_channel_id</t>
  </si>
  <si>
    <t>shipment_week</t>
  </si>
  <si>
    <t>Average --&gt;</t>
  </si>
  <si>
    <t>New customers</t>
  </si>
  <si>
    <t>Increase in retention</t>
  </si>
  <si>
    <t>Average Retention</t>
  </si>
  <si>
    <t>SUM of count_of_customers</t>
  </si>
  <si>
    <t>Week</t>
  </si>
  <si>
    <t>shipment_date</t>
  </si>
  <si>
    <t>Grand Total</t>
  </si>
  <si>
    <t>Decrease</t>
  </si>
  <si>
    <t>week_number</t>
  </si>
  <si>
    <t>first_shipment_week</t>
  </si>
  <si>
    <t>2 Total</t>
  </si>
  <si>
    <t>4 Total</t>
  </si>
  <si>
    <t>5 Total</t>
  </si>
  <si>
    <t>7 Total</t>
  </si>
  <si>
    <t>Assumed Channel</t>
  </si>
  <si>
    <t>Acq channel ID</t>
  </si>
  <si>
    <t>Customers</t>
  </si>
  <si>
    <t>Google Search (Organinc)</t>
  </si>
  <si>
    <t>Instagram</t>
  </si>
  <si>
    <t>Youtube</t>
  </si>
  <si>
    <t>Facebook</t>
  </si>
  <si>
    <t>Assumed Names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</si>
  <si>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</si>
  <si>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</si>
  <si>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</si>
  <si>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</si>
  <si>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</si>
  <si>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</si>
  <si>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</si>
  <si>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</si>
  <si>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</si>
  <si>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</si>
  <si>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</si>
  <si>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</si>
  <si>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</si>
  <si>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</si>
  <si>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</si>
  <si>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</si>
  <si>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</si>
  <si>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</si>
  <si>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</si>
  <si>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</si>
  <si>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</si>
  <si>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</si>
  <si>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</si>
  <si>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shipment week</t>
  </si>
  <si>
    <t>count_of_customers</t>
  </si>
  <si>
    <t xml:space="preserve"> </t>
  </si>
  <si>
    <t>AOV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</si>
</sst>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yyyy-mm-dd"/>
    <numFmt numFmtId="166" formatCode="&quot;$&quot;#,##0"/>
  </numFmts>
  <fonts count="12">
    <font>
      <sz val="10.0"/>
      <color rgb="FF000000"/>
      <name val="Arial"/>
    </font>
    <font/>
    <font>
      <color rgb="FF000000"/>
      <name val="Arial"/>
    </font>
    <font>
      <b/>
      <sz val="8.0"/>
      <color rgb="FFFFFFFF"/>
    </font>
    <font>
      <sz val="8.0"/>
      <color rgb="FF434343"/>
    </font>
    <font>
      <b/>
      <color rgb="FFFFFFFF"/>
      <name val="Arial"/>
    </font>
    <font>
      <b/>
    </font>
    <font>
      <i/>
      <color rgb="FF000000"/>
    </font>
    <font>
      <color rgb="FF000000"/>
    </font>
    <font>
      <color rgb="FFFFFFFF"/>
    </font>
    <font>
      <b/>
      <color rgb="FF000000"/>
    </font>
    <font>
      <b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right" vertical="bottom"/>
    </xf>
    <xf borderId="1" fillId="3" fontId="3" numFmtId="0" xfId="0" applyAlignment="1" applyBorder="1" applyFill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readingOrder="0"/>
    </xf>
    <xf borderId="1" fillId="0" fontId="4" numFmtId="10" xfId="0" applyBorder="1" applyFont="1" applyNumberFormat="1"/>
    <xf borderId="0" fillId="0" fontId="1" numFmtId="164" xfId="0" applyFont="1" applyNumberFormat="1"/>
    <xf borderId="0" fillId="3" fontId="5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horizontal="right" readingOrder="0"/>
    </xf>
    <xf borderId="0" fillId="4" fontId="1" numFmtId="0" xfId="0" applyAlignment="1" applyFill="1" applyFont="1">
      <alignment vertical="bottom"/>
    </xf>
    <xf borderId="0" fillId="4" fontId="1" numFmtId="10" xfId="0" applyAlignment="1" applyFont="1" applyNumberFormat="1">
      <alignment vertical="bottom"/>
    </xf>
    <xf borderId="0" fillId="0" fontId="1" numFmtId="10" xfId="0" applyFont="1" applyNumberFormat="1"/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 vertical="top"/>
    </xf>
    <xf borderId="0" fillId="7" fontId="7" numFmtId="0" xfId="0" applyFill="1" applyFont="1"/>
    <xf borderId="0" fillId="8" fontId="8" numFmtId="0" xfId="0" applyFill="1" applyFont="1"/>
    <xf borderId="0" fillId="8" fontId="8" numFmtId="164" xfId="0" applyFont="1" applyNumberFormat="1"/>
    <xf borderId="0" fillId="8" fontId="8" numFmtId="0" xfId="0" applyFont="1"/>
    <xf borderId="0" fillId="8" fontId="8" numFmtId="10" xfId="0" applyFont="1" applyNumberFormat="1"/>
    <xf borderId="0" fillId="8" fontId="1" numFmtId="0" xfId="0" applyFont="1"/>
    <xf borderId="0" fillId="0" fontId="1" numFmtId="9" xfId="0" applyAlignment="1" applyFont="1" applyNumberFormat="1">
      <alignment readingOrder="0"/>
    </xf>
    <xf borderId="0" fillId="0" fontId="1" numFmtId="9" xfId="0" applyAlignment="1" applyFont="1" applyNumberFormat="1">
      <alignment horizontal="right" readingOrder="0"/>
    </xf>
    <xf borderId="0" fillId="0" fontId="1" numFmtId="9" xfId="0" applyFont="1" applyNumberFormat="1"/>
    <xf borderId="0" fillId="3" fontId="9" numFmtId="0" xfId="0" applyAlignment="1" applyFont="1">
      <alignment readingOrder="0"/>
    </xf>
    <xf borderId="0" fillId="3" fontId="9" numFmtId="0" xfId="0" applyFont="1"/>
    <xf borderId="0" fillId="4" fontId="8" numFmtId="0" xfId="0" applyFont="1"/>
    <xf borderId="0" fillId="2" fontId="8" numFmtId="164" xfId="0" applyFont="1" applyNumberFormat="1"/>
    <xf borderId="0" fillId="4" fontId="8" numFmtId="10" xfId="0" applyFont="1" applyNumberFormat="1"/>
    <xf borderId="0" fillId="6" fontId="8" numFmtId="0" xfId="0" applyFont="1"/>
    <xf borderId="0" fillId="6" fontId="8" numFmtId="164" xfId="0" applyFont="1" applyNumberFormat="1"/>
    <xf borderId="0" fillId="6" fontId="8" numFmtId="0" xfId="0" applyFont="1"/>
    <xf borderId="0" fillId="6" fontId="8" numFmtId="10" xfId="0" applyFont="1" applyNumberFormat="1"/>
    <xf borderId="0" fillId="2" fontId="8" numFmtId="165" xfId="0" applyFont="1" applyNumberFormat="1"/>
    <xf borderId="0" fillId="6" fontId="1" numFmtId="0" xfId="0" applyFont="1"/>
    <xf borderId="0" fillId="2" fontId="8" numFmtId="0" xfId="0" applyAlignment="1" applyFont="1">
      <alignment readingOrder="0" shrinkToFit="0" wrapText="0"/>
    </xf>
    <xf borderId="0" fillId="9" fontId="8" numFmtId="0" xfId="0" applyFill="1" applyFont="1"/>
    <xf borderId="0" fillId="9" fontId="8" numFmtId="164" xfId="0" applyFont="1" applyNumberFormat="1"/>
    <xf borderId="0" fillId="9" fontId="8" numFmtId="0" xfId="0" applyFont="1"/>
    <xf borderId="0" fillId="9" fontId="8" numFmtId="10" xfId="0" applyFont="1" applyNumberFormat="1"/>
    <xf borderId="0" fillId="9" fontId="1" numFmtId="0" xfId="0" applyFont="1"/>
    <xf borderId="0" fillId="7" fontId="10" numFmtId="0" xfId="0" applyFont="1"/>
    <xf borderId="0" fillId="10" fontId="1" numFmtId="0" xfId="0" applyFill="1" applyFont="1"/>
    <xf borderId="0" fillId="10" fontId="1" numFmtId="164" xfId="0" applyFont="1" applyNumberFormat="1"/>
    <xf borderId="0" fillId="10" fontId="1" numFmtId="0" xfId="0" applyFont="1"/>
    <xf borderId="0" fillId="10" fontId="1" numFmtId="10" xfId="0" applyFont="1" applyNumberFormat="1"/>
    <xf borderId="0" fillId="0" fontId="8" numFmtId="10" xfId="0" applyFont="1" applyNumberFormat="1"/>
    <xf borderId="0" fillId="11" fontId="8" numFmtId="0" xfId="0" applyFill="1" applyFont="1"/>
    <xf borderId="0" fillId="11" fontId="8" numFmtId="164" xfId="0" applyFont="1" applyNumberFormat="1"/>
    <xf borderId="0" fillId="11" fontId="8" numFmtId="0" xfId="0" applyFont="1"/>
    <xf borderId="0" fillId="11" fontId="8" numFmtId="10" xfId="0" applyFont="1" applyNumberFormat="1"/>
    <xf borderId="0" fillId="11" fontId="1" numFmtId="0" xfId="0" applyFont="1"/>
    <xf borderId="0" fillId="0" fontId="1" numFmtId="165" xfId="0" applyFont="1" applyNumberFormat="1"/>
    <xf borderId="0" fillId="2" fontId="8" numFmtId="0" xfId="0" applyFont="1"/>
    <xf borderId="0" fillId="2" fontId="8" numFmtId="0" xfId="0" applyFont="1"/>
    <xf borderId="0" fillId="2" fontId="8" numFmtId="10" xfId="0" applyFont="1" applyNumberFormat="1"/>
    <xf borderId="0" fillId="4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'WoW bins Weekly Cohort Analysis'!$B$4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'WoW bins Weekly Cohort Analysis'!$C$3:$X$3</c:f>
            </c:strRef>
          </c:cat>
          <c:val>
            <c:numRef>
              <c:f>'WoW bins Weekly Cohort Analysis'!$C$4:$X$4</c:f>
            </c:numRef>
          </c:val>
          <c:smooth val="1"/>
        </c:ser>
        <c:ser>
          <c:idx val="1"/>
          <c:order val="1"/>
          <c:tx>
            <c:strRef>
              <c:f>'WoW bins Weekly Cohort Analysis'!$B$5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'WoW bins Weekly Cohort Analysis'!$C$3:$X$3</c:f>
            </c:strRef>
          </c:cat>
          <c:val>
            <c:numRef>
              <c:f>'WoW bins Weekly Cohort Analysis'!$C$5:$X$5</c:f>
            </c:numRef>
          </c:val>
          <c:smooth val="1"/>
        </c:ser>
        <c:ser>
          <c:idx val="2"/>
          <c:order val="2"/>
          <c:tx>
            <c:strRef>
              <c:f>'WoW bins Weekly Cohort Analysis'!$B$6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'WoW bins Weekly Cohort Analysis'!$C$3:$X$3</c:f>
            </c:strRef>
          </c:cat>
          <c:val>
            <c:numRef>
              <c:f>'WoW bins Weekly Cohort Analysis'!$C$6:$X$6</c:f>
            </c:numRef>
          </c:val>
          <c:smooth val="1"/>
        </c:ser>
        <c:ser>
          <c:idx val="3"/>
          <c:order val="3"/>
          <c:tx>
            <c:strRef>
              <c:f>'WoW bins Weekly Cohort Analysis'!$B$7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'WoW bins Weekly Cohort Analysis'!$C$3:$X$3</c:f>
            </c:strRef>
          </c:cat>
          <c:val>
            <c:numRef>
              <c:f>'WoW bins Weekly Cohort Analysis'!$C$7:$X$7</c:f>
            </c:numRef>
          </c:val>
          <c:smooth val="1"/>
        </c:ser>
        <c:ser>
          <c:idx val="4"/>
          <c:order val="4"/>
          <c:tx>
            <c:strRef>
              <c:f>'WoW bins Weekly Cohort Analysis'!$B$8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2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'WoW bins Weekly Cohort Analysis'!$C$3:$X$3</c:f>
            </c:strRef>
          </c:cat>
          <c:val>
            <c:numRef>
              <c:f>'WoW bins Weekly Cohort Analysis'!$C$8:$X$8</c:f>
            </c:numRef>
          </c:val>
          <c:smooth val="1"/>
        </c:ser>
        <c:axId val="477882789"/>
        <c:axId val="1120435190"/>
      </c:lineChart>
      <c:catAx>
        <c:axId val="4778827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0435190"/>
      </c:catAx>
      <c:valAx>
        <c:axId val="1120435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788278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'WoW bins Weekly Cohort Analysis'!$C$2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'WoW bins Weekly Cohort Analysis'!$D$3:$X$3</c:f>
            </c:strRef>
          </c:cat>
          <c:val>
            <c:numRef>
              <c:f>'WoW bins Weekly Cohort Analysis'!$D$2:$X$2</c:f>
            </c:numRef>
          </c:val>
          <c:smooth val="1"/>
        </c:ser>
        <c:axId val="546410271"/>
        <c:axId val="1014554705"/>
      </c:lineChart>
      <c:catAx>
        <c:axId val="5464102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4554705"/>
      </c:catAx>
      <c:valAx>
        <c:axId val="1014554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41027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'WoW Weekly Cohort Analysis By a'!$C$57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'WoW Weekly Cohort Analysis By a'!$D$56:$Z$56</c:f>
            </c:strRef>
          </c:cat>
          <c:val>
            <c:numRef>
              <c:f>'WoW Weekly Cohort Analysis By a'!$D$57:$Z$57</c:f>
            </c:numRef>
          </c:val>
          <c:smooth val="1"/>
        </c:ser>
        <c:ser>
          <c:idx val="1"/>
          <c:order val="1"/>
          <c:tx>
            <c:strRef>
              <c:f>'WoW Weekly Cohort Analysis By a'!$C$58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'WoW Weekly Cohort Analysis By a'!$D$56:$Z$56</c:f>
            </c:strRef>
          </c:cat>
          <c:val>
            <c:numRef>
              <c:f>'WoW Weekly Cohort Analysis By a'!$D$58:$Z$58</c:f>
            </c:numRef>
          </c:val>
          <c:smooth val="1"/>
        </c:ser>
        <c:ser>
          <c:idx val="2"/>
          <c:order val="2"/>
          <c:tx>
            <c:strRef>
              <c:f>'WoW Weekly Cohort Analysis By a'!$C$59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'WoW Weekly Cohort Analysis By a'!$D$56:$Z$56</c:f>
            </c:strRef>
          </c:cat>
          <c:val>
            <c:numRef>
              <c:f>'WoW Weekly Cohort Analysis By a'!$D$59:$Z$59</c:f>
            </c:numRef>
          </c:val>
          <c:smooth val="1"/>
        </c:ser>
        <c:ser>
          <c:idx val="3"/>
          <c:order val="3"/>
          <c:tx>
            <c:strRef>
              <c:f>'WoW Weekly Cohort Analysis By a'!$C$60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'WoW Weekly Cohort Analysis By a'!$D$56:$Z$56</c:f>
            </c:strRef>
          </c:cat>
          <c:val>
            <c:numRef>
              <c:f>'WoW Weekly Cohort Analysis By a'!$D$60:$Z$60</c:f>
            </c:numRef>
          </c:val>
          <c:smooth val="1"/>
        </c:ser>
        <c:axId val="1339746095"/>
        <c:axId val="1786918429"/>
      </c:lineChart>
      <c:catAx>
        <c:axId val="13397460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86918429"/>
      </c:catAx>
      <c:valAx>
        <c:axId val="1786918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974609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'Biweekly Weekly Cohort Analysis'!$B$4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'Biweekly Weekly Cohort Analysis'!$C$3:$N$3</c:f>
            </c:strRef>
          </c:cat>
          <c:val>
            <c:numRef>
              <c:f>'Biweekly Weekly Cohort Analysis'!$C$4:$N$4</c:f>
            </c:numRef>
          </c:val>
          <c:smooth val="1"/>
        </c:ser>
        <c:ser>
          <c:idx val="1"/>
          <c:order val="1"/>
          <c:tx>
            <c:strRef>
              <c:f>'Biweekly Weekly Cohort Analysis'!$B$5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'Biweekly Weekly Cohort Analysis'!$C$3:$N$3</c:f>
            </c:strRef>
          </c:cat>
          <c:val>
            <c:numRef>
              <c:f>'Biweekly Weekly Cohort Analysis'!$C$5:$N$5</c:f>
            </c:numRef>
          </c:val>
          <c:smooth val="1"/>
        </c:ser>
        <c:ser>
          <c:idx val="2"/>
          <c:order val="2"/>
          <c:tx>
            <c:strRef>
              <c:f>'Biweekly Weekly Cohort Analysis'!$B$6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'Biweekly Weekly Cohort Analysis'!$C$3:$N$3</c:f>
            </c:strRef>
          </c:cat>
          <c:val>
            <c:numRef>
              <c:f>'Biweekly Weekly Cohort Analysis'!$C$6:$N$6</c:f>
            </c:numRef>
          </c:val>
          <c:smooth val="1"/>
        </c:ser>
        <c:ser>
          <c:idx val="3"/>
          <c:order val="3"/>
          <c:tx>
            <c:strRef>
              <c:f>'Biweekly Weekly Cohort Analysis'!$B$7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'Biweekly Weekly Cohort Analysis'!$C$3:$N$3</c:f>
            </c:strRef>
          </c:cat>
          <c:val>
            <c:numRef>
              <c:f>'Biweekly Weekly Cohort Analysis'!$C$7:$N$7</c:f>
            </c:numRef>
          </c:val>
          <c:smooth val="1"/>
        </c:ser>
        <c:ser>
          <c:idx val="4"/>
          <c:order val="4"/>
          <c:tx>
            <c:strRef>
              <c:f>'Biweekly Weekly Cohort Analysis'!$B$8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2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'Biweekly Weekly Cohort Analysis'!$C$3:$N$3</c:f>
            </c:strRef>
          </c:cat>
          <c:val>
            <c:numRef>
              <c:f>'Biweekly Weekly Cohort Analysis'!$C$8:$N$8</c:f>
            </c:numRef>
          </c:val>
          <c:smooth val="1"/>
        </c:ser>
        <c:axId val="1408887996"/>
        <c:axId val="1025748318"/>
      </c:lineChart>
      <c:catAx>
        <c:axId val="14088879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5748318"/>
      </c:catAx>
      <c:valAx>
        <c:axId val="1025748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888799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'Biweekly Weekly Cohort Analysis'!$C$2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'Biweekly Weekly Cohort Analysis'!$D$3:$N$3</c:f>
            </c:strRef>
          </c:cat>
          <c:val>
            <c:numRef>
              <c:f>'Biweekly Weekly Cohort Analysis'!$D$2:$X$2</c:f>
            </c:numRef>
          </c:val>
          <c:smooth val="1"/>
        </c:ser>
        <c:axId val="1721445740"/>
        <c:axId val="1550788755"/>
      </c:lineChart>
      <c:catAx>
        <c:axId val="17214457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0788755"/>
      </c:catAx>
      <c:valAx>
        <c:axId val="155078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144574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'DoD Weekly Cohort Analysis'!$B$3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Analysis'!$C$3:$X$3</c:f>
            </c:numRef>
          </c:val>
          <c:smooth val="0"/>
        </c:ser>
        <c:ser>
          <c:idx val="1"/>
          <c:order val="1"/>
          <c:tx>
            <c:strRef>
              <c:f>'DoD Weekly Cohort Analysis'!$B$4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Analysis'!$C$4:$X$4</c:f>
            </c:numRef>
          </c:val>
          <c:smooth val="0"/>
        </c:ser>
        <c:ser>
          <c:idx val="2"/>
          <c:order val="2"/>
          <c:tx>
            <c:strRef>
              <c:f>'DoD Weekly Cohort Analysis'!$B$5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Analysis'!$C$5:$X$5</c:f>
            </c:numRef>
          </c:val>
          <c:smooth val="0"/>
        </c:ser>
        <c:ser>
          <c:idx val="3"/>
          <c:order val="3"/>
          <c:tx>
            <c:strRef>
              <c:f>'DoD Weekly Cohort Analysis'!$B$6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Analysis'!$C$6:$X$6</c:f>
            </c:numRef>
          </c:val>
          <c:smooth val="0"/>
        </c:ser>
        <c:ser>
          <c:idx val="4"/>
          <c:order val="4"/>
          <c:tx>
            <c:strRef>
              <c:f>'DoD Weekly Cohort Analysis'!$B$7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Analysis'!$C$7:$X$7</c:f>
            </c:numRef>
          </c:val>
          <c:smooth val="0"/>
        </c:ser>
        <c:ser>
          <c:idx val="5"/>
          <c:order val="5"/>
          <c:tx>
            <c:strRef>
              <c:f>'DoD Weekly Cohort Analysis'!$B$8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Analysis'!$C$8:$X$8</c:f>
            </c:numRef>
          </c:val>
          <c:smooth val="0"/>
        </c:ser>
        <c:ser>
          <c:idx val="6"/>
          <c:order val="6"/>
          <c:tx>
            <c:strRef>
              <c:f>'DoD Weekly Cohort Analysis'!$B$9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Analysis'!$C$9:$X$9</c:f>
            </c:numRef>
          </c:val>
          <c:smooth val="0"/>
        </c:ser>
        <c:ser>
          <c:idx val="7"/>
          <c:order val="7"/>
          <c:tx>
            <c:strRef>
              <c:f>'DoD Weekly Cohort Analysis'!$B$10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Analysis'!$C$10:$X$10</c:f>
            </c:numRef>
          </c:val>
          <c:smooth val="0"/>
        </c:ser>
        <c:ser>
          <c:idx val="8"/>
          <c:order val="8"/>
          <c:tx>
            <c:strRef>
              <c:f>'DoD Weekly Cohort Analysis'!$B$11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Analysis'!$C$11:$X$11</c:f>
            </c:numRef>
          </c:val>
          <c:smooth val="0"/>
        </c:ser>
        <c:ser>
          <c:idx val="9"/>
          <c:order val="9"/>
          <c:tx>
            <c:strRef>
              <c:f>'DoD Weekly Cohort Analysis'!$B$12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Analysis'!$C$12:$X$12</c:f>
            </c:numRef>
          </c:val>
          <c:smooth val="0"/>
        </c:ser>
        <c:ser>
          <c:idx val="10"/>
          <c:order val="10"/>
          <c:tx>
            <c:strRef>
              <c:f>'DoD Weekly Cohort Analysis'!$B$13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Analysis'!$C$13:$X$13</c:f>
            </c:numRef>
          </c:val>
          <c:smooth val="0"/>
        </c:ser>
        <c:ser>
          <c:idx val="11"/>
          <c:order val="11"/>
          <c:tx>
            <c:strRef>
              <c:f>'DoD Weekly Cohort Analysis'!$B$14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Analysis'!$C$14:$X$14</c:f>
            </c:numRef>
          </c:val>
          <c:smooth val="0"/>
        </c:ser>
        <c:ser>
          <c:idx val="12"/>
          <c:order val="12"/>
          <c:tx>
            <c:strRef>
              <c:f>'DoD Weekly Cohort Analysis'!$B$15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Analysis'!$C$15:$X$15</c:f>
            </c:numRef>
          </c:val>
          <c:smooth val="0"/>
        </c:ser>
        <c:ser>
          <c:idx val="13"/>
          <c:order val="13"/>
          <c:tx>
            <c:strRef>
              <c:f>'DoD Weekly Cohort Analysis'!$B$16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Analysis'!$C$16:$X$16</c:f>
            </c:numRef>
          </c:val>
          <c:smooth val="0"/>
        </c:ser>
        <c:ser>
          <c:idx val="14"/>
          <c:order val="14"/>
          <c:tx>
            <c:strRef>
              <c:f>'DoD Weekly Cohort Analysis'!$B$17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Analysis'!$C$17:$X$17</c:f>
            </c:numRef>
          </c:val>
          <c:smooth val="0"/>
        </c:ser>
        <c:ser>
          <c:idx val="15"/>
          <c:order val="15"/>
          <c:tx>
            <c:strRef>
              <c:f>'DoD Weekly Cohort Analysis'!$B$18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Analysis'!$C$18:$X$18</c:f>
            </c:numRef>
          </c:val>
          <c:smooth val="0"/>
        </c:ser>
        <c:ser>
          <c:idx val="16"/>
          <c:order val="16"/>
          <c:tx>
            <c:strRef>
              <c:f>'DoD Weekly Cohort Analysis'!$B$19</c:f>
            </c:strRef>
          </c:tx>
          <c:spPr>
            <a:ln cmpd="sng" w="19050">
              <a:solidFill>
                <a:srgbClr val="651067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Analysis'!$C$19:$X$19</c:f>
            </c:numRef>
          </c:val>
          <c:smooth val="0"/>
        </c:ser>
        <c:ser>
          <c:idx val="17"/>
          <c:order val="17"/>
          <c:tx>
            <c:strRef>
              <c:f>'DoD Weekly Cohort Analysis'!$B$20</c:f>
            </c:strRef>
          </c:tx>
          <c:spPr>
            <a:ln cmpd="sng" w="19050">
              <a:solidFill>
                <a:srgbClr val="329262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Analysis'!$C$20:$X$20</c:f>
            </c:numRef>
          </c:val>
          <c:smooth val="0"/>
        </c:ser>
        <c:ser>
          <c:idx val="18"/>
          <c:order val="18"/>
          <c:tx>
            <c:strRef>
              <c:f>'DoD Weekly Cohort Analysis'!$B$21</c:f>
            </c:strRef>
          </c:tx>
          <c:spPr>
            <a:ln cmpd="sng" w="19050">
              <a:solidFill>
                <a:srgbClr val="5574A6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Analysis'!$C$21:$X$21</c:f>
            </c:numRef>
          </c:val>
          <c:smooth val="0"/>
        </c:ser>
        <c:ser>
          <c:idx val="19"/>
          <c:order val="19"/>
          <c:tx>
            <c:strRef>
              <c:f>'DoD Weekly Cohort Analysis'!$B$22</c:f>
            </c:strRef>
          </c:tx>
          <c:spPr>
            <a:ln cmpd="sng" w="19050">
              <a:solidFill>
                <a:srgbClr val="3B3EAC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Analysis'!$C$22:$X$22</c:f>
            </c:numRef>
          </c:val>
          <c:smooth val="0"/>
        </c:ser>
        <c:ser>
          <c:idx val="20"/>
          <c:order val="20"/>
          <c:tx>
            <c:strRef>
              <c:f>'DoD Weekly Cohort Analysis'!$B$23</c:f>
            </c:strRef>
          </c:tx>
          <c:spPr>
            <a:ln cmpd="sng" w="19050">
              <a:solidFill>
                <a:srgbClr val="B77322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Analysis'!$C$23:$X$23</c:f>
            </c:numRef>
          </c:val>
          <c:smooth val="0"/>
        </c:ser>
        <c:ser>
          <c:idx val="21"/>
          <c:order val="21"/>
          <c:tx>
            <c:strRef>
              <c:f>'DoD Weekly Cohort Analysis'!$B$24</c:f>
            </c:strRef>
          </c:tx>
          <c:spPr>
            <a:ln cmpd="sng" w="19050">
              <a:solidFill>
                <a:srgbClr val="16D620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Analysis'!$C$24:$X$24</c:f>
            </c:numRef>
          </c:val>
          <c:smooth val="0"/>
        </c:ser>
        <c:ser>
          <c:idx val="22"/>
          <c:order val="22"/>
          <c:tx>
            <c:strRef>
              <c:f>'DoD Weekly Cohort Analysis'!$B$25</c:f>
            </c:strRef>
          </c:tx>
          <c:spPr>
            <a:ln cmpd="sng" w="19050">
              <a:solidFill>
                <a:srgbClr val="B91383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Analysis'!$C$25:$X$25</c:f>
            </c:numRef>
          </c:val>
          <c:smooth val="0"/>
        </c:ser>
        <c:ser>
          <c:idx val="23"/>
          <c:order val="23"/>
          <c:tx>
            <c:strRef>
              <c:f>'DoD Weekly Cohort Analysis'!$B$26</c:f>
            </c:strRef>
          </c:tx>
          <c:spPr>
            <a:ln cmpd="sng" w="19050">
              <a:solidFill>
                <a:srgbClr val="F4359E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Analysis'!$C$26:$X$26</c:f>
            </c:numRef>
          </c:val>
          <c:smooth val="0"/>
        </c:ser>
        <c:ser>
          <c:idx val="24"/>
          <c:order val="24"/>
          <c:tx>
            <c:strRef>
              <c:f>'DoD Weekly Cohort Analysis'!$B$27</c:f>
            </c:strRef>
          </c:tx>
          <c:spPr>
            <a:ln cmpd="sng" w="19050">
              <a:solidFill>
                <a:srgbClr val="9C5935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Analysis'!$C$27:$X$27</c:f>
            </c:numRef>
          </c:val>
          <c:smooth val="0"/>
        </c:ser>
        <c:ser>
          <c:idx val="25"/>
          <c:order val="25"/>
          <c:tx>
            <c:strRef>
              <c:f>'DoD Weekly Cohort Analysis'!$B$28</c:f>
            </c:strRef>
          </c:tx>
          <c:spPr>
            <a:ln cmpd="sng" w="19050">
              <a:solidFill>
                <a:srgbClr val="A9C413"/>
              </a:solidFill>
            </a:ln>
          </c:spPr>
          <c:marker>
            <c:symbol val="none"/>
          </c:marker>
          <c:cat>
            <c:strRef>
              <c:f>'DoD Weekly Cohort Analysis'!$C$2:$X$2</c:f>
            </c:strRef>
          </c:cat>
          <c:val>
            <c:numRef>
              <c:f>'DoD Weekly Cohort Analysis'!$C$28:$X$28</c:f>
            </c:numRef>
          </c:val>
          <c:smooth val="0"/>
        </c:ser>
        <c:axId val="757472096"/>
        <c:axId val="1487090529"/>
      </c:lineChart>
      <c:catAx>
        <c:axId val="7574720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7090529"/>
      </c:catAx>
      <c:valAx>
        <c:axId val="1487090529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7472096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18</xdr:row>
      <xdr:rowOff>9525</xdr:rowOff>
    </xdr:from>
    <xdr:ext cx="6286500" cy="4038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428625</xdr:colOff>
      <xdr:row>15</xdr:row>
      <xdr:rowOff>190500</xdr:rowOff>
    </xdr:from>
    <xdr:ext cx="5410200" cy="2562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552450</xdr:colOff>
      <xdr:row>56</xdr:row>
      <xdr:rowOff>200025</xdr:rowOff>
    </xdr:from>
    <xdr:ext cx="6848475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15</xdr:row>
      <xdr:rowOff>95250</xdr:rowOff>
    </xdr:from>
    <xdr:ext cx="8943975" cy="5753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476250</xdr:colOff>
      <xdr:row>17</xdr:row>
      <xdr:rowOff>19050</xdr:rowOff>
    </xdr:from>
    <xdr:ext cx="9105900" cy="4305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9</xdr:row>
      <xdr:rowOff>200025</xdr:rowOff>
    </xdr:from>
    <xdr:ext cx="9639300" cy="5334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521" sheet="DoD RAW DATA"/>
  </cacheSource>
  <cacheFields>
    <cacheField name="shipment_date" numFmtId="165">
      <sharedItems containsSemiMixedTypes="0" containsDate="1" containsString="0">
        <d v="2018-06-01T00:00:00Z"/>
        <d v="2018-06-02T00:00:00Z"/>
        <d v="2018-06-04T00:00:00Z"/>
        <d v="2018-06-05T00:00:00Z"/>
        <d v="2018-06-06T00:00:00Z"/>
        <d v="2018-06-07T00:00:00Z"/>
        <d v="2018-06-08T00:00:00Z"/>
        <d v="2018-06-09T00:00:00Z"/>
        <d v="2018-06-11T00:00:00Z"/>
        <d v="2018-06-12T00:00:00Z"/>
        <d v="2018-06-13T00:00:00Z"/>
        <d v="2018-06-14T00:00:00Z"/>
        <d v="2018-06-15T00:00:00Z"/>
        <d v="2018-06-16T00:00:00Z"/>
        <d v="2018-06-18T00:00:00Z"/>
        <d v="2018-06-19T00:00:00Z"/>
        <d v="2018-06-20T00:00:00Z"/>
        <d v="2018-06-21T00:00:00Z"/>
        <d v="2018-06-22T00:00:00Z"/>
        <d v="2018-06-23T00:00:00Z"/>
        <d v="2018-06-25T00:00:00Z"/>
        <d v="2018-06-26T00:00:00Z"/>
        <d v="2018-06-27T00:00:00Z"/>
        <d v="2018-06-28T00:00:00Z"/>
        <d v="2018-06-29T00:00:00Z"/>
        <d v="2018-06-30T00:00:00Z"/>
      </sharedItems>
    </cacheField>
    <cacheField name="Week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count_of_customers" numFmtId="0">
      <sharedItems containsSemiMixedTypes="0" containsString="0" containsNumber="1" containsInteger="1">
        <n v="1371.0"/>
        <n v="29.0"/>
        <n v="44.0"/>
        <n v="87.0"/>
        <n v="408.0"/>
        <n v="48.0"/>
        <n v="63.0"/>
        <n v="80.0"/>
        <n v="131.0"/>
        <n v="220.0"/>
        <n v="60.0"/>
        <n v="58.0"/>
        <n v="92.0"/>
        <n v="159.0"/>
        <n v="68.0"/>
        <n v="66.0"/>
        <n v="144.0"/>
        <n v="71.0"/>
        <n v="51.0"/>
        <n v="62.0"/>
        <n v="1152.0"/>
        <n v="21.0"/>
        <n v="37.0"/>
        <n v="54.0"/>
        <n v="329.0"/>
        <n v="55.0"/>
        <n v="39.0"/>
        <n v="45.0"/>
        <n v="202.0"/>
        <n v="115.0"/>
        <n v="53.0"/>
        <n v="148.0"/>
        <n v="49.0"/>
        <n v="129.0"/>
        <n v="50.0"/>
        <n v="46.0"/>
        <n v="33.0"/>
        <n v="1923.0"/>
        <n v="137.0"/>
        <n v="598.0"/>
        <n v="61.0"/>
        <n v="96.0"/>
        <n v="423.0"/>
        <n v="106.0"/>
        <n v="102.0"/>
        <n v="103.0"/>
        <n v="161.0"/>
        <n v="231.0"/>
        <n v="86.0"/>
        <n v="73.0"/>
        <n v="122.0"/>
        <n v="99.0"/>
        <n v="83.0"/>
        <n v="94.0"/>
        <n v="26.0"/>
        <n v="809.0"/>
        <n v="10.0"/>
        <n v="230.0"/>
        <n v="31.0"/>
        <n v="35.0"/>
        <n v="171.0"/>
        <n v="43.0"/>
        <n v="32.0"/>
        <n v="104.0"/>
        <n v="24.0"/>
        <n v="7.0"/>
        <n v="834.0"/>
        <n v="20.0"/>
        <n v="272.0"/>
        <n v="23.0"/>
        <n v="38.0"/>
        <n v="143.0"/>
        <n v="64.0"/>
        <n v="34.0"/>
        <n v="41.0"/>
        <n v="138.0"/>
        <n v="30.0"/>
        <n v="97.0"/>
        <n v="860.0"/>
        <n v="17.0"/>
        <n v="69.0"/>
        <n v="258.0"/>
        <n v="186.0"/>
        <n v="42.0"/>
        <n v="118.0"/>
        <n v="28.0"/>
        <n v="56.0"/>
        <n v="36.0"/>
        <n v="1086.0"/>
        <n v="22.0"/>
        <n v="72.0"/>
        <n v="320.0"/>
        <n v="189.0"/>
        <n v="125.0"/>
        <n v="78.0"/>
        <n v="170.0"/>
        <n v="1240.0"/>
        <n v="377.0"/>
        <n v="271.0"/>
        <n v="76.0"/>
        <n v="70.0"/>
        <n v="167.0"/>
        <n v="74.0"/>
        <n v="141.0"/>
        <n v="2707.0"/>
        <n v="850.0"/>
        <n v="79.0"/>
        <n v="140.0"/>
        <n v="198.0"/>
        <n v="590.0"/>
        <n v="134.0"/>
        <n v="164.0"/>
        <n v="331.0"/>
        <n v="260.0"/>
        <n v="93.0"/>
        <n v="142.0"/>
        <n v="187.0"/>
        <n v="315.0"/>
        <n v="133.0"/>
        <n v="1029.0"/>
        <n v="15.0"/>
        <n v="65.0"/>
        <n v="299.0"/>
        <n v="75.0"/>
        <n v="215.0"/>
        <n v="116.0"/>
        <n v="100.0"/>
        <n v="1332.0"/>
        <n v="13.0"/>
        <n v="445.0"/>
        <n v="77.0"/>
        <n v="280.0"/>
        <n v="89.0"/>
        <n v="196.0"/>
        <n v="81.0"/>
        <n v="155.0"/>
        <n v="1203.0"/>
        <n v="366.0"/>
        <n v="130.0"/>
        <n v="128.0"/>
        <n v="1298.0"/>
        <n v="14.0"/>
        <n v="398.0"/>
        <n v="204.0"/>
        <n v="179.0"/>
        <n v="1164.0"/>
        <n v="314.0"/>
        <n v="208.0"/>
        <n v="135.0"/>
        <n v="52.0"/>
        <n v="157.0"/>
        <n v="2177.0"/>
        <n v="667.0"/>
        <n v="114.0"/>
        <n v="464.0"/>
        <n v="95.0"/>
        <n v="123.0"/>
        <n v="270.0"/>
        <n v="88.0"/>
        <n v="268.0"/>
        <n v="98.0"/>
        <n v="1116.0"/>
        <n v="16.0"/>
        <n v="91.0"/>
        <n v="300.0"/>
        <n v="217.0"/>
        <n v="59.0"/>
        <n v="105.0"/>
        <n v="139.0"/>
        <n v="9.0"/>
        <n v="1201.0"/>
        <n v="353.0"/>
        <n v="265.0"/>
        <n v="90.0"/>
        <n v="67.0"/>
        <n v="108.0"/>
        <n v="1016.0"/>
        <n v="310.0"/>
        <n v="40.0"/>
        <n v="47.0"/>
        <n v="110.0"/>
        <n v="57.0"/>
        <n v="124.0"/>
        <n v="1115.0"/>
        <n v="85.0"/>
        <n v="317.0"/>
        <n v="101.0"/>
        <n v="1117.0"/>
        <n v="82.0"/>
        <n v="152.0"/>
        <n v="2095.0"/>
        <n v="603.0"/>
        <n v="430.0"/>
        <n v="120.0"/>
        <n v="278.0"/>
        <n v="236.0"/>
        <n v="1092.0"/>
        <n v="84.0"/>
        <n v="5.0"/>
        <n v="1049.0"/>
        <n v="25.0"/>
        <n v="195.0"/>
        <n v="126.0"/>
        <n v="1211.0"/>
        <n v="409.0"/>
        <n v="172.0"/>
        <n v="1550.0"/>
        <n v="468.0"/>
        <n v="107.0"/>
        <n v="194.0"/>
        <n v="1561.0"/>
        <n v="458.0"/>
        <n v="243.0"/>
        <n v="112.0"/>
        <n v="19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882" sheet="Acquisition RAW DATA"/>
  </cacheSource>
  <cacheFields>
    <cacheField name="acquisition_channel_id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e v="#N/A"/>
        <m/>
      </sharedItems>
    </cacheField>
    <cacheField name="first_shipment_week" numFmtId="165">
      <sharedItems containsDate="1" containsString="0" containsBlank="1">
        <d v="2018-06-03T00:00:00Z"/>
        <d v="2018-06-10T00:00:00Z"/>
        <d v="2018-06-17T00:00:00Z"/>
        <d v="2018-06-24T00:00:00Z"/>
        <d v="2018-07-01T00:00:00Z"/>
        <m/>
      </sharedItems>
    </cacheField>
    <cacheField name="week_number" numFmtId="0">
      <sharedItems containsString="0" containsBlank="1" containsNumber="1" containsInteger="1">
        <n v="0.0"/>
        <n v="2.0"/>
        <n v="4.0"/>
        <n v="5.0"/>
        <n v="6.0"/>
        <n v="8.0"/>
        <n v="9.0"/>
        <n v="10.0"/>
        <n v="11.0"/>
        <n v="12.0"/>
        <n v="13.0"/>
        <n v="14.0"/>
        <n v="15.0"/>
        <n v="17.0"/>
        <n v="18.0"/>
        <n v="19.0"/>
        <n v="20.0"/>
        <n v="22.0"/>
        <n v="1.0"/>
        <n v="3.0"/>
        <n v="7.0"/>
        <n v="16.0"/>
        <n v="21.0"/>
        <m/>
      </sharedItems>
    </cacheField>
    <cacheField name="count_of_customers" numFmtId="0">
      <sharedItems containsString="0" containsBlank="1" containsNumber="1" containsInteger="1">
        <n v="68.0"/>
        <n v="1.0"/>
        <n v="3.0"/>
        <n v="17.0"/>
        <n v="2.0"/>
        <n v="10.0"/>
        <n v="5.0"/>
        <n v="6.0"/>
        <n v="237.0"/>
        <n v="4.0"/>
        <n v="48.0"/>
        <n v="22.0"/>
        <n v="7.0"/>
        <n v="30.0"/>
        <n v="12.0"/>
        <n v="27.0"/>
        <n v="18.0"/>
        <n v="13.0"/>
        <n v="23.0"/>
        <n v="9.0"/>
        <n v="201.0"/>
        <n v="8.0"/>
        <n v="42.0"/>
        <n v="14.0"/>
        <n v="11.0"/>
        <n v="174.0"/>
        <n v="34.0"/>
        <n v="19.0"/>
        <n v="24.0"/>
        <n v="200.0"/>
        <n v="38.0"/>
        <n v="26.0"/>
        <n v="20.0"/>
        <n v="1319.0"/>
        <n v="28.0"/>
        <n v="55.0"/>
        <n v="86.0"/>
        <n v="422.0"/>
        <n v="50.0"/>
        <n v="56.0"/>
        <n v="94.0"/>
        <n v="289.0"/>
        <n v="74.0"/>
        <n v="123.0"/>
        <n v="126.0"/>
        <n v="52.0"/>
        <n v="60.0"/>
        <n v="76.0"/>
        <n v="155.0"/>
        <n v="61.0"/>
        <n v="57.0"/>
        <n v="15.0"/>
        <n v="3262.0"/>
        <n v="54.0"/>
        <n v="59.0"/>
        <n v="133.0"/>
        <n v="832.0"/>
        <n v="488.0"/>
        <n v="98.0"/>
        <n v="144.0"/>
        <n v="461.0"/>
        <n v="538.0"/>
        <n v="163.0"/>
        <n v="181.0"/>
        <n v="215.0"/>
        <n v="456.0"/>
        <n v="194.0"/>
        <n v="109.0"/>
        <n v="189.0"/>
        <n v="298.0"/>
        <n v="291.0"/>
        <n v="147.0"/>
        <n v="173.0"/>
        <n v="4880.0"/>
        <n v="64.0"/>
        <n v="84.0"/>
        <n v="262.0"/>
        <n v="1309.0"/>
        <n v="544.0"/>
        <n v="209.0"/>
        <n v="310.0"/>
        <n v="635.0"/>
        <n v="675.0"/>
        <n v="284.0"/>
        <n v="263.0"/>
        <n v="395.0"/>
        <n v="575.0"/>
        <n v="223.0"/>
        <n v="238.0"/>
        <n v="306.0"/>
        <n v="478.0"/>
        <n v="373.0"/>
        <n v="217.0"/>
        <n v="73.0"/>
        <n v="3986.0"/>
        <n v="71.0"/>
        <n v="231.0"/>
        <n v="978.0"/>
        <n v="483.0"/>
        <n v="168.0"/>
        <n v="187.0"/>
        <n v="633.0"/>
        <n v="471.0"/>
        <n v="252.0"/>
        <n v="204.0"/>
        <n v="203.0"/>
        <n v="428.0"/>
        <n v="294.0"/>
        <n v="169.0"/>
        <n v="191.0"/>
        <n v="391.0"/>
        <n v="274.0"/>
        <n v="4517.0"/>
        <n v="67.0"/>
        <n v="62.0"/>
        <n v="248.0"/>
        <n v="966.0"/>
        <n v="711.0"/>
        <n v="134.0"/>
        <n v="167.0"/>
        <n v="584.0"/>
        <n v="600.0"/>
        <n v="241.0"/>
        <n v="595.0"/>
        <n v="212.0"/>
        <n v="164.0"/>
        <n v="196.0"/>
        <n v="410.0"/>
        <n v="151.0"/>
        <n v="40.0"/>
        <n v="80.0"/>
        <n v="91.0"/>
        <n v="95.0"/>
        <n v="21.0"/>
        <n v="101.0"/>
        <n v="16.0"/>
        <n v="44.0"/>
        <n v="606.0"/>
        <n v="35.0"/>
        <n v="43.0"/>
        <n v="25.0"/>
        <n v="79.0"/>
        <n v="33.0"/>
        <n v="31.0"/>
        <n v="46.0"/>
        <n v="36.0"/>
        <n v="825.0"/>
        <n v="102.0"/>
        <n v="85.0"/>
        <n v="81.0"/>
        <n v="41.0"/>
        <n v="796.0"/>
        <n v="45.0"/>
        <n v="165.0"/>
        <n v="32.0"/>
        <n v="112.0"/>
        <n v="113.0"/>
        <n v="39.0"/>
        <n v="766.0"/>
        <n v="142.0"/>
        <n v="100.0"/>
        <n v="105.0"/>
        <n v="47.0"/>
        <n v="66.0"/>
        <n v="314.0"/>
        <n v="83.0"/>
        <n v="985.0"/>
        <n v="97.0"/>
        <n v="124.0"/>
        <n v="139.0"/>
        <n v="51.0"/>
        <n v="63.0"/>
        <n v="96.0"/>
        <n v="72.0"/>
        <n v="1011.0"/>
        <n v="224.0"/>
        <n v="128.0"/>
        <n v="58.0"/>
        <n v="118.0"/>
        <n v="49.0"/>
        <n v="53.0"/>
        <n v="920.0"/>
        <n v="186.0"/>
        <n v="130.0"/>
        <n v="37.0"/>
        <n v="117.0"/>
        <n v="1096.0"/>
        <n v="29.0"/>
        <n v="70.0"/>
        <n v="242.0"/>
        <n v="149.0"/>
        <n v="177.0"/>
        <n v="183.0"/>
        <n v="116.0"/>
        <n v="122.0"/>
        <n v="448.0"/>
        <n v="120.0"/>
        <n v="89.0"/>
        <n v="1184.0"/>
        <n v="77.0"/>
        <n v="146.0"/>
        <n v="82.0"/>
        <n v="150.0"/>
        <n v="87.0"/>
        <n v="1266.0"/>
        <n v="313.0"/>
        <n v="75.0"/>
        <n v="65.0"/>
        <n v="156.0"/>
        <n v="111.0"/>
        <n v="1231.0"/>
        <n v="264.0"/>
        <n v="157.0"/>
        <n v="170.0"/>
        <n v="152.0"/>
        <n v="119.0"/>
        <n v="1435.0"/>
        <n v="69.0"/>
        <n v="280.0"/>
        <n v="195.0"/>
        <n v="178.0"/>
        <n v="92.0"/>
        <n v="19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 for weekly" cacheId="0" dataCaption="" colGrandTotals="0" compact="0" compactData="0">
  <location ref="A1:W29" firstHeaderRow="0" firstDataRow="1" firstDataCol="1"/>
  <pivotFields>
    <pivotField name="shipment_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of_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</pivotFields>
  <rowFields>
    <field x="0"/>
  </rowFields>
  <colFields>
    <field x="1"/>
  </colFields>
  <dataFields>
    <dataField name="SUM of count_of_customers" fld="2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for acq weekly" cacheId="1" dataCaption="" rowGrandTotals="0" colGrandTotals="0" compact="0" compactData="0">
  <location ref="A1:Y26" firstHeaderRow="0" firstDataRow="2" firstDataCol="1"/>
  <pivotFields>
    <pivotField name="acquisition_channel_id" axis="axisRow" compact="0" outline="0" multipleItemSelectionAllowed="1" showAll="0" sortType="ascending">
      <items>
        <item h="1" x="11"/>
        <item h="1" x="0"/>
        <item x="1"/>
        <item h="1" x="2"/>
        <item x="3"/>
        <item x="4"/>
        <item h="1" x="5"/>
        <item x="6"/>
        <item h="1" x="7"/>
        <item h="1" x="8"/>
        <item h="1" x="9"/>
        <item h="1" x="10"/>
        <item t="default"/>
      </items>
    </pivotField>
    <pivotField name="first_shipment_week" axis="axisRow" compact="0" numFmtId="165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week_number" axis="axisCol" compact="0" outline="0" multipleItemSelectionAllowed="1" showAll="0" sortType="ascending">
      <items>
        <item x="23"/>
        <item x="0"/>
        <item x="18"/>
        <item x="1"/>
        <item x="19"/>
        <item x="2"/>
        <item x="3"/>
        <item x="4"/>
        <item x="20"/>
        <item x="5"/>
        <item x="6"/>
        <item x="7"/>
        <item x="8"/>
        <item x="9"/>
        <item x="10"/>
        <item x="11"/>
        <item x="12"/>
        <item x="21"/>
        <item x="13"/>
        <item x="14"/>
        <item x="15"/>
        <item x="16"/>
        <item x="22"/>
        <item x="17"/>
        <item t="default"/>
      </items>
    </pivotField>
    <pivotField name="count_of_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2"/>
  </colFields>
  <dataFields>
    <dataField name="SUM of count_of_customers" fld="3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Adhoc acq pivot" cacheId="1" dataCaption="" colGrandTotals="0" compact="0" compactData="0">
  <location ref="A1:Y53" firstHeaderRow="0" firstDataRow="2" firstDataCol="1"/>
  <pivotFields>
    <pivotField name="acquisition_channel_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  <autoSortScope>
        <pivotArea>
          <references>
            <reference field="4294967294">
              <x v="0"/>
            </reference>
            <reference field="2">
              <x v="1"/>
            </reference>
          </references>
        </pivotArea>
      </autoSortScope>
    </pivotField>
    <pivotField name="first_shipment_week" axis="axisRow" compact="0" numFmtId="165" outline="0" multipleItemSelectionAllowed="1" showAll="0" sortType="descending" defaultSubtotal="0">
      <items>
        <item x="0"/>
        <item x="1"/>
        <item x="2"/>
        <item x="3"/>
        <item x="4"/>
        <item x="5"/>
      </items>
      <autoSortScope>
        <pivotArea>
          <references>
            <reference field="4294967294">
              <x v="0"/>
            </reference>
            <reference field="2">
              <x v="1"/>
            </reference>
          </references>
        </pivotArea>
      </autoSortScope>
    </pivotField>
    <pivotField name="week_number" axis="axisCol" compact="0" outline="0" multipleItemSelectionAllowed="1" showAll="0" sortType="ascending">
      <items>
        <item x="23"/>
        <item x="0"/>
        <item x="18"/>
        <item x="1"/>
        <item x="19"/>
        <item x="2"/>
        <item x="3"/>
        <item x="4"/>
        <item x="20"/>
        <item x="5"/>
        <item x="6"/>
        <item x="7"/>
        <item x="8"/>
        <item x="9"/>
        <item x="10"/>
        <item x="11"/>
        <item x="12"/>
        <item x="21"/>
        <item x="13"/>
        <item x="14"/>
        <item x="15"/>
        <item x="16"/>
        <item x="22"/>
        <item x="17"/>
        <item t="default"/>
      </items>
    </pivotField>
    <pivotField name="count_of_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2"/>
  </colFields>
  <dataFields>
    <dataField name="SUM of count_of_customer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  <col customWidth="1" min="5" max="5" width="15.29"/>
    <col customWidth="1" min="6" max="6" width="10.86"/>
    <col customWidth="1" min="7" max="7" width="8.86"/>
    <col customWidth="1" min="8" max="9" width="8.71"/>
  </cols>
  <sheetData>
    <row r="2" hidden="1">
      <c r="A2" s="1" t="s">
        <v>0</v>
      </c>
    </row>
    <row r="3" hidden="1"/>
    <row r="4" hidden="1">
      <c r="A4" s="1" t="s">
        <v>1</v>
      </c>
      <c r="J4" s="2"/>
    </row>
    <row r="5" hidden="1">
      <c r="J5" s="2"/>
    </row>
    <row r="6" hidden="1">
      <c r="A6" s="1" t="s">
        <v>2</v>
      </c>
    </row>
    <row r="7" hidden="1"/>
    <row r="8" hidden="1"/>
    <row r="9" hidden="1"/>
    <row r="10" hidden="1"/>
    <row r="11" hidden="1">
      <c r="F11" s="3" t="s">
        <v>3</v>
      </c>
      <c r="G11" s="4" t="s">
        <v>4</v>
      </c>
      <c r="H11" s="4" t="s">
        <v>5</v>
      </c>
      <c r="I11" s="4" t="s">
        <v>6</v>
      </c>
    </row>
    <row r="12" hidden="1">
      <c r="F12" s="5" t="s">
        <v>7</v>
      </c>
      <c r="G12" s="6">
        <v>0.1461965819236273</v>
      </c>
      <c r="H12" s="6">
        <v>0.20728982951205174</v>
      </c>
      <c r="I12" s="6">
        <v>0.06109324758842444</v>
      </c>
    </row>
    <row r="13" hidden="1">
      <c r="F13" s="5" t="s">
        <v>8</v>
      </c>
      <c r="G13" s="6">
        <v>0.07460246573322674</v>
      </c>
      <c r="H13" s="6">
        <v>0.13368606701940036</v>
      </c>
      <c r="I13" s="6">
        <v>0.05908360128617363</v>
      </c>
    </row>
    <row r="14" hidden="1">
      <c r="F14" s="5" t="s">
        <v>9</v>
      </c>
      <c r="G14" s="6">
        <v>0.041113937139303336</v>
      </c>
      <c r="H14" s="6">
        <v>0.13556731334509112</v>
      </c>
      <c r="I14" s="6">
        <v>0.09445337620578778</v>
      </c>
    </row>
    <row r="15" hidden="1">
      <c r="F15" s="5" t="s">
        <v>10</v>
      </c>
      <c r="G15" s="6">
        <v>0.03423487413305205</v>
      </c>
      <c r="H15" s="6">
        <v>0.09171075837742504</v>
      </c>
      <c r="I15" s="6">
        <v>0.05747588424437299</v>
      </c>
    </row>
    <row r="16" hidden="1">
      <c r="E16" s="7"/>
    </row>
    <row r="17" hidden="1"/>
    <row r="18" hidden="1"/>
    <row r="19" hidden="1"/>
    <row r="20" hidden="1">
      <c r="A20" s="8" t="s">
        <v>11</v>
      </c>
      <c r="B20" s="8" t="s">
        <v>12</v>
      </c>
      <c r="C20" s="8" t="s">
        <v>13</v>
      </c>
      <c r="D20" s="8" t="s">
        <v>14</v>
      </c>
      <c r="E20" s="8" t="s">
        <v>15</v>
      </c>
      <c r="F20" s="8" t="s">
        <v>16</v>
      </c>
      <c r="G20" s="8" t="s">
        <v>17</v>
      </c>
      <c r="H20" s="8" t="s">
        <v>18</v>
      </c>
      <c r="I20" s="8" t="s">
        <v>19</v>
      </c>
      <c r="J20" s="8" t="s">
        <v>20</v>
      </c>
      <c r="K20" s="8" t="s">
        <v>21</v>
      </c>
      <c r="L20" s="8" t="s">
        <v>22</v>
      </c>
      <c r="M20" s="8" t="s">
        <v>23</v>
      </c>
    </row>
    <row r="21" hidden="1">
      <c r="A21" s="9">
        <v>43254.0</v>
      </c>
      <c r="B21" s="10">
        <v>2488.0</v>
      </c>
      <c r="C21" s="11">
        <v>0.039</v>
      </c>
      <c r="D21" s="11">
        <v>0.0985</v>
      </c>
      <c r="E21" s="11">
        <v>0.3356</v>
      </c>
      <c r="F21" s="11">
        <v>0.1001</v>
      </c>
      <c r="G21" s="11">
        <v>0.2605</v>
      </c>
      <c r="H21" s="11">
        <v>0.0985</v>
      </c>
      <c r="I21" s="11">
        <v>0.1865</v>
      </c>
      <c r="J21" s="11">
        <v>0.0828</v>
      </c>
      <c r="K21" s="11">
        <v>0.1668</v>
      </c>
      <c r="L21" s="11">
        <v>0.0848</v>
      </c>
      <c r="M21" s="11">
        <v>0.0531</v>
      </c>
    </row>
    <row r="22" hidden="1">
      <c r="A22" s="9">
        <v>43261.0</v>
      </c>
      <c r="B22" s="10">
        <v>6704.0</v>
      </c>
      <c r="C22" s="11">
        <v>0.0377</v>
      </c>
      <c r="D22" s="11">
        <v>0.2874</v>
      </c>
      <c r="E22" s="11">
        <v>0.1574</v>
      </c>
      <c r="F22" s="11">
        <v>0.1708</v>
      </c>
      <c r="G22" s="11">
        <v>0.2024</v>
      </c>
      <c r="H22" s="11">
        <v>0.1162</v>
      </c>
      <c r="I22" s="11">
        <v>0.1885</v>
      </c>
      <c r="J22" s="11">
        <v>0.0874</v>
      </c>
      <c r="K22" s="11">
        <v>0.1705</v>
      </c>
      <c r="L22" s="11">
        <v>0.0892</v>
      </c>
      <c r="M22" s="11">
        <v>0.0131</v>
      </c>
    </row>
    <row r="23" hidden="1">
      <c r="A23" s="9">
        <v>43268.0</v>
      </c>
      <c r="B23" s="10">
        <v>8675.0</v>
      </c>
      <c r="C23" s="11">
        <v>0.0357</v>
      </c>
      <c r="D23" s="11">
        <v>0.3018</v>
      </c>
      <c r="E23" s="11">
        <v>0.149</v>
      </c>
      <c r="F23" s="11">
        <v>0.1847</v>
      </c>
      <c r="G23" s="11">
        <v>0.1923</v>
      </c>
      <c r="H23" s="11">
        <v>0.1303</v>
      </c>
      <c r="I23" s="11">
        <v>0.1593</v>
      </c>
      <c r="J23" s="11">
        <v>0.1079</v>
      </c>
      <c r="K23" s="11">
        <v>0.1637</v>
      </c>
      <c r="L23" s="11">
        <v>0.0583</v>
      </c>
      <c r="M23" s="12"/>
    </row>
    <row r="24" hidden="1">
      <c r="A24" s="9">
        <v>43275.0</v>
      </c>
      <c r="B24" s="10">
        <v>7696.0</v>
      </c>
      <c r="C24" s="11">
        <v>0.0378</v>
      </c>
      <c r="D24" s="11">
        <v>0.283</v>
      </c>
      <c r="E24" s="11">
        <v>0.1641</v>
      </c>
      <c r="F24" s="11">
        <v>0.1948</v>
      </c>
      <c r="G24" s="11">
        <v>0.181</v>
      </c>
      <c r="H24" s="11">
        <v>0.1014</v>
      </c>
      <c r="I24" s="11">
        <v>0.1735</v>
      </c>
      <c r="J24" s="11">
        <v>0.0904</v>
      </c>
      <c r="K24" s="11">
        <v>0.1619</v>
      </c>
      <c r="L24" s="12"/>
      <c r="M24" s="12"/>
    </row>
    <row r="25" hidden="1">
      <c r="A25" s="9">
        <v>43282.0</v>
      </c>
      <c r="B25" s="10">
        <v>8505.0</v>
      </c>
      <c r="C25" s="11">
        <v>0.0379</v>
      </c>
      <c r="D25" s="11">
        <v>0.2616</v>
      </c>
      <c r="E25" s="11">
        <v>0.1751</v>
      </c>
      <c r="F25" s="11">
        <v>0.1744</v>
      </c>
      <c r="G25" s="11">
        <v>0.1868</v>
      </c>
      <c r="H25" s="11">
        <v>0.0951</v>
      </c>
      <c r="I25" s="11">
        <v>0.1869</v>
      </c>
      <c r="J25" s="11">
        <v>0.0845</v>
      </c>
      <c r="K25" s="11">
        <v>0.1211</v>
      </c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idden="1"/>
    <row r="27" hidden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77</v>
      </c>
      <c r="B1" s="1" t="s">
        <v>37</v>
      </c>
      <c r="C1" s="1" t="s">
        <v>36</v>
      </c>
      <c r="D1" s="1" t="s">
        <v>78</v>
      </c>
    </row>
    <row r="2">
      <c r="A2" s="7">
        <v>43254.0</v>
      </c>
      <c r="C2" s="1">
        <v>0.0</v>
      </c>
      <c r="D2" s="1">
        <f>IFERROR(__xludf.DUMMYFUNCTION("SUM(FILTER('Acquisition RAW DATA'!D:D,'Acquisition RAW DATA'!B:B=A2,'Acquisition RAW DATA'!C:C=C2))"),2488.0)</f>
        <v>2488</v>
      </c>
      <c r="G2" t="str">
        <f>IFERROR(__xludf.DUMMYFUNCTION("UNIQUE(A:A)"),"shipment week")</f>
        <v>shipment week</v>
      </c>
    </row>
    <row r="3">
      <c r="A3" s="7">
        <v>43254.0</v>
      </c>
      <c r="C3" s="1">
        <v>2.0</v>
      </c>
      <c r="D3" s="1">
        <f>IFERROR(__xludf.DUMMYFUNCTION("SUM(FILTER('Acquisition RAW DATA'!D:D,'Acquisition RAW DATA'!B:B=A3,'Acquisition RAW DATA'!C:C=C3))"),47.0)</f>
        <v>47</v>
      </c>
      <c r="G3" s="7">
        <f>IFERROR(__xludf.DUMMYFUNCTION("""COMPUTED_VALUE"""),43254.0)</f>
        <v>43254</v>
      </c>
    </row>
    <row r="4">
      <c r="A4" s="7">
        <v>43254.0</v>
      </c>
      <c r="C4" s="1">
        <v>4.0</v>
      </c>
      <c r="D4" s="1">
        <f>IFERROR(__xludf.DUMMYFUNCTION("SUM(FILTER('Acquisition RAW DATA'!D:D,'Acquisition RAW DATA'!B:B=A4,'Acquisition RAW DATA'!C:C=C4))"),152.0)</f>
        <v>152</v>
      </c>
      <c r="G4" s="7">
        <f>IFERROR(__xludf.DUMMYFUNCTION("""COMPUTED_VALUE"""),43261.0)</f>
        <v>43261</v>
      </c>
    </row>
    <row r="5">
      <c r="A5" s="7">
        <v>43254.0</v>
      </c>
      <c r="C5" s="1">
        <v>5.0</v>
      </c>
      <c r="D5" s="1">
        <f>IFERROR(__xludf.DUMMYFUNCTION("SUM(FILTER('Acquisition RAW DATA'!D:D,'Acquisition RAW DATA'!B:B=A5,'Acquisition RAW DATA'!C:C=C5))"),723.0)</f>
        <v>723</v>
      </c>
      <c r="G5" s="7">
        <f>IFERROR(__xludf.DUMMYFUNCTION("""COMPUTED_VALUE"""),43268.0)</f>
        <v>43268</v>
      </c>
    </row>
    <row r="6">
      <c r="A6" s="7">
        <v>43254.0</v>
      </c>
      <c r="C6" s="1">
        <v>6.0</v>
      </c>
      <c r="D6" s="1">
        <f>IFERROR(__xludf.DUMMYFUNCTION("SUM(FILTER('Acquisition RAW DATA'!D:D,'Acquisition RAW DATA'!B:B=A6,'Acquisition RAW DATA'!C:C=C6))"),112.0)</f>
        <v>112</v>
      </c>
      <c r="G6" s="7">
        <f>IFERROR(__xludf.DUMMYFUNCTION("""COMPUTED_VALUE"""),43275.0)</f>
        <v>43275</v>
      </c>
    </row>
    <row r="7">
      <c r="A7" s="7">
        <v>43254.0</v>
      </c>
      <c r="C7" s="1">
        <v>8.0</v>
      </c>
      <c r="D7" s="1">
        <f>IFERROR(__xludf.DUMMYFUNCTION("SUM(FILTER('Acquisition RAW DATA'!D:D,'Acquisition RAW DATA'!B:B=A7,'Acquisition RAW DATA'!C:C=C7))"),147.0)</f>
        <v>147</v>
      </c>
      <c r="G7" s="7">
        <f>IFERROR(__xludf.DUMMYFUNCTION("""COMPUTED_VALUE"""),43282.0)</f>
        <v>43282</v>
      </c>
    </row>
    <row r="8">
      <c r="A8" s="7">
        <v>43254.0</v>
      </c>
      <c r="C8" s="1">
        <v>9.0</v>
      </c>
      <c r="D8" s="1">
        <f>IFERROR(__xludf.DUMMYFUNCTION("SUM(FILTER('Acquisition RAW DATA'!D:D,'Acquisition RAW DATA'!B:B=A8,'Acquisition RAW DATA'!C:C=C8))"),526.0)</f>
        <v>526</v>
      </c>
      <c r="G8" t="str">
        <f>IFERROR(__xludf.DUMMYFUNCTION("""COMPUTED_VALUE"""),"")</f>
        <v/>
      </c>
    </row>
    <row r="9">
      <c r="A9" s="7">
        <v>43254.0</v>
      </c>
      <c r="C9" s="1">
        <v>10.0</v>
      </c>
      <c r="D9" s="1">
        <f>IFERROR(__xludf.DUMMYFUNCTION("SUM(FILTER('Acquisition RAW DATA'!D:D,'Acquisition RAW DATA'!B:B=A9,'Acquisition RAW DATA'!C:C=C9))"),122.0)</f>
        <v>122</v>
      </c>
    </row>
    <row r="10">
      <c r="A10" s="7">
        <v>43254.0</v>
      </c>
      <c r="C10" s="1">
        <v>11.0</v>
      </c>
      <c r="D10" s="1">
        <f>IFERROR(__xludf.DUMMYFUNCTION("SUM(FILTER('Acquisition RAW DATA'!D:D,'Acquisition RAW DATA'!B:B=A10,'Acquisition RAW DATA'!C:C=C10))"),112.0)</f>
        <v>112</v>
      </c>
    </row>
    <row r="11">
      <c r="A11" s="7">
        <v>43254.0</v>
      </c>
      <c r="C11" s="1">
        <v>12.0</v>
      </c>
      <c r="D11" s="1">
        <f>IFERROR(__xludf.DUMMYFUNCTION("SUM(FILTER('Acquisition RAW DATA'!D:D,'Acquisition RAW DATA'!B:B=A11,'Acquisition RAW DATA'!C:C=C11))"),133.0)</f>
        <v>133</v>
      </c>
    </row>
    <row r="12">
      <c r="A12" s="7">
        <v>43254.0</v>
      </c>
      <c r="C12" s="1">
        <v>13.0</v>
      </c>
      <c r="D12" s="1">
        <f>IFERROR(__xludf.DUMMYFUNCTION("SUM(FILTER('Acquisition RAW DATA'!D:D,'Acquisition RAW DATA'!B:B=A12,'Acquisition RAW DATA'!C:C=C12))"),235.0)</f>
        <v>235</v>
      </c>
    </row>
    <row r="13">
      <c r="A13" s="7">
        <v>43254.0</v>
      </c>
      <c r="C13" s="1">
        <v>14.0</v>
      </c>
      <c r="D13" s="1">
        <f>IFERROR(__xludf.DUMMYFUNCTION("SUM(FILTER('Acquisition RAW DATA'!D:D,'Acquisition RAW DATA'!B:B=A13,'Acquisition RAW DATA'!C:C=C13))"),229.0)</f>
        <v>229</v>
      </c>
    </row>
    <row r="14">
      <c r="A14" s="7">
        <v>43254.0</v>
      </c>
      <c r="C14" s="1">
        <v>15.0</v>
      </c>
      <c r="D14" s="1">
        <f>IFERROR(__xludf.DUMMYFUNCTION("SUM(FILTER('Acquisition RAW DATA'!D:D,'Acquisition RAW DATA'!B:B=A14,'Acquisition RAW DATA'!C:C=C14))"),104.0)</f>
        <v>104</v>
      </c>
    </row>
    <row r="15">
      <c r="A15" s="7">
        <v>43254.0</v>
      </c>
      <c r="C15" s="1">
        <v>17.0</v>
      </c>
      <c r="D15" s="1">
        <f>IFERROR(__xludf.DUMMYFUNCTION("SUM(FILTER('Acquisition RAW DATA'!D:D,'Acquisition RAW DATA'!B:B=A15,'Acquisition RAW DATA'!C:C=C15))"),143.0)</f>
        <v>143</v>
      </c>
    </row>
    <row r="16">
      <c r="A16" s="7">
        <v>43254.0</v>
      </c>
      <c r="C16" s="1">
        <v>18.0</v>
      </c>
      <c r="D16" s="1">
        <f>IFERROR(__xludf.DUMMYFUNCTION("SUM(FILTER('Acquisition RAW DATA'!D:D,'Acquisition RAW DATA'!B:B=A16,'Acquisition RAW DATA'!C:C=C16))"),272.0)</f>
        <v>272</v>
      </c>
    </row>
    <row r="17">
      <c r="A17" s="7">
        <v>43254.0</v>
      </c>
      <c r="C17" s="1">
        <v>19.0</v>
      </c>
      <c r="D17" s="1">
        <f>IFERROR(__xludf.DUMMYFUNCTION("SUM(FILTER('Acquisition RAW DATA'!D:D,'Acquisition RAW DATA'!B:B=A17,'Acquisition RAW DATA'!C:C=C17))"),107.0)</f>
        <v>107</v>
      </c>
    </row>
    <row r="18">
      <c r="A18" s="7">
        <v>43254.0</v>
      </c>
      <c r="C18" s="1">
        <v>20.0</v>
      </c>
      <c r="D18" s="1">
        <f>IFERROR(__xludf.DUMMYFUNCTION("SUM(FILTER('Acquisition RAW DATA'!D:D,'Acquisition RAW DATA'!B:B=A18,'Acquisition RAW DATA'!C:C=C18))"),104.0)</f>
        <v>104</v>
      </c>
    </row>
    <row r="19">
      <c r="A19" s="7">
        <v>43254.0</v>
      </c>
      <c r="C19" s="1">
        <v>22.0</v>
      </c>
      <c r="D19" s="1">
        <f>IFERROR(__xludf.DUMMYFUNCTION("SUM(FILTER('Acquisition RAW DATA'!D:D,'Acquisition RAW DATA'!B:B=A19,'Acquisition RAW DATA'!C:C=C19))"),40.0)</f>
        <v>40</v>
      </c>
    </row>
    <row r="20">
      <c r="A20" s="7">
        <v>43261.0</v>
      </c>
      <c r="C20" s="1">
        <v>0.0</v>
      </c>
      <c r="D20" s="1">
        <f>IFERROR(__xludf.DUMMYFUNCTION("SUM(FILTER('Acquisition RAW DATA'!D:D,'Acquisition RAW DATA'!B:B=A20,'Acquisition RAW DATA'!C:C=C20))"),6704.0)</f>
        <v>6704</v>
      </c>
    </row>
    <row r="21">
      <c r="A21" s="7">
        <v>43261.0</v>
      </c>
      <c r="C21" s="1">
        <v>1.0</v>
      </c>
      <c r="D21" s="1">
        <f>IFERROR(__xludf.DUMMYFUNCTION("SUM(FILTER('Acquisition RAW DATA'!D:D,'Acquisition RAW DATA'!B:B=A21,'Acquisition RAW DATA'!C:C=C21))"),121.0)</f>
        <v>121</v>
      </c>
    </row>
    <row r="22">
      <c r="A22" s="7">
        <v>43261.0</v>
      </c>
      <c r="C22" s="1">
        <v>2.0</v>
      </c>
      <c r="D22" s="1">
        <f>IFERROR(__xludf.DUMMYFUNCTION("SUM(FILTER('Acquisition RAW DATA'!D:D,'Acquisition RAW DATA'!B:B=A22,'Acquisition RAW DATA'!C:C=C22))"),132.0)</f>
        <v>132</v>
      </c>
    </row>
    <row r="23">
      <c r="A23" s="7">
        <v>43261.0</v>
      </c>
      <c r="C23" s="1">
        <v>3.0</v>
      </c>
      <c r="D23" s="1">
        <f>IFERROR(__xludf.DUMMYFUNCTION("SUM(FILTER('Acquisition RAW DATA'!D:D,'Acquisition RAW DATA'!B:B=A23,'Acquisition RAW DATA'!C:C=C23))"),313.0)</f>
        <v>313</v>
      </c>
    </row>
    <row r="24">
      <c r="A24" s="7">
        <v>43261.0</v>
      </c>
      <c r="C24" s="1">
        <v>4.0</v>
      </c>
      <c r="D24" s="1">
        <f>IFERROR(__xludf.DUMMYFUNCTION("SUM(FILTER('Acquisition RAW DATA'!D:D,'Acquisition RAW DATA'!B:B=A24,'Acquisition RAW DATA'!C:C=C24))"),1614.0)</f>
        <v>1614</v>
      </c>
    </row>
    <row r="25">
      <c r="A25" s="7">
        <v>43261.0</v>
      </c>
      <c r="C25" s="1">
        <v>5.0</v>
      </c>
      <c r="D25" s="1">
        <f>IFERROR(__xludf.DUMMYFUNCTION("SUM(FILTER('Acquisition RAW DATA'!D:D,'Acquisition RAW DATA'!B:B=A25,'Acquisition RAW DATA'!C:C=C25))"),834.0)</f>
        <v>834</v>
      </c>
    </row>
    <row r="26">
      <c r="A26" s="7">
        <v>43261.0</v>
      </c>
      <c r="C26" s="1">
        <v>6.0</v>
      </c>
      <c r="D26" s="1">
        <f>IFERROR(__xludf.DUMMYFUNCTION("SUM(FILTER('Acquisition RAW DATA'!D:D,'Acquisition RAW DATA'!B:B=A26,'Acquisition RAW DATA'!C:C=C26))"),221.0)</f>
        <v>221</v>
      </c>
    </row>
    <row r="27">
      <c r="A27" s="7">
        <v>43261.0</v>
      </c>
      <c r="C27" s="1">
        <v>7.0</v>
      </c>
      <c r="D27" s="1">
        <f>IFERROR(__xludf.DUMMYFUNCTION("SUM(FILTER('Acquisition RAW DATA'!D:D,'Acquisition RAW DATA'!B:B=A27,'Acquisition RAW DATA'!C:C=C27))"),279.0)</f>
        <v>279</v>
      </c>
    </row>
    <row r="28">
      <c r="A28" s="7">
        <v>43261.0</v>
      </c>
      <c r="C28" s="1">
        <v>8.0</v>
      </c>
      <c r="D28" s="1">
        <f>IFERROR(__xludf.DUMMYFUNCTION("SUM(FILTER('Acquisition RAW DATA'!D:D,'Acquisition RAW DATA'!B:B=A28,'Acquisition RAW DATA'!C:C=C28))"),866.0)</f>
        <v>866</v>
      </c>
    </row>
    <row r="29">
      <c r="A29" s="7">
        <v>43261.0</v>
      </c>
      <c r="C29" s="1">
        <v>9.0</v>
      </c>
      <c r="D29" s="1">
        <f>IFERROR(__xludf.DUMMYFUNCTION("SUM(FILTER('Acquisition RAW DATA'!D:D,'Acquisition RAW DATA'!B:B=A29,'Acquisition RAW DATA'!C:C=C29))"),1016.0)</f>
        <v>1016</v>
      </c>
    </row>
    <row r="30">
      <c r="A30" s="7">
        <v>43261.0</v>
      </c>
      <c r="C30" s="1">
        <v>10.0</v>
      </c>
      <c r="D30" s="1">
        <f>IFERROR(__xludf.DUMMYFUNCTION("SUM(FILTER('Acquisition RAW DATA'!D:D,'Acquisition RAW DATA'!B:B=A30,'Acquisition RAW DATA'!C:C=C30))"),341.0)</f>
        <v>341</v>
      </c>
    </row>
    <row r="31">
      <c r="A31" s="7">
        <v>43261.0</v>
      </c>
      <c r="C31" s="1">
        <v>11.0</v>
      </c>
      <c r="D31" s="1">
        <f>IFERROR(__xludf.DUMMYFUNCTION("SUM(FILTER('Acquisition RAW DATA'!D:D,'Acquisition RAW DATA'!B:B=A31,'Acquisition RAW DATA'!C:C=C31))"),354.0)</f>
        <v>354</v>
      </c>
    </row>
    <row r="32">
      <c r="A32" s="7">
        <v>43261.0</v>
      </c>
      <c r="C32" s="1">
        <v>12.0</v>
      </c>
      <c r="D32" s="1">
        <f>IFERROR(__xludf.DUMMYFUNCTION("SUM(FILTER('Acquisition RAW DATA'!D:D,'Acquisition RAW DATA'!B:B=A32,'Acquisition RAW DATA'!C:C=C32))"),425.0)</f>
        <v>425</v>
      </c>
    </row>
    <row r="33">
      <c r="A33" s="7">
        <v>43261.0</v>
      </c>
      <c r="C33" s="1">
        <v>13.0</v>
      </c>
      <c r="D33" s="1">
        <f>IFERROR(__xludf.DUMMYFUNCTION("SUM(FILTER('Acquisition RAW DATA'!D:D,'Acquisition RAW DATA'!B:B=A33,'Acquisition RAW DATA'!C:C=C33))"),867.0)</f>
        <v>867</v>
      </c>
    </row>
    <row r="34">
      <c r="A34" s="7">
        <v>43261.0</v>
      </c>
      <c r="C34" s="1">
        <v>14.0</v>
      </c>
      <c r="D34" s="1">
        <f>IFERROR(__xludf.DUMMYFUNCTION("SUM(FILTER('Acquisition RAW DATA'!D:D,'Acquisition RAW DATA'!B:B=A34,'Acquisition RAW DATA'!C:C=C34))"),397.0)</f>
        <v>397</v>
      </c>
    </row>
    <row r="35">
      <c r="A35" s="7">
        <v>43261.0</v>
      </c>
      <c r="C35" s="1">
        <v>15.0</v>
      </c>
      <c r="D35" s="1">
        <f>IFERROR(__xludf.DUMMYFUNCTION("SUM(FILTER('Acquisition RAW DATA'!D:D,'Acquisition RAW DATA'!B:B=A35,'Acquisition RAW DATA'!C:C=C35))"),229.0)</f>
        <v>229</v>
      </c>
    </row>
    <row r="36">
      <c r="A36" s="7">
        <v>43261.0</v>
      </c>
      <c r="C36" s="1">
        <v>16.0</v>
      </c>
      <c r="D36" s="1">
        <f>IFERROR(__xludf.DUMMYFUNCTION("SUM(FILTER('Acquisition RAW DATA'!D:D,'Acquisition RAW DATA'!B:B=A36,'Acquisition RAW DATA'!C:C=C36))"),357.0)</f>
        <v>357</v>
      </c>
    </row>
    <row r="37">
      <c r="A37" s="7">
        <v>43261.0</v>
      </c>
      <c r="C37" s="1">
        <v>17.0</v>
      </c>
      <c r="D37" s="1">
        <f>IFERROR(__xludf.DUMMYFUNCTION("SUM(FILTER('Acquisition RAW DATA'!D:D,'Acquisition RAW DATA'!B:B=A37,'Acquisition RAW DATA'!C:C=C37))"),593.0)</f>
        <v>593</v>
      </c>
    </row>
    <row r="38">
      <c r="A38" s="7">
        <v>43261.0</v>
      </c>
      <c r="C38" s="1">
        <v>18.0</v>
      </c>
      <c r="D38" s="1">
        <f>IFERROR(__xludf.DUMMYFUNCTION("SUM(FILTER('Acquisition RAW DATA'!D:D,'Acquisition RAW DATA'!B:B=A38,'Acquisition RAW DATA'!C:C=C38))"),550.0)</f>
        <v>550</v>
      </c>
    </row>
    <row r="39">
      <c r="A39" s="7">
        <v>43261.0</v>
      </c>
      <c r="C39" s="1">
        <v>19.0</v>
      </c>
      <c r="D39" s="1">
        <f>IFERROR(__xludf.DUMMYFUNCTION("SUM(FILTER('Acquisition RAW DATA'!D:D,'Acquisition RAW DATA'!B:B=A39,'Acquisition RAW DATA'!C:C=C39))"),283.0)</f>
        <v>283</v>
      </c>
    </row>
    <row r="40">
      <c r="A40" s="7">
        <v>43261.0</v>
      </c>
      <c r="C40" s="1">
        <v>20.0</v>
      </c>
      <c r="D40" s="1">
        <f>IFERROR(__xludf.DUMMYFUNCTION("SUM(FILTER('Acquisition RAW DATA'!D:D,'Acquisition RAW DATA'!B:B=A40,'Acquisition RAW DATA'!C:C=C40))"),315.0)</f>
        <v>315</v>
      </c>
    </row>
    <row r="41">
      <c r="A41" s="7">
        <v>43261.0</v>
      </c>
      <c r="C41" s="1">
        <v>21.0</v>
      </c>
      <c r="D41" s="1">
        <f>IFERROR(__xludf.DUMMYFUNCTION("SUM(FILTER('Acquisition RAW DATA'!D:D,'Acquisition RAW DATA'!B:B=A41,'Acquisition RAW DATA'!C:C=C41))"),88.0)</f>
        <v>88</v>
      </c>
    </row>
    <row r="42">
      <c r="A42" s="7">
        <v>43268.0</v>
      </c>
      <c r="C42" s="1">
        <v>0.0</v>
      </c>
      <c r="D42" s="1">
        <f>IFERROR(__xludf.DUMMYFUNCTION("SUM(FILTER('Acquisition RAW DATA'!D:D,'Acquisition RAW DATA'!B:B=A42,'Acquisition RAW DATA'!C:C=C42))"),8675.0)</f>
        <v>8675</v>
      </c>
    </row>
    <row r="43">
      <c r="A43" s="7">
        <v>43268.0</v>
      </c>
      <c r="C43" s="1">
        <v>1.0</v>
      </c>
      <c r="D43" s="1">
        <f>IFERROR(__xludf.DUMMYFUNCTION("SUM(FILTER('Acquisition RAW DATA'!D:D,'Acquisition RAW DATA'!B:B=A43,'Acquisition RAW DATA'!C:C=C43))"),145.0)</f>
        <v>145</v>
      </c>
    </row>
    <row r="44">
      <c r="A44" s="7">
        <v>43268.0</v>
      </c>
      <c r="C44" s="1">
        <v>2.0</v>
      </c>
      <c r="D44" s="1">
        <f>IFERROR(__xludf.DUMMYFUNCTION("SUM(FILTER('Acquisition RAW DATA'!D:D,'Acquisition RAW DATA'!B:B=A44,'Acquisition RAW DATA'!C:C=C44))"),165.0)</f>
        <v>165</v>
      </c>
    </row>
    <row r="45">
      <c r="A45" s="7">
        <v>43268.0</v>
      </c>
      <c r="C45" s="1">
        <v>3.0</v>
      </c>
      <c r="D45" s="1">
        <f>IFERROR(__xludf.DUMMYFUNCTION("SUM(FILTER('Acquisition RAW DATA'!D:D,'Acquisition RAW DATA'!B:B=A45,'Acquisition RAW DATA'!C:C=C45))"),447.0)</f>
        <v>447</v>
      </c>
    </row>
    <row r="46">
      <c r="A46" s="7">
        <v>43268.0</v>
      </c>
      <c r="C46" s="1">
        <v>4.0</v>
      </c>
      <c r="D46" s="1">
        <f>IFERROR(__xludf.DUMMYFUNCTION("SUM(FILTER('Acquisition RAW DATA'!D:D,'Acquisition RAW DATA'!B:B=A46,'Acquisition RAW DATA'!C:C=C46))"),2171.0)</f>
        <v>2171</v>
      </c>
    </row>
    <row r="47">
      <c r="A47" s="7">
        <v>43268.0</v>
      </c>
      <c r="C47" s="1">
        <v>5.0</v>
      </c>
      <c r="D47" s="1">
        <f>IFERROR(__xludf.DUMMYFUNCTION("SUM(FILTER('Acquisition RAW DATA'!D:D,'Acquisition RAW DATA'!B:B=A47,'Acquisition RAW DATA'!C:C=C47))"),938.0)</f>
        <v>938</v>
      </c>
    </row>
    <row r="48">
      <c r="A48" s="7">
        <v>43268.0</v>
      </c>
      <c r="C48" s="1">
        <v>6.0</v>
      </c>
      <c r="D48" s="1">
        <f>IFERROR(__xludf.DUMMYFUNCTION("SUM(FILTER('Acquisition RAW DATA'!D:D,'Acquisition RAW DATA'!B:B=A48,'Acquisition RAW DATA'!C:C=C48))"),355.0)</f>
        <v>355</v>
      </c>
    </row>
    <row r="49">
      <c r="A49" s="7">
        <v>43268.0</v>
      </c>
      <c r="C49" s="1">
        <v>7.0</v>
      </c>
      <c r="D49" s="1">
        <f>IFERROR(__xludf.DUMMYFUNCTION("SUM(FILTER('Acquisition RAW DATA'!D:D,'Acquisition RAW DATA'!B:B=A49,'Acquisition RAW DATA'!C:C=C49))"),505.0)</f>
        <v>505</v>
      </c>
    </row>
    <row r="50">
      <c r="A50" s="7">
        <v>43268.0</v>
      </c>
      <c r="C50" s="1">
        <v>8.0</v>
      </c>
      <c r="D50" s="1">
        <f>IFERROR(__xludf.DUMMYFUNCTION("SUM(FILTER('Acquisition RAW DATA'!D:D,'Acquisition RAW DATA'!B:B=A50,'Acquisition RAW DATA'!C:C=C50))"),1097.0)</f>
        <v>1097</v>
      </c>
    </row>
    <row r="51">
      <c r="A51" s="7">
        <v>43268.0</v>
      </c>
      <c r="C51" s="1">
        <v>9.0</v>
      </c>
      <c r="D51" s="1">
        <f>IFERROR(__xludf.DUMMYFUNCTION("SUM(FILTER('Acquisition RAW DATA'!D:D,'Acquisition RAW DATA'!B:B=A51,'Acquisition RAW DATA'!C:C=C51))"),1174.0)</f>
        <v>1174</v>
      </c>
    </row>
    <row r="52">
      <c r="A52" s="7">
        <v>43268.0</v>
      </c>
      <c r="C52" s="1">
        <v>10.0</v>
      </c>
      <c r="D52" s="1">
        <f>IFERROR(__xludf.DUMMYFUNCTION("SUM(FILTER('Acquisition RAW DATA'!D:D,'Acquisition RAW DATA'!B:B=A52,'Acquisition RAW DATA'!C:C=C52))"),494.0)</f>
        <v>494</v>
      </c>
    </row>
    <row r="53">
      <c r="A53" s="7">
        <v>43268.0</v>
      </c>
      <c r="C53" s="1">
        <v>11.0</v>
      </c>
      <c r="D53" s="1">
        <f>IFERROR(__xludf.DUMMYFUNCTION("SUM(FILTER('Acquisition RAW DATA'!D:D,'Acquisition RAW DATA'!B:B=A53,'Acquisition RAW DATA'!C:C=C53))"),458.0)</f>
        <v>458</v>
      </c>
    </row>
    <row r="54">
      <c r="A54" s="7">
        <v>43268.0</v>
      </c>
      <c r="C54" s="1">
        <v>12.0</v>
      </c>
      <c r="D54" s="1">
        <f>IFERROR(__xludf.DUMMYFUNCTION("SUM(FILTER('Acquisition RAW DATA'!D:D,'Acquisition RAW DATA'!B:B=A54,'Acquisition RAW DATA'!C:C=C54))"),672.0)</f>
        <v>672</v>
      </c>
    </row>
    <row r="55">
      <c r="A55" s="7">
        <v>43268.0</v>
      </c>
      <c r="C55" s="1">
        <v>13.0</v>
      </c>
      <c r="D55" s="1">
        <f>IFERROR(__xludf.DUMMYFUNCTION("SUM(FILTER('Acquisition RAW DATA'!D:D,'Acquisition RAW DATA'!B:B=A55,'Acquisition RAW DATA'!C:C=C55))"),1000.0)</f>
        <v>1000</v>
      </c>
    </row>
    <row r="56">
      <c r="A56" s="7">
        <v>43268.0</v>
      </c>
      <c r="C56" s="1">
        <v>14.0</v>
      </c>
      <c r="D56" s="1">
        <f>IFERROR(__xludf.DUMMYFUNCTION("SUM(FILTER('Acquisition RAW DATA'!D:D,'Acquisition RAW DATA'!B:B=A56,'Acquisition RAW DATA'!C:C=C56))"),382.0)</f>
        <v>382</v>
      </c>
    </row>
    <row r="57">
      <c r="A57" s="7">
        <v>43268.0</v>
      </c>
      <c r="C57" s="1">
        <v>15.0</v>
      </c>
      <c r="D57" s="1">
        <f>IFERROR(__xludf.DUMMYFUNCTION("SUM(FILTER('Acquisition RAW DATA'!D:D,'Acquisition RAW DATA'!B:B=A57,'Acquisition RAW DATA'!C:C=C57))"),435.0)</f>
        <v>435</v>
      </c>
    </row>
    <row r="58">
      <c r="A58" s="7">
        <v>43268.0</v>
      </c>
      <c r="C58" s="1">
        <v>16.0</v>
      </c>
      <c r="D58" s="1">
        <f>IFERROR(__xludf.DUMMYFUNCTION("SUM(FILTER('Acquisition RAW DATA'!D:D,'Acquisition RAW DATA'!B:B=A58,'Acquisition RAW DATA'!C:C=C58))"),501.0)</f>
        <v>501</v>
      </c>
    </row>
    <row r="59">
      <c r="A59" s="7">
        <v>43268.0</v>
      </c>
      <c r="C59" s="1">
        <v>17.0</v>
      </c>
      <c r="D59" s="1">
        <f>IFERROR(__xludf.DUMMYFUNCTION("SUM(FILTER('Acquisition RAW DATA'!D:D,'Acquisition RAW DATA'!B:B=A59,'Acquisition RAW DATA'!C:C=C59))"),782.0)</f>
        <v>782</v>
      </c>
    </row>
    <row r="60">
      <c r="A60" s="7">
        <v>43268.0</v>
      </c>
      <c r="C60" s="1">
        <v>18.0</v>
      </c>
      <c r="D60" s="1">
        <f>IFERROR(__xludf.DUMMYFUNCTION("SUM(FILTER('Acquisition RAW DATA'!D:D,'Acquisition RAW DATA'!B:B=A60,'Acquisition RAW DATA'!C:C=C60))"),638.0)</f>
        <v>638</v>
      </c>
    </row>
    <row r="61">
      <c r="A61" s="7">
        <v>43268.0</v>
      </c>
      <c r="C61" s="1">
        <v>19.0</v>
      </c>
      <c r="D61" s="1">
        <f>IFERROR(__xludf.DUMMYFUNCTION("SUM(FILTER('Acquisition RAW DATA'!D:D,'Acquisition RAW DATA'!B:B=A61,'Acquisition RAW DATA'!C:C=C61))"),386.0)</f>
        <v>386</v>
      </c>
    </row>
    <row r="62">
      <c r="A62" s="7">
        <v>43275.0</v>
      </c>
      <c r="C62" s="1">
        <v>0.0</v>
      </c>
      <c r="D62" s="1">
        <f>IFERROR(__xludf.DUMMYFUNCTION("SUM(FILTER('Acquisition RAW DATA'!D:D,'Acquisition RAW DATA'!B:B=A62,'Acquisition RAW DATA'!C:C=C62))"),7696.0)</f>
        <v>7696</v>
      </c>
    </row>
    <row r="63">
      <c r="A63" s="7">
        <v>43275.0</v>
      </c>
      <c r="C63" s="1">
        <v>1.0</v>
      </c>
      <c r="D63" s="1">
        <f>IFERROR(__xludf.DUMMYFUNCTION("SUM(FILTER('Acquisition RAW DATA'!D:D,'Acquisition RAW DATA'!B:B=A63,'Acquisition RAW DATA'!C:C=C63))"),142.0)</f>
        <v>142</v>
      </c>
    </row>
    <row r="64">
      <c r="A64" s="7">
        <v>43275.0</v>
      </c>
      <c r="C64" s="1">
        <v>3.0</v>
      </c>
      <c r="D64" s="1">
        <f>IFERROR(__xludf.DUMMYFUNCTION("SUM(FILTER('Acquisition RAW DATA'!D:D,'Acquisition RAW DATA'!B:B=A64,'Acquisition RAW DATA'!C:C=C64))"),459.0)</f>
        <v>459</v>
      </c>
    </row>
    <row r="65">
      <c r="A65" s="7">
        <v>43275.0</v>
      </c>
      <c r="C65" s="1">
        <v>4.0</v>
      </c>
      <c r="D65" s="1">
        <f>IFERROR(__xludf.DUMMYFUNCTION("SUM(FILTER('Acquisition RAW DATA'!D:D,'Acquisition RAW DATA'!B:B=A65,'Acquisition RAW DATA'!C:C=C65))"),1719.0)</f>
        <v>1719</v>
      </c>
    </row>
    <row r="66">
      <c r="A66" s="7">
        <v>43275.0</v>
      </c>
      <c r="C66" s="1">
        <v>5.0</v>
      </c>
      <c r="D66" s="1">
        <f>IFERROR(__xludf.DUMMYFUNCTION("SUM(FILTER('Acquisition RAW DATA'!D:D,'Acquisition RAW DATA'!B:B=A66,'Acquisition RAW DATA'!C:C=C66))"),946.0)</f>
        <v>946</v>
      </c>
    </row>
    <row r="67">
      <c r="A67" s="7">
        <v>43275.0</v>
      </c>
      <c r="C67" s="1">
        <v>6.0</v>
      </c>
      <c r="D67" s="1">
        <f>IFERROR(__xludf.DUMMYFUNCTION("SUM(FILTER('Acquisition RAW DATA'!D:D,'Acquisition RAW DATA'!B:B=A67,'Acquisition RAW DATA'!C:C=C67))"),317.0)</f>
        <v>317</v>
      </c>
    </row>
    <row r="68">
      <c r="A68" s="7">
        <v>43275.0</v>
      </c>
      <c r="C68" s="1">
        <v>7.0</v>
      </c>
      <c r="D68" s="1">
        <f>IFERROR(__xludf.DUMMYFUNCTION("SUM(FILTER('Acquisition RAW DATA'!D:D,'Acquisition RAW DATA'!B:B=A68,'Acquisition RAW DATA'!C:C=C68))"),350.0)</f>
        <v>350</v>
      </c>
    </row>
    <row r="69">
      <c r="A69" s="7">
        <v>43275.0</v>
      </c>
      <c r="C69" s="1">
        <v>8.0</v>
      </c>
      <c r="D69" s="1">
        <f>IFERROR(__xludf.DUMMYFUNCTION("SUM(FILTER('Acquisition RAW DATA'!D:D,'Acquisition RAW DATA'!B:B=A69,'Acquisition RAW DATA'!C:C=C69))"),1149.0)</f>
        <v>1149</v>
      </c>
    </row>
    <row r="70">
      <c r="A70" s="7">
        <v>43275.0</v>
      </c>
      <c r="C70" s="1">
        <v>9.0</v>
      </c>
      <c r="D70" s="1">
        <f>IFERROR(__xludf.DUMMYFUNCTION("SUM(FILTER('Acquisition RAW DATA'!D:D,'Acquisition RAW DATA'!B:B=A70,'Acquisition RAW DATA'!C:C=C70))"),940.0)</f>
        <v>940</v>
      </c>
    </row>
    <row r="71">
      <c r="A71" s="7">
        <v>43275.0</v>
      </c>
      <c r="C71" s="1">
        <v>10.0</v>
      </c>
      <c r="D71" s="1">
        <f>IFERROR(__xludf.DUMMYFUNCTION("SUM(FILTER('Acquisition RAW DATA'!D:D,'Acquisition RAW DATA'!B:B=A71,'Acquisition RAW DATA'!C:C=C71))"),453.0)</f>
        <v>453</v>
      </c>
    </row>
    <row r="72">
      <c r="A72" s="7">
        <v>43275.0</v>
      </c>
      <c r="C72" s="1">
        <v>11.0</v>
      </c>
      <c r="D72" s="1">
        <f>IFERROR(__xludf.DUMMYFUNCTION("SUM(FILTER('Acquisition RAW DATA'!D:D,'Acquisition RAW DATA'!B:B=A72,'Acquisition RAW DATA'!C:C=C72))"),384.0)</f>
        <v>384</v>
      </c>
    </row>
    <row r="73">
      <c r="A73" s="7">
        <v>43275.0</v>
      </c>
      <c r="C73" s="1">
        <v>12.0</v>
      </c>
      <c r="D73" s="1">
        <f>IFERROR(__xludf.DUMMYFUNCTION("SUM(FILTER('Acquisition RAW DATA'!D:D,'Acquisition RAW DATA'!B:B=A73,'Acquisition RAW DATA'!C:C=C73))"),396.0)</f>
        <v>396</v>
      </c>
    </row>
    <row r="74">
      <c r="A74" s="7">
        <v>43275.0</v>
      </c>
      <c r="C74" s="1">
        <v>13.0</v>
      </c>
      <c r="D74" s="1">
        <f>IFERROR(__xludf.DUMMYFUNCTION("SUM(FILTER('Acquisition RAW DATA'!D:D,'Acquisition RAW DATA'!B:B=A74,'Acquisition RAW DATA'!C:C=C74))"),771.0)</f>
        <v>771</v>
      </c>
    </row>
    <row r="75">
      <c r="A75" s="7">
        <v>43275.0</v>
      </c>
      <c r="C75" s="1">
        <v>14.0</v>
      </c>
      <c r="D75" s="1">
        <f>IFERROR(__xludf.DUMMYFUNCTION("SUM(FILTER('Acquisition RAW DATA'!D:D,'Acquisition RAW DATA'!B:B=A75,'Acquisition RAW DATA'!C:C=C75))"),564.0)</f>
        <v>564</v>
      </c>
    </row>
    <row r="76">
      <c r="A76" s="7">
        <v>43275.0</v>
      </c>
      <c r="C76" s="1">
        <v>15.0</v>
      </c>
      <c r="D76" s="1">
        <f>IFERROR(__xludf.DUMMYFUNCTION("SUM(FILTER('Acquisition RAW DATA'!D:D,'Acquisition RAW DATA'!B:B=A76,'Acquisition RAW DATA'!C:C=C76))"),339.0)</f>
        <v>339</v>
      </c>
    </row>
    <row r="77">
      <c r="A77" s="7">
        <v>43275.0</v>
      </c>
      <c r="C77" s="1">
        <v>16.0</v>
      </c>
      <c r="D77" s="1">
        <f>IFERROR(__xludf.DUMMYFUNCTION("SUM(FILTER('Acquisition RAW DATA'!D:D,'Acquisition RAW DATA'!B:B=A77,'Acquisition RAW DATA'!C:C=C77))"),357.0)</f>
        <v>357</v>
      </c>
    </row>
    <row r="78">
      <c r="A78" s="7">
        <v>43275.0</v>
      </c>
      <c r="C78" s="1">
        <v>17.0</v>
      </c>
      <c r="D78" s="1">
        <f>IFERROR(__xludf.DUMMYFUNCTION("SUM(FILTER('Acquisition RAW DATA'!D:D,'Acquisition RAW DATA'!B:B=A78,'Acquisition RAW DATA'!C:C=C78))"),731.0)</f>
        <v>731</v>
      </c>
    </row>
    <row r="79">
      <c r="A79" s="7">
        <v>43275.0</v>
      </c>
      <c r="C79" s="1">
        <v>18.0</v>
      </c>
      <c r="D79" s="1">
        <f>IFERROR(__xludf.DUMMYFUNCTION("SUM(FILTER('Acquisition RAW DATA'!D:D,'Acquisition RAW DATA'!B:B=A79,'Acquisition RAW DATA'!C:C=C79))"),515.0)</f>
        <v>515</v>
      </c>
    </row>
    <row r="80">
      <c r="A80" s="7">
        <v>43282.0</v>
      </c>
      <c r="C80" s="1">
        <v>0.0</v>
      </c>
      <c r="D80" s="1">
        <f>IFERROR(__xludf.DUMMYFUNCTION("SUM(FILTER('Acquisition RAW DATA'!D:D,'Acquisition RAW DATA'!B:B=A80,'Acquisition RAW DATA'!C:C=C80))"),8505.0)</f>
        <v>8505</v>
      </c>
    </row>
    <row r="81">
      <c r="A81" s="7">
        <v>43282.0</v>
      </c>
      <c r="C81" s="1">
        <v>1.0</v>
      </c>
      <c r="D81" s="1">
        <f>IFERROR(__xludf.DUMMYFUNCTION("SUM(FILTER('Acquisition RAW DATA'!D:D,'Acquisition RAW DATA'!B:B=A81,'Acquisition RAW DATA'!C:C=C81))"),140.0)</f>
        <v>140</v>
      </c>
    </row>
    <row r="82">
      <c r="A82" s="7">
        <v>43282.0</v>
      </c>
      <c r="C82" s="1">
        <v>2.0</v>
      </c>
      <c r="D82" s="1">
        <f>IFERROR(__xludf.DUMMYFUNCTION("SUM(FILTER('Acquisition RAW DATA'!D:D,'Acquisition RAW DATA'!B:B=A82,'Acquisition RAW DATA'!C:C=C82))"),182.0)</f>
        <v>182</v>
      </c>
    </row>
    <row r="83">
      <c r="A83" s="7">
        <v>43282.0</v>
      </c>
      <c r="C83" s="1">
        <v>3.0</v>
      </c>
      <c r="D83" s="1">
        <f>IFERROR(__xludf.DUMMYFUNCTION("SUM(FILTER('Acquisition RAW DATA'!D:D,'Acquisition RAW DATA'!B:B=A83,'Acquisition RAW DATA'!C:C=C83))"),462.0)</f>
        <v>462</v>
      </c>
    </row>
    <row r="84">
      <c r="A84" s="7">
        <v>43282.0</v>
      </c>
      <c r="C84" s="1">
        <v>4.0</v>
      </c>
      <c r="D84" s="1">
        <f>IFERROR(__xludf.DUMMYFUNCTION("SUM(FILTER('Acquisition RAW DATA'!D:D,'Acquisition RAW DATA'!B:B=A84,'Acquisition RAW DATA'!C:C=C84))"),1763.0)</f>
        <v>1763</v>
      </c>
    </row>
    <row r="85">
      <c r="A85" s="7">
        <v>43282.0</v>
      </c>
      <c r="C85" s="1">
        <v>5.0</v>
      </c>
      <c r="D85" s="1">
        <f>IFERROR(__xludf.DUMMYFUNCTION("SUM(FILTER('Acquisition RAW DATA'!D:D,'Acquisition RAW DATA'!B:B=A85,'Acquisition RAW DATA'!C:C=C85))"),1218.0)</f>
        <v>1218</v>
      </c>
    </row>
    <row r="86">
      <c r="A86" s="7">
        <v>43282.0</v>
      </c>
      <c r="C86" s="1">
        <v>6.0</v>
      </c>
      <c r="D86" s="1">
        <f>IFERROR(__xludf.DUMMYFUNCTION("SUM(FILTER('Acquisition RAW DATA'!D:D,'Acquisition RAW DATA'!B:B=A86,'Acquisition RAW DATA'!C:C=C86))"),271.0)</f>
        <v>271</v>
      </c>
    </row>
    <row r="87">
      <c r="A87" s="7">
        <v>43282.0</v>
      </c>
      <c r="C87" s="1">
        <v>7.0</v>
      </c>
      <c r="D87" s="1">
        <f>IFERROR(__xludf.DUMMYFUNCTION("SUM(FILTER('Acquisition RAW DATA'!D:D,'Acquisition RAW DATA'!B:B=A87,'Acquisition RAW DATA'!C:C=C87))"),346.0)</f>
        <v>346</v>
      </c>
    </row>
    <row r="88">
      <c r="A88" s="7">
        <v>43282.0</v>
      </c>
      <c r="C88" s="1">
        <v>8.0</v>
      </c>
      <c r="D88" s="1">
        <f>IFERROR(__xludf.DUMMYFUNCTION("SUM(FILTER('Acquisition RAW DATA'!D:D,'Acquisition RAW DATA'!B:B=A88,'Acquisition RAW DATA'!C:C=C88))"),1137.0)</f>
        <v>1137</v>
      </c>
    </row>
    <row r="89">
      <c r="A89" s="7">
        <v>43282.0</v>
      </c>
      <c r="C89" s="1">
        <v>9.0</v>
      </c>
      <c r="D89" s="1">
        <f>IFERROR(__xludf.DUMMYFUNCTION("SUM(FILTER('Acquisition RAW DATA'!D:D,'Acquisition RAW DATA'!B:B=A89,'Acquisition RAW DATA'!C:C=C89))"),1135.0)</f>
        <v>1135</v>
      </c>
    </row>
    <row r="90">
      <c r="A90" s="7">
        <v>43282.0</v>
      </c>
      <c r="C90" s="1">
        <v>10.0</v>
      </c>
      <c r="D90" s="1">
        <f>IFERROR(__xludf.DUMMYFUNCTION("SUM(FILTER('Acquisition RAW DATA'!D:D,'Acquisition RAW DATA'!B:B=A90,'Acquisition RAW DATA'!C:C=C90))"),454.0)</f>
        <v>454</v>
      </c>
    </row>
    <row r="91">
      <c r="A91" s="7">
        <v>43282.0</v>
      </c>
      <c r="C91" s="1">
        <v>11.0</v>
      </c>
      <c r="D91" s="1">
        <f>IFERROR(__xludf.DUMMYFUNCTION("SUM(FILTER('Acquisition RAW DATA'!D:D,'Acquisition RAW DATA'!B:B=A91,'Acquisition RAW DATA'!C:C=C91))"),442.0)</f>
        <v>442</v>
      </c>
    </row>
    <row r="92">
      <c r="A92" s="7">
        <v>43282.0</v>
      </c>
      <c r="C92" s="1">
        <v>12.0</v>
      </c>
      <c r="D92" s="1">
        <f>IFERROR(__xludf.DUMMYFUNCTION("SUM(FILTER('Acquisition RAW DATA'!D:D,'Acquisition RAW DATA'!B:B=A92,'Acquisition RAW DATA'!C:C=C92))"),367.0)</f>
        <v>367</v>
      </c>
    </row>
    <row r="93">
      <c r="A93" s="7">
        <v>43282.0</v>
      </c>
      <c r="C93" s="1">
        <v>13.0</v>
      </c>
      <c r="D93" s="1">
        <f>IFERROR(__xludf.DUMMYFUNCTION("SUM(FILTER('Acquisition RAW DATA'!D:D,'Acquisition RAW DATA'!B:B=A93,'Acquisition RAW DATA'!C:C=C93))"),1153.0)</f>
        <v>1153</v>
      </c>
    </row>
    <row r="94">
      <c r="A94" s="7">
        <v>43282.0</v>
      </c>
      <c r="C94" s="1">
        <v>14.0</v>
      </c>
      <c r="D94" s="1">
        <f>IFERROR(__xludf.DUMMYFUNCTION("SUM(FILTER('Acquisition RAW DATA'!D:D,'Acquisition RAW DATA'!B:B=A94,'Acquisition RAW DATA'!C:C=C94))"),437.0)</f>
        <v>437</v>
      </c>
    </row>
    <row r="95">
      <c r="A95" s="7">
        <v>43282.0</v>
      </c>
      <c r="C95" s="1">
        <v>15.0</v>
      </c>
      <c r="D95" s="1">
        <f>IFERROR(__xludf.DUMMYFUNCTION("SUM(FILTER('Acquisition RAW DATA'!D:D,'Acquisition RAW DATA'!B:B=A95,'Acquisition RAW DATA'!C:C=C95))"),308.0)</f>
        <v>308</v>
      </c>
    </row>
    <row r="96">
      <c r="A96" s="7">
        <v>43282.0</v>
      </c>
      <c r="C96" s="1">
        <v>16.0</v>
      </c>
      <c r="D96" s="1">
        <f>IFERROR(__xludf.DUMMYFUNCTION("SUM(FILTER('Acquisition RAW DATA'!D:D,'Acquisition RAW DATA'!B:B=A96,'Acquisition RAW DATA'!C:C=C96))"),411.0)</f>
        <v>411</v>
      </c>
    </row>
    <row r="97">
      <c r="A97" s="7">
        <v>43282.0</v>
      </c>
      <c r="C97" s="1">
        <v>17.0</v>
      </c>
      <c r="D97" s="1">
        <f>IFERROR(__xludf.DUMMYFUNCTION("SUM(FILTER('Acquisition RAW DATA'!D:D,'Acquisition RAW DATA'!B:B=A97,'Acquisition RAW DATA'!C:C=C97))"),780.0)</f>
        <v>780</v>
      </c>
    </row>
    <row r="98">
      <c r="A98" s="7">
        <v>43282.0</v>
      </c>
      <c r="C98" s="1">
        <v>18.0</v>
      </c>
      <c r="D98" s="1">
        <f>IFERROR(__xludf.DUMMYFUNCTION("SUM(FILTER('Acquisition RAW DATA'!D:D,'Acquisition RAW DATA'!B:B=A98,'Acquisition RAW DATA'!C:C=C98))"),250.0)</f>
        <v>250</v>
      </c>
    </row>
    <row r="99">
      <c r="A99" s="7">
        <v>43254.0</v>
      </c>
      <c r="C99" s="1">
        <v>1.0</v>
      </c>
      <c r="D99" s="1">
        <f>IFERROR(__xludf.DUMMYFUNCTION("SUM(FILTER('Acquisition RAW DATA'!D:D,'Acquisition RAW DATA'!B:B=A99,'Acquisition RAW DATA'!C:C=C99))"),50.0)</f>
        <v>50</v>
      </c>
    </row>
    <row r="100">
      <c r="A100" s="7">
        <v>43254.0</v>
      </c>
      <c r="C100" s="1">
        <v>3.0</v>
      </c>
      <c r="D100" s="1">
        <f>IFERROR(__xludf.DUMMYFUNCTION("SUM(FILTER('Acquisition RAW DATA'!D:D,'Acquisition RAW DATA'!B:B=A100,'Acquisition RAW DATA'!C:C=C100))"),93.0)</f>
        <v>93</v>
      </c>
    </row>
    <row r="101">
      <c r="A101" s="7">
        <v>43254.0</v>
      </c>
      <c r="C101" s="1">
        <v>7.0</v>
      </c>
      <c r="D101" s="1">
        <f>IFERROR(__xludf.DUMMYFUNCTION("SUM(FILTER('Acquisition RAW DATA'!D:D,'Acquisition RAW DATA'!B:B=A101,'Acquisition RAW DATA'!C:C=C101))"),102.0)</f>
        <v>102</v>
      </c>
    </row>
    <row r="102">
      <c r="A102" s="7">
        <v>43254.0</v>
      </c>
      <c r="C102" s="1">
        <v>16.0</v>
      </c>
      <c r="D102" s="1">
        <f>IFERROR(__xludf.DUMMYFUNCTION("SUM(FILTER('Acquisition RAW DATA'!D:D,'Acquisition RAW DATA'!B:B=A102,'Acquisition RAW DATA'!C:C=C102))"),102.0)</f>
        <v>102</v>
      </c>
    </row>
    <row r="103">
      <c r="A103" s="7">
        <v>43254.0</v>
      </c>
      <c r="C103" s="1">
        <v>21.0</v>
      </c>
      <c r="D103" s="1">
        <f>IFERROR(__xludf.DUMMYFUNCTION("SUM(FILTER('Acquisition RAW DATA'!D:D,'Acquisition RAW DATA'!B:B=A103,'Acquisition RAW DATA'!C:C=C103))"),132.0)</f>
        <v>132</v>
      </c>
    </row>
    <row r="104">
      <c r="A104" s="7">
        <v>43268.0</v>
      </c>
      <c r="C104" s="1">
        <v>20.0</v>
      </c>
      <c r="D104" s="1">
        <f>IFERROR(__xludf.DUMMYFUNCTION("SUM(FILTER('Acquisition RAW DATA'!D:D,'Acquisition RAW DATA'!B:B=A104,'Acquisition RAW DATA'!C:C=C104))"),120.0)</f>
        <v>120</v>
      </c>
    </row>
    <row r="105">
      <c r="A105" s="7">
        <v>43275.0</v>
      </c>
      <c r="C105" s="1">
        <v>2.0</v>
      </c>
      <c r="D105" s="1">
        <f>IFERROR(__xludf.DUMMYFUNCTION("SUM(FILTER('Acquisition RAW DATA'!D:D,'Acquisition RAW DATA'!B:B=A105,'Acquisition RAW DATA'!C:C=C105))"),149.0)</f>
        <v>149</v>
      </c>
    </row>
    <row r="106">
      <c r="A106" s="7">
        <v>43275.0</v>
      </c>
      <c r="C106" s="1">
        <v>19.0</v>
      </c>
      <c r="D106" s="1">
        <f>IFERROR(__xludf.DUMMYFUNCTION("SUM(FILTER('Acquisition RAW DATA'!D:D,'Acquisition RAW DATA'!B:B=A106,'Acquisition RAW DATA'!C:C=C106))"),104.0)</f>
        <v>104</v>
      </c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A522" s="64"/>
      <c r="B522" s="64"/>
    </row>
    <row r="523">
      <c r="A523" s="64"/>
      <c r="B523" s="64"/>
    </row>
    <row r="524">
      <c r="A524" s="64"/>
      <c r="B524" s="64"/>
    </row>
    <row r="525">
      <c r="A525" s="64"/>
      <c r="B525" s="64"/>
    </row>
    <row r="526">
      <c r="A526" s="64"/>
      <c r="B526" s="64"/>
    </row>
    <row r="527">
      <c r="A527" s="64"/>
      <c r="B527" s="64"/>
    </row>
    <row r="528">
      <c r="A528" s="64"/>
      <c r="B528" s="64"/>
    </row>
    <row r="529">
      <c r="A529" s="64"/>
      <c r="B529" s="64"/>
    </row>
    <row r="530">
      <c r="A530" s="64"/>
      <c r="B530" s="64"/>
    </row>
    <row r="531">
      <c r="A531" s="64"/>
      <c r="B531" s="64"/>
    </row>
    <row r="532">
      <c r="A532" s="64"/>
      <c r="B532" s="64"/>
    </row>
    <row r="533">
      <c r="A533" s="64"/>
      <c r="B533" s="64"/>
    </row>
    <row r="534">
      <c r="A534" s="64"/>
      <c r="B534" s="64"/>
    </row>
    <row r="535">
      <c r="A535" s="64"/>
      <c r="B535" s="64"/>
    </row>
    <row r="536">
      <c r="A536" s="64"/>
      <c r="B536" s="64"/>
    </row>
    <row r="537">
      <c r="A537" s="64"/>
      <c r="B537" s="64"/>
    </row>
    <row r="538">
      <c r="A538" s="64"/>
      <c r="B538" s="64"/>
    </row>
    <row r="539">
      <c r="A539" s="64"/>
      <c r="B539" s="64"/>
    </row>
    <row r="540">
      <c r="A540" s="64"/>
      <c r="B540" s="64"/>
    </row>
    <row r="541">
      <c r="A541" s="64"/>
      <c r="B541" s="64"/>
    </row>
    <row r="542">
      <c r="A542" s="64"/>
      <c r="B542" s="64"/>
    </row>
    <row r="543">
      <c r="A543" s="64"/>
      <c r="B543" s="64"/>
    </row>
    <row r="544">
      <c r="A544" s="64"/>
      <c r="B544" s="64"/>
    </row>
    <row r="545">
      <c r="A545" s="64"/>
      <c r="B545" s="64"/>
    </row>
    <row r="546">
      <c r="A546" s="64"/>
      <c r="B546" s="64"/>
    </row>
    <row r="547">
      <c r="A547" s="64"/>
      <c r="B547" s="64"/>
    </row>
    <row r="548">
      <c r="A548" s="64"/>
      <c r="B548" s="64"/>
    </row>
    <row r="549">
      <c r="A549" s="64"/>
      <c r="B549" s="64"/>
    </row>
    <row r="550">
      <c r="A550" s="64"/>
      <c r="B550" s="64"/>
    </row>
    <row r="551">
      <c r="A551" s="64"/>
      <c r="B551" s="64"/>
    </row>
    <row r="552">
      <c r="A552" s="64"/>
      <c r="B552" s="64"/>
    </row>
    <row r="553">
      <c r="A553" s="64"/>
      <c r="B553" s="64"/>
    </row>
    <row r="554">
      <c r="A554" s="64"/>
      <c r="B554" s="64"/>
    </row>
    <row r="555">
      <c r="A555" s="64"/>
      <c r="B555" s="64"/>
    </row>
    <row r="556">
      <c r="A556" s="64"/>
      <c r="B556" s="64"/>
    </row>
    <row r="557">
      <c r="A557" s="64"/>
      <c r="B557" s="64"/>
    </row>
    <row r="558">
      <c r="A558" s="64"/>
      <c r="B558" s="64"/>
    </row>
    <row r="559">
      <c r="A559" s="64"/>
      <c r="B559" s="64"/>
    </row>
    <row r="560">
      <c r="A560" s="64"/>
      <c r="B560" s="64"/>
    </row>
    <row r="561">
      <c r="A561" s="64"/>
      <c r="B561" s="64"/>
    </row>
    <row r="562">
      <c r="A562" s="64"/>
      <c r="B562" s="64"/>
    </row>
    <row r="563">
      <c r="A563" s="64"/>
      <c r="B563" s="64"/>
    </row>
    <row r="564">
      <c r="A564" s="64"/>
      <c r="B564" s="64"/>
    </row>
    <row r="565">
      <c r="A565" s="64"/>
      <c r="B565" s="64"/>
    </row>
    <row r="566">
      <c r="A566" s="64"/>
      <c r="B566" s="64"/>
    </row>
    <row r="567">
      <c r="A567" s="64"/>
      <c r="B567" s="64"/>
    </row>
    <row r="568">
      <c r="A568" s="64"/>
      <c r="B568" s="64"/>
    </row>
    <row r="569">
      <c r="A569" s="64"/>
      <c r="B569" s="64"/>
    </row>
    <row r="570">
      <c r="A570" s="64"/>
      <c r="B570" s="64"/>
    </row>
    <row r="571">
      <c r="A571" s="64"/>
      <c r="B571" s="64"/>
    </row>
    <row r="572">
      <c r="A572" s="64"/>
      <c r="B572" s="64"/>
    </row>
    <row r="573">
      <c r="A573" s="64"/>
      <c r="B573" s="64"/>
    </row>
    <row r="574">
      <c r="A574" s="64"/>
      <c r="B574" s="64"/>
    </row>
    <row r="575">
      <c r="A575" s="64"/>
      <c r="B575" s="64"/>
    </row>
    <row r="576">
      <c r="A576" s="64"/>
      <c r="B576" s="64"/>
    </row>
    <row r="577">
      <c r="A577" s="64"/>
      <c r="B577" s="64"/>
    </row>
    <row r="578">
      <c r="A578" s="64"/>
      <c r="B578" s="64"/>
    </row>
    <row r="579">
      <c r="A579" s="64"/>
      <c r="B579" s="64"/>
    </row>
    <row r="580">
      <c r="A580" s="64"/>
      <c r="B580" s="64"/>
    </row>
    <row r="581">
      <c r="A581" s="64"/>
      <c r="B581" s="64"/>
    </row>
    <row r="582">
      <c r="A582" s="64"/>
      <c r="B582" s="64"/>
    </row>
    <row r="583">
      <c r="A583" s="64"/>
      <c r="B583" s="64"/>
    </row>
    <row r="584">
      <c r="A584" s="64"/>
      <c r="B584" s="64"/>
    </row>
    <row r="585">
      <c r="A585" s="64"/>
      <c r="B585" s="64"/>
    </row>
    <row r="586">
      <c r="A586" s="64"/>
      <c r="B586" s="64"/>
    </row>
    <row r="587">
      <c r="A587" s="64"/>
      <c r="B587" s="64"/>
    </row>
    <row r="588">
      <c r="A588" s="64"/>
      <c r="B588" s="64"/>
    </row>
    <row r="589">
      <c r="A589" s="64"/>
      <c r="B589" s="64"/>
    </row>
    <row r="590">
      <c r="A590" s="64"/>
      <c r="B590" s="64"/>
    </row>
    <row r="591">
      <c r="A591" s="64"/>
      <c r="B591" s="64"/>
    </row>
    <row r="592">
      <c r="A592" s="64"/>
      <c r="B592" s="64"/>
    </row>
    <row r="593">
      <c r="A593" s="64"/>
      <c r="B593" s="64"/>
    </row>
    <row r="594">
      <c r="A594" s="64"/>
      <c r="B594" s="64"/>
    </row>
    <row r="595">
      <c r="A595" s="64"/>
      <c r="B595" s="64"/>
    </row>
    <row r="596">
      <c r="A596" s="64"/>
      <c r="B596" s="64"/>
    </row>
    <row r="597">
      <c r="A597" s="64"/>
      <c r="B597" s="64"/>
    </row>
    <row r="598">
      <c r="A598" s="64"/>
      <c r="B598" s="64"/>
    </row>
    <row r="599">
      <c r="A599" s="64"/>
      <c r="B599" s="64"/>
    </row>
    <row r="600">
      <c r="A600" s="64"/>
      <c r="B600" s="64"/>
    </row>
    <row r="601">
      <c r="A601" s="64"/>
      <c r="B601" s="64"/>
    </row>
    <row r="602">
      <c r="A602" s="64"/>
      <c r="B602" s="64"/>
    </row>
    <row r="603">
      <c r="A603" s="64"/>
      <c r="B603" s="64"/>
    </row>
    <row r="604">
      <c r="A604" s="64"/>
      <c r="B604" s="64"/>
    </row>
    <row r="605">
      <c r="A605" s="64"/>
      <c r="B605" s="64"/>
    </row>
    <row r="606">
      <c r="A606" s="64"/>
      <c r="B606" s="64"/>
    </row>
    <row r="607">
      <c r="A607" s="64"/>
      <c r="B607" s="64"/>
    </row>
    <row r="608">
      <c r="A608" s="64"/>
      <c r="B608" s="64"/>
    </row>
    <row r="609">
      <c r="A609" s="64"/>
      <c r="B609" s="64"/>
    </row>
    <row r="610">
      <c r="A610" s="64"/>
      <c r="B610" s="64"/>
    </row>
    <row r="611">
      <c r="A611" s="64"/>
      <c r="B611" s="64"/>
    </row>
    <row r="612">
      <c r="A612" s="64"/>
      <c r="B612" s="64"/>
    </row>
    <row r="613">
      <c r="A613" s="64"/>
      <c r="B613" s="64"/>
    </row>
    <row r="614">
      <c r="A614" s="64"/>
      <c r="B614" s="64"/>
    </row>
    <row r="615">
      <c r="A615" s="64"/>
      <c r="B615" s="64"/>
    </row>
    <row r="616">
      <c r="A616" s="64"/>
      <c r="B616" s="64"/>
    </row>
    <row r="617">
      <c r="A617" s="64"/>
      <c r="B617" s="64"/>
    </row>
    <row r="618">
      <c r="A618" s="64"/>
      <c r="B618" s="64"/>
    </row>
    <row r="619">
      <c r="A619" s="64"/>
      <c r="B619" s="64"/>
    </row>
    <row r="620">
      <c r="A620" s="64"/>
      <c r="B620" s="64"/>
    </row>
    <row r="621">
      <c r="A621" s="64"/>
      <c r="B621" s="64"/>
    </row>
    <row r="622">
      <c r="A622" s="64"/>
      <c r="B622" s="64"/>
    </row>
    <row r="623">
      <c r="A623" s="64"/>
      <c r="B623" s="64"/>
    </row>
    <row r="624">
      <c r="A624" s="64"/>
      <c r="B624" s="64"/>
    </row>
    <row r="625">
      <c r="A625" s="64"/>
      <c r="B625" s="64"/>
    </row>
    <row r="626">
      <c r="A626" s="64"/>
      <c r="B626" s="64"/>
    </row>
    <row r="627">
      <c r="A627" s="64"/>
      <c r="B627" s="64"/>
    </row>
    <row r="628">
      <c r="A628" s="64"/>
      <c r="B628" s="64"/>
    </row>
    <row r="629">
      <c r="A629" s="64"/>
      <c r="B629" s="64"/>
    </row>
    <row r="630">
      <c r="A630" s="64"/>
      <c r="B630" s="64"/>
    </row>
    <row r="631">
      <c r="A631" s="64"/>
      <c r="B631" s="64"/>
    </row>
    <row r="632">
      <c r="A632" s="64"/>
      <c r="B632" s="64"/>
    </row>
    <row r="633">
      <c r="A633" s="64"/>
      <c r="B633" s="64"/>
    </row>
    <row r="634">
      <c r="A634" s="64"/>
      <c r="B634" s="64"/>
    </row>
    <row r="635">
      <c r="A635" s="64"/>
      <c r="B635" s="64"/>
    </row>
    <row r="636">
      <c r="A636" s="64"/>
      <c r="B636" s="64"/>
    </row>
    <row r="637">
      <c r="A637" s="64"/>
      <c r="B637" s="64"/>
    </row>
    <row r="638">
      <c r="A638" s="64"/>
      <c r="B638" s="64"/>
    </row>
    <row r="639">
      <c r="A639" s="64"/>
      <c r="B639" s="64"/>
    </row>
    <row r="640">
      <c r="A640" s="64"/>
      <c r="B640" s="64"/>
    </row>
    <row r="641">
      <c r="A641" s="64"/>
      <c r="B641" s="64"/>
    </row>
    <row r="642">
      <c r="A642" s="64"/>
      <c r="B642" s="64"/>
    </row>
    <row r="643">
      <c r="A643" s="64"/>
      <c r="B643" s="64"/>
    </row>
    <row r="644">
      <c r="A644" s="64"/>
      <c r="B644" s="64"/>
    </row>
    <row r="645">
      <c r="A645" s="64"/>
      <c r="B645" s="64"/>
    </row>
    <row r="646">
      <c r="A646" s="64"/>
      <c r="B646" s="64"/>
    </row>
    <row r="647">
      <c r="A647" s="64"/>
      <c r="B647" s="64"/>
    </row>
    <row r="648">
      <c r="A648" s="64"/>
      <c r="B648" s="64"/>
    </row>
    <row r="649">
      <c r="A649" s="64"/>
      <c r="B649" s="64"/>
    </row>
    <row r="650">
      <c r="A650" s="64"/>
      <c r="B650" s="64"/>
    </row>
    <row r="651">
      <c r="A651" s="64"/>
      <c r="B651" s="64"/>
    </row>
    <row r="652">
      <c r="A652" s="64"/>
      <c r="B652" s="64"/>
    </row>
    <row r="653">
      <c r="A653" s="64"/>
      <c r="B653" s="64"/>
    </row>
    <row r="654">
      <c r="A654" s="64"/>
      <c r="B654" s="64"/>
    </row>
    <row r="655">
      <c r="A655" s="64"/>
      <c r="B655" s="64"/>
    </row>
    <row r="656">
      <c r="A656" s="64"/>
      <c r="B656" s="64"/>
    </row>
    <row r="657">
      <c r="A657" s="64"/>
      <c r="B657" s="64"/>
    </row>
    <row r="658">
      <c r="A658" s="64"/>
      <c r="B658" s="64"/>
    </row>
    <row r="659">
      <c r="A659" s="64"/>
      <c r="B659" s="64"/>
    </row>
    <row r="660">
      <c r="A660" s="64"/>
      <c r="B660" s="64"/>
    </row>
    <row r="661">
      <c r="A661" s="64"/>
      <c r="B661" s="64"/>
    </row>
    <row r="662">
      <c r="A662" s="64"/>
      <c r="B662" s="64"/>
    </row>
    <row r="663">
      <c r="A663" s="64"/>
      <c r="B663" s="64"/>
    </row>
    <row r="664">
      <c r="A664" s="64"/>
      <c r="B664" s="64"/>
    </row>
    <row r="665">
      <c r="A665" s="64"/>
      <c r="B665" s="64"/>
    </row>
    <row r="666">
      <c r="A666" s="64"/>
      <c r="B666" s="64"/>
    </row>
    <row r="667">
      <c r="A667" s="64"/>
      <c r="B667" s="64"/>
    </row>
    <row r="668">
      <c r="A668" s="64"/>
      <c r="B668" s="64"/>
    </row>
    <row r="669">
      <c r="A669" s="64"/>
      <c r="B669" s="64"/>
    </row>
    <row r="670">
      <c r="A670" s="64"/>
      <c r="B670" s="64"/>
    </row>
    <row r="671">
      <c r="A671" s="64"/>
      <c r="B671" s="64"/>
    </row>
    <row r="672">
      <c r="A672" s="64"/>
      <c r="B672" s="64"/>
    </row>
    <row r="673">
      <c r="A673" s="64"/>
      <c r="B673" s="64"/>
    </row>
    <row r="674">
      <c r="A674" s="64"/>
      <c r="B674" s="64"/>
    </row>
    <row r="675">
      <c r="A675" s="64"/>
      <c r="B675" s="64"/>
    </row>
    <row r="676">
      <c r="A676" s="64"/>
      <c r="B676" s="64"/>
    </row>
    <row r="677">
      <c r="A677" s="64"/>
      <c r="B677" s="64"/>
    </row>
    <row r="678">
      <c r="A678" s="64"/>
      <c r="B678" s="64"/>
    </row>
    <row r="679">
      <c r="A679" s="64"/>
      <c r="B679" s="64"/>
    </row>
    <row r="680">
      <c r="A680" s="64"/>
      <c r="B680" s="64"/>
    </row>
    <row r="681">
      <c r="A681" s="64"/>
      <c r="B681" s="64"/>
    </row>
    <row r="682">
      <c r="A682" s="64"/>
      <c r="B682" s="64"/>
    </row>
    <row r="683">
      <c r="A683" s="64"/>
      <c r="B683" s="64"/>
    </row>
    <row r="684">
      <c r="A684" s="64"/>
      <c r="B684" s="64"/>
    </row>
    <row r="685">
      <c r="A685" s="64"/>
      <c r="B685" s="64"/>
    </row>
    <row r="686">
      <c r="A686" s="64"/>
      <c r="B686" s="64"/>
    </row>
    <row r="687">
      <c r="A687" s="64"/>
      <c r="B687" s="64"/>
    </row>
    <row r="688">
      <c r="A688" s="64"/>
      <c r="B688" s="64"/>
    </row>
    <row r="689">
      <c r="A689" s="64"/>
      <c r="B689" s="64"/>
    </row>
    <row r="690">
      <c r="A690" s="64"/>
      <c r="B690" s="64"/>
    </row>
    <row r="691">
      <c r="A691" s="64"/>
      <c r="B691" s="64"/>
    </row>
    <row r="692">
      <c r="A692" s="64"/>
      <c r="B692" s="64"/>
    </row>
    <row r="693">
      <c r="A693" s="64"/>
      <c r="B693" s="64"/>
    </row>
    <row r="694">
      <c r="A694" s="64"/>
      <c r="B694" s="64"/>
    </row>
    <row r="695">
      <c r="A695" s="64"/>
      <c r="B695" s="64"/>
    </row>
    <row r="696">
      <c r="A696" s="64"/>
      <c r="B696" s="64"/>
    </row>
    <row r="697">
      <c r="A697" s="64"/>
      <c r="B697" s="64"/>
    </row>
    <row r="698">
      <c r="A698" s="64"/>
      <c r="B698" s="64"/>
    </row>
    <row r="699">
      <c r="A699" s="64"/>
      <c r="B699" s="64"/>
    </row>
    <row r="700">
      <c r="A700" s="64"/>
      <c r="B700" s="64"/>
    </row>
    <row r="701">
      <c r="A701" s="64"/>
      <c r="B701" s="64"/>
    </row>
    <row r="702">
      <c r="A702" s="64"/>
      <c r="B702" s="64"/>
    </row>
    <row r="703">
      <c r="A703" s="64"/>
      <c r="B703" s="64"/>
    </row>
    <row r="704">
      <c r="A704" s="64"/>
      <c r="B704" s="64"/>
    </row>
    <row r="705">
      <c r="A705" s="64"/>
      <c r="B705" s="64"/>
    </row>
    <row r="706">
      <c r="A706" s="64"/>
      <c r="B706" s="64"/>
    </row>
    <row r="707">
      <c r="A707" s="64"/>
      <c r="B707" s="64"/>
    </row>
    <row r="708">
      <c r="A708" s="64"/>
      <c r="B708" s="64"/>
    </row>
    <row r="709">
      <c r="A709" s="64"/>
      <c r="B709" s="64"/>
    </row>
    <row r="710">
      <c r="A710" s="64"/>
      <c r="B710" s="64"/>
    </row>
    <row r="711">
      <c r="A711" s="64"/>
      <c r="B711" s="64"/>
    </row>
    <row r="712">
      <c r="A712" s="64"/>
      <c r="B712" s="64"/>
    </row>
    <row r="713">
      <c r="A713" s="64"/>
      <c r="B713" s="64"/>
    </row>
    <row r="714">
      <c r="A714" s="64"/>
      <c r="B714" s="64"/>
    </row>
    <row r="715">
      <c r="A715" s="64"/>
      <c r="B715" s="64"/>
    </row>
    <row r="716">
      <c r="A716" s="64"/>
      <c r="B716" s="64"/>
    </row>
    <row r="717">
      <c r="A717" s="64"/>
      <c r="B717" s="64"/>
    </row>
    <row r="718">
      <c r="A718" s="64"/>
      <c r="B718" s="64"/>
    </row>
    <row r="719">
      <c r="A719" s="64"/>
      <c r="B719" s="64"/>
    </row>
    <row r="720">
      <c r="A720" s="64"/>
      <c r="B720" s="64"/>
    </row>
    <row r="721">
      <c r="A721" s="64"/>
      <c r="B721" s="64"/>
    </row>
    <row r="722">
      <c r="A722" s="64"/>
      <c r="B722" s="64"/>
    </row>
    <row r="723">
      <c r="A723" s="64"/>
      <c r="B723" s="64"/>
    </row>
    <row r="724">
      <c r="A724" s="64"/>
      <c r="B724" s="64"/>
    </row>
    <row r="725">
      <c r="A725" s="64"/>
      <c r="B725" s="64"/>
    </row>
    <row r="726">
      <c r="A726" s="64"/>
      <c r="B726" s="64"/>
    </row>
    <row r="727">
      <c r="A727" s="64"/>
      <c r="B727" s="64"/>
    </row>
    <row r="728">
      <c r="A728" s="64"/>
      <c r="B728" s="64"/>
    </row>
    <row r="729">
      <c r="A729" s="64"/>
      <c r="B729" s="64"/>
    </row>
    <row r="730">
      <c r="A730" s="64"/>
      <c r="B730" s="64"/>
    </row>
    <row r="731">
      <c r="A731" s="64"/>
      <c r="B731" s="64"/>
    </row>
    <row r="732">
      <c r="A732" s="64"/>
      <c r="B732" s="64"/>
    </row>
    <row r="733">
      <c r="A733" s="64"/>
      <c r="B733" s="64"/>
    </row>
    <row r="734">
      <c r="A734" s="64"/>
      <c r="B734" s="64"/>
    </row>
    <row r="735">
      <c r="A735" s="64"/>
      <c r="B735" s="64"/>
    </row>
    <row r="736">
      <c r="A736" s="64"/>
      <c r="B736" s="64"/>
    </row>
    <row r="737">
      <c r="A737" s="64"/>
      <c r="B737" s="64"/>
    </row>
    <row r="738">
      <c r="A738" s="64"/>
      <c r="B738" s="64"/>
    </row>
    <row r="739">
      <c r="A739" s="64"/>
      <c r="B739" s="64"/>
    </row>
    <row r="740">
      <c r="A740" s="64"/>
      <c r="B740" s="64"/>
    </row>
    <row r="741">
      <c r="A741" s="64"/>
      <c r="B741" s="64"/>
    </row>
    <row r="742">
      <c r="A742" s="64"/>
      <c r="B742" s="64"/>
    </row>
    <row r="743">
      <c r="A743" s="64"/>
      <c r="B743" s="64"/>
    </row>
    <row r="744">
      <c r="A744" s="64"/>
      <c r="B744" s="64"/>
    </row>
    <row r="745">
      <c r="A745" s="64"/>
      <c r="B745" s="64"/>
    </row>
    <row r="746">
      <c r="A746" s="64"/>
      <c r="B746" s="64"/>
    </row>
    <row r="747">
      <c r="A747" s="64"/>
      <c r="B747" s="64"/>
    </row>
    <row r="748">
      <c r="A748" s="64"/>
      <c r="B748" s="64"/>
    </row>
    <row r="749">
      <c r="A749" s="64"/>
      <c r="B749" s="64"/>
    </row>
    <row r="750">
      <c r="A750" s="64"/>
      <c r="B750" s="64"/>
    </row>
    <row r="751">
      <c r="A751" s="64"/>
      <c r="B751" s="64"/>
    </row>
    <row r="752">
      <c r="A752" s="64"/>
      <c r="B752" s="64"/>
    </row>
    <row r="753">
      <c r="A753" s="64"/>
      <c r="B753" s="64"/>
    </row>
    <row r="754">
      <c r="A754" s="64"/>
      <c r="B754" s="64"/>
    </row>
    <row r="755">
      <c r="A755" s="64"/>
      <c r="B755" s="64"/>
    </row>
    <row r="756">
      <c r="A756" s="64"/>
      <c r="B756" s="64"/>
    </row>
    <row r="757">
      <c r="A757" s="64"/>
      <c r="B757" s="64"/>
    </row>
    <row r="758">
      <c r="A758" s="64"/>
      <c r="B758" s="64"/>
    </row>
    <row r="759">
      <c r="A759" s="64"/>
      <c r="B759" s="64"/>
    </row>
    <row r="760">
      <c r="A760" s="64"/>
      <c r="B760" s="64"/>
    </row>
    <row r="761">
      <c r="A761" s="64"/>
      <c r="B761" s="64"/>
    </row>
    <row r="762">
      <c r="A762" s="64"/>
      <c r="B762" s="64"/>
    </row>
    <row r="763">
      <c r="A763" s="64"/>
      <c r="B763" s="64"/>
    </row>
    <row r="764">
      <c r="A764" s="64"/>
      <c r="B764" s="64"/>
    </row>
    <row r="765">
      <c r="A765" s="64"/>
      <c r="B765" s="64"/>
    </row>
    <row r="766">
      <c r="A766" s="64"/>
      <c r="B766" s="64"/>
    </row>
    <row r="767">
      <c r="A767" s="64"/>
      <c r="B767" s="64"/>
    </row>
    <row r="768">
      <c r="A768" s="64"/>
      <c r="B768" s="64"/>
    </row>
    <row r="769">
      <c r="A769" s="64"/>
      <c r="B769" s="64"/>
    </row>
    <row r="770">
      <c r="A770" s="64"/>
      <c r="B770" s="64"/>
    </row>
    <row r="771">
      <c r="A771" s="64"/>
      <c r="B771" s="64"/>
    </row>
    <row r="772">
      <c r="A772" s="64"/>
      <c r="B772" s="64"/>
    </row>
    <row r="773">
      <c r="A773" s="64"/>
      <c r="B773" s="64"/>
    </row>
    <row r="774">
      <c r="A774" s="64"/>
      <c r="B774" s="64"/>
    </row>
    <row r="775">
      <c r="A775" s="64"/>
      <c r="B775" s="64"/>
    </row>
    <row r="776">
      <c r="A776" s="64"/>
      <c r="B776" s="64"/>
    </row>
    <row r="777">
      <c r="A777" s="64"/>
      <c r="B777" s="64"/>
    </row>
    <row r="778">
      <c r="A778" s="64"/>
      <c r="B778" s="64"/>
    </row>
    <row r="779">
      <c r="A779" s="64"/>
      <c r="B779" s="64"/>
    </row>
    <row r="780">
      <c r="A780" s="64"/>
      <c r="B780" s="64"/>
    </row>
    <row r="781">
      <c r="A781" s="64"/>
      <c r="B781" s="64"/>
    </row>
    <row r="782">
      <c r="A782" s="64"/>
      <c r="B782" s="64"/>
    </row>
    <row r="783">
      <c r="A783" s="64"/>
      <c r="B783" s="64"/>
    </row>
    <row r="784">
      <c r="A784" s="64"/>
      <c r="B784" s="64"/>
    </row>
    <row r="785">
      <c r="A785" s="64"/>
      <c r="B785" s="64"/>
    </row>
    <row r="786">
      <c r="A786" s="64"/>
      <c r="B786" s="64"/>
    </row>
    <row r="787">
      <c r="A787" s="64"/>
      <c r="B787" s="64"/>
    </row>
    <row r="788">
      <c r="A788" s="64"/>
      <c r="B788" s="64"/>
    </row>
    <row r="789">
      <c r="A789" s="64"/>
      <c r="B789" s="64"/>
    </row>
    <row r="790">
      <c r="A790" s="64"/>
      <c r="B790" s="64"/>
    </row>
    <row r="791">
      <c r="A791" s="64"/>
      <c r="B791" s="64"/>
    </row>
    <row r="792">
      <c r="A792" s="64"/>
      <c r="B792" s="64"/>
    </row>
    <row r="793">
      <c r="A793" s="64"/>
      <c r="B793" s="64"/>
    </row>
    <row r="794">
      <c r="A794" s="64"/>
      <c r="B794" s="64"/>
    </row>
    <row r="795">
      <c r="A795" s="64"/>
      <c r="B795" s="64"/>
    </row>
    <row r="796">
      <c r="A796" s="64"/>
      <c r="B796" s="64"/>
    </row>
    <row r="797">
      <c r="A797" s="64"/>
      <c r="B797" s="64"/>
    </row>
    <row r="798">
      <c r="A798" s="64"/>
      <c r="B798" s="64"/>
    </row>
    <row r="799">
      <c r="A799" s="64"/>
      <c r="B799" s="64"/>
    </row>
    <row r="800">
      <c r="A800" s="64"/>
      <c r="B800" s="64"/>
    </row>
    <row r="801">
      <c r="A801" s="64"/>
      <c r="B801" s="64"/>
    </row>
    <row r="802">
      <c r="A802" s="64"/>
      <c r="B802" s="64"/>
    </row>
    <row r="803">
      <c r="A803" s="64"/>
      <c r="B803" s="64"/>
    </row>
    <row r="804">
      <c r="A804" s="64"/>
      <c r="B804" s="64"/>
    </row>
    <row r="805">
      <c r="A805" s="64"/>
      <c r="B805" s="64"/>
    </row>
    <row r="806">
      <c r="A806" s="64"/>
      <c r="B806" s="64"/>
    </row>
    <row r="807">
      <c r="A807" s="64"/>
      <c r="B807" s="64"/>
    </row>
    <row r="808">
      <c r="A808" s="64"/>
      <c r="B808" s="64"/>
    </row>
    <row r="809">
      <c r="A809" s="64"/>
      <c r="B809" s="64"/>
    </row>
    <row r="810">
      <c r="A810" s="64"/>
      <c r="B810" s="64"/>
    </row>
    <row r="811">
      <c r="A811" s="64"/>
      <c r="B811" s="64"/>
    </row>
    <row r="812">
      <c r="A812" s="64"/>
      <c r="B812" s="64"/>
    </row>
    <row r="813">
      <c r="A813" s="64"/>
      <c r="B813" s="64"/>
    </row>
    <row r="814">
      <c r="A814" s="64"/>
      <c r="B814" s="64"/>
    </row>
    <row r="815">
      <c r="A815" s="64"/>
      <c r="B815" s="64"/>
    </row>
    <row r="816">
      <c r="A816" s="64"/>
      <c r="B816" s="64"/>
    </row>
    <row r="817">
      <c r="A817" s="64"/>
      <c r="B817" s="64"/>
    </row>
    <row r="818">
      <c r="A818" s="64"/>
      <c r="B818" s="64"/>
    </row>
    <row r="819">
      <c r="A819" s="64"/>
      <c r="B819" s="64"/>
    </row>
    <row r="820">
      <c r="A820" s="64"/>
      <c r="B820" s="64"/>
    </row>
    <row r="821">
      <c r="A821" s="64"/>
      <c r="B821" s="64"/>
    </row>
    <row r="822">
      <c r="A822" s="64"/>
      <c r="B822" s="64"/>
    </row>
    <row r="823">
      <c r="A823" s="64"/>
      <c r="B823" s="64"/>
    </row>
    <row r="824">
      <c r="A824" s="64"/>
      <c r="B824" s="64"/>
    </row>
    <row r="825">
      <c r="A825" s="64"/>
      <c r="B825" s="64"/>
    </row>
    <row r="826">
      <c r="A826" s="64"/>
      <c r="B826" s="64"/>
    </row>
    <row r="827">
      <c r="A827" s="64"/>
      <c r="B827" s="64"/>
    </row>
    <row r="828">
      <c r="A828" s="64"/>
      <c r="B828" s="64"/>
    </row>
    <row r="829">
      <c r="A829" s="64"/>
      <c r="B829" s="64"/>
    </row>
    <row r="830">
      <c r="A830" s="64"/>
      <c r="B830" s="64"/>
    </row>
    <row r="831">
      <c r="A831" s="64"/>
      <c r="B831" s="64"/>
    </row>
    <row r="832">
      <c r="A832" s="64"/>
      <c r="B832" s="64"/>
    </row>
    <row r="833">
      <c r="A833" s="64"/>
      <c r="B833" s="64"/>
    </row>
    <row r="834">
      <c r="A834" s="64"/>
      <c r="B834" s="64"/>
    </row>
    <row r="835">
      <c r="A835" s="64"/>
      <c r="B835" s="64"/>
    </row>
    <row r="836">
      <c r="A836" s="64"/>
      <c r="B836" s="64"/>
    </row>
    <row r="837">
      <c r="A837" s="64"/>
      <c r="B837" s="64"/>
    </row>
    <row r="838">
      <c r="A838" s="64"/>
      <c r="B838" s="64"/>
    </row>
    <row r="839">
      <c r="A839" s="64"/>
      <c r="B839" s="64"/>
    </row>
    <row r="840">
      <c r="A840" s="64"/>
      <c r="B840" s="64"/>
    </row>
    <row r="841">
      <c r="A841" s="64"/>
      <c r="B841" s="64"/>
    </row>
    <row r="842">
      <c r="A842" s="64"/>
      <c r="B842" s="64"/>
    </row>
    <row r="843">
      <c r="A843" s="64"/>
      <c r="B843" s="64"/>
    </row>
    <row r="844">
      <c r="A844" s="64"/>
      <c r="B844" s="64"/>
    </row>
    <row r="845">
      <c r="A845" s="64"/>
      <c r="B845" s="64"/>
    </row>
    <row r="846">
      <c r="A846" s="64"/>
      <c r="B846" s="64"/>
    </row>
    <row r="847">
      <c r="A847" s="64"/>
      <c r="B847" s="64"/>
    </row>
    <row r="848">
      <c r="A848" s="64"/>
      <c r="B848" s="64"/>
    </row>
    <row r="849">
      <c r="A849" s="64"/>
      <c r="B849" s="64"/>
    </row>
    <row r="850">
      <c r="A850" s="64"/>
      <c r="B850" s="64"/>
    </row>
    <row r="851">
      <c r="A851" s="64"/>
      <c r="B851" s="64"/>
    </row>
    <row r="852">
      <c r="A852" s="64"/>
      <c r="B852" s="64"/>
    </row>
    <row r="853">
      <c r="A853" s="64"/>
      <c r="B853" s="64"/>
    </row>
    <row r="854">
      <c r="A854" s="64"/>
      <c r="B854" s="64"/>
    </row>
    <row r="855">
      <c r="A855" s="64"/>
      <c r="B855" s="64"/>
    </row>
    <row r="856">
      <c r="A856" s="64"/>
      <c r="B856" s="64"/>
    </row>
    <row r="857">
      <c r="A857" s="64"/>
      <c r="B857" s="64"/>
    </row>
    <row r="858">
      <c r="A858" s="64"/>
      <c r="B858" s="64"/>
    </row>
    <row r="859">
      <c r="A859" s="64"/>
      <c r="B859" s="64"/>
    </row>
    <row r="860">
      <c r="A860" s="64"/>
      <c r="B860" s="64"/>
    </row>
    <row r="861">
      <c r="A861" s="64"/>
      <c r="B861" s="64"/>
    </row>
    <row r="862">
      <c r="A862" s="64"/>
      <c r="B862" s="64"/>
    </row>
    <row r="863">
      <c r="A863" s="64"/>
      <c r="B863" s="64"/>
    </row>
    <row r="864">
      <c r="A864" s="64"/>
      <c r="B864" s="64"/>
    </row>
    <row r="865">
      <c r="A865" s="64"/>
      <c r="B865" s="64"/>
    </row>
    <row r="866">
      <c r="A866" s="64"/>
      <c r="B866" s="64"/>
    </row>
    <row r="867">
      <c r="A867" s="64"/>
      <c r="B867" s="64"/>
    </row>
    <row r="868">
      <c r="A868" s="64"/>
      <c r="B868" s="64"/>
    </row>
    <row r="869">
      <c r="A869" s="64"/>
      <c r="B869" s="64"/>
    </row>
    <row r="870">
      <c r="A870" s="64"/>
      <c r="B870" s="64"/>
    </row>
    <row r="871">
      <c r="A871" s="64"/>
      <c r="B871" s="64"/>
    </row>
    <row r="872">
      <c r="A872" s="64"/>
      <c r="B872" s="64"/>
    </row>
    <row r="873">
      <c r="A873" s="64"/>
      <c r="B873" s="64"/>
    </row>
    <row r="874">
      <c r="A874" s="64"/>
      <c r="B874" s="64"/>
    </row>
    <row r="875">
      <c r="A875" s="64"/>
      <c r="B875" s="64"/>
    </row>
    <row r="876">
      <c r="A876" s="64"/>
      <c r="B876" s="64"/>
    </row>
    <row r="877">
      <c r="A877" s="64"/>
      <c r="B877" s="64"/>
    </row>
    <row r="878">
      <c r="A878" s="64"/>
      <c r="B878" s="64"/>
    </row>
    <row r="879">
      <c r="A879" s="64"/>
      <c r="B879" s="64"/>
    </row>
    <row r="880">
      <c r="A880" s="64"/>
      <c r="B880" s="64"/>
    </row>
    <row r="881">
      <c r="A881" s="64"/>
      <c r="B881" s="64"/>
    </row>
    <row r="882">
      <c r="A882" s="64"/>
      <c r="B882" s="64"/>
    </row>
    <row r="883">
      <c r="A883" s="64"/>
      <c r="B883" s="64"/>
    </row>
    <row r="884">
      <c r="A884" s="64"/>
      <c r="B884" s="64"/>
    </row>
    <row r="885">
      <c r="A885" s="64"/>
      <c r="B885" s="64"/>
    </row>
    <row r="886">
      <c r="A886" s="64"/>
      <c r="B886" s="64"/>
    </row>
    <row r="887">
      <c r="A887" s="64"/>
      <c r="B887" s="64"/>
    </row>
    <row r="888">
      <c r="A888" s="64"/>
      <c r="B888" s="64"/>
    </row>
    <row r="889">
      <c r="A889" s="64"/>
      <c r="B889" s="64"/>
    </row>
    <row r="890">
      <c r="A890" s="64"/>
      <c r="B890" s="64"/>
    </row>
    <row r="891">
      <c r="A891" s="64"/>
      <c r="B891" s="64"/>
    </row>
    <row r="892">
      <c r="A892" s="64"/>
      <c r="B892" s="64"/>
    </row>
    <row r="893">
      <c r="A893" s="64"/>
      <c r="B893" s="64"/>
    </row>
    <row r="894">
      <c r="A894" s="64"/>
      <c r="B894" s="64"/>
    </row>
    <row r="895">
      <c r="A895" s="64"/>
      <c r="B895" s="64"/>
    </row>
    <row r="896">
      <c r="A896" s="64"/>
      <c r="B896" s="64"/>
    </row>
    <row r="897">
      <c r="A897" s="64"/>
      <c r="B897" s="64"/>
    </row>
    <row r="898">
      <c r="A898" s="64"/>
      <c r="B898" s="64"/>
    </row>
    <row r="899">
      <c r="A899" s="64"/>
      <c r="B899" s="64"/>
    </row>
    <row r="900">
      <c r="A900" s="64"/>
      <c r="B900" s="64"/>
    </row>
    <row r="901">
      <c r="A901" s="64"/>
      <c r="B901" s="64"/>
    </row>
    <row r="902">
      <c r="A902" s="64"/>
      <c r="B902" s="64"/>
    </row>
    <row r="903">
      <c r="A903" s="64"/>
      <c r="B903" s="64"/>
    </row>
    <row r="904">
      <c r="A904" s="64"/>
      <c r="B904" s="64"/>
    </row>
    <row r="905">
      <c r="A905" s="64"/>
      <c r="B905" s="64"/>
    </row>
    <row r="906">
      <c r="A906" s="64"/>
      <c r="B906" s="64"/>
    </row>
    <row r="907">
      <c r="A907" s="64"/>
      <c r="B907" s="64"/>
    </row>
    <row r="908">
      <c r="A908" s="64"/>
      <c r="B908" s="64"/>
    </row>
    <row r="909">
      <c r="A909" s="64"/>
      <c r="B909" s="64"/>
    </row>
    <row r="910">
      <c r="A910" s="64"/>
      <c r="B910" s="64"/>
    </row>
    <row r="911">
      <c r="A911" s="64"/>
      <c r="B911" s="64"/>
    </row>
    <row r="912">
      <c r="A912" s="64"/>
      <c r="B912" s="64"/>
    </row>
    <row r="913">
      <c r="A913" s="64"/>
      <c r="B913" s="64"/>
    </row>
    <row r="914">
      <c r="A914" s="64"/>
      <c r="B914" s="64"/>
    </row>
    <row r="915">
      <c r="A915" s="64"/>
      <c r="B915" s="64"/>
    </row>
    <row r="916">
      <c r="A916" s="64"/>
      <c r="B916" s="64"/>
    </row>
    <row r="917">
      <c r="A917" s="64"/>
      <c r="B917" s="64"/>
    </row>
    <row r="918">
      <c r="A918" s="64"/>
      <c r="B918" s="64"/>
    </row>
    <row r="919">
      <c r="A919" s="64"/>
      <c r="B919" s="64"/>
    </row>
    <row r="920">
      <c r="A920" s="64"/>
      <c r="B920" s="64"/>
    </row>
    <row r="921">
      <c r="A921" s="64"/>
      <c r="B921" s="64"/>
    </row>
    <row r="922">
      <c r="A922" s="64"/>
      <c r="B922" s="64"/>
    </row>
    <row r="923">
      <c r="A923" s="64"/>
      <c r="B923" s="64"/>
    </row>
    <row r="924">
      <c r="A924" s="64"/>
      <c r="B924" s="64"/>
    </row>
    <row r="925">
      <c r="A925" s="64"/>
      <c r="B925" s="64"/>
    </row>
    <row r="926">
      <c r="A926" s="64"/>
      <c r="B926" s="64"/>
    </row>
    <row r="927">
      <c r="A927" s="64"/>
      <c r="B927" s="64"/>
    </row>
    <row r="928">
      <c r="A928" s="64"/>
      <c r="B928" s="64"/>
    </row>
    <row r="929">
      <c r="A929" s="64"/>
      <c r="B929" s="64"/>
    </row>
    <row r="930">
      <c r="A930" s="64"/>
      <c r="B930" s="64"/>
    </row>
    <row r="931">
      <c r="A931" s="64"/>
      <c r="B931" s="64"/>
    </row>
    <row r="932">
      <c r="A932" s="64"/>
      <c r="B932" s="64"/>
    </row>
    <row r="933">
      <c r="A933" s="64"/>
      <c r="B933" s="64"/>
    </row>
    <row r="934">
      <c r="A934" s="64"/>
      <c r="B934" s="64"/>
    </row>
    <row r="935">
      <c r="A935" s="64"/>
      <c r="B935" s="64"/>
    </row>
    <row r="936">
      <c r="A936" s="64"/>
      <c r="B936" s="64"/>
    </row>
    <row r="937">
      <c r="A937" s="64"/>
      <c r="B937" s="64"/>
    </row>
    <row r="938">
      <c r="A938" s="64"/>
      <c r="B938" s="64"/>
    </row>
    <row r="939">
      <c r="A939" s="64"/>
      <c r="B939" s="64"/>
    </row>
    <row r="940">
      <c r="A940" s="64"/>
      <c r="B940" s="64"/>
    </row>
    <row r="941">
      <c r="A941" s="64"/>
      <c r="B941" s="64"/>
    </row>
    <row r="942">
      <c r="A942" s="64"/>
      <c r="B942" s="64"/>
    </row>
    <row r="943">
      <c r="A943" s="64"/>
      <c r="B943" s="64"/>
    </row>
    <row r="944">
      <c r="A944" s="64"/>
      <c r="B944" s="64"/>
    </row>
    <row r="945">
      <c r="A945" s="64"/>
      <c r="B945" s="64"/>
    </row>
    <row r="946">
      <c r="A946" s="64"/>
      <c r="B946" s="64"/>
    </row>
    <row r="947">
      <c r="A947" s="64"/>
      <c r="B947" s="64"/>
    </row>
    <row r="948">
      <c r="A948" s="64"/>
      <c r="B948" s="64"/>
    </row>
    <row r="949">
      <c r="A949" s="64"/>
      <c r="B949" s="64"/>
    </row>
    <row r="950">
      <c r="A950" s="64"/>
      <c r="B950" s="64"/>
    </row>
    <row r="951">
      <c r="A951" s="64"/>
      <c r="B951" s="64"/>
    </row>
    <row r="952">
      <c r="A952" s="64"/>
      <c r="B952" s="64"/>
    </row>
    <row r="953">
      <c r="A953" s="64"/>
      <c r="B953" s="64"/>
    </row>
    <row r="954">
      <c r="A954" s="64"/>
      <c r="B954" s="64"/>
    </row>
    <row r="955">
      <c r="A955" s="64"/>
      <c r="B955" s="64"/>
    </row>
    <row r="956">
      <c r="A956" s="64"/>
      <c r="B956" s="64"/>
    </row>
    <row r="957">
      <c r="A957" s="64"/>
      <c r="B957" s="64"/>
    </row>
    <row r="958">
      <c r="A958" s="64"/>
      <c r="B958" s="64"/>
    </row>
    <row r="959">
      <c r="A959" s="64"/>
      <c r="B959" s="64"/>
    </row>
    <row r="960">
      <c r="A960" s="64"/>
      <c r="B960" s="64"/>
    </row>
    <row r="961">
      <c r="A961" s="64"/>
      <c r="B961" s="64"/>
    </row>
    <row r="962">
      <c r="A962" s="64"/>
      <c r="B962" s="64"/>
    </row>
    <row r="963">
      <c r="A963" s="64"/>
      <c r="B963" s="64"/>
    </row>
    <row r="964">
      <c r="A964" s="64"/>
      <c r="B964" s="64"/>
    </row>
    <row r="965">
      <c r="A965" s="64"/>
      <c r="B965" s="64"/>
    </row>
    <row r="966">
      <c r="A966" s="64"/>
      <c r="B966" s="64"/>
    </row>
    <row r="967">
      <c r="A967" s="64"/>
      <c r="B967" s="64"/>
    </row>
    <row r="968">
      <c r="A968" s="64"/>
      <c r="B968" s="64"/>
    </row>
    <row r="969">
      <c r="A969" s="64"/>
      <c r="B969" s="64"/>
    </row>
    <row r="970">
      <c r="A970" s="64"/>
      <c r="B970" s="64"/>
    </row>
    <row r="971">
      <c r="A971" s="64"/>
      <c r="B971" s="64"/>
    </row>
    <row r="972">
      <c r="A972" s="64"/>
      <c r="B972" s="64"/>
    </row>
    <row r="973">
      <c r="A973" s="64"/>
      <c r="B973" s="64"/>
    </row>
    <row r="974">
      <c r="A974" s="64"/>
      <c r="B974" s="64"/>
    </row>
    <row r="975">
      <c r="A975" s="64"/>
      <c r="B975" s="64"/>
    </row>
    <row r="976">
      <c r="A976" s="64"/>
      <c r="B976" s="64"/>
    </row>
    <row r="977">
      <c r="A977" s="64"/>
      <c r="B977" s="64"/>
    </row>
    <row r="978">
      <c r="A978" s="64"/>
      <c r="B978" s="64"/>
    </row>
    <row r="979">
      <c r="A979" s="64"/>
      <c r="B979" s="64"/>
    </row>
    <row r="980">
      <c r="A980" s="64"/>
      <c r="B980" s="64"/>
    </row>
    <row r="981">
      <c r="A981" s="64"/>
      <c r="B981" s="64"/>
    </row>
    <row r="982">
      <c r="A982" s="64"/>
      <c r="B982" s="64"/>
    </row>
    <row r="983">
      <c r="A983" s="64"/>
      <c r="B983" s="64"/>
    </row>
    <row r="984">
      <c r="A984" s="64"/>
      <c r="B984" s="64"/>
    </row>
    <row r="985">
      <c r="A985" s="64"/>
      <c r="B985" s="64"/>
    </row>
    <row r="986">
      <c r="A986" s="64"/>
      <c r="B986" s="64"/>
    </row>
    <row r="987">
      <c r="A987" s="64"/>
      <c r="B987" s="64"/>
    </row>
    <row r="988">
      <c r="A988" s="64"/>
      <c r="B988" s="64"/>
    </row>
    <row r="989">
      <c r="A989" s="64"/>
      <c r="B989" s="64"/>
    </row>
    <row r="990">
      <c r="A990" s="64"/>
      <c r="B990" s="64"/>
    </row>
    <row r="991">
      <c r="A991" s="64"/>
      <c r="B991" s="64"/>
    </row>
    <row r="992">
      <c r="A992" s="64"/>
      <c r="B992" s="64"/>
    </row>
    <row r="993">
      <c r="A993" s="64"/>
      <c r="B993" s="64"/>
    </row>
    <row r="994">
      <c r="A994" s="64"/>
      <c r="B994" s="64"/>
    </row>
    <row r="995">
      <c r="A995" s="64"/>
      <c r="B995" s="64"/>
    </row>
    <row r="996">
      <c r="A996" s="64"/>
      <c r="B996" s="64"/>
    </row>
    <row r="997">
      <c r="A997" s="64"/>
      <c r="B997" s="64"/>
    </row>
    <row r="998">
      <c r="A998" s="64"/>
      <c r="B998" s="64"/>
    </row>
    <row r="999">
      <c r="A999" s="64"/>
      <c r="B999" s="64"/>
    </row>
    <row r="1000">
      <c r="A1000" s="64"/>
      <c r="B1000" s="64"/>
    </row>
    <row r="1001">
      <c r="A1001" s="64"/>
      <c r="B1001" s="6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77</v>
      </c>
      <c r="B1" s="1" t="s">
        <v>37</v>
      </c>
      <c r="C1" s="1" t="s">
        <v>36</v>
      </c>
      <c r="D1" s="1" t="s">
        <v>78</v>
      </c>
    </row>
    <row r="2">
      <c r="A2" s="1">
        <f t="shared" ref="A2:A521" si="1">WEEKNUM(B2,2)-21</f>
        <v>1</v>
      </c>
      <c r="B2" s="63">
        <v>43252.0</v>
      </c>
      <c r="C2" s="1">
        <v>0.0</v>
      </c>
      <c r="D2" s="1">
        <v>1371.0</v>
      </c>
    </row>
    <row r="3">
      <c r="A3" s="1">
        <f t="shared" si="1"/>
        <v>1</v>
      </c>
      <c r="B3" s="63">
        <v>43252.0</v>
      </c>
      <c r="C3" s="1">
        <v>1.0</v>
      </c>
      <c r="D3" s="1">
        <v>29.0</v>
      </c>
    </row>
    <row r="4">
      <c r="A4" s="1">
        <f t="shared" si="1"/>
        <v>1</v>
      </c>
      <c r="B4" s="63">
        <v>43252.0</v>
      </c>
      <c r="C4" s="1">
        <v>2.0</v>
      </c>
      <c r="D4" s="1">
        <v>44.0</v>
      </c>
    </row>
    <row r="5">
      <c r="A5" s="1">
        <f t="shared" si="1"/>
        <v>1</v>
      </c>
      <c r="B5" s="63">
        <v>43252.0</v>
      </c>
      <c r="C5" s="1">
        <v>3.0</v>
      </c>
      <c r="D5" s="1">
        <v>87.0</v>
      </c>
    </row>
    <row r="6">
      <c r="A6" s="1">
        <f t="shared" si="1"/>
        <v>1</v>
      </c>
      <c r="B6" s="63">
        <v>43252.0</v>
      </c>
      <c r="C6" s="1">
        <v>4.0</v>
      </c>
      <c r="D6" s="1">
        <v>408.0</v>
      </c>
    </row>
    <row r="7">
      <c r="A7" s="1">
        <f t="shared" si="1"/>
        <v>1</v>
      </c>
      <c r="B7" s="63">
        <v>43252.0</v>
      </c>
      <c r="C7" s="1">
        <v>5.0</v>
      </c>
      <c r="D7" s="1">
        <v>48.0</v>
      </c>
    </row>
    <row r="8">
      <c r="A8" s="1">
        <f t="shared" si="1"/>
        <v>1</v>
      </c>
      <c r="B8" s="63">
        <v>43252.0</v>
      </c>
      <c r="C8" s="1">
        <v>6.0</v>
      </c>
      <c r="D8" s="1">
        <v>63.0</v>
      </c>
    </row>
    <row r="9">
      <c r="A9" s="1">
        <f t="shared" si="1"/>
        <v>1</v>
      </c>
      <c r="B9" s="63">
        <v>43252.0</v>
      </c>
      <c r="C9" s="1">
        <v>7.0</v>
      </c>
      <c r="D9" s="1">
        <v>80.0</v>
      </c>
    </row>
    <row r="10">
      <c r="A10" s="1">
        <f t="shared" si="1"/>
        <v>1</v>
      </c>
      <c r="B10" s="63">
        <v>43252.0</v>
      </c>
      <c r="C10" s="1">
        <v>8.0</v>
      </c>
      <c r="D10" s="1">
        <v>131.0</v>
      </c>
    </row>
    <row r="11">
      <c r="A11" s="1">
        <f t="shared" si="1"/>
        <v>1</v>
      </c>
      <c r="B11" s="63">
        <v>43252.0</v>
      </c>
      <c r="C11" s="1">
        <v>9.0</v>
      </c>
      <c r="D11" s="1">
        <v>220.0</v>
      </c>
    </row>
    <row r="12">
      <c r="A12" s="1">
        <f t="shared" si="1"/>
        <v>1</v>
      </c>
      <c r="B12" s="63">
        <v>43252.0</v>
      </c>
      <c r="C12" s="1">
        <v>10.0</v>
      </c>
      <c r="D12" s="1">
        <v>60.0</v>
      </c>
    </row>
    <row r="13">
      <c r="A13" s="1">
        <f t="shared" si="1"/>
        <v>1</v>
      </c>
      <c r="B13" s="63">
        <v>43252.0</v>
      </c>
      <c r="C13" s="1">
        <v>11.0</v>
      </c>
      <c r="D13" s="1">
        <v>58.0</v>
      </c>
    </row>
    <row r="14">
      <c r="A14" s="1">
        <f t="shared" si="1"/>
        <v>1</v>
      </c>
      <c r="B14" s="63">
        <v>43252.0</v>
      </c>
      <c r="C14" s="1">
        <v>12.0</v>
      </c>
      <c r="D14" s="1">
        <v>92.0</v>
      </c>
    </row>
    <row r="15">
      <c r="A15" s="1">
        <f t="shared" si="1"/>
        <v>1</v>
      </c>
      <c r="B15" s="63">
        <v>43252.0</v>
      </c>
      <c r="C15" s="1">
        <v>13.0</v>
      </c>
      <c r="D15" s="1">
        <v>159.0</v>
      </c>
    </row>
    <row r="16">
      <c r="A16" s="1">
        <f t="shared" si="1"/>
        <v>1</v>
      </c>
      <c r="B16" s="63">
        <v>43252.0</v>
      </c>
      <c r="C16" s="1">
        <v>14.0</v>
      </c>
      <c r="D16" s="1">
        <v>68.0</v>
      </c>
    </row>
    <row r="17">
      <c r="A17" s="1">
        <f t="shared" si="1"/>
        <v>1</v>
      </c>
      <c r="B17" s="63">
        <v>43252.0</v>
      </c>
      <c r="C17" s="1">
        <v>15.0</v>
      </c>
      <c r="D17" s="1">
        <v>60.0</v>
      </c>
    </row>
    <row r="18">
      <c r="A18" s="1">
        <f t="shared" si="1"/>
        <v>1</v>
      </c>
      <c r="B18" s="63">
        <v>43252.0</v>
      </c>
      <c r="C18" s="1">
        <v>16.0</v>
      </c>
      <c r="D18" s="1">
        <v>66.0</v>
      </c>
    </row>
    <row r="19">
      <c r="A19" s="1">
        <f t="shared" si="1"/>
        <v>1</v>
      </c>
      <c r="B19" s="63">
        <v>43252.0</v>
      </c>
      <c r="C19" s="1">
        <v>17.0</v>
      </c>
      <c r="D19" s="1">
        <v>144.0</v>
      </c>
    </row>
    <row r="20">
      <c r="A20" s="1">
        <f t="shared" si="1"/>
        <v>1</v>
      </c>
      <c r="B20" s="63">
        <v>43252.0</v>
      </c>
      <c r="C20" s="1">
        <v>18.0</v>
      </c>
      <c r="D20" s="1">
        <v>71.0</v>
      </c>
    </row>
    <row r="21">
      <c r="A21" s="1">
        <f t="shared" si="1"/>
        <v>1</v>
      </c>
      <c r="B21" s="63">
        <v>43252.0</v>
      </c>
      <c r="C21" s="1">
        <v>19.0</v>
      </c>
      <c r="D21" s="1">
        <v>51.0</v>
      </c>
    </row>
    <row r="22">
      <c r="A22" s="1">
        <f t="shared" si="1"/>
        <v>1</v>
      </c>
      <c r="B22" s="63">
        <v>43252.0</v>
      </c>
      <c r="C22" s="1">
        <v>20.0</v>
      </c>
      <c r="D22" s="1">
        <v>58.0</v>
      </c>
    </row>
    <row r="23">
      <c r="A23" s="1">
        <f t="shared" si="1"/>
        <v>1</v>
      </c>
      <c r="B23" s="63">
        <v>43252.0</v>
      </c>
      <c r="C23" s="1">
        <v>21.0</v>
      </c>
      <c r="D23" s="1">
        <v>62.0</v>
      </c>
    </row>
    <row r="24">
      <c r="A24" s="1">
        <f t="shared" si="1"/>
        <v>1</v>
      </c>
      <c r="B24" s="63">
        <v>43253.0</v>
      </c>
      <c r="C24" s="1">
        <v>0.0</v>
      </c>
      <c r="D24" s="1">
        <v>1152.0</v>
      </c>
    </row>
    <row r="25">
      <c r="A25" s="1">
        <f t="shared" si="1"/>
        <v>1</v>
      </c>
      <c r="B25" s="63">
        <v>43253.0</v>
      </c>
      <c r="C25" s="1">
        <v>1.0</v>
      </c>
      <c r="D25" s="1">
        <v>21.0</v>
      </c>
    </row>
    <row r="26">
      <c r="A26" s="1">
        <f t="shared" si="1"/>
        <v>1</v>
      </c>
      <c r="B26" s="63">
        <v>43253.0</v>
      </c>
      <c r="C26" s="1">
        <v>2.0</v>
      </c>
      <c r="D26" s="1">
        <v>37.0</v>
      </c>
    </row>
    <row r="27">
      <c r="A27" s="1">
        <f t="shared" si="1"/>
        <v>1</v>
      </c>
      <c r="B27" s="63">
        <v>43253.0</v>
      </c>
      <c r="C27" s="1">
        <v>3.0</v>
      </c>
      <c r="D27" s="1">
        <v>54.0</v>
      </c>
    </row>
    <row r="28">
      <c r="A28" s="1">
        <f t="shared" si="1"/>
        <v>1</v>
      </c>
      <c r="B28" s="63">
        <v>43253.0</v>
      </c>
      <c r="C28" s="1">
        <v>4.0</v>
      </c>
      <c r="D28" s="1">
        <v>329.0</v>
      </c>
    </row>
    <row r="29">
      <c r="A29" s="1">
        <f t="shared" si="1"/>
        <v>1</v>
      </c>
      <c r="B29" s="63">
        <v>43253.0</v>
      </c>
      <c r="C29" s="1">
        <v>5.0</v>
      </c>
      <c r="D29" s="1">
        <v>55.0</v>
      </c>
    </row>
    <row r="30">
      <c r="A30" s="1">
        <f t="shared" si="1"/>
        <v>1</v>
      </c>
      <c r="B30" s="63">
        <v>43253.0</v>
      </c>
      <c r="C30" s="1">
        <v>6.0</v>
      </c>
      <c r="D30" s="1">
        <v>39.0</v>
      </c>
    </row>
    <row r="31">
      <c r="A31" s="1">
        <f t="shared" si="1"/>
        <v>1</v>
      </c>
      <c r="B31" s="63">
        <v>43253.0</v>
      </c>
      <c r="C31" s="1">
        <v>7.0</v>
      </c>
      <c r="D31" s="1">
        <v>45.0</v>
      </c>
    </row>
    <row r="32">
      <c r="A32" s="1">
        <f t="shared" si="1"/>
        <v>1</v>
      </c>
      <c r="B32" s="63">
        <v>43253.0</v>
      </c>
      <c r="C32" s="1">
        <v>8.0</v>
      </c>
      <c r="D32" s="1">
        <v>202.0</v>
      </c>
    </row>
    <row r="33">
      <c r="A33" s="1">
        <f t="shared" si="1"/>
        <v>1</v>
      </c>
      <c r="B33" s="63">
        <v>43253.0</v>
      </c>
      <c r="C33" s="1">
        <v>9.0</v>
      </c>
      <c r="D33" s="1">
        <v>115.0</v>
      </c>
    </row>
    <row r="34">
      <c r="A34" s="1">
        <f t="shared" si="1"/>
        <v>1</v>
      </c>
      <c r="B34" s="63">
        <v>43253.0</v>
      </c>
      <c r="C34" s="1">
        <v>10.0</v>
      </c>
      <c r="D34" s="1">
        <v>58.0</v>
      </c>
    </row>
    <row r="35">
      <c r="A35" s="1">
        <f t="shared" si="1"/>
        <v>1</v>
      </c>
      <c r="B35" s="63">
        <v>43253.0</v>
      </c>
      <c r="C35" s="1">
        <v>11.0</v>
      </c>
      <c r="D35" s="1">
        <v>51.0</v>
      </c>
    </row>
    <row r="36">
      <c r="A36" s="1">
        <f t="shared" si="1"/>
        <v>1</v>
      </c>
      <c r="B36" s="63">
        <v>43253.0</v>
      </c>
      <c r="C36" s="1">
        <v>12.0</v>
      </c>
      <c r="D36" s="1">
        <v>53.0</v>
      </c>
    </row>
    <row r="37">
      <c r="A37" s="1">
        <f t="shared" si="1"/>
        <v>1</v>
      </c>
      <c r="B37" s="63">
        <v>43253.0</v>
      </c>
      <c r="C37" s="1">
        <v>13.0</v>
      </c>
      <c r="D37" s="1">
        <v>148.0</v>
      </c>
    </row>
    <row r="38">
      <c r="A38" s="1">
        <f t="shared" si="1"/>
        <v>1</v>
      </c>
      <c r="B38" s="63">
        <v>43253.0</v>
      </c>
      <c r="C38" s="1">
        <v>14.0</v>
      </c>
      <c r="D38" s="1">
        <v>68.0</v>
      </c>
    </row>
    <row r="39">
      <c r="A39" s="1">
        <f t="shared" si="1"/>
        <v>1</v>
      </c>
      <c r="B39" s="63">
        <v>43253.0</v>
      </c>
      <c r="C39" s="1">
        <v>15.0</v>
      </c>
      <c r="D39" s="1">
        <v>49.0</v>
      </c>
    </row>
    <row r="40">
      <c r="A40" s="1">
        <f t="shared" si="1"/>
        <v>1</v>
      </c>
      <c r="B40" s="63">
        <v>43253.0</v>
      </c>
      <c r="C40" s="1">
        <v>16.0</v>
      </c>
      <c r="D40" s="1">
        <v>53.0</v>
      </c>
    </row>
    <row r="41">
      <c r="A41" s="1">
        <f t="shared" si="1"/>
        <v>1</v>
      </c>
      <c r="B41" s="63">
        <v>43253.0</v>
      </c>
      <c r="C41" s="1">
        <v>17.0</v>
      </c>
      <c r="D41" s="1">
        <v>129.0</v>
      </c>
    </row>
    <row r="42">
      <c r="A42" s="1">
        <f t="shared" si="1"/>
        <v>1</v>
      </c>
      <c r="B42" s="63">
        <v>43253.0</v>
      </c>
      <c r="C42" s="1">
        <v>18.0</v>
      </c>
      <c r="D42" s="1">
        <v>58.0</v>
      </c>
    </row>
    <row r="43">
      <c r="A43" s="1">
        <f t="shared" si="1"/>
        <v>1</v>
      </c>
      <c r="B43" s="63">
        <v>43253.0</v>
      </c>
      <c r="C43" s="1">
        <v>19.0</v>
      </c>
      <c r="D43" s="1">
        <v>50.0</v>
      </c>
    </row>
    <row r="44">
      <c r="A44" s="1">
        <f t="shared" si="1"/>
        <v>1</v>
      </c>
      <c r="B44" s="63">
        <v>43253.0</v>
      </c>
      <c r="C44" s="1">
        <v>20.0</v>
      </c>
      <c r="D44" s="1">
        <v>46.0</v>
      </c>
    </row>
    <row r="45">
      <c r="A45" s="1">
        <f t="shared" si="1"/>
        <v>1</v>
      </c>
      <c r="B45" s="63">
        <v>43253.0</v>
      </c>
      <c r="C45" s="1">
        <v>21.0</v>
      </c>
      <c r="D45" s="1">
        <v>33.0</v>
      </c>
    </row>
    <row r="46">
      <c r="A46" s="1">
        <f t="shared" si="1"/>
        <v>2</v>
      </c>
      <c r="B46" s="63">
        <v>43255.0</v>
      </c>
      <c r="C46" s="1">
        <v>0.0</v>
      </c>
      <c r="D46" s="1">
        <v>1923.0</v>
      </c>
    </row>
    <row r="47">
      <c r="A47" s="1">
        <f t="shared" si="1"/>
        <v>2</v>
      </c>
      <c r="B47" s="63">
        <v>43255.0</v>
      </c>
      <c r="C47" s="1">
        <v>1.0</v>
      </c>
      <c r="D47" s="1">
        <v>29.0</v>
      </c>
    </row>
    <row r="48">
      <c r="A48" s="1">
        <f t="shared" si="1"/>
        <v>2</v>
      </c>
      <c r="B48" s="63">
        <v>43255.0</v>
      </c>
      <c r="C48" s="1">
        <v>2.0</v>
      </c>
      <c r="D48" s="1">
        <v>49.0</v>
      </c>
    </row>
    <row r="49">
      <c r="A49" s="1">
        <f t="shared" si="1"/>
        <v>2</v>
      </c>
      <c r="B49" s="63">
        <v>43255.0</v>
      </c>
      <c r="C49" s="1">
        <v>3.0</v>
      </c>
      <c r="D49" s="1">
        <v>137.0</v>
      </c>
    </row>
    <row r="50">
      <c r="A50" s="1">
        <f t="shared" si="1"/>
        <v>2</v>
      </c>
      <c r="B50" s="63">
        <v>43255.0</v>
      </c>
      <c r="C50" s="1">
        <v>4.0</v>
      </c>
      <c r="D50" s="1">
        <v>598.0</v>
      </c>
    </row>
    <row r="51">
      <c r="A51" s="1">
        <f t="shared" si="1"/>
        <v>2</v>
      </c>
      <c r="B51" s="63">
        <v>43255.0</v>
      </c>
      <c r="C51" s="1">
        <v>5.0</v>
      </c>
      <c r="D51" s="1">
        <v>60.0</v>
      </c>
    </row>
    <row r="52">
      <c r="A52" s="1">
        <f t="shared" si="1"/>
        <v>2</v>
      </c>
      <c r="B52" s="63">
        <v>43255.0</v>
      </c>
      <c r="C52" s="1">
        <v>6.0</v>
      </c>
      <c r="D52" s="1">
        <v>61.0</v>
      </c>
    </row>
    <row r="53">
      <c r="A53" s="1">
        <f t="shared" si="1"/>
        <v>2</v>
      </c>
      <c r="B53" s="63">
        <v>43255.0</v>
      </c>
      <c r="C53" s="1">
        <v>7.0</v>
      </c>
      <c r="D53" s="1">
        <v>96.0</v>
      </c>
    </row>
    <row r="54">
      <c r="A54" s="1">
        <f t="shared" si="1"/>
        <v>2</v>
      </c>
      <c r="B54" s="63">
        <v>43255.0</v>
      </c>
      <c r="C54" s="1">
        <v>8.0</v>
      </c>
      <c r="D54" s="1">
        <v>423.0</v>
      </c>
    </row>
    <row r="55">
      <c r="A55" s="1">
        <f t="shared" si="1"/>
        <v>2</v>
      </c>
      <c r="B55" s="63">
        <v>43255.0</v>
      </c>
      <c r="C55" s="1">
        <v>9.0</v>
      </c>
      <c r="D55" s="1">
        <v>106.0</v>
      </c>
    </row>
    <row r="56">
      <c r="A56" s="1">
        <f t="shared" si="1"/>
        <v>2</v>
      </c>
      <c r="B56" s="63">
        <v>43255.0</v>
      </c>
      <c r="C56" s="1">
        <v>10.0</v>
      </c>
      <c r="D56" s="1">
        <v>102.0</v>
      </c>
    </row>
    <row r="57">
      <c r="A57" s="1">
        <f t="shared" si="1"/>
        <v>2</v>
      </c>
      <c r="B57" s="63">
        <v>43255.0</v>
      </c>
      <c r="C57" s="1">
        <v>11.0</v>
      </c>
      <c r="D57" s="1">
        <v>103.0</v>
      </c>
    </row>
    <row r="58">
      <c r="A58" s="1">
        <f t="shared" si="1"/>
        <v>2</v>
      </c>
      <c r="B58" s="63">
        <v>43255.0</v>
      </c>
      <c r="C58" s="1">
        <v>12.0</v>
      </c>
      <c r="D58" s="1">
        <v>161.0</v>
      </c>
    </row>
    <row r="59">
      <c r="A59" s="1">
        <f t="shared" si="1"/>
        <v>2</v>
      </c>
      <c r="B59" s="63">
        <v>43255.0</v>
      </c>
      <c r="C59" s="1">
        <v>13.0</v>
      </c>
      <c r="D59" s="1">
        <v>231.0</v>
      </c>
    </row>
    <row r="60">
      <c r="A60" s="1">
        <f t="shared" si="1"/>
        <v>2</v>
      </c>
      <c r="B60" s="63">
        <v>43255.0</v>
      </c>
      <c r="C60" s="1">
        <v>14.0</v>
      </c>
      <c r="D60" s="1">
        <v>86.0</v>
      </c>
    </row>
    <row r="61">
      <c r="A61" s="1">
        <f t="shared" si="1"/>
        <v>2</v>
      </c>
      <c r="B61" s="63">
        <v>43255.0</v>
      </c>
      <c r="C61" s="1">
        <v>15.0</v>
      </c>
      <c r="D61" s="1">
        <v>73.0</v>
      </c>
    </row>
    <row r="62">
      <c r="A62" s="1">
        <f t="shared" si="1"/>
        <v>2</v>
      </c>
      <c r="B62" s="63">
        <v>43255.0</v>
      </c>
      <c r="C62" s="1">
        <v>16.0</v>
      </c>
      <c r="D62" s="1">
        <v>122.0</v>
      </c>
    </row>
    <row r="63">
      <c r="A63" s="1">
        <f t="shared" si="1"/>
        <v>2</v>
      </c>
      <c r="B63" s="63">
        <v>43255.0</v>
      </c>
      <c r="C63" s="1">
        <v>17.0</v>
      </c>
      <c r="D63" s="1">
        <v>220.0</v>
      </c>
    </row>
    <row r="64">
      <c r="A64" s="1">
        <f t="shared" si="1"/>
        <v>2</v>
      </c>
      <c r="B64" s="63">
        <v>43255.0</v>
      </c>
      <c r="C64" s="1">
        <v>18.0</v>
      </c>
      <c r="D64" s="1">
        <v>99.0</v>
      </c>
    </row>
    <row r="65">
      <c r="A65" s="1">
        <f t="shared" si="1"/>
        <v>2</v>
      </c>
      <c r="B65" s="63">
        <v>43255.0</v>
      </c>
      <c r="C65" s="1">
        <v>19.0</v>
      </c>
      <c r="D65" s="1">
        <v>83.0</v>
      </c>
    </row>
    <row r="66">
      <c r="A66" s="1">
        <f t="shared" si="1"/>
        <v>2</v>
      </c>
      <c r="B66" s="63">
        <v>43255.0</v>
      </c>
      <c r="C66" s="1">
        <v>20.0</v>
      </c>
      <c r="D66" s="1">
        <v>94.0</v>
      </c>
    </row>
    <row r="67">
      <c r="A67" s="1">
        <f t="shared" si="1"/>
        <v>2</v>
      </c>
      <c r="B67" s="63">
        <v>43255.0</v>
      </c>
      <c r="C67" s="1">
        <v>21.0</v>
      </c>
      <c r="D67" s="1">
        <v>26.0</v>
      </c>
    </row>
    <row r="68">
      <c r="A68" s="1">
        <f t="shared" si="1"/>
        <v>2</v>
      </c>
      <c r="B68" s="63">
        <v>43256.0</v>
      </c>
      <c r="C68" s="1">
        <v>0.0</v>
      </c>
      <c r="D68" s="1">
        <v>809.0</v>
      </c>
    </row>
    <row r="69">
      <c r="A69" s="1">
        <f t="shared" si="1"/>
        <v>2</v>
      </c>
      <c r="B69" s="63">
        <v>43256.0</v>
      </c>
      <c r="C69" s="1">
        <v>1.0</v>
      </c>
      <c r="D69" s="1">
        <v>10.0</v>
      </c>
    </row>
    <row r="70">
      <c r="A70" s="1">
        <f t="shared" si="1"/>
        <v>2</v>
      </c>
      <c r="B70" s="63">
        <v>43256.0</v>
      </c>
      <c r="C70" s="1">
        <v>2.0</v>
      </c>
      <c r="D70" s="1">
        <v>21.0</v>
      </c>
    </row>
    <row r="71">
      <c r="A71" s="1">
        <f t="shared" si="1"/>
        <v>2</v>
      </c>
      <c r="B71" s="63">
        <v>43256.0</v>
      </c>
      <c r="C71" s="1">
        <v>3.0</v>
      </c>
      <c r="D71" s="1">
        <v>55.0</v>
      </c>
    </row>
    <row r="72">
      <c r="A72" s="1">
        <f t="shared" si="1"/>
        <v>2</v>
      </c>
      <c r="B72" s="63">
        <v>43256.0</v>
      </c>
      <c r="C72" s="1">
        <v>4.0</v>
      </c>
      <c r="D72" s="1">
        <v>230.0</v>
      </c>
    </row>
    <row r="73">
      <c r="A73" s="1">
        <f t="shared" si="1"/>
        <v>2</v>
      </c>
      <c r="B73" s="63">
        <v>43256.0</v>
      </c>
      <c r="C73" s="1">
        <v>5.0</v>
      </c>
      <c r="D73" s="1">
        <v>26.0</v>
      </c>
    </row>
    <row r="74">
      <c r="A74" s="1">
        <f t="shared" si="1"/>
        <v>2</v>
      </c>
      <c r="B74" s="63">
        <v>43256.0</v>
      </c>
      <c r="C74" s="1">
        <v>6.0</v>
      </c>
      <c r="D74" s="1">
        <v>31.0</v>
      </c>
    </row>
    <row r="75">
      <c r="A75" s="1">
        <f t="shared" si="1"/>
        <v>2</v>
      </c>
      <c r="B75" s="63">
        <v>43256.0</v>
      </c>
      <c r="C75" s="1">
        <v>7.0</v>
      </c>
      <c r="D75" s="1">
        <v>35.0</v>
      </c>
    </row>
    <row r="76">
      <c r="A76" s="1">
        <f t="shared" si="1"/>
        <v>2</v>
      </c>
      <c r="B76" s="63">
        <v>43256.0</v>
      </c>
      <c r="C76" s="1">
        <v>8.0</v>
      </c>
      <c r="D76" s="1">
        <v>171.0</v>
      </c>
    </row>
    <row r="77">
      <c r="A77" s="1">
        <f t="shared" si="1"/>
        <v>2</v>
      </c>
      <c r="B77" s="63">
        <v>43256.0</v>
      </c>
      <c r="C77" s="1">
        <v>9.0</v>
      </c>
      <c r="D77" s="1">
        <v>43.0</v>
      </c>
    </row>
    <row r="78">
      <c r="A78" s="1">
        <f t="shared" si="1"/>
        <v>2</v>
      </c>
      <c r="B78" s="63">
        <v>43256.0</v>
      </c>
      <c r="C78" s="1">
        <v>10.0</v>
      </c>
      <c r="D78" s="1">
        <v>29.0</v>
      </c>
    </row>
    <row r="79">
      <c r="A79" s="1">
        <f t="shared" si="1"/>
        <v>2</v>
      </c>
      <c r="B79" s="63">
        <v>43256.0</v>
      </c>
      <c r="C79" s="1">
        <v>11.0</v>
      </c>
      <c r="D79" s="1">
        <v>32.0</v>
      </c>
    </row>
    <row r="80">
      <c r="A80" s="1">
        <f t="shared" si="1"/>
        <v>2</v>
      </c>
      <c r="B80" s="63">
        <v>43256.0</v>
      </c>
      <c r="C80" s="1">
        <v>12.0</v>
      </c>
      <c r="D80" s="1">
        <v>48.0</v>
      </c>
    </row>
    <row r="81">
      <c r="A81" s="1">
        <f t="shared" si="1"/>
        <v>2</v>
      </c>
      <c r="B81" s="63">
        <v>43256.0</v>
      </c>
      <c r="C81" s="1">
        <v>13.0</v>
      </c>
      <c r="D81" s="1">
        <v>104.0</v>
      </c>
    </row>
    <row r="82">
      <c r="A82" s="1">
        <f t="shared" si="1"/>
        <v>2</v>
      </c>
      <c r="B82" s="63">
        <v>43256.0</v>
      </c>
      <c r="C82" s="1">
        <v>14.0</v>
      </c>
      <c r="D82" s="1">
        <v>24.0</v>
      </c>
    </row>
    <row r="83">
      <c r="A83" s="1">
        <f t="shared" si="1"/>
        <v>2</v>
      </c>
      <c r="B83" s="63">
        <v>43256.0</v>
      </c>
      <c r="C83" s="1">
        <v>15.0</v>
      </c>
      <c r="D83" s="1">
        <v>26.0</v>
      </c>
    </row>
    <row r="84">
      <c r="A84" s="1">
        <f t="shared" si="1"/>
        <v>2</v>
      </c>
      <c r="B84" s="63">
        <v>43256.0</v>
      </c>
      <c r="C84" s="1">
        <v>16.0</v>
      </c>
      <c r="D84" s="1">
        <v>44.0</v>
      </c>
    </row>
    <row r="85">
      <c r="A85" s="1">
        <f t="shared" si="1"/>
        <v>2</v>
      </c>
      <c r="B85" s="63">
        <v>43256.0</v>
      </c>
      <c r="C85" s="1">
        <v>17.0</v>
      </c>
      <c r="D85" s="1">
        <v>92.0</v>
      </c>
    </row>
    <row r="86">
      <c r="A86" s="1">
        <f t="shared" si="1"/>
        <v>2</v>
      </c>
      <c r="B86" s="63">
        <v>43256.0</v>
      </c>
      <c r="C86" s="1">
        <v>18.0</v>
      </c>
      <c r="D86" s="1">
        <v>33.0</v>
      </c>
    </row>
    <row r="87">
      <c r="A87" s="1">
        <f t="shared" si="1"/>
        <v>2</v>
      </c>
      <c r="B87" s="63">
        <v>43256.0</v>
      </c>
      <c r="C87" s="1">
        <v>19.0</v>
      </c>
      <c r="D87" s="1">
        <v>29.0</v>
      </c>
    </row>
    <row r="88">
      <c r="A88" s="1">
        <f t="shared" si="1"/>
        <v>2</v>
      </c>
      <c r="B88" s="63">
        <v>43256.0</v>
      </c>
      <c r="C88" s="1">
        <v>20.0</v>
      </c>
      <c r="D88" s="1">
        <v>31.0</v>
      </c>
    </row>
    <row r="89">
      <c r="A89" s="1">
        <f t="shared" si="1"/>
        <v>2</v>
      </c>
      <c r="B89" s="63">
        <v>43256.0</v>
      </c>
      <c r="C89" s="1">
        <v>21.0</v>
      </c>
      <c r="D89" s="1">
        <v>7.0</v>
      </c>
    </row>
    <row r="90">
      <c r="A90" s="1">
        <f t="shared" si="1"/>
        <v>2</v>
      </c>
      <c r="B90" s="63">
        <v>43257.0</v>
      </c>
      <c r="C90" s="1">
        <v>0.0</v>
      </c>
      <c r="D90" s="1">
        <v>834.0</v>
      </c>
    </row>
    <row r="91">
      <c r="A91" s="1">
        <f t="shared" si="1"/>
        <v>2</v>
      </c>
      <c r="B91" s="63">
        <v>43257.0</v>
      </c>
      <c r="C91" s="1">
        <v>1.0</v>
      </c>
      <c r="D91" s="1">
        <v>20.0</v>
      </c>
    </row>
    <row r="92">
      <c r="A92" s="1">
        <f t="shared" si="1"/>
        <v>2</v>
      </c>
      <c r="B92" s="63">
        <v>43257.0</v>
      </c>
      <c r="C92" s="1">
        <v>2.0</v>
      </c>
      <c r="D92" s="1">
        <v>10.0</v>
      </c>
    </row>
    <row r="93">
      <c r="A93" s="1">
        <f t="shared" si="1"/>
        <v>2</v>
      </c>
      <c r="B93" s="63">
        <v>43257.0</v>
      </c>
      <c r="C93" s="1">
        <v>3.0</v>
      </c>
      <c r="D93" s="1">
        <v>49.0</v>
      </c>
    </row>
    <row r="94">
      <c r="A94" s="1">
        <f t="shared" si="1"/>
        <v>2</v>
      </c>
      <c r="B94" s="63">
        <v>43257.0</v>
      </c>
      <c r="C94" s="1">
        <v>4.0</v>
      </c>
      <c r="D94" s="1">
        <v>272.0</v>
      </c>
    </row>
    <row r="95">
      <c r="A95" s="1">
        <f t="shared" si="1"/>
        <v>2</v>
      </c>
      <c r="B95" s="63">
        <v>43257.0</v>
      </c>
      <c r="C95" s="1">
        <v>5.0</v>
      </c>
      <c r="D95" s="1">
        <v>23.0</v>
      </c>
    </row>
    <row r="96">
      <c r="A96" s="1">
        <f t="shared" si="1"/>
        <v>2</v>
      </c>
      <c r="B96" s="63">
        <v>43257.0</v>
      </c>
      <c r="C96" s="1">
        <v>6.0</v>
      </c>
      <c r="D96" s="1">
        <v>26.0</v>
      </c>
    </row>
    <row r="97">
      <c r="A97" s="1">
        <f t="shared" si="1"/>
        <v>2</v>
      </c>
      <c r="B97" s="63">
        <v>43257.0</v>
      </c>
      <c r="C97" s="1">
        <v>7.0</v>
      </c>
      <c r="D97" s="1">
        <v>38.0</v>
      </c>
    </row>
    <row r="98">
      <c r="A98" s="1">
        <f t="shared" si="1"/>
        <v>2</v>
      </c>
      <c r="B98" s="63">
        <v>43257.0</v>
      </c>
      <c r="C98" s="1">
        <v>8.0</v>
      </c>
      <c r="D98" s="1">
        <v>143.0</v>
      </c>
    </row>
    <row r="99">
      <c r="A99" s="1">
        <f t="shared" si="1"/>
        <v>2</v>
      </c>
      <c r="B99" s="63">
        <v>43257.0</v>
      </c>
      <c r="C99" s="1">
        <v>9.0</v>
      </c>
      <c r="D99" s="1">
        <v>64.0</v>
      </c>
    </row>
    <row r="100">
      <c r="A100" s="1">
        <f t="shared" si="1"/>
        <v>2</v>
      </c>
      <c r="B100" s="63">
        <v>43257.0</v>
      </c>
      <c r="C100" s="1">
        <v>10.0</v>
      </c>
      <c r="D100" s="1">
        <v>43.0</v>
      </c>
    </row>
    <row r="101">
      <c r="A101" s="1">
        <f t="shared" si="1"/>
        <v>2</v>
      </c>
      <c r="B101" s="63">
        <v>43257.0</v>
      </c>
      <c r="C101" s="1">
        <v>11.0</v>
      </c>
      <c r="D101" s="1">
        <v>34.0</v>
      </c>
    </row>
    <row r="102">
      <c r="A102" s="1">
        <f t="shared" si="1"/>
        <v>2</v>
      </c>
      <c r="B102" s="63">
        <v>43257.0</v>
      </c>
      <c r="C102" s="1">
        <v>12.0</v>
      </c>
      <c r="D102" s="1">
        <v>41.0</v>
      </c>
    </row>
    <row r="103">
      <c r="A103" s="1">
        <f t="shared" si="1"/>
        <v>2</v>
      </c>
      <c r="B103" s="63">
        <v>43257.0</v>
      </c>
      <c r="C103" s="1">
        <v>13.0</v>
      </c>
      <c r="D103" s="1">
        <v>138.0</v>
      </c>
    </row>
    <row r="104">
      <c r="A104" s="1">
        <f t="shared" si="1"/>
        <v>2</v>
      </c>
      <c r="B104" s="63">
        <v>43257.0</v>
      </c>
      <c r="C104" s="1">
        <v>14.0</v>
      </c>
      <c r="D104" s="1">
        <v>30.0</v>
      </c>
    </row>
    <row r="105">
      <c r="A105" s="1">
        <f t="shared" si="1"/>
        <v>2</v>
      </c>
      <c r="B105" s="63">
        <v>43257.0</v>
      </c>
      <c r="C105" s="1">
        <v>15.0</v>
      </c>
      <c r="D105" s="1">
        <v>30.0</v>
      </c>
    </row>
    <row r="106">
      <c r="A106" s="1">
        <f t="shared" si="1"/>
        <v>2</v>
      </c>
      <c r="B106" s="63">
        <v>43257.0</v>
      </c>
      <c r="C106" s="1">
        <v>16.0</v>
      </c>
      <c r="D106" s="1">
        <v>41.0</v>
      </c>
    </row>
    <row r="107">
      <c r="A107" s="1">
        <f t="shared" si="1"/>
        <v>2</v>
      </c>
      <c r="B107" s="63">
        <v>43257.0</v>
      </c>
      <c r="C107" s="1">
        <v>17.0</v>
      </c>
      <c r="D107" s="1">
        <v>97.0</v>
      </c>
    </row>
    <row r="108">
      <c r="A108" s="1">
        <f t="shared" si="1"/>
        <v>2</v>
      </c>
      <c r="B108" s="63">
        <v>43257.0</v>
      </c>
      <c r="C108" s="1">
        <v>18.0</v>
      </c>
      <c r="D108" s="1">
        <v>29.0</v>
      </c>
    </row>
    <row r="109">
      <c r="A109" s="1">
        <f t="shared" si="1"/>
        <v>2</v>
      </c>
      <c r="B109" s="63">
        <v>43257.0</v>
      </c>
      <c r="C109" s="1">
        <v>19.0</v>
      </c>
      <c r="D109" s="1">
        <v>31.0</v>
      </c>
    </row>
    <row r="110">
      <c r="A110" s="1">
        <f t="shared" si="1"/>
        <v>2</v>
      </c>
      <c r="B110" s="63">
        <v>43257.0</v>
      </c>
      <c r="C110" s="1">
        <v>20.0</v>
      </c>
      <c r="D110" s="1">
        <v>33.0</v>
      </c>
    </row>
    <row r="111">
      <c r="A111" s="1">
        <f t="shared" si="1"/>
        <v>2</v>
      </c>
      <c r="B111" s="63">
        <v>43258.0</v>
      </c>
      <c r="C111" s="1">
        <v>0.0</v>
      </c>
      <c r="D111" s="1">
        <v>860.0</v>
      </c>
    </row>
    <row r="112">
      <c r="A112" s="1">
        <f t="shared" si="1"/>
        <v>2</v>
      </c>
      <c r="B112" s="63">
        <v>43258.0</v>
      </c>
      <c r="C112" s="1">
        <v>1.0</v>
      </c>
      <c r="D112" s="1">
        <v>17.0</v>
      </c>
    </row>
    <row r="113">
      <c r="A113" s="1">
        <f t="shared" si="1"/>
        <v>2</v>
      </c>
      <c r="B113" s="63">
        <v>43258.0</v>
      </c>
      <c r="C113" s="1">
        <v>2.0</v>
      </c>
      <c r="D113" s="1">
        <v>20.0</v>
      </c>
    </row>
    <row r="114">
      <c r="A114" s="1">
        <f t="shared" si="1"/>
        <v>2</v>
      </c>
      <c r="B114" s="63">
        <v>43258.0</v>
      </c>
      <c r="C114" s="1">
        <v>3.0</v>
      </c>
      <c r="D114" s="1">
        <v>69.0</v>
      </c>
    </row>
    <row r="115">
      <c r="A115" s="1">
        <f t="shared" si="1"/>
        <v>2</v>
      </c>
      <c r="B115" s="63">
        <v>43258.0</v>
      </c>
      <c r="C115" s="1">
        <v>4.0</v>
      </c>
      <c r="D115" s="1">
        <v>258.0</v>
      </c>
    </row>
    <row r="116">
      <c r="A116" s="1">
        <f t="shared" si="1"/>
        <v>2</v>
      </c>
      <c r="B116" s="63">
        <v>43258.0</v>
      </c>
      <c r="C116" s="1">
        <v>5.0</v>
      </c>
      <c r="D116" s="1">
        <v>30.0</v>
      </c>
    </row>
    <row r="117">
      <c r="A117" s="1">
        <f t="shared" si="1"/>
        <v>2</v>
      </c>
      <c r="B117" s="63">
        <v>43258.0</v>
      </c>
      <c r="C117" s="1">
        <v>6.0</v>
      </c>
      <c r="D117" s="1">
        <v>34.0</v>
      </c>
    </row>
    <row r="118">
      <c r="A118" s="1">
        <f t="shared" si="1"/>
        <v>2</v>
      </c>
      <c r="B118" s="63">
        <v>43258.0</v>
      </c>
      <c r="C118" s="1">
        <v>7.0</v>
      </c>
      <c r="D118" s="1">
        <v>43.0</v>
      </c>
    </row>
    <row r="119">
      <c r="A119" s="1">
        <f t="shared" si="1"/>
        <v>2</v>
      </c>
      <c r="B119" s="63">
        <v>43258.0</v>
      </c>
      <c r="C119" s="1">
        <v>8.0</v>
      </c>
      <c r="D119" s="1">
        <v>186.0</v>
      </c>
    </row>
    <row r="120">
      <c r="A120" s="1">
        <f t="shared" si="1"/>
        <v>2</v>
      </c>
      <c r="B120" s="63">
        <v>43258.0</v>
      </c>
      <c r="C120" s="1">
        <v>9.0</v>
      </c>
      <c r="D120" s="1">
        <v>50.0</v>
      </c>
    </row>
    <row r="121">
      <c r="A121" s="1">
        <f t="shared" si="1"/>
        <v>2</v>
      </c>
      <c r="B121" s="63">
        <v>43258.0</v>
      </c>
      <c r="C121" s="1">
        <v>10.0</v>
      </c>
      <c r="D121" s="1">
        <v>55.0</v>
      </c>
    </row>
    <row r="122">
      <c r="A122" s="1">
        <f t="shared" si="1"/>
        <v>2</v>
      </c>
      <c r="B122" s="63">
        <v>43258.0</v>
      </c>
      <c r="C122" s="1">
        <v>11.0</v>
      </c>
      <c r="D122" s="1">
        <v>42.0</v>
      </c>
    </row>
    <row r="123">
      <c r="A123" s="1">
        <f t="shared" si="1"/>
        <v>2</v>
      </c>
      <c r="B123" s="63">
        <v>43258.0</v>
      </c>
      <c r="C123" s="1">
        <v>12.0</v>
      </c>
      <c r="D123" s="1">
        <v>62.0</v>
      </c>
    </row>
    <row r="124">
      <c r="A124" s="1">
        <f t="shared" si="1"/>
        <v>2</v>
      </c>
      <c r="B124" s="63">
        <v>43258.0</v>
      </c>
      <c r="C124" s="1">
        <v>13.0</v>
      </c>
      <c r="D124" s="1">
        <v>118.0</v>
      </c>
    </row>
    <row r="125">
      <c r="A125" s="1">
        <f t="shared" si="1"/>
        <v>2</v>
      </c>
      <c r="B125" s="63">
        <v>43258.0</v>
      </c>
      <c r="C125" s="1">
        <v>14.0</v>
      </c>
      <c r="D125" s="1">
        <v>35.0</v>
      </c>
    </row>
    <row r="126">
      <c r="A126" s="1">
        <f t="shared" si="1"/>
        <v>2</v>
      </c>
      <c r="B126" s="63">
        <v>43258.0</v>
      </c>
      <c r="C126" s="1">
        <v>15.0</v>
      </c>
      <c r="D126" s="1">
        <v>28.0</v>
      </c>
    </row>
    <row r="127">
      <c r="A127" s="1">
        <f t="shared" si="1"/>
        <v>2</v>
      </c>
      <c r="B127" s="63">
        <v>43258.0</v>
      </c>
      <c r="C127" s="1">
        <v>16.0</v>
      </c>
      <c r="D127" s="1">
        <v>56.0</v>
      </c>
    </row>
    <row r="128">
      <c r="A128" s="1">
        <f t="shared" si="1"/>
        <v>2</v>
      </c>
      <c r="B128" s="63">
        <v>43258.0</v>
      </c>
      <c r="C128" s="1">
        <v>17.0</v>
      </c>
      <c r="D128" s="1">
        <v>94.0</v>
      </c>
    </row>
    <row r="129">
      <c r="A129" s="1">
        <f t="shared" si="1"/>
        <v>2</v>
      </c>
      <c r="B129" s="63">
        <v>43258.0</v>
      </c>
      <c r="C129" s="1">
        <v>18.0</v>
      </c>
      <c r="D129" s="1">
        <v>39.0</v>
      </c>
    </row>
    <row r="130">
      <c r="A130" s="1">
        <f t="shared" si="1"/>
        <v>2</v>
      </c>
      <c r="B130" s="63">
        <v>43258.0</v>
      </c>
      <c r="C130" s="1">
        <v>19.0</v>
      </c>
      <c r="D130" s="1">
        <v>36.0</v>
      </c>
    </row>
    <row r="131">
      <c r="A131" s="1">
        <f t="shared" si="1"/>
        <v>2</v>
      </c>
      <c r="B131" s="63">
        <v>43258.0</v>
      </c>
      <c r="C131" s="1">
        <v>20.0</v>
      </c>
      <c r="D131" s="1">
        <v>32.0</v>
      </c>
    </row>
    <row r="132">
      <c r="A132" s="1">
        <f t="shared" si="1"/>
        <v>2</v>
      </c>
      <c r="B132" s="63">
        <v>43259.0</v>
      </c>
      <c r="C132" s="1">
        <v>0.0</v>
      </c>
      <c r="D132" s="1">
        <v>1086.0</v>
      </c>
    </row>
    <row r="133">
      <c r="A133" s="1">
        <f t="shared" si="1"/>
        <v>2</v>
      </c>
      <c r="B133" s="63">
        <v>43259.0</v>
      </c>
      <c r="C133" s="1">
        <v>1.0</v>
      </c>
      <c r="D133" s="1">
        <v>22.0</v>
      </c>
    </row>
    <row r="134">
      <c r="A134" s="1">
        <f t="shared" si="1"/>
        <v>2</v>
      </c>
      <c r="B134" s="63">
        <v>43259.0</v>
      </c>
      <c r="C134" s="1">
        <v>2.0</v>
      </c>
      <c r="D134" s="1">
        <v>33.0</v>
      </c>
    </row>
    <row r="135">
      <c r="A135" s="1">
        <f t="shared" si="1"/>
        <v>2</v>
      </c>
      <c r="B135" s="63">
        <v>43259.0</v>
      </c>
      <c r="C135" s="1">
        <v>3.0</v>
      </c>
      <c r="D135" s="1">
        <v>72.0</v>
      </c>
    </row>
    <row r="136">
      <c r="A136" s="1">
        <f t="shared" si="1"/>
        <v>2</v>
      </c>
      <c r="B136" s="63">
        <v>43259.0</v>
      </c>
      <c r="C136" s="1">
        <v>4.0</v>
      </c>
      <c r="D136" s="1">
        <v>320.0</v>
      </c>
    </row>
    <row r="137">
      <c r="A137" s="1">
        <f t="shared" si="1"/>
        <v>2</v>
      </c>
      <c r="B137" s="63">
        <v>43259.0</v>
      </c>
      <c r="C137" s="1">
        <v>5.0</v>
      </c>
      <c r="D137" s="1">
        <v>38.0</v>
      </c>
    </row>
    <row r="138">
      <c r="A138" s="1">
        <f t="shared" si="1"/>
        <v>2</v>
      </c>
      <c r="B138" s="63">
        <v>43259.0</v>
      </c>
      <c r="C138" s="1">
        <v>6.0</v>
      </c>
      <c r="D138" s="1">
        <v>34.0</v>
      </c>
    </row>
    <row r="139">
      <c r="A139" s="1">
        <f t="shared" si="1"/>
        <v>2</v>
      </c>
      <c r="B139" s="63">
        <v>43259.0</v>
      </c>
      <c r="C139" s="1">
        <v>7.0</v>
      </c>
      <c r="D139" s="1">
        <v>69.0</v>
      </c>
    </row>
    <row r="140">
      <c r="A140" s="1">
        <f t="shared" si="1"/>
        <v>2</v>
      </c>
      <c r="B140" s="63">
        <v>43259.0</v>
      </c>
      <c r="C140" s="1">
        <v>8.0</v>
      </c>
      <c r="D140" s="1">
        <v>189.0</v>
      </c>
    </row>
    <row r="141">
      <c r="A141" s="1">
        <f t="shared" si="1"/>
        <v>2</v>
      </c>
      <c r="B141" s="63">
        <v>43259.0</v>
      </c>
      <c r="C141" s="1">
        <v>9.0</v>
      </c>
      <c r="D141" s="1">
        <v>125.0</v>
      </c>
    </row>
    <row r="142">
      <c r="A142" s="1">
        <f t="shared" si="1"/>
        <v>2</v>
      </c>
      <c r="B142" s="63">
        <v>43259.0</v>
      </c>
      <c r="C142" s="1">
        <v>10.0</v>
      </c>
      <c r="D142" s="1">
        <v>50.0</v>
      </c>
    </row>
    <row r="143">
      <c r="A143" s="1">
        <f t="shared" si="1"/>
        <v>2</v>
      </c>
      <c r="B143" s="63">
        <v>43259.0</v>
      </c>
      <c r="C143" s="1">
        <v>11.0</v>
      </c>
      <c r="D143" s="1">
        <v>49.0</v>
      </c>
    </row>
    <row r="144">
      <c r="A144" s="1">
        <f t="shared" si="1"/>
        <v>2</v>
      </c>
      <c r="B144" s="63">
        <v>43259.0</v>
      </c>
      <c r="C144" s="1">
        <v>12.0</v>
      </c>
      <c r="D144" s="1">
        <v>78.0</v>
      </c>
    </row>
    <row r="145">
      <c r="A145" s="1">
        <f t="shared" si="1"/>
        <v>2</v>
      </c>
      <c r="B145" s="63">
        <v>43259.0</v>
      </c>
      <c r="C145" s="1">
        <v>13.0</v>
      </c>
      <c r="D145" s="1">
        <v>170.0</v>
      </c>
    </row>
    <row r="146">
      <c r="A146" s="1">
        <f t="shared" si="1"/>
        <v>2</v>
      </c>
      <c r="B146" s="63">
        <v>43259.0</v>
      </c>
      <c r="C146" s="1">
        <v>14.0</v>
      </c>
      <c r="D146" s="1">
        <v>43.0</v>
      </c>
    </row>
    <row r="147">
      <c r="A147" s="1">
        <f t="shared" si="1"/>
        <v>2</v>
      </c>
      <c r="B147" s="63">
        <v>43259.0</v>
      </c>
      <c r="C147" s="1">
        <v>15.0</v>
      </c>
      <c r="D147" s="1">
        <v>41.0</v>
      </c>
    </row>
    <row r="148">
      <c r="A148" s="1">
        <f t="shared" si="1"/>
        <v>2</v>
      </c>
      <c r="B148" s="63">
        <v>43259.0</v>
      </c>
      <c r="C148" s="1">
        <v>16.0</v>
      </c>
      <c r="D148" s="1">
        <v>60.0</v>
      </c>
    </row>
    <row r="149">
      <c r="A149" s="1">
        <f t="shared" si="1"/>
        <v>2</v>
      </c>
      <c r="B149" s="63">
        <v>43259.0</v>
      </c>
      <c r="C149" s="1">
        <v>17.0</v>
      </c>
      <c r="D149" s="1">
        <v>137.0</v>
      </c>
    </row>
    <row r="150">
      <c r="A150" s="1">
        <f t="shared" si="1"/>
        <v>2</v>
      </c>
      <c r="B150" s="63">
        <v>43259.0</v>
      </c>
      <c r="C150" s="1">
        <v>18.0</v>
      </c>
      <c r="D150" s="1">
        <v>53.0</v>
      </c>
    </row>
    <row r="151">
      <c r="A151" s="1">
        <f t="shared" si="1"/>
        <v>2</v>
      </c>
      <c r="B151" s="63">
        <v>43259.0</v>
      </c>
      <c r="C151" s="1">
        <v>19.0</v>
      </c>
      <c r="D151" s="1">
        <v>41.0</v>
      </c>
    </row>
    <row r="152">
      <c r="A152" s="1">
        <f t="shared" si="1"/>
        <v>2</v>
      </c>
      <c r="B152" s="63">
        <v>43259.0</v>
      </c>
      <c r="C152" s="1">
        <v>20.0</v>
      </c>
      <c r="D152" s="1">
        <v>41.0</v>
      </c>
    </row>
    <row r="153">
      <c r="A153" s="1">
        <f t="shared" si="1"/>
        <v>2</v>
      </c>
      <c r="B153" s="63">
        <v>43260.0</v>
      </c>
      <c r="C153" s="1">
        <v>0.0</v>
      </c>
      <c r="D153" s="1">
        <v>1240.0</v>
      </c>
    </row>
    <row r="154">
      <c r="A154" s="1">
        <f t="shared" si="1"/>
        <v>2</v>
      </c>
      <c r="B154" s="63">
        <v>43260.0</v>
      </c>
      <c r="C154" s="1">
        <v>1.0</v>
      </c>
      <c r="D154" s="1">
        <v>17.0</v>
      </c>
    </row>
    <row r="155">
      <c r="A155" s="1">
        <f t="shared" si="1"/>
        <v>2</v>
      </c>
      <c r="B155" s="63">
        <v>43260.0</v>
      </c>
      <c r="C155" s="1">
        <v>2.0</v>
      </c>
      <c r="D155" s="1">
        <v>32.0</v>
      </c>
    </row>
    <row r="156">
      <c r="A156" s="1">
        <f t="shared" si="1"/>
        <v>2</v>
      </c>
      <c r="B156" s="63">
        <v>43260.0</v>
      </c>
      <c r="C156" s="1">
        <v>3.0</v>
      </c>
      <c r="D156" s="1">
        <v>103.0</v>
      </c>
    </row>
    <row r="157">
      <c r="A157" s="1">
        <f t="shared" si="1"/>
        <v>2</v>
      </c>
      <c r="B157" s="63">
        <v>43260.0</v>
      </c>
      <c r="C157" s="1">
        <v>4.0</v>
      </c>
      <c r="D157" s="1">
        <v>377.0</v>
      </c>
    </row>
    <row r="158">
      <c r="A158" s="1">
        <f t="shared" si="1"/>
        <v>2</v>
      </c>
      <c r="B158" s="63">
        <v>43260.0</v>
      </c>
      <c r="C158" s="1">
        <v>5.0</v>
      </c>
      <c r="D158" s="1">
        <v>56.0</v>
      </c>
    </row>
    <row r="159">
      <c r="A159" s="1">
        <f t="shared" si="1"/>
        <v>2</v>
      </c>
      <c r="B159" s="63">
        <v>43260.0</v>
      </c>
      <c r="C159" s="1">
        <v>6.0</v>
      </c>
      <c r="D159" s="1">
        <v>38.0</v>
      </c>
    </row>
    <row r="160">
      <c r="A160" s="1">
        <f t="shared" si="1"/>
        <v>2</v>
      </c>
      <c r="B160" s="63">
        <v>43260.0</v>
      </c>
      <c r="C160" s="1">
        <v>7.0</v>
      </c>
      <c r="D160" s="1">
        <v>78.0</v>
      </c>
    </row>
    <row r="161">
      <c r="A161" s="1">
        <f t="shared" si="1"/>
        <v>2</v>
      </c>
      <c r="B161" s="63">
        <v>43260.0</v>
      </c>
      <c r="C161" s="1">
        <v>8.0</v>
      </c>
      <c r="D161" s="1">
        <v>271.0</v>
      </c>
    </row>
    <row r="162">
      <c r="A162" s="1">
        <f t="shared" si="1"/>
        <v>2</v>
      </c>
      <c r="B162" s="63">
        <v>43260.0</v>
      </c>
      <c r="C162" s="1">
        <v>9.0</v>
      </c>
      <c r="D162" s="1">
        <v>76.0</v>
      </c>
    </row>
    <row r="163">
      <c r="A163" s="1">
        <f t="shared" si="1"/>
        <v>2</v>
      </c>
      <c r="B163" s="63">
        <v>43260.0</v>
      </c>
      <c r="C163" s="1">
        <v>10.0</v>
      </c>
      <c r="D163" s="1">
        <v>70.0</v>
      </c>
    </row>
    <row r="164">
      <c r="A164" s="1">
        <f t="shared" si="1"/>
        <v>2</v>
      </c>
      <c r="B164" s="63">
        <v>43260.0</v>
      </c>
      <c r="C164" s="1">
        <v>11.0</v>
      </c>
      <c r="D164" s="1">
        <v>63.0</v>
      </c>
    </row>
    <row r="165">
      <c r="A165" s="1">
        <f t="shared" si="1"/>
        <v>2</v>
      </c>
      <c r="B165" s="63">
        <v>43260.0</v>
      </c>
      <c r="C165" s="1">
        <v>12.0</v>
      </c>
      <c r="D165" s="1">
        <v>83.0</v>
      </c>
    </row>
    <row r="166">
      <c r="A166" s="1">
        <f t="shared" si="1"/>
        <v>2</v>
      </c>
      <c r="B166" s="63">
        <v>43260.0</v>
      </c>
      <c r="C166" s="1">
        <v>13.0</v>
      </c>
      <c r="D166" s="1">
        <v>167.0</v>
      </c>
    </row>
    <row r="167">
      <c r="A167" s="1">
        <f t="shared" si="1"/>
        <v>2</v>
      </c>
      <c r="B167" s="63">
        <v>43260.0</v>
      </c>
      <c r="C167" s="1">
        <v>14.0</v>
      </c>
      <c r="D167" s="1">
        <v>50.0</v>
      </c>
    </row>
    <row r="168">
      <c r="A168" s="1">
        <f t="shared" si="1"/>
        <v>2</v>
      </c>
      <c r="B168" s="63">
        <v>43260.0</v>
      </c>
      <c r="C168" s="1">
        <v>15.0</v>
      </c>
      <c r="D168" s="1">
        <v>61.0</v>
      </c>
    </row>
    <row r="169">
      <c r="A169" s="1">
        <f t="shared" si="1"/>
        <v>2</v>
      </c>
      <c r="B169" s="63">
        <v>43260.0</v>
      </c>
      <c r="C169" s="1">
        <v>16.0</v>
      </c>
      <c r="D169" s="1">
        <v>74.0</v>
      </c>
    </row>
    <row r="170">
      <c r="A170" s="1">
        <f t="shared" si="1"/>
        <v>2</v>
      </c>
      <c r="B170" s="63">
        <v>43260.0</v>
      </c>
      <c r="C170" s="1">
        <v>17.0</v>
      </c>
      <c r="D170" s="1">
        <v>141.0</v>
      </c>
    </row>
    <row r="171">
      <c r="A171" s="1">
        <f t="shared" si="1"/>
        <v>2</v>
      </c>
      <c r="B171" s="63">
        <v>43260.0</v>
      </c>
      <c r="C171" s="1">
        <v>18.0</v>
      </c>
      <c r="D171" s="1">
        <v>61.0</v>
      </c>
    </row>
    <row r="172">
      <c r="A172" s="1">
        <f t="shared" si="1"/>
        <v>2</v>
      </c>
      <c r="B172" s="63">
        <v>43260.0</v>
      </c>
      <c r="C172" s="1">
        <v>19.0</v>
      </c>
      <c r="D172" s="1">
        <v>58.0</v>
      </c>
    </row>
    <row r="173">
      <c r="A173" s="1">
        <f t="shared" si="1"/>
        <v>2</v>
      </c>
      <c r="B173" s="63">
        <v>43260.0</v>
      </c>
      <c r="C173" s="1">
        <v>20.0</v>
      </c>
      <c r="D173" s="1">
        <v>30.0</v>
      </c>
    </row>
    <row r="174">
      <c r="A174" s="1">
        <f t="shared" si="1"/>
        <v>3</v>
      </c>
      <c r="B174" s="63">
        <v>43262.0</v>
      </c>
      <c r="C174" s="1">
        <v>0.0</v>
      </c>
      <c r="D174" s="1">
        <v>2707.0</v>
      </c>
    </row>
    <row r="175">
      <c r="A175" s="1">
        <f t="shared" si="1"/>
        <v>3</v>
      </c>
      <c r="B175" s="63">
        <v>43262.0</v>
      </c>
      <c r="C175" s="1">
        <v>1.0</v>
      </c>
      <c r="D175" s="1">
        <v>43.0</v>
      </c>
    </row>
    <row r="176">
      <c r="A176" s="1">
        <f t="shared" si="1"/>
        <v>3</v>
      </c>
      <c r="B176" s="63">
        <v>43262.0</v>
      </c>
      <c r="C176" s="1">
        <v>2.0</v>
      </c>
      <c r="D176" s="1">
        <v>63.0</v>
      </c>
    </row>
    <row r="177">
      <c r="A177" s="1">
        <f t="shared" si="1"/>
        <v>3</v>
      </c>
      <c r="B177" s="63">
        <v>43262.0</v>
      </c>
      <c r="C177" s="1">
        <v>3.0</v>
      </c>
      <c r="D177" s="1">
        <v>202.0</v>
      </c>
    </row>
    <row r="178">
      <c r="A178" s="1">
        <f t="shared" si="1"/>
        <v>3</v>
      </c>
      <c r="B178" s="63">
        <v>43262.0</v>
      </c>
      <c r="C178" s="1">
        <v>4.0</v>
      </c>
      <c r="D178" s="1">
        <v>850.0</v>
      </c>
    </row>
    <row r="179">
      <c r="A179" s="1">
        <f t="shared" si="1"/>
        <v>3</v>
      </c>
      <c r="B179" s="63">
        <v>43262.0</v>
      </c>
      <c r="C179" s="1">
        <v>5.0</v>
      </c>
      <c r="D179" s="1">
        <v>79.0</v>
      </c>
    </row>
    <row r="180">
      <c r="A180" s="1">
        <f t="shared" si="1"/>
        <v>3</v>
      </c>
      <c r="B180" s="63">
        <v>43262.0</v>
      </c>
      <c r="C180" s="1">
        <v>6.0</v>
      </c>
      <c r="D180" s="1">
        <v>140.0</v>
      </c>
    </row>
    <row r="181">
      <c r="A181" s="1">
        <f t="shared" si="1"/>
        <v>3</v>
      </c>
      <c r="B181" s="63">
        <v>43262.0</v>
      </c>
      <c r="C181" s="1">
        <v>7.0</v>
      </c>
      <c r="D181" s="1">
        <v>198.0</v>
      </c>
    </row>
    <row r="182">
      <c r="A182" s="1">
        <f t="shared" si="1"/>
        <v>3</v>
      </c>
      <c r="B182" s="63">
        <v>43262.0</v>
      </c>
      <c r="C182" s="1">
        <v>8.0</v>
      </c>
      <c r="D182" s="1">
        <v>590.0</v>
      </c>
    </row>
    <row r="183">
      <c r="A183" s="1">
        <f t="shared" si="1"/>
        <v>3</v>
      </c>
      <c r="B183" s="63">
        <v>43262.0</v>
      </c>
      <c r="C183" s="1">
        <v>9.0</v>
      </c>
      <c r="D183" s="1">
        <v>134.0</v>
      </c>
    </row>
    <row r="184">
      <c r="A184" s="1">
        <f t="shared" si="1"/>
        <v>3</v>
      </c>
      <c r="B184" s="63">
        <v>43262.0</v>
      </c>
      <c r="C184" s="1">
        <v>10.0</v>
      </c>
      <c r="D184" s="1">
        <v>164.0</v>
      </c>
    </row>
    <row r="185">
      <c r="A185" s="1">
        <f t="shared" si="1"/>
        <v>3</v>
      </c>
      <c r="B185" s="63">
        <v>43262.0</v>
      </c>
      <c r="C185" s="1">
        <v>11.0</v>
      </c>
      <c r="D185" s="1">
        <v>137.0</v>
      </c>
    </row>
    <row r="186">
      <c r="A186" s="1">
        <f t="shared" si="1"/>
        <v>3</v>
      </c>
      <c r="B186" s="63">
        <v>43262.0</v>
      </c>
      <c r="C186" s="1">
        <v>12.0</v>
      </c>
      <c r="D186" s="1">
        <v>331.0</v>
      </c>
    </row>
    <row r="187">
      <c r="A187" s="1">
        <f t="shared" si="1"/>
        <v>3</v>
      </c>
      <c r="B187" s="63">
        <v>43262.0</v>
      </c>
      <c r="C187" s="1">
        <v>13.0</v>
      </c>
      <c r="D187" s="1">
        <v>260.0</v>
      </c>
    </row>
    <row r="188">
      <c r="A188" s="1">
        <f t="shared" si="1"/>
        <v>3</v>
      </c>
      <c r="B188" s="63">
        <v>43262.0</v>
      </c>
      <c r="C188" s="1">
        <v>14.0</v>
      </c>
      <c r="D188" s="1">
        <v>93.0</v>
      </c>
    </row>
    <row r="189">
      <c r="A189" s="1">
        <f t="shared" si="1"/>
        <v>3</v>
      </c>
      <c r="B189" s="63">
        <v>43262.0</v>
      </c>
      <c r="C189" s="1">
        <v>15.0</v>
      </c>
      <c r="D189" s="1">
        <v>142.0</v>
      </c>
    </row>
    <row r="190">
      <c r="A190" s="1">
        <f t="shared" si="1"/>
        <v>3</v>
      </c>
      <c r="B190" s="63">
        <v>43262.0</v>
      </c>
      <c r="C190" s="1">
        <v>16.0</v>
      </c>
      <c r="D190" s="1">
        <v>187.0</v>
      </c>
    </row>
    <row r="191">
      <c r="A191" s="1">
        <f t="shared" si="1"/>
        <v>3</v>
      </c>
      <c r="B191" s="63">
        <v>43262.0</v>
      </c>
      <c r="C191" s="1">
        <v>17.0</v>
      </c>
      <c r="D191" s="1">
        <v>315.0</v>
      </c>
    </row>
    <row r="192">
      <c r="A192" s="1">
        <f t="shared" si="1"/>
        <v>3</v>
      </c>
      <c r="B192" s="63">
        <v>43262.0</v>
      </c>
      <c r="C192" s="1">
        <v>18.0</v>
      </c>
      <c r="D192" s="1">
        <v>133.0</v>
      </c>
    </row>
    <row r="193">
      <c r="A193" s="1">
        <f t="shared" si="1"/>
        <v>3</v>
      </c>
      <c r="B193" s="63">
        <v>43262.0</v>
      </c>
      <c r="C193" s="1">
        <v>19.0</v>
      </c>
      <c r="D193" s="1">
        <v>133.0</v>
      </c>
    </row>
    <row r="194">
      <c r="A194" s="1">
        <f t="shared" si="1"/>
        <v>3</v>
      </c>
      <c r="B194" s="63">
        <v>43262.0</v>
      </c>
      <c r="C194" s="1">
        <v>20.0</v>
      </c>
      <c r="D194" s="1">
        <v>39.0</v>
      </c>
    </row>
    <row r="195">
      <c r="A195" s="1">
        <f t="shared" si="1"/>
        <v>3</v>
      </c>
      <c r="B195" s="63">
        <v>43263.0</v>
      </c>
      <c r="C195" s="1">
        <v>0.0</v>
      </c>
      <c r="D195" s="1">
        <v>1029.0</v>
      </c>
    </row>
    <row r="196">
      <c r="A196" s="1">
        <f t="shared" si="1"/>
        <v>3</v>
      </c>
      <c r="B196" s="63">
        <v>43263.0</v>
      </c>
      <c r="C196" s="1">
        <v>1.0</v>
      </c>
      <c r="D196" s="1">
        <v>15.0</v>
      </c>
    </row>
    <row r="197">
      <c r="A197" s="1">
        <f t="shared" si="1"/>
        <v>3</v>
      </c>
      <c r="B197" s="63">
        <v>43263.0</v>
      </c>
      <c r="C197" s="1">
        <v>2.0</v>
      </c>
      <c r="D197" s="1">
        <v>31.0</v>
      </c>
    </row>
    <row r="198">
      <c r="A198" s="1">
        <f t="shared" si="1"/>
        <v>3</v>
      </c>
      <c r="B198" s="63">
        <v>43263.0</v>
      </c>
      <c r="C198" s="1">
        <v>3.0</v>
      </c>
      <c r="D198" s="1">
        <v>65.0</v>
      </c>
    </row>
    <row r="199">
      <c r="A199" s="1">
        <f t="shared" si="1"/>
        <v>3</v>
      </c>
      <c r="B199" s="63">
        <v>43263.0</v>
      </c>
      <c r="C199" s="1">
        <v>4.0</v>
      </c>
      <c r="D199" s="1">
        <v>299.0</v>
      </c>
    </row>
    <row r="200">
      <c r="A200" s="1">
        <f t="shared" si="1"/>
        <v>3</v>
      </c>
      <c r="B200" s="63">
        <v>43263.0</v>
      </c>
      <c r="C200" s="1">
        <v>5.0</v>
      </c>
      <c r="D200" s="1">
        <v>34.0</v>
      </c>
    </row>
    <row r="201">
      <c r="A201" s="1">
        <f t="shared" si="1"/>
        <v>3</v>
      </c>
      <c r="B201" s="63">
        <v>43263.0</v>
      </c>
      <c r="C201" s="1">
        <v>6.0</v>
      </c>
      <c r="D201" s="1">
        <v>56.0</v>
      </c>
    </row>
    <row r="202">
      <c r="A202" s="1">
        <f t="shared" si="1"/>
        <v>3</v>
      </c>
      <c r="B202" s="63">
        <v>43263.0</v>
      </c>
      <c r="C202" s="1">
        <v>7.0</v>
      </c>
      <c r="D202" s="1">
        <v>75.0</v>
      </c>
    </row>
    <row r="203">
      <c r="A203" s="1">
        <f t="shared" si="1"/>
        <v>3</v>
      </c>
      <c r="B203" s="63">
        <v>43263.0</v>
      </c>
      <c r="C203" s="1">
        <v>8.0</v>
      </c>
      <c r="D203" s="1">
        <v>215.0</v>
      </c>
    </row>
    <row r="204">
      <c r="A204" s="1">
        <f t="shared" si="1"/>
        <v>3</v>
      </c>
      <c r="B204" s="63">
        <v>43263.0</v>
      </c>
      <c r="C204" s="1">
        <v>9.0</v>
      </c>
      <c r="D204" s="1">
        <v>63.0</v>
      </c>
    </row>
    <row r="205">
      <c r="A205" s="1">
        <f t="shared" si="1"/>
        <v>3</v>
      </c>
      <c r="B205" s="63">
        <v>43263.0</v>
      </c>
      <c r="C205" s="1">
        <v>10.0</v>
      </c>
      <c r="D205" s="1">
        <v>54.0</v>
      </c>
    </row>
    <row r="206">
      <c r="A206" s="1">
        <f t="shared" si="1"/>
        <v>3</v>
      </c>
      <c r="B206" s="63">
        <v>43263.0</v>
      </c>
      <c r="C206" s="1">
        <v>11.0</v>
      </c>
      <c r="D206" s="1">
        <v>49.0</v>
      </c>
    </row>
    <row r="207">
      <c r="A207" s="1">
        <f t="shared" si="1"/>
        <v>3</v>
      </c>
      <c r="B207" s="63">
        <v>43263.0</v>
      </c>
      <c r="C207" s="1">
        <v>12.0</v>
      </c>
      <c r="D207" s="1">
        <v>116.0</v>
      </c>
    </row>
    <row r="208">
      <c r="A208" s="1">
        <f t="shared" si="1"/>
        <v>3</v>
      </c>
      <c r="B208" s="63">
        <v>43263.0</v>
      </c>
      <c r="C208" s="1">
        <v>13.0</v>
      </c>
      <c r="D208" s="1">
        <v>97.0</v>
      </c>
    </row>
    <row r="209">
      <c r="A209" s="1">
        <f t="shared" si="1"/>
        <v>3</v>
      </c>
      <c r="B209" s="63">
        <v>43263.0</v>
      </c>
      <c r="C209" s="1">
        <v>14.0</v>
      </c>
      <c r="D209" s="1">
        <v>37.0</v>
      </c>
    </row>
    <row r="210">
      <c r="A210" s="1">
        <f t="shared" si="1"/>
        <v>3</v>
      </c>
      <c r="B210" s="63">
        <v>43263.0</v>
      </c>
      <c r="C210" s="1">
        <v>15.0</v>
      </c>
      <c r="D210" s="1">
        <v>63.0</v>
      </c>
    </row>
    <row r="211">
      <c r="A211" s="1">
        <f t="shared" si="1"/>
        <v>3</v>
      </c>
      <c r="B211" s="63">
        <v>43263.0</v>
      </c>
      <c r="C211" s="1">
        <v>16.0</v>
      </c>
      <c r="D211" s="1">
        <v>70.0</v>
      </c>
    </row>
    <row r="212">
      <c r="A212" s="1">
        <f t="shared" si="1"/>
        <v>3</v>
      </c>
      <c r="B212" s="63">
        <v>43263.0</v>
      </c>
      <c r="C212" s="1">
        <v>17.0</v>
      </c>
      <c r="D212" s="1">
        <v>100.0</v>
      </c>
    </row>
    <row r="213">
      <c r="A213" s="1">
        <f t="shared" si="1"/>
        <v>3</v>
      </c>
      <c r="B213" s="63">
        <v>43263.0</v>
      </c>
      <c r="C213" s="1">
        <v>18.0</v>
      </c>
      <c r="D213" s="1">
        <v>45.0</v>
      </c>
    </row>
    <row r="214">
      <c r="A214" s="1">
        <f t="shared" si="1"/>
        <v>3</v>
      </c>
      <c r="B214" s="63">
        <v>43263.0</v>
      </c>
      <c r="C214" s="1">
        <v>19.0</v>
      </c>
      <c r="D214" s="1">
        <v>58.0</v>
      </c>
    </row>
    <row r="215">
      <c r="A215" s="1">
        <f t="shared" si="1"/>
        <v>3</v>
      </c>
      <c r="B215" s="63">
        <v>43263.0</v>
      </c>
      <c r="C215" s="1">
        <v>20.0</v>
      </c>
      <c r="D215" s="1">
        <v>7.0</v>
      </c>
    </row>
    <row r="216">
      <c r="A216" s="1">
        <f t="shared" si="1"/>
        <v>3</v>
      </c>
      <c r="B216" s="63">
        <v>43264.0</v>
      </c>
      <c r="C216" s="1">
        <v>0.0</v>
      </c>
      <c r="D216" s="1">
        <v>1332.0</v>
      </c>
    </row>
    <row r="217">
      <c r="A217" s="1">
        <f t="shared" si="1"/>
        <v>3</v>
      </c>
      <c r="B217" s="63">
        <v>43264.0</v>
      </c>
      <c r="C217" s="1">
        <v>1.0</v>
      </c>
      <c r="D217" s="1">
        <v>13.0</v>
      </c>
    </row>
    <row r="218">
      <c r="A218" s="1">
        <f t="shared" si="1"/>
        <v>3</v>
      </c>
      <c r="B218" s="63">
        <v>43264.0</v>
      </c>
      <c r="C218" s="1">
        <v>2.0</v>
      </c>
      <c r="D218" s="1">
        <v>39.0</v>
      </c>
    </row>
    <row r="219">
      <c r="A219" s="1">
        <f t="shared" si="1"/>
        <v>3</v>
      </c>
      <c r="B219" s="63">
        <v>43264.0</v>
      </c>
      <c r="C219" s="1">
        <v>3.0</v>
      </c>
      <c r="D219" s="1">
        <v>96.0</v>
      </c>
    </row>
    <row r="220">
      <c r="A220" s="1">
        <f t="shared" si="1"/>
        <v>3</v>
      </c>
      <c r="B220" s="63">
        <v>43264.0</v>
      </c>
      <c r="C220" s="1">
        <v>4.0</v>
      </c>
      <c r="D220" s="1">
        <v>445.0</v>
      </c>
    </row>
    <row r="221">
      <c r="A221" s="1">
        <f t="shared" si="1"/>
        <v>3</v>
      </c>
      <c r="B221" s="63">
        <v>43264.0</v>
      </c>
      <c r="C221" s="1">
        <v>5.0</v>
      </c>
      <c r="D221" s="1">
        <v>44.0</v>
      </c>
    </row>
    <row r="222">
      <c r="A222" s="1">
        <f t="shared" si="1"/>
        <v>3</v>
      </c>
      <c r="B222" s="63">
        <v>43264.0</v>
      </c>
      <c r="C222" s="1">
        <v>6.0</v>
      </c>
      <c r="D222" s="1">
        <v>53.0</v>
      </c>
    </row>
    <row r="223">
      <c r="A223" s="1">
        <f t="shared" si="1"/>
        <v>3</v>
      </c>
      <c r="B223" s="63">
        <v>43264.0</v>
      </c>
      <c r="C223" s="1">
        <v>7.0</v>
      </c>
      <c r="D223" s="1">
        <v>77.0</v>
      </c>
    </row>
    <row r="224">
      <c r="A224" s="1">
        <f t="shared" si="1"/>
        <v>3</v>
      </c>
      <c r="B224" s="63">
        <v>43264.0</v>
      </c>
      <c r="C224" s="1">
        <v>8.0</v>
      </c>
      <c r="D224" s="1">
        <v>280.0</v>
      </c>
    </row>
    <row r="225">
      <c r="A225" s="1">
        <f t="shared" si="1"/>
        <v>3</v>
      </c>
      <c r="B225" s="63">
        <v>43264.0</v>
      </c>
      <c r="C225" s="1">
        <v>9.0</v>
      </c>
      <c r="D225" s="1">
        <v>96.0</v>
      </c>
    </row>
    <row r="226">
      <c r="A226" s="1">
        <f t="shared" si="1"/>
        <v>3</v>
      </c>
      <c r="B226" s="63">
        <v>43264.0</v>
      </c>
      <c r="C226" s="1">
        <v>10.0</v>
      </c>
      <c r="D226" s="1">
        <v>72.0</v>
      </c>
    </row>
    <row r="227">
      <c r="A227" s="1">
        <f t="shared" si="1"/>
        <v>3</v>
      </c>
      <c r="B227" s="63">
        <v>43264.0</v>
      </c>
      <c r="C227" s="1">
        <v>11.0</v>
      </c>
      <c r="D227" s="1">
        <v>62.0</v>
      </c>
    </row>
    <row r="228">
      <c r="A228" s="1">
        <f t="shared" si="1"/>
        <v>3</v>
      </c>
      <c r="B228" s="63">
        <v>43264.0</v>
      </c>
      <c r="C228" s="1">
        <v>12.0</v>
      </c>
      <c r="D228" s="1">
        <v>89.0</v>
      </c>
    </row>
    <row r="229">
      <c r="A229" s="1">
        <f t="shared" si="1"/>
        <v>3</v>
      </c>
      <c r="B229" s="63">
        <v>43264.0</v>
      </c>
      <c r="C229" s="1">
        <v>13.0</v>
      </c>
      <c r="D229" s="1">
        <v>196.0</v>
      </c>
    </row>
    <row r="230">
      <c r="A230" s="1">
        <f t="shared" si="1"/>
        <v>3</v>
      </c>
      <c r="B230" s="63">
        <v>43264.0</v>
      </c>
      <c r="C230" s="1">
        <v>14.0</v>
      </c>
      <c r="D230" s="1">
        <v>55.0</v>
      </c>
    </row>
    <row r="231">
      <c r="A231" s="1">
        <f t="shared" si="1"/>
        <v>3</v>
      </c>
      <c r="B231" s="63">
        <v>43264.0</v>
      </c>
      <c r="C231" s="1">
        <v>15.0</v>
      </c>
      <c r="D231" s="1">
        <v>79.0</v>
      </c>
    </row>
    <row r="232">
      <c r="A232" s="1">
        <f t="shared" si="1"/>
        <v>3</v>
      </c>
      <c r="B232" s="63">
        <v>43264.0</v>
      </c>
      <c r="C232" s="1">
        <v>16.0</v>
      </c>
      <c r="D232" s="1">
        <v>81.0</v>
      </c>
    </row>
    <row r="233">
      <c r="A233" s="1">
        <f t="shared" si="1"/>
        <v>3</v>
      </c>
      <c r="B233" s="63">
        <v>43264.0</v>
      </c>
      <c r="C233" s="1">
        <v>17.0</v>
      </c>
      <c r="D233" s="1">
        <v>155.0</v>
      </c>
    </row>
    <row r="234">
      <c r="A234" s="1">
        <f t="shared" si="1"/>
        <v>3</v>
      </c>
      <c r="B234" s="63">
        <v>43264.0</v>
      </c>
      <c r="C234" s="1">
        <v>18.0</v>
      </c>
      <c r="D234" s="1">
        <v>49.0</v>
      </c>
    </row>
    <row r="235">
      <c r="A235" s="1">
        <f t="shared" si="1"/>
        <v>3</v>
      </c>
      <c r="B235" s="63">
        <v>43264.0</v>
      </c>
      <c r="C235" s="1">
        <v>19.0</v>
      </c>
      <c r="D235" s="1">
        <v>70.0</v>
      </c>
    </row>
    <row r="236">
      <c r="A236" s="1">
        <f t="shared" si="1"/>
        <v>3</v>
      </c>
      <c r="B236" s="63">
        <v>43265.0</v>
      </c>
      <c r="C236" s="1">
        <v>0.0</v>
      </c>
      <c r="D236" s="1">
        <v>1203.0</v>
      </c>
    </row>
    <row r="237">
      <c r="A237" s="1">
        <f t="shared" si="1"/>
        <v>3</v>
      </c>
      <c r="B237" s="63">
        <v>43265.0</v>
      </c>
      <c r="C237" s="1">
        <v>1.0</v>
      </c>
      <c r="D237" s="1">
        <v>23.0</v>
      </c>
    </row>
    <row r="238">
      <c r="A238" s="1">
        <f t="shared" si="1"/>
        <v>3</v>
      </c>
      <c r="B238" s="63">
        <v>43265.0</v>
      </c>
      <c r="C238" s="1">
        <v>2.0</v>
      </c>
      <c r="D238" s="1">
        <v>33.0</v>
      </c>
    </row>
    <row r="239">
      <c r="A239" s="1">
        <f t="shared" si="1"/>
        <v>3</v>
      </c>
      <c r="B239" s="63">
        <v>43265.0</v>
      </c>
      <c r="C239" s="1">
        <v>3.0</v>
      </c>
      <c r="D239" s="1">
        <v>80.0</v>
      </c>
    </row>
    <row r="240">
      <c r="A240" s="1">
        <f t="shared" si="1"/>
        <v>3</v>
      </c>
      <c r="B240" s="63">
        <v>43265.0</v>
      </c>
      <c r="C240" s="1">
        <v>4.0</v>
      </c>
      <c r="D240" s="1">
        <v>366.0</v>
      </c>
    </row>
    <row r="241">
      <c r="A241" s="1">
        <f t="shared" si="1"/>
        <v>3</v>
      </c>
      <c r="B241" s="63">
        <v>43265.0</v>
      </c>
      <c r="C241" s="1">
        <v>5.0</v>
      </c>
      <c r="D241" s="1">
        <v>36.0</v>
      </c>
    </row>
    <row r="242">
      <c r="A242" s="1">
        <f t="shared" si="1"/>
        <v>3</v>
      </c>
      <c r="B242" s="63">
        <v>43265.0</v>
      </c>
      <c r="C242" s="1">
        <v>6.0</v>
      </c>
      <c r="D242" s="1">
        <v>53.0</v>
      </c>
    </row>
    <row r="243">
      <c r="A243" s="1">
        <f t="shared" si="1"/>
        <v>3</v>
      </c>
      <c r="B243" s="63">
        <v>43265.0</v>
      </c>
      <c r="C243" s="1">
        <v>7.0</v>
      </c>
      <c r="D243" s="1">
        <v>66.0</v>
      </c>
    </row>
    <row r="244">
      <c r="A244" s="1">
        <f t="shared" si="1"/>
        <v>3</v>
      </c>
      <c r="B244" s="63">
        <v>43265.0</v>
      </c>
      <c r="C244" s="1">
        <v>8.0</v>
      </c>
      <c r="D244" s="1">
        <v>230.0</v>
      </c>
    </row>
    <row r="245">
      <c r="A245" s="1">
        <f t="shared" si="1"/>
        <v>3</v>
      </c>
      <c r="B245" s="63">
        <v>43265.0</v>
      </c>
      <c r="C245" s="1">
        <v>9.0</v>
      </c>
      <c r="D245" s="1">
        <v>48.0</v>
      </c>
    </row>
    <row r="246">
      <c r="A246" s="1">
        <f t="shared" si="1"/>
        <v>3</v>
      </c>
      <c r="B246" s="63">
        <v>43265.0</v>
      </c>
      <c r="C246" s="1">
        <v>10.0</v>
      </c>
      <c r="D246" s="1">
        <v>76.0</v>
      </c>
    </row>
    <row r="247">
      <c r="A247" s="1">
        <f t="shared" si="1"/>
        <v>3</v>
      </c>
      <c r="B247" s="63">
        <v>43265.0</v>
      </c>
      <c r="C247" s="1">
        <v>11.0</v>
      </c>
      <c r="D247" s="1">
        <v>51.0</v>
      </c>
    </row>
    <row r="248">
      <c r="A248" s="1">
        <f t="shared" si="1"/>
        <v>3</v>
      </c>
      <c r="B248" s="63">
        <v>43265.0</v>
      </c>
      <c r="C248" s="1">
        <v>12.0</v>
      </c>
      <c r="D248" s="1">
        <v>92.0</v>
      </c>
    </row>
    <row r="249">
      <c r="A249" s="1">
        <f t="shared" si="1"/>
        <v>3</v>
      </c>
      <c r="B249" s="63">
        <v>43265.0</v>
      </c>
      <c r="C249" s="1">
        <v>13.0</v>
      </c>
      <c r="D249" s="1">
        <v>130.0</v>
      </c>
    </row>
    <row r="250">
      <c r="A250" s="1">
        <f t="shared" si="1"/>
        <v>3</v>
      </c>
      <c r="B250" s="63">
        <v>43265.0</v>
      </c>
      <c r="C250" s="1">
        <v>14.0</v>
      </c>
      <c r="D250" s="1">
        <v>32.0</v>
      </c>
    </row>
    <row r="251">
      <c r="A251" s="1">
        <f t="shared" si="1"/>
        <v>3</v>
      </c>
      <c r="B251" s="63">
        <v>43265.0</v>
      </c>
      <c r="C251" s="1">
        <v>15.0</v>
      </c>
      <c r="D251" s="1">
        <v>62.0</v>
      </c>
    </row>
    <row r="252">
      <c r="A252" s="1">
        <f t="shared" si="1"/>
        <v>3</v>
      </c>
      <c r="B252" s="63">
        <v>43265.0</v>
      </c>
      <c r="C252" s="1">
        <v>16.0</v>
      </c>
      <c r="D252" s="1">
        <v>61.0</v>
      </c>
    </row>
    <row r="253">
      <c r="A253" s="1">
        <f t="shared" si="1"/>
        <v>3</v>
      </c>
      <c r="B253" s="63">
        <v>43265.0</v>
      </c>
      <c r="C253" s="1">
        <v>17.0</v>
      </c>
      <c r="D253" s="1">
        <v>128.0</v>
      </c>
    </row>
    <row r="254">
      <c r="A254" s="1">
        <f t="shared" si="1"/>
        <v>3</v>
      </c>
      <c r="B254" s="63">
        <v>43265.0</v>
      </c>
      <c r="C254" s="1">
        <v>18.0</v>
      </c>
      <c r="D254" s="1">
        <v>30.0</v>
      </c>
    </row>
    <row r="255">
      <c r="A255" s="1">
        <f t="shared" si="1"/>
        <v>3</v>
      </c>
      <c r="B255" s="63">
        <v>43265.0</v>
      </c>
      <c r="C255" s="1">
        <v>19.0</v>
      </c>
      <c r="D255" s="1">
        <v>54.0</v>
      </c>
    </row>
    <row r="256">
      <c r="A256" s="1">
        <f t="shared" si="1"/>
        <v>3</v>
      </c>
      <c r="B256" s="63">
        <v>43266.0</v>
      </c>
      <c r="C256" s="1">
        <v>0.0</v>
      </c>
      <c r="D256" s="1">
        <v>1298.0</v>
      </c>
    </row>
    <row r="257">
      <c r="A257" s="1">
        <f t="shared" si="1"/>
        <v>3</v>
      </c>
      <c r="B257" s="63">
        <v>43266.0</v>
      </c>
      <c r="C257" s="1">
        <v>1.0</v>
      </c>
      <c r="D257" s="1">
        <v>14.0</v>
      </c>
    </row>
    <row r="258">
      <c r="A258" s="1">
        <f t="shared" si="1"/>
        <v>3</v>
      </c>
      <c r="B258" s="63">
        <v>43266.0</v>
      </c>
      <c r="C258" s="1">
        <v>2.0</v>
      </c>
      <c r="D258" s="1">
        <v>36.0</v>
      </c>
    </row>
    <row r="259">
      <c r="A259" s="1">
        <f t="shared" si="1"/>
        <v>3</v>
      </c>
      <c r="B259" s="63">
        <v>43266.0</v>
      </c>
      <c r="C259" s="1">
        <v>3.0</v>
      </c>
      <c r="D259" s="1">
        <v>83.0</v>
      </c>
    </row>
    <row r="260">
      <c r="A260" s="1">
        <f t="shared" si="1"/>
        <v>3</v>
      </c>
      <c r="B260" s="63">
        <v>43266.0</v>
      </c>
      <c r="C260" s="1">
        <v>4.0</v>
      </c>
      <c r="D260" s="1">
        <v>398.0</v>
      </c>
    </row>
    <row r="261">
      <c r="A261" s="1">
        <f t="shared" si="1"/>
        <v>3</v>
      </c>
      <c r="B261" s="63">
        <v>43266.0</v>
      </c>
      <c r="C261" s="1">
        <v>5.0</v>
      </c>
      <c r="D261" s="1">
        <v>49.0</v>
      </c>
    </row>
    <row r="262">
      <c r="A262" s="1">
        <f t="shared" si="1"/>
        <v>3</v>
      </c>
      <c r="B262" s="63">
        <v>43266.0</v>
      </c>
      <c r="C262" s="1">
        <v>6.0</v>
      </c>
      <c r="D262" s="1">
        <v>55.0</v>
      </c>
    </row>
    <row r="263">
      <c r="A263" s="1">
        <f t="shared" si="1"/>
        <v>3</v>
      </c>
      <c r="B263" s="63">
        <v>43266.0</v>
      </c>
      <c r="C263" s="1">
        <v>7.0</v>
      </c>
      <c r="D263" s="1">
        <v>49.0</v>
      </c>
    </row>
    <row r="264">
      <c r="A264" s="1">
        <f t="shared" si="1"/>
        <v>3</v>
      </c>
      <c r="B264" s="63">
        <v>43266.0</v>
      </c>
      <c r="C264" s="1">
        <v>8.0</v>
      </c>
      <c r="D264" s="1">
        <v>204.0</v>
      </c>
    </row>
    <row r="265">
      <c r="A265" s="1">
        <f t="shared" si="1"/>
        <v>3</v>
      </c>
      <c r="B265" s="63">
        <v>43266.0</v>
      </c>
      <c r="C265" s="1">
        <v>9.0</v>
      </c>
      <c r="D265" s="1">
        <v>134.0</v>
      </c>
    </row>
    <row r="266">
      <c r="A266" s="1">
        <f t="shared" si="1"/>
        <v>3</v>
      </c>
      <c r="B266" s="63">
        <v>43266.0</v>
      </c>
      <c r="C266" s="1">
        <v>10.0</v>
      </c>
      <c r="D266" s="1">
        <v>66.0</v>
      </c>
    </row>
    <row r="267">
      <c r="A267" s="1">
        <f t="shared" si="1"/>
        <v>3</v>
      </c>
      <c r="B267" s="63">
        <v>43266.0</v>
      </c>
      <c r="C267" s="1">
        <v>11.0</v>
      </c>
      <c r="D267" s="1">
        <v>65.0</v>
      </c>
    </row>
    <row r="268">
      <c r="A268" s="1">
        <f t="shared" si="1"/>
        <v>3</v>
      </c>
      <c r="B268" s="63">
        <v>43266.0</v>
      </c>
      <c r="C268" s="1">
        <v>12.0</v>
      </c>
      <c r="D268" s="1">
        <v>68.0</v>
      </c>
    </row>
    <row r="269">
      <c r="A269" s="1">
        <f t="shared" si="1"/>
        <v>3</v>
      </c>
      <c r="B269" s="63">
        <v>43266.0</v>
      </c>
      <c r="C269" s="1">
        <v>13.0</v>
      </c>
      <c r="D269" s="1">
        <v>179.0</v>
      </c>
    </row>
    <row r="270">
      <c r="A270" s="1">
        <f t="shared" si="1"/>
        <v>3</v>
      </c>
      <c r="B270" s="63">
        <v>43266.0</v>
      </c>
      <c r="C270" s="1">
        <v>14.0</v>
      </c>
      <c r="D270" s="1">
        <v>45.0</v>
      </c>
    </row>
    <row r="271">
      <c r="A271" s="1">
        <f t="shared" si="1"/>
        <v>3</v>
      </c>
      <c r="B271" s="63">
        <v>43266.0</v>
      </c>
      <c r="C271" s="1">
        <v>15.0</v>
      </c>
      <c r="D271" s="1">
        <v>64.0</v>
      </c>
    </row>
    <row r="272">
      <c r="A272" s="1">
        <f t="shared" si="1"/>
        <v>3</v>
      </c>
      <c r="B272" s="63">
        <v>43266.0</v>
      </c>
      <c r="C272" s="1">
        <v>16.0</v>
      </c>
      <c r="D272" s="1">
        <v>58.0</v>
      </c>
    </row>
    <row r="273">
      <c r="A273" s="1">
        <f t="shared" si="1"/>
        <v>3</v>
      </c>
      <c r="B273" s="63">
        <v>43266.0</v>
      </c>
      <c r="C273" s="1">
        <v>17.0</v>
      </c>
      <c r="D273" s="1">
        <v>155.0</v>
      </c>
    </row>
    <row r="274">
      <c r="A274" s="1">
        <f t="shared" si="1"/>
        <v>3</v>
      </c>
      <c r="B274" s="63">
        <v>43266.0</v>
      </c>
      <c r="C274" s="1">
        <v>18.0</v>
      </c>
      <c r="D274" s="1">
        <v>53.0</v>
      </c>
    </row>
    <row r="275">
      <c r="A275" s="1">
        <f t="shared" si="1"/>
        <v>3</v>
      </c>
      <c r="B275" s="63">
        <v>43266.0</v>
      </c>
      <c r="C275" s="1">
        <v>19.0</v>
      </c>
      <c r="D275" s="1">
        <v>34.0</v>
      </c>
    </row>
    <row r="276">
      <c r="A276" s="1">
        <f t="shared" si="1"/>
        <v>3</v>
      </c>
      <c r="B276" s="63">
        <v>43267.0</v>
      </c>
      <c r="C276" s="1">
        <v>0.0</v>
      </c>
      <c r="D276" s="1">
        <v>1164.0</v>
      </c>
    </row>
    <row r="277">
      <c r="A277" s="1">
        <f t="shared" si="1"/>
        <v>3</v>
      </c>
      <c r="B277" s="63">
        <v>43267.0</v>
      </c>
      <c r="C277" s="1">
        <v>1.0</v>
      </c>
      <c r="D277" s="1">
        <v>20.0</v>
      </c>
    </row>
    <row r="278">
      <c r="A278" s="1">
        <f t="shared" si="1"/>
        <v>3</v>
      </c>
      <c r="B278" s="63">
        <v>43267.0</v>
      </c>
      <c r="C278" s="1">
        <v>2.0</v>
      </c>
      <c r="D278" s="1">
        <v>26.0</v>
      </c>
    </row>
    <row r="279">
      <c r="A279" s="1">
        <f t="shared" si="1"/>
        <v>3</v>
      </c>
      <c r="B279" s="63">
        <v>43267.0</v>
      </c>
      <c r="C279" s="1">
        <v>3.0</v>
      </c>
      <c r="D279" s="1">
        <v>70.0</v>
      </c>
    </row>
    <row r="280">
      <c r="A280" s="1">
        <f t="shared" si="1"/>
        <v>3</v>
      </c>
      <c r="B280" s="63">
        <v>43267.0</v>
      </c>
      <c r="C280" s="1">
        <v>4.0</v>
      </c>
      <c r="D280" s="1">
        <v>314.0</v>
      </c>
    </row>
    <row r="281">
      <c r="A281" s="1">
        <f t="shared" si="1"/>
        <v>3</v>
      </c>
      <c r="B281" s="63">
        <v>43267.0</v>
      </c>
      <c r="C281" s="1">
        <v>5.0</v>
      </c>
      <c r="D281" s="1">
        <v>32.0</v>
      </c>
    </row>
    <row r="282">
      <c r="A282" s="1">
        <f t="shared" si="1"/>
        <v>3</v>
      </c>
      <c r="B282" s="63">
        <v>43267.0</v>
      </c>
      <c r="C282" s="1">
        <v>6.0</v>
      </c>
      <c r="D282" s="1">
        <v>50.0</v>
      </c>
    </row>
    <row r="283">
      <c r="A283" s="1">
        <f t="shared" si="1"/>
        <v>3</v>
      </c>
      <c r="B283" s="63">
        <v>43267.0</v>
      </c>
      <c r="C283" s="1">
        <v>7.0</v>
      </c>
      <c r="D283" s="1">
        <v>55.0</v>
      </c>
    </row>
    <row r="284">
      <c r="A284" s="1">
        <f t="shared" si="1"/>
        <v>3</v>
      </c>
      <c r="B284" s="63">
        <v>43267.0</v>
      </c>
      <c r="C284" s="1">
        <v>8.0</v>
      </c>
      <c r="D284" s="1">
        <v>208.0</v>
      </c>
    </row>
    <row r="285">
      <c r="A285" s="1">
        <f t="shared" si="1"/>
        <v>3</v>
      </c>
      <c r="B285" s="63">
        <v>43267.0</v>
      </c>
      <c r="C285" s="1">
        <v>9.0</v>
      </c>
      <c r="D285" s="1">
        <v>74.0</v>
      </c>
    </row>
    <row r="286">
      <c r="A286" s="1">
        <f t="shared" si="1"/>
        <v>3</v>
      </c>
      <c r="B286" s="63">
        <v>43267.0</v>
      </c>
      <c r="C286" s="1">
        <v>10.0</v>
      </c>
      <c r="D286" s="1">
        <v>62.0</v>
      </c>
    </row>
    <row r="287">
      <c r="A287" s="1">
        <f t="shared" si="1"/>
        <v>3</v>
      </c>
      <c r="B287" s="63">
        <v>43267.0</v>
      </c>
      <c r="C287" s="1">
        <v>11.0</v>
      </c>
      <c r="D287" s="1">
        <v>49.0</v>
      </c>
    </row>
    <row r="288">
      <c r="A288" s="1">
        <f t="shared" si="1"/>
        <v>3</v>
      </c>
      <c r="B288" s="63">
        <v>43267.0</v>
      </c>
      <c r="C288" s="1">
        <v>12.0</v>
      </c>
      <c r="D288" s="1">
        <v>71.0</v>
      </c>
    </row>
    <row r="289">
      <c r="A289" s="1">
        <f t="shared" si="1"/>
        <v>3</v>
      </c>
      <c r="B289" s="63">
        <v>43267.0</v>
      </c>
      <c r="C289" s="1">
        <v>13.0</v>
      </c>
      <c r="D289" s="1">
        <v>135.0</v>
      </c>
    </row>
    <row r="290">
      <c r="A290" s="1">
        <f t="shared" si="1"/>
        <v>3</v>
      </c>
      <c r="B290" s="63">
        <v>43267.0</v>
      </c>
      <c r="C290" s="1">
        <v>14.0</v>
      </c>
      <c r="D290" s="1">
        <v>49.0</v>
      </c>
    </row>
    <row r="291">
      <c r="A291" s="1">
        <f t="shared" si="1"/>
        <v>3</v>
      </c>
      <c r="B291" s="63">
        <v>43267.0</v>
      </c>
      <c r="C291" s="1">
        <v>15.0</v>
      </c>
      <c r="D291" s="1">
        <v>32.0</v>
      </c>
    </row>
    <row r="292">
      <c r="A292" s="1">
        <f t="shared" si="1"/>
        <v>3</v>
      </c>
      <c r="B292" s="63">
        <v>43267.0</v>
      </c>
      <c r="C292" s="1">
        <v>16.0</v>
      </c>
      <c r="D292" s="1">
        <v>52.0</v>
      </c>
    </row>
    <row r="293">
      <c r="A293" s="1">
        <f t="shared" si="1"/>
        <v>3</v>
      </c>
      <c r="B293" s="63">
        <v>43267.0</v>
      </c>
      <c r="C293" s="1">
        <v>17.0</v>
      </c>
      <c r="D293" s="1">
        <v>157.0</v>
      </c>
    </row>
    <row r="294">
      <c r="A294" s="1">
        <f t="shared" si="1"/>
        <v>3</v>
      </c>
      <c r="B294" s="63">
        <v>43267.0</v>
      </c>
      <c r="C294" s="1">
        <v>18.0</v>
      </c>
      <c r="D294" s="1">
        <v>32.0</v>
      </c>
    </row>
    <row r="295">
      <c r="A295" s="1">
        <f t="shared" si="1"/>
        <v>3</v>
      </c>
      <c r="B295" s="63">
        <v>43267.0</v>
      </c>
      <c r="C295" s="1">
        <v>19.0</v>
      </c>
      <c r="D295" s="1">
        <v>26.0</v>
      </c>
    </row>
    <row r="296">
      <c r="A296" s="1">
        <f t="shared" si="1"/>
        <v>4</v>
      </c>
      <c r="B296" s="63">
        <v>43269.0</v>
      </c>
      <c r="C296" s="1">
        <v>0.0</v>
      </c>
      <c r="D296" s="1">
        <v>2177.0</v>
      </c>
    </row>
    <row r="297">
      <c r="A297" s="1">
        <f t="shared" si="1"/>
        <v>4</v>
      </c>
      <c r="B297" s="63">
        <v>43269.0</v>
      </c>
      <c r="C297" s="1">
        <v>1.0</v>
      </c>
      <c r="D297" s="1">
        <v>55.0</v>
      </c>
    </row>
    <row r="298">
      <c r="A298" s="1">
        <f t="shared" si="1"/>
        <v>4</v>
      </c>
      <c r="B298" s="63">
        <v>43269.0</v>
      </c>
      <c r="C298" s="1">
        <v>2.0</v>
      </c>
      <c r="D298" s="1">
        <v>68.0</v>
      </c>
    </row>
    <row r="299">
      <c r="A299" s="1">
        <f t="shared" si="1"/>
        <v>4</v>
      </c>
      <c r="B299" s="63">
        <v>43269.0</v>
      </c>
      <c r="C299" s="1">
        <v>3.0</v>
      </c>
      <c r="D299" s="1">
        <v>155.0</v>
      </c>
    </row>
    <row r="300">
      <c r="A300" s="1">
        <f t="shared" si="1"/>
        <v>4</v>
      </c>
      <c r="B300" s="63">
        <v>43269.0</v>
      </c>
      <c r="C300" s="1">
        <v>4.0</v>
      </c>
      <c r="D300" s="1">
        <v>667.0</v>
      </c>
    </row>
    <row r="301">
      <c r="A301" s="1">
        <f t="shared" si="1"/>
        <v>4</v>
      </c>
      <c r="B301" s="63">
        <v>43269.0</v>
      </c>
      <c r="C301" s="1">
        <v>5.0</v>
      </c>
      <c r="D301" s="1">
        <v>75.0</v>
      </c>
    </row>
    <row r="302">
      <c r="A302" s="1">
        <f t="shared" si="1"/>
        <v>4</v>
      </c>
      <c r="B302" s="63">
        <v>43269.0</v>
      </c>
      <c r="C302" s="1">
        <v>6.0</v>
      </c>
      <c r="D302" s="1">
        <v>87.0</v>
      </c>
    </row>
    <row r="303">
      <c r="A303" s="1">
        <f t="shared" si="1"/>
        <v>4</v>
      </c>
      <c r="B303" s="63">
        <v>43269.0</v>
      </c>
      <c r="C303" s="1">
        <v>7.0</v>
      </c>
      <c r="D303" s="1">
        <v>114.0</v>
      </c>
    </row>
    <row r="304">
      <c r="A304" s="1">
        <f t="shared" si="1"/>
        <v>4</v>
      </c>
      <c r="B304" s="63">
        <v>43269.0</v>
      </c>
      <c r="C304" s="1">
        <v>8.0</v>
      </c>
      <c r="D304" s="1">
        <v>464.0</v>
      </c>
    </row>
    <row r="305">
      <c r="A305" s="1">
        <f t="shared" si="1"/>
        <v>4</v>
      </c>
      <c r="B305" s="63">
        <v>43269.0</v>
      </c>
      <c r="C305" s="1">
        <v>9.0</v>
      </c>
      <c r="D305" s="1">
        <v>137.0</v>
      </c>
    </row>
    <row r="306">
      <c r="A306" s="1">
        <f t="shared" si="1"/>
        <v>4</v>
      </c>
      <c r="B306" s="63">
        <v>43269.0</v>
      </c>
      <c r="C306" s="1">
        <v>10.0</v>
      </c>
      <c r="D306" s="1">
        <v>138.0</v>
      </c>
    </row>
    <row r="307">
      <c r="A307" s="1">
        <f t="shared" si="1"/>
        <v>4</v>
      </c>
      <c r="B307" s="63">
        <v>43269.0</v>
      </c>
      <c r="C307" s="1">
        <v>11.0</v>
      </c>
      <c r="D307" s="1">
        <v>95.0</v>
      </c>
    </row>
    <row r="308">
      <c r="A308" s="1">
        <f t="shared" si="1"/>
        <v>4</v>
      </c>
      <c r="B308" s="63">
        <v>43269.0</v>
      </c>
      <c r="C308" s="1">
        <v>12.0</v>
      </c>
      <c r="D308" s="1">
        <v>123.0</v>
      </c>
    </row>
    <row r="309">
      <c r="A309" s="1">
        <f t="shared" si="1"/>
        <v>4</v>
      </c>
      <c r="B309" s="63">
        <v>43269.0</v>
      </c>
      <c r="C309" s="1">
        <v>13.0</v>
      </c>
      <c r="D309" s="1">
        <v>270.0</v>
      </c>
    </row>
    <row r="310">
      <c r="A310" s="1">
        <f t="shared" si="1"/>
        <v>4</v>
      </c>
      <c r="B310" s="63">
        <v>43269.0</v>
      </c>
      <c r="C310" s="1">
        <v>14.0</v>
      </c>
      <c r="D310" s="1">
        <v>114.0</v>
      </c>
    </row>
    <row r="311">
      <c r="A311" s="1">
        <f t="shared" si="1"/>
        <v>4</v>
      </c>
      <c r="B311" s="63">
        <v>43269.0</v>
      </c>
      <c r="C311" s="1">
        <v>15.0</v>
      </c>
      <c r="D311" s="1">
        <v>88.0</v>
      </c>
    </row>
    <row r="312">
      <c r="A312" s="1">
        <f t="shared" si="1"/>
        <v>4</v>
      </c>
      <c r="B312" s="63">
        <v>43269.0</v>
      </c>
      <c r="C312" s="1">
        <v>16.0</v>
      </c>
      <c r="D312" s="1">
        <v>116.0</v>
      </c>
    </row>
    <row r="313">
      <c r="A313" s="1">
        <f t="shared" si="1"/>
        <v>4</v>
      </c>
      <c r="B313" s="63">
        <v>43269.0</v>
      </c>
      <c r="C313" s="1">
        <v>17.0</v>
      </c>
      <c r="D313" s="1">
        <v>268.0</v>
      </c>
    </row>
    <row r="314">
      <c r="A314" s="1">
        <f t="shared" si="1"/>
        <v>4</v>
      </c>
      <c r="B314" s="63">
        <v>43269.0</v>
      </c>
      <c r="C314" s="1">
        <v>18.0</v>
      </c>
      <c r="D314" s="1">
        <v>98.0</v>
      </c>
    </row>
    <row r="315">
      <c r="A315" s="1">
        <f t="shared" si="1"/>
        <v>4</v>
      </c>
      <c r="B315" s="63">
        <v>43269.0</v>
      </c>
      <c r="C315" s="1">
        <v>19.0</v>
      </c>
      <c r="D315" s="1">
        <v>21.0</v>
      </c>
    </row>
    <row r="316">
      <c r="A316" s="1">
        <f t="shared" si="1"/>
        <v>4</v>
      </c>
      <c r="B316" s="63">
        <v>43270.0</v>
      </c>
      <c r="C316" s="1">
        <v>0.0</v>
      </c>
      <c r="D316" s="1">
        <v>1116.0</v>
      </c>
    </row>
    <row r="317">
      <c r="A317" s="1">
        <f t="shared" si="1"/>
        <v>4</v>
      </c>
      <c r="B317" s="63">
        <v>43270.0</v>
      </c>
      <c r="C317" s="1">
        <v>1.0</v>
      </c>
      <c r="D317" s="1">
        <v>16.0</v>
      </c>
    </row>
    <row r="318">
      <c r="A318" s="1">
        <f t="shared" si="1"/>
        <v>4</v>
      </c>
      <c r="B318" s="63">
        <v>43270.0</v>
      </c>
      <c r="C318" s="1">
        <v>2.0</v>
      </c>
      <c r="D318" s="1">
        <v>24.0</v>
      </c>
    </row>
    <row r="319">
      <c r="A319" s="1">
        <f t="shared" si="1"/>
        <v>4</v>
      </c>
      <c r="B319" s="63">
        <v>43270.0</v>
      </c>
      <c r="C319" s="1">
        <v>3.0</v>
      </c>
      <c r="D319" s="1">
        <v>91.0</v>
      </c>
    </row>
    <row r="320">
      <c r="A320" s="1">
        <f t="shared" si="1"/>
        <v>4</v>
      </c>
      <c r="B320" s="63">
        <v>43270.0</v>
      </c>
      <c r="C320" s="1">
        <v>4.0</v>
      </c>
      <c r="D320" s="1">
        <v>300.0</v>
      </c>
    </row>
    <row r="321">
      <c r="A321" s="1">
        <f t="shared" si="1"/>
        <v>4</v>
      </c>
      <c r="B321" s="63">
        <v>43270.0</v>
      </c>
      <c r="C321" s="1">
        <v>5.0</v>
      </c>
      <c r="D321" s="1">
        <v>34.0</v>
      </c>
    </row>
    <row r="322">
      <c r="A322" s="1">
        <f t="shared" si="1"/>
        <v>4</v>
      </c>
      <c r="B322" s="63">
        <v>43270.0</v>
      </c>
      <c r="C322" s="1">
        <v>6.0</v>
      </c>
      <c r="D322" s="1">
        <v>53.0</v>
      </c>
    </row>
    <row r="323">
      <c r="A323" s="1">
        <f t="shared" si="1"/>
        <v>4</v>
      </c>
      <c r="B323" s="63">
        <v>43270.0</v>
      </c>
      <c r="C323" s="1">
        <v>7.0</v>
      </c>
      <c r="D323" s="1">
        <v>69.0</v>
      </c>
    </row>
    <row r="324">
      <c r="A324" s="1">
        <f t="shared" si="1"/>
        <v>4</v>
      </c>
      <c r="B324" s="63">
        <v>43270.0</v>
      </c>
      <c r="C324" s="1">
        <v>8.0</v>
      </c>
      <c r="D324" s="1">
        <v>217.0</v>
      </c>
    </row>
    <row r="325">
      <c r="A325" s="1">
        <f t="shared" si="1"/>
        <v>4</v>
      </c>
      <c r="B325" s="63">
        <v>43270.0</v>
      </c>
      <c r="C325" s="1">
        <v>9.0</v>
      </c>
      <c r="D325" s="1">
        <v>59.0</v>
      </c>
    </row>
    <row r="326">
      <c r="A326" s="1">
        <f t="shared" si="1"/>
        <v>4</v>
      </c>
      <c r="B326" s="63">
        <v>43270.0</v>
      </c>
      <c r="C326" s="1">
        <v>10.0</v>
      </c>
      <c r="D326" s="1">
        <v>63.0</v>
      </c>
    </row>
    <row r="327">
      <c r="A327" s="1">
        <f t="shared" si="1"/>
        <v>4</v>
      </c>
      <c r="B327" s="63">
        <v>43270.0</v>
      </c>
      <c r="C327" s="1">
        <v>11.0</v>
      </c>
      <c r="D327" s="1">
        <v>62.0</v>
      </c>
    </row>
    <row r="328">
      <c r="A328" s="1">
        <f t="shared" si="1"/>
        <v>4</v>
      </c>
      <c r="B328" s="63">
        <v>43270.0</v>
      </c>
      <c r="C328" s="1">
        <v>12.0</v>
      </c>
      <c r="D328" s="1">
        <v>89.0</v>
      </c>
    </row>
    <row r="329">
      <c r="A329" s="1">
        <f t="shared" si="1"/>
        <v>4</v>
      </c>
      <c r="B329" s="63">
        <v>43270.0</v>
      </c>
      <c r="C329" s="1">
        <v>13.0</v>
      </c>
      <c r="D329" s="1">
        <v>105.0</v>
      </c>
    </row>
    <row r="330">
      <c r="A330" s="1">
        <f t="shared" si="1"/>
        <v>4</v>
      </c>
      <c r="B330" s="63">
        <v>43270.0</v>
      </c>
      <c r="C330" s="1">
        <v>14.0</v>
      </c>
      <c r="D330" s="1">
        <v>65.0</v>
      </c>
    </row>
    <row r="331">
      <c r="A331" s="1">
        <f t="shared" si="1"/>
        <v>4</v>
      </c>
      <c r="B331" s="63">
        <v>43270.0</v>
      </c>
      <c r="C331" s="1">
        <v>15.0</v>
      </c>
      <c r="D331" s="1">
        <v>52.0</v>
      </c>
    </row>
    <row r="332">
      <c r="A332" s="1">
        <f t="shared" si="1"/>
        <v>4</v>
      </c>
      <c r="B332" s="63">
        <v>43270.0</v>
      </c>
      <c r="C332" s="1">
        <v>16.0</v>
      </c>
      <c r="D332" s="1">
        <v>48.0</v>
      </c>
    </row>
    <row r="333">
      <c r="A333" s="1">
        <f t="shared" si="1"/>
        <v>4</v>
      </c>
      <c r="B333" s="63">
        <v>43270.0</v>
      </c>
      <c r="C333" s="1">
        <v>17.0</v>
      </c>
      <c r="D333" s="1">
        <v>139.0</v>
      </c>
    </row>
    <row r="334">
      <c r="A334" s="1">
        <f t="shared" si="1"/>
        <v>4</v>
      </c>
      <c r="B334" s="63">
        <v>43270.0</v>
      </c>
      <c r="C334" s="1">
        <v>18.0</v>
      </c>
      <c r="D334" s="1">
        <v>46.0</v>
      </c>
    </row>
    <row r="335">
      <c r="A335" s="1">
        <f t="shared" si="1"/>
        <v>4</v>
      </c>
      <c r="B335" s="63">
        <v>43270.0</v>
      </c>
      <c r="C335" s="1">
        <v>19.0</v>
      </c>
      <c r="D335" s="1">
        <v>9.0</v>
      </c>
    </row>
    <row r="336">
      <c r="A336" s="1">
        <f t="shared" si="1"/>
        <v>4</v>
      </c>
      <c r="B336" s="63">
        <v>43271.0</v>
      </c>
      <c r="C336" s="1">
        <v>0.0</v>
      </c>
      <c r="D336" s="1">
        <v>1201.0</v>
      </c>
    </row>
    <row r="337">
      <c r="A337" s="1">
        <f t="shared" si="1"/>
        <v>4</v>
      </c>
      <c r="B337" s="63">
        <v>43271.0</v>
      </c>
      <c r="C337" s="1">
        <v>1.0</v>
      </c>
      <c r="D337" s="1">
        <v>20.0</v>
      </c>
    </row>
    <row r="338">
      <c r="A338" s="1">
        <f t="shared" si="1"/>
        <v>4</v>
      </c>
      <c r="B338" s="63">
        <v>43271.0</v>
      </c>
      <c r="C338" s="1">
        <v>2.0</v>
      </c>
      <c r="D338" s="1">
        <v>29.0</v>
      </c>
    </row>
    <row r="339">
      <c r="A339" s="1">
        <f t="shared" si="1"/>
        <v>4</v>
      </c>
      <c r="B339" s="63">
        <v>43271.0</v>
      </c>
      <c r="C339" s="1">
        <v>3.0</v>
      </c>
      <c r="D339" s="1">
        <v>115.0</v>
      </c>
    </row>
    <row r="340">
      <c r="A340" s="1">
        <f t="shared" si="1"/>
        <v>4</v>
      </c>
      <c r="B340" s="63">
        <v>43271.0</v>
      </c>
      <c r="C340" s="1">
        <v>4.0</v>
      </c>
      <c r="D340" s="1">
        <v>353.0</v>
      </c>
    </row>
    <row r="341">
      <c r="A341" s="1">
        <f t="shared" si="1"/>
        <v>4</v>
      </c>
      <c r="B341" s="63">
        <v>43271.0</v>
      </c>
      <c r="C341" s="1">
        <v>5.0</v>
      </c>
      <c r="D341" s="1">
        <v>44.0</v>
      </c>
    </row>
    <row r="342">
      <c r="A342" s="1">
        <f t="shared" si="1"/>
        <v>4</v>
      </c>
      <c r="B342" s="63">
        <v>43271.0</v>
      </c>
      <c r="C342" s="1">
        <v>6.0</v>
      </c>
      <c r="D342" s="1">
        <v>50.0</v>
      </c>
    </row>
    <row r="343">
      <c r="A343" s="1">
        <f t="shared" si="1"/>
        <v>4</v>
      </c>
      <c r="B343" s="63">
        <v>43271.0</v>
      </c>
      <c r="C343" s="1">
        <v>7.0</v>
      </c>
      <c r="D343" s="1">
        <v>69.0</v>
      </c>
    </row>
    <row r="344">
      <c r="A344" s="1">
        <f t="shared" si="1"/>
        <v>4</v>
      </c>
      <c r="B344" s="63">
        <v>43271.0</v>
      </c>
      <c r="C344" s="1">
        <v>8.0</v>
      </c>
      <c r="D344" s="1">
        <v>265.0</v>
      </c>
    </row>
    <row r="345">
      <c r="A345" s="1">
        <f t="shared" si="1"/>
        <v>4</v>
      </c>
      <c r="B345" s="63">
        <v>43271.0</v>
      </c>
      <c r="C345" s="1">
        <v>9.0</v>
      </c>
      <c r="D345" s="1">
        <v>56.0</v>
      </c>
    </row>
    <row r="346">
      <c r="A346" s="1">
        <f t="shared" si="1"/>
        <v>4</v>
      </c>
      <c r="B346" s="63">
        <v>43271.0</v>
      </c>
      <c r="C346" s="1">
        <v>10.0</v>
      </c>
      <c r="D346" s="1">
        <v>61.0</v>
      </c>
    </row>
    <row r="347">
      <c r="A347" s="1">
        <f t="shared" si="1"/>
        <v>4</v>
      </c>
      <c r="B347" s="63">
        <v>43271.0</v>
      </c>
      <c r="C347" s="1">
        <v>11.0</v>
      </c>
      <c r="D347" s="1">
        <v>62.0</v>
      </c>
    </row>
    <row r="348">
      <c r="A348" s="1">
        <f t="shared" si="1"/>
        <v>4</v>
      </c>
      <c r="B348" s="63">
        <v>43271.0</v>
      </c>
      <c r="C348" s="1">
        <v>12.0</v>
      </c>
      <c r="D348" s="1">
        <v>131.0</v>
      </c>
    </row>
    <row r="349">
      <c r="A349" s="1">
        <f t="shared" si="1"/>
        <v>4</v>
      </c>
      <c r="B349" s="63">
        <v>43271.0</v>
      </c>
      <c r="C349" s="1">
        <v>13.0</v>
      </c>
      <c r="D349" s="1">
        <v>90.0</v>
      </c>
    </row>
    <row r="350">
      <c r="A350" s="1">
        <f t="shared" si="1"/>
        <v>4</v>
      </c>
      <c r="B350" s="63">
        <v>43271.0</v>
      </c>
      <c r="C350" s="1">
        <v>14.0</v>
      </c>
      <c r="D350" s="1">
        <v>49.0</v>
      </c>
    </row>
    <row r="351">
      <c r="A351" s="1">
        <f t="shared" si="1"/>
        <v>4</v>
      </c>
      <c r="B351" s="63">
        <v>43271.0</v>
      </c>
      <c r="C351" s="1">
        <v>15.0</v>
      </c>
      <c r="D351" s="1">
        <v>52.0</v>
      </c>
    </row>
    <row r="352">
      <c r="A352" s="1">
        <f t="shared" si="1"/>
        <v>4</v>
      </c>
      <c r="B352" s="63">
        <v>43271.0</v>
      </c>
      <c r="C352" s="1">
        <v>16.0</v>
      </c>
      <c r="D352" s="1">
        <v>67.0</v>
      </c>
    </row>
    <row r="353">
      <c r="A353" s="1">
        <f t="shared" si="1"/>
        <v>4</v>
      </c>
      <c r="B353" s="63">
        <v>43271.0</v>
      </c>
      <c r="C353" s="1">
        <v>17.0</v>
      </c>
      <c r="D353" s="1">
        <v>108.0</v>
      </c>
    </row>
    <row r="354">
      <c r="A354" s="1">
        <f t="shared" si="1"/>
        <v>4</v>
      </c>
      <c r="B354" s="63">
        <v>43271.0</v>
      </c>
      <c r="C354" s="1">
        <v>18.0</v>
      </c>
      <c r="D354" s="1">
        <v>49.0</v>
      </c>
    </row>
    <row r="355">
      <c r="A355" s="1">
        <f t="shared" si="1"/>
        <v>4</v>
      </c>
      <c r="B355" s="63">
        <v>43272.0</v>
      </c>
      <c r="C355" s="1">
        <v>0.0</v>
      </c>
      <c r="D355" s="1">
        <v>1016.0</v>
      </c>
    </row>
    <row r="356">
      <c r="A356" s="1">
        <f t="shared" si="1"/>
        <v>4</v>
      </c>
      <c r="B356" s="63">
        <v>43272.0</v>
      </c>
      <c r="C356" s="1">
        <v>1.0</v>
      </c>
      <c r="D356" s="1">
        <v>10.0</v>
      </c>
    </row>
    <row r="357">
      <c r="A357" s="1">
        <f t="shared" si="1"/>
        <v>4</v>
      </c>
      <c r="B357" s="63">
        <v>43272.0</v>
      </c>
      <c r="C357" s="1">
        <v>2.0</v>
      </c>
      <c r="D357" s="1">
        <v>26.0</v>
      </c>
    </row>
    <row r="358">
      <c r="A358" s="1">
        <f t="shared" si="1"/>
        <v>4</v>
      </c>
      <c r="B358" s="63">
        <v>43272.0</v>
      </c>
      <c r="C358" s="1">
        <v>3.0</v>
      </c>
      <c r="D358" s="1">
        <v>75.0</v>
      </c>
    </row>
    <row r="359">
      <c r="A359" s="1">
        <f t="shared" si="1"/>
        <v>4</v>
      </c>
      <c r="B359" s="63">
        <v>43272.0</v>
      </c>
      <c r="C359" s="1">
        <v>4.0</v>
      </c>
      <c r="D359" s="1">
        <v>310.0</v>
      </c>
    </row>
    <row r="360">
      <c r="A360" s="1">
        <f t="shared" si="1"/>
        <v>4</v>
      </c>
      <c r="B360" s="63">
        <v>43272.0</v>
      </c>
      <c r="C360" s="1">
        <v>5.0</v>
      </c>
      <c r="D360" s="1">
        <v>40.0</v>
      </c>
    </row>
    <row r="361">
      <c r="A361" s="1">
        <f t="shared" si="1"/>
        <v>4</v>
      </c>
      <c r="B361" s="63">
        <v>43272.0</v>
      </c>
      <c r="C361" s="1">
        <v>6.0</v>
      </c>
      <c r="D361" s="1">
        <v>30.0</v>
      </c>
    </row>
    <row r="362">
      <c r="A362" s="1">
        <f t="shared" si="1"/>
        <v>4</v>
      </c>
      <c r="B362" s="63">
        <v>43272.0</v>
      </c>
      <c r="C362" s="1">
        <v>7.0</v>
      </c>
      <c r="D362" s="1">
        <v>47.0</v>
      </c>
    </row>
    <row r="363">
      <c r="A363" s="1">
        <f t="shared" si="1"/>
        <v>4</v>
      </c>
      <c r="B363" s="63">
        <v>43272.0</v>
      </c>
      <c r="C363" s="1">
        <v>8.0</v>
      </c>
      <c r="D363" s="1">
        <v>155.0</v>
      </c>
    </row>
    <row r="364">
      <c r="A364" s="1">
        <f t="shared" si="1"/>
        <v>4</v>
      </c>
      <c r="B364" s="63">
        <v>43272.0</v>
      </c>
      <c r="C364" s="1">
        <v>9.0</v>
      </c>
      <c r="D364" s="1">
        <v>110.0</v>
      </c>
    </row>
    <row r="365">
      <c r="A365" s="1">
        <f t="shared" si="1"/>
        <v>4</v>
      </c>
      <c r="B365" s="63">
        <v>43272.0</v>
      </c>
      <c r="C365" s="1">
        <v>10.0</v>
      </c>
      <c r="D365" s="1">
        <v>57.0</v>
      </c>
    </row>
    <row r="366">
      <c r="A366" s="1">
        <f t="shared" si="1"/>
        <v>4</v>
      </c>
      <c r="B366" s="63">
        <v>43272.0</v>
      </c>
      <c r="C366" s="1">
        <v>11.0</v>
      </c>
      <c r="D366" s="1">
        <v>45.0</v>
      </c>
    </row>
    <row r="367">
      <c r="A367" s="1">
        <f t="shared" si="1"/>
        <v>4</v>
      </c>
      <c r="B367" s="63">
        <v>43272.0</v>
      </c>
      <c r="C367" s="1">
        <v>12.0</v>
      </c>
      <c r="D367" s="1">
        <v>38.0</v>
      </c>
    </row>
    <row r="368">
      <c r="A368" s="1">
        <f t="shared" si="1"/>
        <v>4</v>
      </c>
      <c r="B368" s="63">
        <v>43272.0</v>
      </c>
      <c r="C368" s="1">
        <v>13.0</v>
      </c>
      <c r="D368" s="1">
        <v>124.0</v>
      </c>
    </row>
    <row r="369">
      <c r="A369" s="1">
        <f t="shared" si="1"/>
        <v>4</v>
      </c>
      <c r="B369" s="63">
        <v>43272.0</v>
      </c>
      <c r="C369" s="1">
        <v>14.0</v>
      </c>
      <c r="D369" s="1">
        <v>62.0</v>
      </c>
    </row>
    <row r="370">
      <c r="A370" s="1">
        <f t="shared" si="1"/>
        <v>4</v>
      </c>
      <c r="B370" s="63">
        <v>43272.0</v>
      </c>
      <c r="C370" s="1">
        <v>15.0</v>
      </c>
      <c r="D370" s="1">
        <v>39.0</v>
      </c>
    </row>
    <row r="371">
      <c r="A371" s="1">
        <f t="shared" si="1"/>
        <v>4</v>
      </c>
      <c r="B371" s="63">
        <v>43272.0</v>
      </c>
      <c r="C371" s="1">
        <v>16.0</v>
      </c>
      <c r="D371" s="1">
        <v>45.0</v>
      </c>
    </row>
    <row r="372">
      <c r="A372" s="1">
        <f t="shared" si="1"/>
        <v>4</v>
      </c>
      <c r="B372" s="63">
        <v>43272.0</v>
      </c>
      <c r="C372" s="1">
        <v>17.0</v>
      </c>
      <c r="D372" s="1">
        <v>74.0</v>
      </c>
    </row>
    <row r="373">
      <c r="A373" s="1">
        <f t="shared" si="1"/>
        <v>4</v>
      </c>
      <c r="B373" s="63">
        <v>43272.0</v>
      </c>
      <c r="C373" s="1">
        <v>18.0</v>
      </c>
      <c r="D373" s="1">
        <v>70.0</v>
      </c>
    </row>
    <row r="374">
      <c r="A374" s="1">
        <f t="shared" si="1"/>
        <v>4</v>
      </c>
      <c r="B374" s="63">
        <v>43273.0</v>
      </c>
      <c r="C374" s="1">
        <v>0.0</v>
      </c>
      <c r="D374" s="1">
        <v>1115.0</v>
      </c>
    </row>
    <row r="375">
      <c r="A375" s="1">
        <f t="shared" si="1"/>
        <v>4</v>
      </c>
      <c r="B375" s="63">
        <v>43273.0</v>
      </c>
      <c r="C375" s="1">
        <v>1.0</v>
      </c>
      <c r="D375" s="1">
        <v>20.0</v>
      </c>
    </row>
    <row r="376">
      <c r="A376" s="1">
        <f t="shared" si="1"/>
        <v>4</v>
      </c>
      <c r="B376" s="63">
        <v>43273.0</v>
      </c>
      <c r="C376" s="1">
        <v>2.0</v>
      </c>
      <c r="D376" s="1">
        <v>22.0</v>
      </c>
    </row>
    <row r="377">
      <c r="A377" s="1">
        <f t="shared" si="1"/>
        <v>4</v>
      </c>
      <c r="B377" s="63">
        <v>43273.0</v>
      </c>
      <c r="C377" s="1">
        <v>3.0</v>
      </c>
      <c r="D377" s="1">
        <v>85.0</v>
      </c>
    </row>
    <row r="378">
      <c r="A378" s="1">
        <f t="shared" si="1"/>
        <v>4</v>
      </c>
      <c r="B378" s="63">
        <v>43273.0</v>
      </c>
      <c r="C378" s="1">
        <v>4.0</v>
      </c>
      <c r="D378" s="1">
        <v>317.0</v>
      </c>
    </row>
    <row r="379">
      <c r="A379" s="1">
        <f t="shared" si="1"/>
        <v>4</v>
      </c>
      <c r="B379" s="63">
        <v>43273.0</v>
      </c>
      <c r="C379" s="1">
        <v>5.0</v>
      </c>
      <c r="D379" s="1">
        <v>43.0</v>
      </c>
    </row>
    <row r="380">
      <c r="A380" s="1">
        <f t="shared" si="1"/>
        <v>4</v>
      </c>
      <c r="B380" s="63">
        <v>43273.0</v>
      </c>
      <c r="C380" s="1">
        <v>6.0</v>
      </c>
      <c r="D380" s="1">
        <v>41.0</v>
      </c>
    </row>
    <row r="381">
      <c r="A381" s="1">
        <f t="shared" si="1"/>
        <v>4</v>
      </c>
      <c r="B381" s="63">
        <v>43273.0</v>
      </c>
      <c r="C381" s="1">
        <v>7.0</v>
      </c>
      <c r="D381" s="1">
        <v>66.0</v>
      </c>
    </row>
    <row r="382">
      <c r="A382" s="1">
        <f t="shared" si="1"/>
        <v>4</v>
      </c>
      <c r="B382" s="63">
        <v>43273.0</v>
      </c>
      <c r="C382" s="1">
        <v>8.0</v>
      </c>
      <c r="D382" s="1">
        <v>208.0</v>
      </c>
    </row>
    <row r="383">
      <c r="A383" s="1">
        <f t="shared" si="1"/>
        <v>4</v>
      </c>
      <c r="B383" s="63">
        <v>43273.0</v>
      </c>
      <c r="C383" s="1">
        <v>9.0</v>
      </c>
      <c r="D383" s="1">
        <v>78.0</v>
      </c>
    </row>
    <row r="384">
      <c r="A384" s="1">
        <f t="shared" si="1"/>
        <v>4</v>
      </c>
      <c r="B384" s="63">
        <v>43273.0</v>
      </c>
      <c r="C384" s="1">
        <v>10.0</v>
      </c>
      <c r="D384" s="1">
        <v>72.0</v>
      </c>
    </row>
    <row r="385">
      <c r="A385" s="1">
        <f t="shared" si="1"/>
        <v>4</v>
      </c>
      <c r="B385" s="63">
        <v>43273.0</v>
      </c>
      <c r="C385" s="1">
        <v>11.0</v>
      </c>
      <c r="D385" s="1">
        <v>59.0</v>
      </c>
    </row>
    <row r="386">
      <c r="A386" s="1">
        <f t="shared" si="1"/>
        <v>4</v>
      </c>
      <c r="B386" s="63">
        <v>43273.0</v>
      </c>
      <c r="C386" s="1">
        <v>12.0</v>
      </c>
      <c r="D386" s="1">
        <v>68.0</v>
      </c>
    </row>
    <row r="387">
      <c r="A387" s="1">
        <f t="shared" si="1"/>
        <v>4</v>
      </c>
      <c r="B387" s="63">
        <v>43273.0</v>
      </c>
      <c r="C387" s="1">
        <v>13.0</v>
      </c>
      <c r="D387" s="1">
        <v>115.0</v>
      </c>
    </row>
    <row r="388">
      <c r="A388" s="1">
        <f t="shared" si="1"/>
        <v>4</v>
      </c>
      <c r="B388" s="63">
        <v>43273.0</v>
      </c>
      <c r="C388" s="1">
        <v>14.0</v>
      </c>
      <c r="D388" s="1">
        <v>57.0</v>
      </c>
    </row>
    <row r="389">
      <c r="A389" s="1">
        <f t="shared" si="1"/>
        <v>4</v>
      </c>
      <c r="B389" s="63">
        <v>43273.0</v>
      </c>
      <c r="C389" s="1">
        <v>15.0</v>
      </c>
      <c r="D389" s="1">
        <v>40.0</v>
      </c>
    </row>
    <row r="390">
      <c r="A390" s="1">
        <f t="shared" si="1"/>
        <v>4</v>
      </c>
      <c r="B390" s="63">
        <v>43273.0</v>
      </c>
      <c r="C390" s="1">
        <v>16.0</v>
      </c>
      <c r="D390" s="1">
        <v>62.0</v>
      </c>
    </row>
    <row r="391">
      <c r="A391" s="1">
        <f t="shared" si="1"/>
        <v>4</v>
      </c>
      <c r="B391" s="63">
        <v>43273.0</v>
      </c>
      <c r="C391" s="1">
        <v>17.0</v>
      </c>
      <c r="D391" s="1">
        <v>101.0</v>
      </c>
    </row>
    <row r="392">
      <c r="A392" s="1">
        <f t="shared" si="1"/>
        <v>4</v>
      </c>
      <c r="B392" s="63">
        <v>43273.0</v>
      </c>
      <c r="C392" s="1">
        <v>18.0</v>
      </c>
      <c r="D392" s="1">
        <v>47.0</v>
      </c>
    </row>
    <row r="393">
      <c r="A393" s="1">
        <f t="shared" si="1"/>
        <v>4</v>
      </c>
      <c r="B393" s="63">
        <v>43274.0</v>
      </c>
      <c r="C393" s="1">
        <v>0.0</v>
      </c>
      <c r="D393" s="1">
        <v>1117.0</v>
      </c>
    </row>
    <row r="394">
      <c r="A394" s="1">
        <f t="shared" si="1"/>
        <v>4</v>
      </c>
      <c r="B394" s="63">
        <v>43274.0</v>
      </c>
      <c r="C394" s="1">
        <v>1.0</v>
      </c>
      <c r="D394" s="1">
        <v>23.0</v>
      </c>
    </row>
    <row r="395">
      <c r="A395" s="1">
        <f t="shared" si="1"/>
        <v>4</v>
      </c>
      <c r="B395" s="63">
        <v>43274.0</v>
      </c>
      <c r="C395" s="1">
        <v>2.0</v>
      </c>
      <c r="D395" s="1">
        <v>22.0</v>
      </c>
    </row>
    <row r="396">
      <c r="A396" s="1">
        <f t="shared" si="1"/>
        <v>4</v>
      </c>
      <c r="B396" s="63">
        <v>43274.0</v>
      </c>
      <c r="C396" s="1">
        <v>3.0</v>
      </c>
      <c r="D396" s="1">
        <v>82.0</v>
      </c>
    </row>
    <row r="397">
      <c r="A397" s="1">
        <f t="shared" si="1"/>
        <v>4</v>
      </c>
      <c r="B397" s="63">
        <v>43274.0</v>
      </c>
      <c r="C397" s="1">
        <v>4.0</v>
      </c>
      <c r="D397" s="1">
        <v>320.0</v>
      </c>
    </row>
    <row r="398">
      <c r="A398" s="1">
        <f t="shared" si="1"/>
        <v>4</v>
      </c>
      <c r="B398" s="63">
        <v>43274.0</v>
      </c>
      <c r="C398" s="1">
        <v>5.0</v>
      </c>
      <c r="D398" s="1">
        <v>47.0</v>
      </c>
    </row>
    <row r="399">
      <c r="A399" s="1">
        <f t="shared" si="1"/>
        <v>4</v>
      </c>
      <c r="B399" s="63">
        <v>43274.0</v>
      </c>
      <c r="C399" s="1">
        <v>6.0</v>
      </c>
      <c r="D399" s="1">
        <v>36.0</v>
      </c>
    </row>
    <row r="400">
      <c r="A400" s="1">
        <f t="shared" si="1"/>
        <v>4</v>
      </c>
      <c r="B400" s="63">
        <v>43274.0</v>
      </c>
      <c r="C400" s="1">
        <v>7.0</v>
      </c>
      <c r="D400" s="1">
        <v>65.0</v>
      </c>
    </row>
    <row r="401">
      <c r="A401" s="1">
        <f t="shared" si="1"/>
        <v>4</v>
      </c>
      <c r="B401" s="63">
        <v>43274.0</v>
      </c>
      <c r="C401" s="1">
        <v>8.0</v>
      </c>
      <c r="D401" s="1">
        <v>217.0</v>
      </c>
    </row>
    <row r="402">
      <c r="A402" s="1">
        <f t="shared" si="1"/>
        <v>4</v>
      </c>
      <c r="B402" s="63">
        <v>43274.0</v>
      </c>
      <c r="C402" s="1">
        <v>9.0</v>
      </c>
      <c r="D402" s="1">
        <v>74.0</v>
      </c>
    </row>
    <row r="403">
      <c r="A403" s="1">
        <f t="shared" si="1"/>
        <v>4</v>
      </c>
      <c r="B403" s="63">
        <v>43274.0</v>
      </c>
      <c r="C403" s="1">
        <v>10.0</v>
      </c>
      <c r="D403" s="1">
        <v>71.0</v>
      </c>
    </row>
    <row r="404">
      <c r="A404" s="1">
        <f t="shared" si="1"/>
        <v>4</v>
      </c>
      <c r="B404" s="63">
        <v>43274.0</v>
      </c>
      <c r="C404" s="1">
        <v>11.0</v>
      </c>
      <c r="D404" s="1">
        <v>43.0</v>
      </c>
    </row>
    <row r="405">
      <c r="A405" s="1">
        <f t="shared" si="1"/>
        <v>4</v>
      </c>
      <c r="B405" s="63">
        <v>43274.0</v>
      </c>
      <c r="C405" s="1">
        <v>12.0</v>
      </c>
      <c r="D405" s="1">
        <v>52.0</v>
      </c>
    </row>
    <row r="406">
      <c r="A406" s="1">
        <f t="shared" si="1"/>
        <v>4</v>
      </c>
      <c r="B406" s="63">
        <v>43274.0</v>
      </c>
      <c r="C406" s="1">
        <v>13.0</v>
      </c>
      <c r="D406" s="1">
        <v>152.0</v>
      </c>
    </row>
    <row r="407">
      <c r="A407" s="1">
        <f t="shared" si="1"/>
        <v>4</v>
      </c>
      <c r="B407" s="63">
        <v>43274.0</v>
      </c>
      <c r="C407" s="1">
        <v>14.0</v>
      </c>
      <c r="D407" s="1">
        <v>53.0</v>
      </c>
    </row>
    <row r="408">
      <c r="A408" s="1">
        <f t="shared" si="1"/>
        <v>4</v>
      </c>
      <c r="B408" s="63">
        <v>43274.0</v>
      </c>
      <c r="C408" s="1">
        <v>15.0</v>
      </c>
      <c r="D408" s="1">
        <v>37.0</v>
      </c>
    </row>
    <row r="409">
      <c r="A409" s="1">
        <f t="shared" si="1"/>
        <v>4</v>
      </c>
      <c r="B409" s="63">
        <v>43274.0</v>
      </c>
      <c r="C409" s="1">
        <v>16.0</v>
      </c>
      <c r="D409" s="1">
        <v>60.0</v>
      </c>
    </row>
    <row r="410">
      <c r="A410" s="1">
        <f t="shared" si="1"/>
        <v>4</v>
      </c>
      <c r="B410" s="63">
        <v>43274.0</v>
      </c>
      <c r="C410" s="1">
        <v>17.0</v>
      </c>
      <c r="D410" s="1">
        <v>140.0</v>
      </c>
    </row>
    <row r="411">
      <c r="A411" s="1">
        <f t="shared" si="1"/>
        <v>4</v>
      </c>
      <c r="B411" s="63">
        <v>43274.0</v>
      </c>
      <c r="C411" s="1">
        <v>18.0</v>
      </c>
      <c r="D411" s="1">
        <v>23.0</v>
      </c>
    </row>
    <row r="412">
      <c r="A412" s="1">
        <f t="shared" si="1"/>
        <v>5</v>
      </c>
      <c r="B412" s="63">
        <v>43276.0</v>
      </c>
      <c r="C412" s="1">
        <v>0.0</v>
      </c>
      <c r="D412" s="1">
        <v>2095.0</v>
      </c>
    </row>
    <row r="413">
      <c r="A413" s="1">
        <f t="shared" si="1"/>
        <v>5</v>
      </c>
      <c r="B413" s="63">
        <v>43276.0</v>
      </c>
      <c r="C413" s="1">
        <v>1.0</v>
      </c>
      <c r="D413" s="1">
        <v>38.0</v>
      </c>
    </row>
    <row r="414">
      <c r="A414" s="1">
        <f t="shared" si="1"/>
        <v>5</v>
      </c>
      <c r="B414" s="63">
        <v>43276.0</v>
      </c>
      <c r="C414" s="1">
        <v>2.0</v>
      </c>
      <c r="D414" s="1">
        <v>67.0</v>
      </c>
    </row>
    <row r="415">
      <c r="A415" s="1">
        <f t="shared" si="1"/>
        <v>5</v>
      </c>
      <c r="B415" s="63">
        <v>43276.0</v>
      </c>
      <c r="C415" s="1">
        <v>3.0</v>
      </c>
      <c r="D415" s="1">
        <v>135.0</v>
      </c>
    </row>
    <row r="416">
      <c r="A416" s="1">
        <f t="shared" si="1"/>
        <v>5</v>
      </c>
      <c r="B416" s="63">
        <v>43276.0</v>
      </c>
      <c r="C416" s="1">
        <v>4.0</v>
      </c>
      <c r="D416" s="1">
        <v>603.0</v>
      </c>
    </row>
    <row r="417">
      <c r="A417" s="1">
        <f t="shared" si="1"/>
        <v>5</v>
      </c>
      <c r="B417" s="63">
        <v>43276.0</v>
      </c>
      <c r="C417" s="1">
        <v>5.0</v>
      </c>
      <c r="D417" s="1">
        <v>100.0</v>
      </c>
    </row>
    <row r="418">
      <c r="A418" s="1">
        <f t="shared" si="1"/>
        <v>5</v>
      </c>
      <c r="B418" s="63">
        <v>43276.0</v>
      </c>
      <c r="C418" s="1">
        <v>6.0</v>
      </c>
      <c r="D418" s="1">
        <v>78.0</v>
      </c>
    </row>
    <row r="419">
      <c r="A419" s="1">
        <f t="shared" si="1"/>
        <v>5</v>
      </c>
      <c r="B419" s="63">
        <v>43276.0</v>
      </c>
      <c r="C419" s="1">
        <v>7.0</v>
      </c>
      <c r="D419" s="1">
        <v>99.0</v>
      </c>
    </row>
    <row r="420">
      <c r="A420" s="1">
        <f t="shared" si="1"/>
        <v>5</v>
      </c>
      <c r="B420" s="63">
        <v>43276.0</v>
      </c>
      <c r="C420" s="1">
        <v>8.0</v>
      </c>
      <c r="D420" s="1">
        <v>430.0</v>
      </c>
    </row>
    <row r="421">
      <c r="A421" s="1">
        <f t="shared" si="1"/>
        <v>5</v>
      </c>
      <c r="B421" s="63">
        <v>43276.0</v>
      </c>
      <c r="C421" s="1">
        <v>9.0</v>
      </c>
      <c r="D421" s="1">
        <v>139.0</v>
      </c>
    </row>
    <row r="422">
      <c r="A422" s="1">
        <f t="shared" si="1"/>
        <v>5</v>
      </c>
      <c r="B422" s="63">
        <v>43276.0</v>
      </c>
      <c r="C422" s="1">
        <v>10.0</v>
      </c>
      <c r="D422" s="1">
        <v>120.0</v>
      </c>
    </row>
    <row r="423">
      <c r="A423" s="1">
        <f t="shared" si="1"/>
        <v>5</v>
      </c>
      <c r="B423" s="63">
        <v>43276.0</v>
      </c>
      <c r="C423" s="1">
        <v>11.0</v>
      </c>
      <c r="D423" s="1">
        <v>94.0</v>
      </c>
    </row>
    <row r="424">
      <c r="A424" s="1">
        <f t="shared" si="1"/>
        <v>5</v>
      </c>
      <c r="B424" s="63">
        <v>43276.0</v>
      </c>
      <c r="C424" s="1">
        <v>12.0</v>
      </c>
      <c r="D424" s="1">
        <v>120.0</v>
      </c>
    </row>
    <row r="425">
      <c r="A425" s="1">
        <f t="shared" si="1"/>
        <v>5</v>
      </c>
      <c r="B425" s="63">
        <v>43276.0</v>
      </c>
      <c r="C425" s="1">
        <v>13.0</v>
      </c>
      <c r="D425" s="1">
        <v>278.0</v>
      </c>
    </row>
    <row r="426">
      <c r="A426" s="1">
        <f t="shared" si="1"/>
        <v>5</v>
      </c>
      <c r="B426" s="63">
        <v>43276.0</v>
      </c>
      <c r="C426" s="1">
        <v>14.0</v>
      </c>
      <c r="D426" s="1">
        <v>92.0</v>
      </c>
    </row>
    <row r="427">
      <c r="A427" s="1">
        <f t="shared" si="1"/>
        <v>5</v>
      </c>
      <c r="B427" s="63">
        <v>43276.0</v>
      </c>
      <c r="C427" s="1">
        <v>15.0</v>
      </c>
      <c r="D427" s="1">
        <v>71.0</v>
      </c>
    </row>
    <row r="428">
      <c r="A428" s="1">
        <f t="shared" si="1"/>
        <v>5</v>
      </c>
      <c r="B428" s="63">
        <v>43276.0</v>
      </c>
      <c r="C428" s="1">
        <v>16.0</v>
      </c>
      <c r="D428" s="1">
        <v>135.0</v>
      </c>
    </row>
    <row r="429">
      <c r="A429" s="1">
        <f t="shared" si="1"/>
        <v>5</v>
      </c>
      <c r="B429" s="63">
        <v>43276.0</v>
      </c>
      <c r="C429" s="1">
        <v>17.0</v>
      </c>
      <c r="D429" s="1">
        <v>236.0</v>
      </c>
    </row>
    <row r="430">
      <c r="A430" s="1">
        <f t="shared" si="1"/>
        <v>5</v>
      </c>
      <c r="B430" s="63">
        <v>43276.0</v>
      </c>
      <c r="C430" s="1">
        <v>18.0</v>
      </c>
      <c r="D430" s="1">
        <v>32.0</v>
      </c>
    </row>
    <row r="431">
      <c r="A431" s="1">
        <f t="shared" si="1"/>
        <v>5</v>
      </c>
      <c r="B431" s="63">
        <v>43277.0</v>
      </c>
      <c r="C431" s="1">
        <v>0.0</v>
      </c>
      <c r="D431" s="1">
        <v>1092.0</v>
      </c>
    </row>
    <row r="432">
      <c r="A432" s="1">
        <f t="shared" si="1"/>
        <v>5</v>
      </c>
      <c r="B432" s="63">
        <v>43277.0</v>
      </c>
      <c r="C432" s="1">
        <v>1.0</v>
      </c>
      <c r="D432" s="1">
        <v>23.0</v>
      </c>
    </row>
    <row r="433">
      <c r="A433" s="1">
        <f t="shared" si="1"/>
        <v>5</v>
      </c>
      <c r="B433" s="63">
        <v>43277.0</v>
      </c>
      <c r="C433" s="1">
        <v>2.0</v>
      </c>
      <c r="D433" s="1">
        <v>28.0</v>
      </c>
    </row>
    <row r="434">
      <c r="A434" s="1">
        <f t="shared" si="1"/>
        <v>5</v>
      </c>
      <c r="B434" s="63">
        <v>43277.0</v>
      </c>
      <c r="C434" s="1">
        <v>3.0</v>
      </c>
      <c r="D434" s="1">
        <v>84.0</v>
      </c>
    </row>
    <row r="435">
      <c r="A435" s="1">
        <f t="shared" si="1"/>
        <v>5</v>
      </c>
      <c r="B435" s="63">
        <v>43277.0</v>
      </c>
      <c r="C435" s="1">
        <v>4.0</v>
      </c>
      <c r="D435" s="1">
        <v>299.0</v>
      </c>
    </row>
    <row r="436">
      <c r="A436" s="1">
        <f t="shared" si="1"/>
        <v>5</v>
      </c>
      <c r="B436" s="63">
        <v>43277.0</v>
      </c>
      <c r="C436" s="1">
        <v>5.0</v>
      </c>
      <c r="D436" s="1">
        <v>35.0</v>
      </c>
    </row>
    <row r="437">
      <c r="A437" s="1">
        <f t="shared" si="1"/>
        <v>5</v>
      </c>
      <c r="B437" s="63">
        <v>43277.0</v>
      </c>
      <c r="C437" s="1">
        <v>6.0</v>
      </c>
      <c r="D437" s="1">
        <v>40.0</v>
      </c>
    </row>
    <row r="438">
      <c r="A438" s="1">
        <f t="shared" si="1"/>
        <v>5</v>
      </c>
      <c r="B438" s="63">
        <v>43277.0</v>
      </c>
      <c r="C438" s="1">
        <v>7.0</v>
      </c>
      <c r="D438" s="1">
        <v>71.0</v>
      </c>
    </row>
    <row r="439">
      <c r="A439" s="1">
        <f t="shared" si="1"/>
        <v>5</v>
      </c>
      <c r="B439" s="63">
        <v>43277.0</v>
      </c>
      <c r="C439" s="1">
        <v>8.0</v>
      </c>
      <c r="D439" s="1">
        <v>231.0</v>
      </c>
    </row>
    <row r="440">
      <c r="A440" s="1">
        <f t="shared" si="1"/>
        <v>5</v>
      </c>
      <c r="B440" s="63">
        <v>43277.0</v>
      </c>
      <c r="C440" s="1">
        <v>9.0</v>
      </c>
      <c r="D440" s="1">
        <v>47.0</v>
      </c>
    </row>
    <row r="441">
      <c r="A441" s="1">
        <f t="shared" si="1"/>
        <v>5</v>
      </c>
      <c r="B441" s="63">
        <v>43277.0</v>
      </c>
      <c r="C441" s="1">
        <v>10.0</v>
      </c>
      <c r="D441" s="1">
        <v>72.0</v>
      </c>
    </row>
    <row r="442">
      <c r="A442" s="1">
        <f t="shared" si="1"/>
        <v>5</v>
      </c>
      <c r="B442" s="63">
        <v>43277.0</v>
      </c>
      <c r="C442" s="1">
        <v>11.0</v>
      </c>
      <c r="D442" s="1">
        <v>53.0</v>
      </c>
    </row>
    <row r="443">
      <c r="A443" s="1">
        <f t="shared" si="1"/>
        <v>5</v>
      </c>
      <c r="B443" s="63">
        <v>43277.0</v>
      </c>
      <c r="C443" s="1">
        <v>12.0</v>
      </c>
      <c r="D443" s="1">
        <v>93.0</v>
      </c>
    </row>
    <row r="444">
      <c r="A444" s="1">
        <f t="shared" si="1"/>
        <v>5</v>
      </c>
      <c r="B444" s="63">
        <v>43277.0</v>
      </c>
      <c r="C444" s="1">
        <v>13.0</v>
      </c>
      <c r="D444" s="1">
        <v>116.0</v>
      </c>
    </row>
    <row r="445">
      <c r="A445" s="1">
        <f t="shared" si="1"/>
        <v>5</v>
      </c>
      <c r="B445" s="63">
        <v>43277.0</v>
      </c>
      <c r="C445" s="1">
        <v>14.0</v>
      </c>
      <c r="D445" s="1">
        <v>37.0</v>
      </c>
    </row>
    <row r="446">
      <c r="A446" s="1">
        <f t="shared" si="1"/>
        <v>5</v>
      </c>
      <c r="B446" s="63">
        <v>43277.0</v>
      </c>
      <c r="C446" s="1">
        <v>15.0</v>
      </c>
      <c r="D446" s="1">
        <v>48.0</v>
      </c>
    </row>
    <row r="447">
      <c r="A447" s="1">
        <f t="shared" si="1"/>
        <v>5</v>
      </c>
      <c r="B447" s="63">
        <v>43277.0</v>
      </c>
      <c r="C447" s="1">
        <v>16.0</v>
      </c>
      <c r="D447" s="1">
        <v>63.0</v>
      </c>
    </row>
    <row r="448">
      <c r="A448" s="1">
        <f t="shared" si="1"/>
        <v>5</v>
      </c>
      <c r="B448" s="63">
        <v>43277.0</v>
      </c>
      <c r="C448" s="1">
        <v>17.0</v>
      </c>
      <c r="D448" s="1">
        <v>134.0</v>
      </c>
    </row>
    <row r="449">
      <c r="A449" s="1">
        <f t="shared" si="1"/>
        <v>5</v>
      </c>
      <c r="B449" s="63">
        <v>43277.0</v>
      </c>
      <c r="C449" s="1">
        <v>18.0</v>
      </c>
      <c r="D449" s="1">
        <v>5.0</v>
      </c>
    </row>
    <row r="450">
      <c r="A450" s="1">
        <f t="shared" si="1"/>
        <v>5</v>
      </c>
      <c r="B450" s="63">
        <v>43278.0</v>
      </c>
      <c r="C450" s="1">
        <v>0.0</v>
      </c>
      <c r="D450" s="1">
        <v>1049.0</v>
      </c>
    </row>
    <row r="451">
      <c r="A451" s="1">
        <f t="shared" si="1"/>
        <v>5</v>
      </c>
      <c r="B451" s="63">
        <v>43278.0</v>
      </c>
      <c r="C451" s="1">
        <v>1.0</v>
      </c>
      <c r="D451" s="1">
        <v>25.0</v>
      </c>
    </row>
    <row r="452">
      <c r="A452" s="1">
        <f t="shared" si="1"/>
        <v>5</v>
      </c>
      <c r="B452" s="63">
        <v>43278.0</v>
      </c>
      <c r="C452" s="1">
        <v>2.0</v>
      </c>
      <c r="D452" s="1">
        <v>37.0</v>
      </c>
    </row>
    <row r="453">
      <c r="A453" s="1">
        <f t="shared" si="1"/>
        <v>5</v>
      </c>
      <c r="B453" s="63">
        <v>43278.0</v>
      </c>
      <c r="C453" s="1">
        <v>3.0</v>
      </c>
      <c r="D453" s="1">
        <v>63.0</v>
      </c>
    </row>
    <row r="454">
      <c r="A454" s="1">
        <f t="shared" si="1"/>
        <v>5</v>
      </c>
      <c r="B454" s="63">
        <v>43278.0</v>
      </c>
      <c r="C454" s="1">
        <v>4.0</v>
      </c>
      <c r="D454" s="1">
        <v>310.0</v>
      </c>
    </row>
    <row r="455">
      <c r="A455" s="1">
        <f t="shared" si="1"/>
        <v>5</v>
      </c>
      <c r="B455" s="63">
        <v>43278.0</v>
      </c>
      <c r="C455" s="1">
        <v>5.0</v>
      </c>
      <c r="D455" s="1">
        <v>43.0</v>
      </c>
    </row>
    <row r="456">
      <c r="A456" s="1">
        <f t="shared" si="1"/>
        <v>5</v>
      </c>
      <c r="B456" s="63">
        <v>43278.0</v>
      </c>
      <c r="C456" s="1">
        <v>6.0</v>
      </c>
      <c r="D456" s="1">
        <v>30.0</v>
      </c>
    </row>
    <row r="457">
      <c r="A457" s="1">
        <f t="shared" si="1"/>
        <v>5</v>
      </c>
      <c r="B457" s="63">
        <v>43278.0</v>
      </c>
      <c r="C457" s="1">
        <v>7.0</v>
      </c>
      <c r="D457" s="1">
        <v>64.0</v>
      </c>
    </row>
    <row r="458">
      <c r="A458" s="1">
        <f t="shared" si="1"/>
        <v>5</v>
      </c>
      <c r="B458" s="63">
        <v>43278.0</v>
      </c>
      <c r="C458" s="1">
        <v>8.0</v>
      </c>
      <c r="D458" s="1">
        <v>195.0</v>
      </c>
    </row>
    <row r="459">
      <c r="A459" s="1">
        <f t="shared" si="1"/>
        <v>5</v>
      </c>
      <c r="B459" s="63">
        <v>43278.0</v>
      </c>
      <c r="C459" s="1">
        <v>9.0</v>
      </c>
      <c r="D459" s="1">
        <v>56.0</v>
      </c>
    </row>
    <row r="460">
      <c r="A460" s="1">
        <f t="shared" si="1"/>
        <v>5</v>
      </c>
      <c r="B460" s="63">
        <v>43278.0</v>
      </c>
      <c r="C460" s="1">
        <v>10.0</v>
      </c>
      <c r="D460" s="1">
        <v>55.0</v>
      </c>
    </row>
    <row r="461">
      <c r="A461" s="1">
        <f t="shared" si="1"/>
        <v>5</v>
      </c>
      <c r="B461" s="63">
        <v>43278.0</v>
      </c>
      <c r="C461" s="1">
        <v>11.0</v>
      </c>
      <c r="D461" s="1">
        <v>42.0</v>
      </c>
    </row>
    <row r="462">
      <c r="A462" s="1">
        <f t="shared" si="1"/>
        <v>5</v>
      </c>
      <c r="B462" s="63">
        <v>43278.0</v>
      </c>
      <c r="C462" s="1">
        <v>12.0</v>
      </c>
      <c r="D462" s="1">
        <v>110.0</v>
      </c>
    </row>
    <row r="463">
      <c r="A463" s="1">
        <f t="shared" si="1"/>
        <v>5</v>
      </c>
      <c r="B463" s="63">
        <v>43278.0</v>
      </c>
      <c r="C463" s="1">
        <v>13.0</v>
      </c>
      <c r="D463" s="1">
        <v>99.0</v>
      </c>
    </row>
    <row r="464">
      <c r="A464" s="1">
        <f t="shared" si="1"/>
        <v>5</v>
      </c>
      <c r="B464" s="63">
        <v>43278.0</v>
      </c>
      <c r="C464" s="1">
        <v>14.0</v>
      </c>
      <c r="D464" s="1">
        <v>36.0</v>
      </c>
    </row>
    <row r="465">
      <c r="A465" s="1">
        <f t="shared" si="1"/>
        <v>5</v>
      </c>
      <c r="B465" s="63">
        <v>43278.0</v>
      </c>
      <c r="C465" s="1">
        <v>15.0</v>
      </c>
      <c r="D465" s="1">
        <v>41.0</v>
      </c>
    </row>
    <row r="466">
      <c r="A466" s="1">
        <f t="shared" si="1"/>
        <v>5</v>
      </c>
      <c r="B466" s="63">
        <v>43278.0</v>
      </c>
      <c r="C466" s="1">
        <v>16.0</v>
      </c>
      <c r="D466" s="1">
        <v>46.0</v>
      </c>
    </row>
    <row r="467">
      <c r="A467" s="1">
        <f t="shared" si="1"/>
        <v>5</v>
      </c>
      <c r="B467" s="63">
        <v>43278.0</v>
      </c>
      <c r="C467" s="1">
        <v>17.0</v>
      </c>
      <c r="D467" s="1">
        <v>126.0</v>
      </c>
    </row>
    <row r="468">
      <c r="A468" s="1">
        <f t="shared" si="1"/>
        <v>5</v>
      </c>
      <c r="B468" s="63">
        <v>43279.0</v>
      </c>
      <c r="C468" s="1">
        <v>0.0</v>
      </c>
      <c r="D468" s="1">
        <v>1211.0</v>
      </c>
    </row>
    <row r="469">
      <c r="A469" s="1">
        <f t="shared" si="1"/>
        <v>5</v>
      </c>
      <c r="B469" s="63">
        <v>43279.0</v>
      </c>
      <c r="C469" s="1">
        <v>1.0</v>
      </c>
      <c r="D469" s="1">
        <v>24.0</v>
      </c>
    </row>
    <row r="470">
      <c r="A470" s="1">
        <f t="shared" si="1"/>
        <v>5</v>
      </c>
      <c r="B470" s="63">
        <v>43279.0</v>
      </c>
      <c r="C470" s="1">
        <v>2.0</v>
      </c>
      <c r="D470" s="1">
        <v>30.0</v>
      </c>
    </row>
    <row r="471">
      <c r="A471" s="1">
        <f t="shared" si="1"/>
        <v>5</v>
      </c>
      <c r="B471" s="63">
        <v>43279.0</v>
      </c>
      <c r="C471" s="1">
        <v>3.0</v>
      </c>
      <c r="D471" s="1">
        <v>73.0</v>
      </c>
    </row>
    <row r="472">
      <c r="A472" s="1">
        <f t="shared" si="1"/>
        <v>5</v>
      </c>
      <c r="B472" s="63">
        <v>43279.0</v>
      </c>
      <c r="C472" s="1">
        <v>4.0</v>
      </c>
      <c r="D472" s="1">
        <v>409.0</v>
      </c>
    </row>
    <row r="473">
      <c r="A473" s="1">
        <f t="shared" si="1"/>
        <v>5</v>
      </c>
      <c r="B473" s="63">
        <v>43279.0</v>
      </c>
      <c r="C473" s="1">
        <v>5.0</v>
      </c>
      <c r="D473" s="1">
        <v>32.0</v>
      </c>
    </row>
    <row r="474">
      <c r="A474" s="1">
        <f t="shared" si="1"/>
        <v>5</v>
      </c>
      <c r="B474" s="63">
        <v>43279.0</v>
      </c>
      <c r="C474" s="1">
        <v>6.0</v>
      </c>
      <c r="D474" s="1">
        <v>36.0</v>
      </c>
    </row>
    <row r="475">
      <c r="A475" s="1">
        <f t="shared" si="1"/>
        <v>5</v>
      </c>
      <c r="B475" s="63">
        <v>43279.0</v>
      </c>
      <c r="C475" s="1">
        <v>7.0</v>
      </c>
      <c r="D475" s="1">
        <v>47.0</v>
      </c>
    </row>
    <row r="476">
      <c r="A476" s="1">
        <f t="shared" si="1"/>
        <v>5</v>
      </c>
      <c r="B476" s="63">
        <v>43279.0</v>
      </c>
      <c r="C476" s="1">
        <v>8.0</v>
      </c>
      <c r="D476" s="1">
        <v>220.0</v>
      </c>
    </row>
    <row r="477">
      <c r="A477" s="1">
        <f t="shared" si="1"/>
        <v>5</v>
      </c>
      <c r="B477" s="63">
        <v>43279.0</v>
      </c>
      <c r="C477" s="1">
        <v>9.0</v>
      </c>
      <c r="D477" s="1">
        <v>110.0</v>
      </c>
    </row>
    <row r="478">
      <c r="A478" s="1">
        <f t="shared" si="1"/>
        <v>5</v>
      </c>
      <c r="B478" s="63">
        <v>43279.0</v>
      </c>
      <c r="C478" s="1">
        <v>10.0</v>
      </c>
      <c r="D478" s="1">
        <v>71.0</v>
      </c>
    </row>
    <row r="479">
      <c r="A479" s="1">
        <f t="shared" si="1"/>
        <v>5</v>
      </c>
      <c r="B479" s="63">
        <v>43279.0</v>
      </c>
      <c r="C479" s="1">
        <v>11.0</v>
      </c>
      <c r="D479" s="1">
        <v>45.0</v>
      </c>
    </row>
    <row r="480">
      <c r="A480" s="1">
        <f t="shared" si="1"/>
        <v>5</v>
      </c>
      <c r="B480" s="63">
        <v>43279.0</v>
      </c>
      <c r="C480" s="1">
        <v>12.0</v>
      </c>
      <c r="D480" s="1">
        <v>50.0</v>
      </c>
    </row>
    <row r="481">
      <c r="A481" s="1">
        <f t="shared" si="1"/>
        <v>5</v>
      </c>
      <c r="B481" s="63">
        <v>43279.0</v>
      </c>
      <c r="C481" s="1">
        <v>13.0</v>
      </c>
      <c r="D481" s="1">
        <v>172.0</v>
      </c>
    </row>
    <row r="482">
      <c r="A482" s="1">
        <f t="shared" si="1"/>
        <v>5</v>
      </c>
      <c r="B482" s="63">
        <v>43279.0</v>
      </c>
      <c r="C482" s="1">
        <v>14.0</v>
      </c>
      <c r="D482" s="1">
        <v>50.0</v>
      </c>
    </row>
    <row r="483">
      <c r="A483" s="1">
        <f t="shared" si="1"/>
        <v>5</v>
      </c>
      <c r="B483" s="63">
        <v>43279.0</v>
      </c>
      <c r="C483" s="1">
        <v>15.0</v>
      </c>
      <c r="D483" s="1">
        <v>39.0</v>
      </c>
    </row>
    <row r="484">
      <c r="A484" s="1">
        <f t="shared" si="1"/>
        <v>5</v>
      </c>
      <c r="B484" s="63">
        <v>43279.0</v>
      </c>
      <c r="C484" s="1">
        <v>16.0</v>
      </c>
      <c r="D484" s="1">
        <v>56.0</v>
      </c>
    </row>
    <row r="485">
      <c r="A485" s="1">
        <f t="shared" si="1"/>
        <v>5</v>
      </c>
      <c r="B485" s="63">
        <v>43279.0</v>
      </c>
      <c r="C485" s="1">
        <v>17.0</v>
      </c>
      <c r="D485" s="1">
        <v>123.0</v>
      </c>
    </row>
    <row r="486">
      <c r="A486" s="1">
        <f t="shared" si="1"/>
        <v>5</v>
      </c>
      <c r="B486" s="63">
        <v>43280.0</v>
      </c>
      <c r="C486" s="1">
        <v>0.0</v>
      </c>
      <c r="D486" s="1">
        <v>1550.0</v>
      </c>
    </row>
    <row r="487">
      <c r="A487" s="1">
        <f t="shared" si="1"/>
        <v>5</v>
      </c>
      <c r="B487" s="63">
        <v>43280.0</v>
      </c>
      <c r="C487" s="1">
        <v>1.0</v>
      </c>
      <c r="D487" s="1">
        <v>17.0</v>
      </c>
    </row>
    <row r="488">
      <c r="A488" s="1">
        <f t="shared" si="1"/>
        <v>5</v>
      </c>
      <c r="B488" s="63">
        <v>43280.0</v>
      </c>
      <c r="C488" s="1">
        <v>2.0</v>
      </c>
      <c r="D488" s="1">
        <v>52.0</v>
      </c>
    </row>
    <row r="489">
      <c r="A489" s="1">
        <f t="shared" si="1"/>
        <v>5</v>
      </c>
      <c r="B489" s="63">
        <v>43280.0</v>
      </c>
      <c r="C489" s="1">
        <v>3.0</v>
      </c>
      <c r="D489" s="1">
        <v>98.0</v>
      </c>
    </row>
    <row r="490">
      <c r="A490" s="1">
        <f t="shared" si="1"/>
        <v>5</v>
      </c>
      <c r="B490" s="63">
        <v>43280.0</v>
      </c>
      <c r="C490" s="1">
        <v>4.0</v>
      </c>
      <c r="D490" s="1">
        <v>468.0</v>
      </c>
    </row>
    <row r="491">
      <c r="A491" s="1">
        <f t="shared" si="1"/>
        <v>5</v>
      </c>
      <c r="B491" s="63">
        <v>43280.0</v>
      </c>
      <c r="C491" s="1">
        <v>5.0</v>
      </c>
      <c r="D491" s="1">
        <v>59.0</v>
      </c>
    </row>
    <row r="492">
      <c r="A492" s="1">
        <f t="shared" si="1"/>
        <v>5</v>
      </c>
      <c r="B492" s="63">
        <v>43280.0</v>
      </c>
      <c r="C492" s="1">
        <v>6.0</v>
      </c>
      <c r="D492" s="1">
        <v>44.0</v>
      </c>
    </row>
    <row r="493">
      <c r="A493" s="1">
        <f t="shared" si="1"/>
        <v>5</v>
      </c>
      <c r="B493" s="63">
        <v>43280.0</v>
      </c>
      <c r="C493" s="1">
        <v>7.0</v>
      </c>
      <c r="D493" s="1">
        <v>91.0</v>
      </c>
    </row>
    <row r="494">
      <c r="A494" s="1">
        <f t="shared" si="1"/>
        <v>5</v>
      </c>
      <c r="B494" s="63">
        <v>43280.0</v>
      </c>
      <c r="C494" s="1">
        <v>8.0</v>
      </c>
      <c r="D494" s="1">
        <v>310.0</v>
      </c>
    </row>
    <row r="495">
      <c r="A495" s="1">
        <f t="shared" si="1"/>
        <v>5</v>
      </c>
      <c r="B495" s="63">
        <v>43280.0</v>
      </c>
      <c r="C495" s="1">
        <v>9.0</v>
      </c>
      <c r="D495" s="1">
        <v>92.0</v>
      </c>
    </row>
    <row r="496">
      <c r="A496" s="1">
        <f t="shared" si="1"/>
        <v>5</v>
      </c>
      <c r="B496" s="63">
        <v>43280.0</v>
      </c>
      <c r="C496" s="1">
        <v>10.0</v>
      </c>
      <c r="D496" s="1">
        <v>90.0</v>
      </c>
    </row>
    <row r="497">
      <c r="A497" s="1">
        <f t="shared" si="1"/>
        <v>5</v>
      </c>
      <c r="B497" s="63">
        <v>43280.0</v>
      </c>
      <c r="C497" s="1">
        <v>11.0</v>
      </c>
      <c r="D497" s="1">
        <v>60.0</v>
      </c>
    </row>
    <row r="498">
      <c r="A498" s="1">
        <f t="shared" si="1"/>
        <v>5</v>
      </c>
      <c r="B498" s="63">
        <v>43280.0</v>
      </c>
      <c r="C498" s="1">
        <v>12.0</v>
      </c>
      <c r="D498" s="1">
        <v>107.0</v>
      </c>
    </row>
    <row r="499">
      <c r="A499" s="1">
        <f t="shared" si="1"/>
        <v>5</v>
      </c>
      <c r="B499" s="63">
        <v>43280.0</v>
      </c>
      <c r="C499" s="1">
        <v>13.0</v>
      </c>
      <c r="D499" s="1">
        <v>194.0</v>
      </c>
    </row>
    <row r="500">
      <c r="A500" s="1">
        <f t="shared" si="1"/>
        <v>5</v>
      </c>
      <c r="B500" s="63">
        <v>43280.0</v>
      </c>
      <c r="C500" s="1">
        <v>14.0</v>
      </c>
      <c r="D500" s="1">
        <v>51.0</v>
      </c>
    </row>
    <row r="501">
      <c r="A501" s="1">
        <f t="shared" si="1"/>
        <v>5</v>
      </c>
      <c r="B501" s="63">
        <v>43280.0</v>
      </c>
      <c r="C501" s="1">
        <v>15.0</v>
      </c>
      <c r="D501" s="1">
        <v>65.0</v>
      </c>
    </row>
    <row r="502">
      <c r="A502" s="1">
        <f t="shared" si="1"/>
        <v>5</v>
      </c>
      <c r="B502" s="63">
        <v>43280.0</v>
      </c>
      <c r="C502" s="1">
        <v>16.0</v>
      </c>
      <c r="D502" s="1">
        <v>61.0</v>
      </c>
    </row>
    <row r="503">
      <c r="A503" s="1">
        <f t="shared" si="1"/>
        <v>5</v>
      </c>
      <c r="B503" s="63">
        <v>43280.0</v>
      </c>
      <c r="C503" s="1">
        <v>17.0</v>
      </c>
      <c r="D503" s="1">
        <v>124.0</v>
      </c>
    </row>
    <row r="504">
      <c r="A504" s="1">
        <f t="shared" si="1"/>
        <v>5</v>
      </c>
      <c r="B504" s="63">
        <v>43281.0</v>
      </c>
      <c r="C504" s="1">
        <v>0.0</v>
      </c>
      <c r="D504" s="1">
        <v>1561.0</v>
      </c>
    </row>
    <row r="505">
      <c r="A505" s="1">
        <f t="shared" si="1"/>
        <v>5</v>
      </c>
      <c r="B505" s="63">
        <v>43281.0</v>
      </c>
      <c r="C505" s="1">
        <v>1.0</v>
      </c>
      <c r="D505" s="1">
        <v>29.0</v>
      </c>
    </row>
    <row r="506">
      <c r="A506" s="1">
        <f t="shared" si="1"/>
        <v>5</v>
      </c>
      <c r="B506" s="63">
        <v>43281.0</v>
      </c>
      <c r="C506" s="1">
        <v>2.0</v>
      </c>
      <c r="D506" s="1">
        <v>57.0</v>
      </c>
    </row>
    <row r="507">
      <c r="A507" s="1">
        <f t="shared" si="1"/>
        <v>5</v>
      </c>
      <c r="B507" s="63">
        <v>43281.0</v>
      </c>
      <c r="C507" s="1">
        <v>3.0</v>
      </c>
      <c r="D507" s="1">
        <v>87.0</v>
      </c>
    </row>
    <row r="508">
      <c r="A508" s="1">
        <f t="shared" si="1"/>
        <v>5</v>
      </c>
      <c r="B508" s="63">
        <v>43281.0</v>
      </c>
      <c r="C508" s="1">
        <v>4.0</v>
      </c>
      <c r="D508" s="1">
        <v>458.0</v>
      </c>
    </row>
    <row r="509">
      <c r="A509" s="1">
        <f t="shared" si="1"/>
        <v>5</v>
      </c>
      <c r="B509" s="63">
        <v>43281.0</v>
      </c>
      <c r="C509" s="1">
        <v>5.0</v>
      </c>
      <c r="D509" s="1">
        <v>42.0</v>
      </c>
    </row>
    <row r="510">
      <c r="A510" s="1">
        <f t="shared" si="1"/>
        <v>5</v>
      </c>
      <c r="B510" s="63">
        <v>43281.0</v>
      </c>
      <c r="C510" s="1">
        <v>6.0</v>
      </c>
      <c r="D510" s="1">
        <v>41.0</v>
      </c>
    </row>
    <row r="511">
      <c r="A511" s="1">
        <f t="shared" si="1"/>
        <v>5</v>
      </c>
      <c r="B511" s="63">
        <v>43281.0</v>
      </c>
      <c r="C511" s="1">
        <v>7.0</v>
      </c>
      <c r="D511" s="1">
        <v>101.0</v>
      </c>
    </row>
    <row r="512">
      <c r="A512" s="1">
        <f t="shared" si="1"/>
        <v>5</v>
      </c>
      <c r="B512" s="63">
        <v>43281.0</v>
      </c>
      <c r="C512" s="1">
        <v>8.0</v>
      </c>
      <c r="D512" s="1">
        <v>243.0</v>
      </c>
    </row>
    <row r="513">
      <c r="A513" s="1">
        <f t="shared" si="1"/>
        <v>5</v>
      </c>
      <c r="B513" s="63">
        <v>43281.0</v>
      </c>
      <c r="C513" s="1">
        <v>9.0</v>
      </c>
      <c r="D513" s="1">
        <v>118.0</v>
      </c>
    </row>
    <row r="514">
      <c r="A514" s="1">
        <f t="shared" si="1"/>
        <v>5</v>
      </c>
      <c r="B514" s="63">
        <v>43281.0</v>
      </c>
      <c r="C514" s="1">
        <v>10.0</v>
      </c>
      <c r="D514" s="1">
        <v>112.0</v>
      </c>
    </row>
    <row r="515">
      <c r="A515" s="1">
        <f t="shared" si="1"/>
        <v>5</v>
      </c>
      <c r="B515" s="63">
        <v>43281.0</v>
      </c>
      <c r="C515" s="1">
        <v>11.0</v>
      </c>
      <c r="D515" s="1">
        <v>47.0</v>
      </c>
    </row>
    <row r="516">
      <c r="A516" s="1">
        <f t="shared" si="1"/>
        <v>5</v>
      </c>
      <c r="B516" s="63">
        <v>43281.0</v>
      </c>
      <c r="C516" s="1">
        <v>12.0</v>
      </c>
      <c r="D516" s="1">
        <v>98.0</v>
      </c>
    </row>
    <row r="517">
      <c r="A517" s="1">
        <f t="shared" si="1"/>
        <v>5</v>
      </c>
      <c r="B517" s="63">
        <v>43281.0</v>
      </c>
      <c r="C517" s="1">
        <v>13.0</v>
      </c>
      <c r="D517" s="1">
        <v>191.0</v>
      </c>
    </row>
    <row r="518">
      <c r="A518" s="1">
        <f t="shared" si="1"/>
        <v>5</v>
      </c>
      <c r="B518" s="63">
        <v>43281.0</v>
      </c>
      <c r="C518" s="1">
        <v>14.0</v>
      </c>
      <c r="D518" s="1">
        <v>76.0</v>
      </c>
    </row>
    <row r="519">
      <c r="A519" s="1">
        <f t="shared" si="1"/>
        <v>5</v>
      </c>
      <c r="B519" s="63">
        <v>43281.0</v>
      </c>
      <c r="C519" s="1">
        <v>15.0</v>
      </c>
      <c r="D519" s="1">
        <v>48.0</v>
      </c>
    </row>
    <row r="520">
      <c r="A520" s="1">
        <f t="shared" si="1"/>
        <v>5</v>
      </c>
      <c r="B520" s="63">
        <v>43281.0</v>
      </c>
      <c r="C520" s="1">
        <v>16.0</v>
      </c>
      <c r="D520" s="1">
        <v>62.0</v>
      </c>
    </row>
    <row r="521">
      <c r="A521" s="1">
        <f t="shared" si="1"/>
        <v>5</v>
      </c>
      <c r="B521" s="63">
        <v>43281.0</v>
      </c>
      <c r="C521" s="1">
        <v>17.0</v>
      </c>
      <c r="D521" s="1">
        <v>99.0</v>
      </c>
    </row>
    <row r="522">
      <c r="A522" s="64"/>
    </row>
    <row r="523">
      <c r="A523" s="64"/>
    </row>
    <row r="524">
      <c r="A524" s="64"/>
    </row>
    <row r="525">
      <c r="A525" s="64"/>
    </row>
    <row r="526">
      <c r="A526" s="64"/>
    </row>
    <row r="527">
      <c r="A527" s="64"/>
    </row>
    <row r="528">
      <c r="A528" s="64"/>
    </row>
    <row r="529">
      <c r="A529" s="64"/>
    </row>
    <row r="530">
      <c r="A530" s="64"/>
    </row>
    <row r="531">
      <c r="A531" s="64"/>
    </row>
    <row r="532">
      <c r="A532" s="64"/>
    </row>
    <row r="533">
      <c r="A533" s="64"/>
    </row>
    <row r="534">
      <c r="A534" s="64"/>
    </row>
    <row r="535">
      <c r="A535" s="64"/>
    </row>
    <row r="536">
      <c r="A536" s="64"/>
    </row>
    <row r="537">
      <c r="A537" s="64"/>
    </row>
    <row r="538">
      <c r="A538" s="64"/>
    </row>
    <row r="539">
      <c r="A539" s="64"/>
    </row>
    <row r="540">
      <c r="A540" s="64"/>
    </row>
    <row r="541">
      <c r="A541" s="64"/>
    </row>
    <row r="542">
      <c r="A542" s="64"/>
    </row>
    <row r="543">
      <c r="A543" s="64"/>
    </row>
    <row r="544">
      <c r="A544" s="64"/>
    </row>
    <row r="545">
      <c r="A545" s="64"/>
    </row>
    <row r="546">
      <c r="A546" s="64"/>
    </row>
    <row r="547">
      <c r="A547" s="64"/>
    </row>
    <row r="548">
      <c r="A548" s="64"/>
    </row>
    <row r="549">
      <c r="A549" s="64"/>
    </row>
    <row r="550">
      <c r="A550" s="64"/>
    </row>
    <row r="551">
      <c r="A551" s="64"/>
    </row>
    <row r="552">
      <c r="A552" s="64"/>
    </row>
    <row r="553">
      <c r="A553" s="64"/>
    </row>
    <row r="554">
      <c r="A554" s="64"/>
    </row>
    <row r="555">
      <c r="A555" s="64"/>
    </row>
    <row r="556">
      <c r="A556" s="64"/>
    </row>
    <row r="557">
      <c r="A557" s="64"/>
    </row>
    <row r="558">
      <c r="A558" s="64"/>
    </row>
    <row r="559">
      <c r="A559" s="64"/>
    </row>
    <row r="560">
      <c r="A560" s="64"/>
    </row>
    <row r="561">
      <c r="A561" s="64"/>
    </row>
    <row r="562">
      <c r="A562" s="64"/>
    </row>
    <row r="563">
      <c r="A563" s="64"/>
    </row>
    <row r="564">
      <c r="A564" s="64"/>
    </row>
    <row r="565">
      <c r="A565" s="64"/>
    </row>
    <row r="566">
      <c r="A566" s="64"/>
    </row>
    <row r="567">
      <c r="A567" s="64"/>
    </row>
    <row r="568">
      <c r="A568" s="64"/>
    </row>
    <row r="569">
      <c r="A569" s="64"/>
    </row>
    <row r="570">
      <c r="A570" s="64"/>
    </row>
    <row r="571">
      <c r="A571" s="64"/>
    </row>
    <row r="572">
      <c r="A572" s="64"/>
    </row>
    <row r="573">
      <c r="A573" s="64"/>
    </row>
    <row r="574">
      <c r="A574" s="64"/>
    </row>
    <row r="575">
      <c r="A575" s="64"/>
    </row>
    <row r="576">
      <c r="A576" s="64"/>
    </row>
    <row r="577">
      <c r="A577" s="64"/>
    </row>
    <row r="578">
      <c r="A578" s="64"/>
    </row>
    <row r="579">
      <c r="A579" s="64"/>
    </row>
    <row r="580">
      <c r="A580" s="64"/>
    </row>
    <row r="581">
      <c r="A581" s="64"/>
    </row>
    <row r="582">
      <c r="A582" s="64"/>
    </row>
    <row r="583">
      <c r="A583" s="64"/>
    </row>
    <row r="584">
      <c r="A584" s="64"/>
    </row>
    <row r="585">
      <c r="A585" s="64"/>
    </row>
    <row r="586">
      <c r="A586" s="64"/>
    </row>
    <row r="587">
      <c r="A587" s="64"/>
    </row>
    <row r="588">
      <c r="A588" s="64"/>
    </row>
    <row r="589">
      <c r="A589" s="64"/>
    </row>
    <row r="590">
      <c r="A590" s="64"/>
    </row>
    <row r="591">
      <c r="A591" s="64"/>
    </row>
    <row r="592">
      <c r="A592" s="64"/>
    </row>
    <row r="593">
      <c r="A593" s="64"/>
    </row>
    <row r="594">
      <c r="A594" s="64"/>
    </row>
    <row r="595">
      <c r="A595" s="64"/>
    </row>
    <row r="596">
      <c r="A596" s="64"/>
    </row>
    <row r="597">
      <c r="A597" s="64"/>
    </row>
    <row r="598">
      <c r="A598" s="64"/>
    </row>
    <row r="599">
      <c r="A599" s="64"/>
    </row>
    <row r="600">
      <c r="A600" s="64"/>
    </row>
    <row r="601">
      <c r="A601" s="64"/>
    </row>
    <row r="602">
      <c r="A602" s="64"/>
    </row>
    <row r="603">
      <c r="A603" s="64"/>
    </row>
    <row r="604">
      <c r="A604" s="64"/>
    </row>
    <row r="605">
      <c r="A605" s="64"/>
    </row>
    <row r="606">
      <c r="A606" s="64"/>
    </row>
    <row r="607">
      <c r="A607" s="64"/>
    </row>
    <row r="608">
      <c r="A608" s="64"/>
    </row>
    <row r="609">
      <c r="A609" s="64"/>
    </row>
    <row r="610">
      <c r="A610" s="64"/>
    </row>
    <row r="611">
      <c r="A611" s="64"/>
    </row>
    <row r="612">
      <c r="A612" s="64"/>
    </row>
    <row r="613">
      <c r="A613" s="64"/>
    </row>
    <row r="614">
      <c r="A614" s="64"/>
    </row>
    <row r="615">
      <c r="A615" s="64"/>
    </row>
    <row r="616">
      <c r="A616" s="64"/>
    </row>
    <row r="617">
      <c r="A617" s="64"/>
    </row>
    <row r="618">
      <c r="A618" s="64"/>
    </row>
    <row r="619">
      <c r="A619" s="64"/>
    </row>
    <row r="620">
      <c r="A620" s="64"/>
    </row>
    <row r="621">
      <c r="A621" s="64"/>
    </row>
    <row r="622">
      <c r="A622" s="64"/>
    </row>
    <row r="623">
      <c r="A623" s="64"/>
    </row>
    <row r="624">
      <c r="A624" s="64"/>
    </row>
    <row r="625">
      <c r="A625" s="64"/>
    </row>
    <row r="626">
      <c r="A626" s="64"/>
    </row>
    <row r="627">
      <c r="A627" s="64"/>
    </row>
    <row r="628">
      <c r="A628" s="64"/>
    </row>
    <row r="629">
      <c r="A629" s="64"/>
    </row>
    <row r="630">
      <c r="A630" s="64"/>
    </row>
    <row r="631">
      <c r="A631" s="64"/>
    </row>
    <row r="632">
      <c r="A632" s="64"/>
    </row>
    <row r="633">
      <c r="A633" s="64"/>
    </row>
    <row r="634">
      <c r="A634" s="64"/>
    </row>
    <row r="635">
      <c r="A635" s="64"/>
    </row>
    <row r="636">
      <c r="A636" s="64"/>
    </row>
    <row r="637">
      <c r="A637" s="64"/>
    </row>
    <row r="638">
      <c r="A638" s="64"/>
    </row>
    <row r="639">
      <c r="A639" s="64"/>
    </row>
    <row r="640">
      <c r="A640" s="64"/>
    </row>
    <row r="641">
      <c r="A641" s="64"/>
    </row>
    <row r="642">
      <c r="A642" s="64"/>
    </row>
    <row r="643">
      <c r="A643" s="64"/>
    </row>
    <row r="644">
      <c r="A644" s="64"/>
    </row>
    <row r="645">
      <c r="A645" s="64"/>
    </row>
    <row r="646">
      <c r="A646" s="64"/>
    </row>
    <row r="647">
      <c r="A647" s="64"/>
    </row>
    <row r="648">
      <c r="A648" s="64"/>
    </row>
    <row r="649">
      <c r="A649" s="64"/>
    </row>
    <row r="650">
      <c r="A650" s="64"/>
    </row>
    <row r="651">
      <c r="A651" s="64"/>
    </row>
    <row r="652">
      <c r="A652" s="64"/>
    </row>
    <row r="653">
      <c r="A653" s="64"/>
    </row>
    <row r="654">
      <c r="A654" s="64"/>
    </row>
    <row r="655">
      <c r="A655" s="64"/>
    </row>
    <row r="656">
      <c r="A656" s="64"/>
    </row>
    <row r="657">
      <c r="A657" s="64"/>
    </row>
    <row r="658">
      <c r="A658" s="64"/>
    </row>
    <row r="659">
      <c r="A659" s="64"/>
    </row>
    <row r="660">
      <c r="A660" s="64"/>
    </row>
    <row r="661">
      <c r="A661" s="64"/>
    </row>
    <row r="662">
      <c r="A662" s="64"/>
    </row>
    <row r="663">
      <c r="A663" s="64"/>
    </row>
    <row r="664">
      <c r="A664" s="64"/>
    </row>
    <row r="665">
      <c r="A665" s="64"/>
    </row>
    <row r="666">
      <c r="A666" s="64"/>
    </row>
    <row r="667">
      <c r="A667" s="64"/>
    </row>
    <row r="668">
      <c r="A668" s="64"/>
    </row>
    <row r="669">
      <c r="A669" s="64"/>
    </row>
    <row r="670">
      <c r="A670" s="64"/>
    </row>
    <row r="671">
      <c r="A671" s="64"/>
    </row>
    <row r="672">
      <c r="A672" s="64"/>
    </row>
    <row r="673">
      <c r="A673" s="64"/>
    </row>
    <row r="674">
      <c r="A674" s="64"/>
    </row>
    <row r="675">
      <c r="A675" s="64"/>
    </row>
    <row r="676">
      <c r="A676" s="64"/>
    </row>
    <row r="677">
      <c r="A677" s="64"/>
    </row>
    <row r="678">
      <c r="A678" s="64"/>
    </row>
    <row r="679">
      <c r="A679" s="64"/>
    </row>
    <row r="680">
      <c r="A680" s="64"/>
    </row>
    <row r="681">
      <c r="A681" s="64"/>
    </row>
    <row r="682">
      <c r="A682" s="64"/>
    </row>
    <row r="683">
      <c r="A683" s="64"/>
    </row>
    <row r="684">
      <c r="A684" s="64"/>
    </row>
    <row r="685">
      <c r="A685" s="64"/>
    </row>
    <row r="686">
      <c r="A686" s="64"/>
    </row>
    <row r="687">
      <c r="A687" s="64"/>
    </row>
    <row r="688">
      <c r="A688" s="64"/>
    </row>
    <row r="689">
      <c r="A689" s="64"/>
    </row>
    <row r="690">
      <c r="A690" s="64"/>
    </row>
    <row r="691">
      <c r="A691" s="64"/>
    </row>
    <row r="692">
      <c r="A692" s="64"/>
    </row>
    <row r="693">
      <c r="A693" s="64"/>
    </row>
    <row r="694">
      <c r="A694" s="64"/>
    </row>
    <row r="695">
      <c r="A695" s="64"/>
    </row>
    <row r="696">
      <c r="A696" s="64"/>
    </row>
    <row r="697">
      <c r="A697" s="64"/>
    </row>
    <row r="698">
      <c r="A698" s="64"/>
    </row>
    <row r="699">
      <c r="A699" s="64"/>
    </row>
    <row r="700">
      <c r="A700" s="64"/>
    </row>
    <row r="701">
      <c r="A701" s="64"/>
    </row>
    <row r="702">
      <c r="A702" s="64"/>
    </row>
    <row r="703">
      <c r="A703" s="64"/>
    </row>
    <row r="704">
      <c r="A704" s="64"/>
    </row>
    <row r="705">
      <c r="A705" s="64"/>
    </row>
    <row r="706">
      <c r="A706" s="64"/>
    </row>
    <row r="707">
      <c r="A707" s="64"/>
    </row>
    <row r="708">
      <c r="A708" s="64"/>
    </row>
    <row r="709">
      <c r="A709" s="64"/>
    </row>
    <row r="710">
      <c r="A710" s="64"/>
    </row>
    <row r="711">
      <c r="A711" s="64"/>
    </row>
    <row r="712">
      <c r="A712" s="64"/>
    </row>
    <row r="713">
      <c r="A713" s="64"/>
    </row>
    <row r="714">
      <c r="A714" s="64"/>
    </row>
    <row r="715">
      <c r="A715" s="64"/>
    </row>
    <row r="716">
      <c r="A716" s="64"/>
    </row>
    <row r="717">
      <c r="A717" s="64"/>
    </row>
    <row r="718">
      <c r="A718" s="64"/>
    </row>
    <row r="719">
      <c r="A719" s="64"/>
    </row>
    <row r="720">
      <c r="A720" s="64"/>
    </row>
    <row r="721">
      <c r="A721" s="64"/>
    </row>
    <row r="722">
      <c r="A722" s="64"/>
    </row>
    <row r="723">
      <c r="A723" s="64"/>
    </row>
    <row r="724">
      <c r="A724" s="64"/>
    </row>
    <row r="725">
      <c r="A725" s="64"/>
    </row>
    <row r="726">
      <c r="A726" s="64"/>
    </row>
    <row r="727">
      <c r="A727" s="64"/>
    </row>
    <row r="728">
      <c r="A728" s="64"/>
    </row>
    <row r="729">
      <c r="A729" s="64"/>
    </row>
    <row r="730">
      <c r="A730" s="64"/>
    </row>
    <row r="731">
      <c r="A731" s="64"/>
    </row>
    <row r="732">
      <c r="A732" s="64"/>
    </row>
    <row r="733">
      <c r="A733" s="64"/>
    </row>
    <row r="734">
      <c r="A734" s="64"/>
    </row>
    <row r="735">
      <c r="A735" s="64"/>
    </row>
    <row r="736">
      <c r="A736" s="64"/>
    </row>
    <row r="737">
      <c r="A737" s="64"/>
    </row>
    <row r="738">
      <c r="A738" s="64"/>
    </row>
    <row r="739">
      <c r="A739" s="64"/>
    </row>
    <row r="740">
      <c r="A740" s="64"/>
    </row>
    <row r="741">
      <c r="A741" s="64"/>
    </row>
    <row r="742">
      <c r="A742" s="64"/>
    </row>
    <row r="743">
      <c r="A743" s="64"/>
    </row>
    <row r="744">
      <c r="A744" s="64"/>
    </row>
    <row r="745">
      <c r="A745" s="64"/>
    </row>
    <row r="746">
      <c r="A746" s="64"/>
    </row>
    <row r="747">
      <c r="A747" s="64"/>
    </row>
    <row r="748">
      <c r="A748" s="64"/>
    </row>
    <row r="749">
      <c r="A749" s="64"/>
    </row>
    <row r="750">
      <c r="A750" s="64"/>
    </row>
    <row r="751">
      <c r="A751" s="64"/>
    </row>
    <row r="752">
      <c r="A752" s="64"/>
    </row>
    <row r="753">
      <c r="A753" s="64"/>
    </row>
    <row r="754">
      <c r="A754" s="64"/>
    </row>
    <row r="755">
      <c r="A755" s="64"/>
    </row>
    <row r="756">
      <c r="A756" s="64"/>
    </row>
    <row r="757">
      <c r="A757" s="64"/>
    </row>
    <row r="758">
      <c r="A758" s="64"/>
    </row>
    <row r="759">
      <c r="A759" s="64"/>
    </row>
    <row r="760">
      <c r="A760" s="64"/>
    </row>
    <row r="761">
      <c r="A761" s="64"/>
    </row>
    <row r="762">
      <c r="A762" s="64"/>
    </row>
    <row r="763">
      <c r="A763" s="64"/>
    </row>
    <row r="764">
      <c r="A764" s="64"/>
    </row>
    <row r="765">
      <c r="A765" s="64"/>
    </row>
    <row r="766">
      <c r="A766" s="64"/>
    </row>
    <row r="767">
      <c r="A767" s="64"/>
    </row>
    <row r="768">
      <c r="A768" s="64"/>
    </row>
    <row r="769">
      <c r="A769" s="64"/>
    </row>
    <row r="770">
      <c r="A770" s="64"/>
    </row>
    <row r="771">
      <c r="A771" s="64"/>
    </row>
    <row r="772">
      <c r="A772" s="64"/>
    </row>
    <row r="773">
      <c r="A773" s="64"/>
    </row>
    <row r="774">
      <c r="A774" s="64"/>
    </row>
    <row r="775">
      <c r="A775" s="64"/>
    </row>
    <row r="776">
      <c r="A776" s="64"/>
    </row>
    <row r="777">
      <c r="A777" s="64"/>
    </row>
    <row r="778">
      <c r="A778" s="64"/>
    </row>
    <row r="779">
      <c r="A779" s="64"/>
    </row>
    <row r="780">
      <c r="A780" s="64"/>
    </row>
    <row r="781">
      <c r="A781" s="64"/>
    </row>
    <row r="782">
      <c r="A782" s="64"/>
    </row>
    <row r="783">
      <c r="A783" s="64"/>
    </row>
    <row r="784">
      <c r="A784" s="64"/>
    </row>
    <row r="785">
      <c r="A785" s="64"/>
    </row>
    <row r="786">
      <c r="A786" s="64"/>
    </row>
    <row r="787">
      <c r="A787" s="64"/>
    </row>
    <row r="788">
      <c r="A788" s="64"/>
    </row>
    <row r="789">
      <c r="A789" s="64"/>
    </row>
    <row r="790">
      <c r="A790" s="64"/>
    </row>
    <row r="791">
      <c r="A791" s="64"/>
    </row>
    <row r="792">
      <c r="A792" s="64"/>
    </row>
    <row r="793">
      <c r="A793" s="64"/>
    </row>
    <row r="794">
      <c r="A794" s="64"/>
    </row>
    <row r="795">
      <c r="A795" s="64"/>
    </row>
    <row r="796">
      <c r="A796" s="64"/>
    </row>
    <row r="797">
      <c r="A797" s="64"/>
    </row>
    <row r="798">
      <c r="A798" s="64"/>
    </row>
    <row r="799">
      <c r="A799" s="64"/>
    </row>
    <row r="800">
      <c r="A800" s="64"/>
    </row>
    <row r="801">
      <c r="A801" s="64"/>
    </row>
    <row r="802">
      <c r="A802" s="64"/>
    </row>
    <row r="803">
      <c r="A803" s="64"/>
    </row>
    <row r="804">
      <c r="A804" s="64"/>
    </row>
    <row r="805">
      <c r="A805" s="64"/>
    </row>
    <row r="806">
      <c r="A806" s="64"/>
    </row>
    <row r="807">
      <c r="A807" s="64"/>
    </row>
    <row r="808">
      <c r="A808" s="64"/>
    </row>
    <row r="809">
      <c r="A809" s="64"/>
    </row>
    <row r="810">
      <c r="A810" s="64"/>
    </row>
    <row r="811">
      <c r="A811" s="64"/>
    </row>
    <row r="812">
      <c r="A812" s="64"/>
    </row>
    <row r="813">
      <c r="A813" s="64"/>
    </row>
    <row r="814">
      <c r="A814" s="64"/>
    </row>
    <row r="815">
      <c r="A815" s="64"/>
    </row>
    <row r="816">
      <c r="A816" s="64"/>
    </row>
    <row r="817">
      <c r="A817" s="64"/>
    </row>
    <row r="818">
      <c r="A818" s="64"/>
    </row>
    <row r="819">
      <c r="A819" s="64"/>
    </row>
    <row r="820">
      <c r="A820" s="64"/>
    </row>
    <row r="821">
      <c r="A821" s="64"/>
    </row>
    <row r="822">
      <c r="A822" s="64"/>
    </row>
    <row r="823">
      <c r="A823" s="64"/>
    </row>
    <row r="824">
      <c r="A824" s="64"/>
    </row>
    <row r="825">
      <c r="A825" s="64"/>
    </row>
    <row r="826">
      <c r="A826" s="64"/>
    </row>
    <row r="827">
      <c r="A827" s="64"/>
    </row>
    <row r="828">
      <c r="A828" s="64"/>
    </row>
    <row r="829">
      <c r="A829" s="64"/>
    </row>
    <row r="830">
      <c r="A830" s="64"/>
    </row>
    <row r="831">
      <c r="A831" s="64"/>
    </row>
    <row r="832">
      <c r="A832" s="64"/>
    </row>
    <row r="833">
      <c r="A833" s="64"/>
    </row>
    <row r="834">
      <c r="A834" s="64"/>
    </row>
    <row r="835">
      <c r="A835" s="64"/>
    </row>
    <row r="836">
      <c r="A836" s="64"/>
    </row>
    <row r="837">
      <c r="A837" s="64"/>
    </row>
    <row r="838">
      <c r="A838" s="64"/>
    </row>
    <row r="839">
      <c r="A839" s="64"/>
    </row>
    <row r="840">
      <c r="A840" s="64"/>
    </row>
    <row r="841">
      <c r="A841" s="64"/>
    </row>
    <row r="842">
      <c r="A842" s="64"/>
    </row>
    <row r="843">
      <c r="A843" s="64"/>
    </row>
    <row r="844">
      <c r="A844" s="64"/>
    </row>
    <row r="845">
      <c r="A845" s="64"/>
    </row>
    <row r="846">
      <c r="A846" s="64"/>
    </row>
    <row r="847">
      <c r="A847" s="64"/>
    </row>
    <row r="848">
      <c r="A848" s="64"/>
    </row>
    <row r="849">
      <c r="A849" s="64"/>
    </row>
    <row r="850">
      <c r="A850" s="64"/>
    </row>
    <row r="851">
      <c r="A851" s="64"/>
    </row>
    <row r="852">
      <c r="A852" s="64"/>
    </row>
    <row r="853">
      <c r="A853" s="64"/>
    </row>
    <row r="854">
      <c r="A854" s="64"/>
    </row>
    <row r="855">
      <c r="A855" s="64"/>
    </row>
    <row r="856">
      <c r="A856" s="64"/>
    </row>
    <row r="857">
      <c r="A857" s="64"/>
    </row>
    <row r="858">
      <c r="A858" s="64"/>
    </row>
    <row r="859">
      <c r="A859" s="64"/>
    </row>
    <row r="860">
      <c r="A860" s="64"/>
    </row>
    <row r="861">
      <c r="A861" s="64"/>
    </row>
    <row r="862">
      <c r="A862" s="64"/>
    </row>
    <row r="863">
      <c r="A863" s="64"/>
    </row>
    <row r="864">
      <c r="A864" s="64"/>
    </row>
    <row r="865">
      <c r="A865" s="64"/>
    </row>
    <row r="866">
      <c r="A866" s="64"/>
    </row>
    <row r="867">
      <c r="A867" s="64"/>
    </row>
    <row r="868">
      <c r="A868" s="64"/>
    </row>
    <row r="869">
      <c r="A869" s="64"/>
    </row>
    <row r="870">
      <c r="A870" s="64"/>
    </row>
    <row r="871">
      <c r="A871" s="64"/>
    </row>
    <row r="872">
      <c r="A872" s="64"/>
    </row>
    <row r="873">
      <c r="A873" s="64"/>
    </row>
    <row r="874">
      <c r="A874" s="64"/>
    </row>
    <row r="875">
      <c r="A875" s="64"/>
    </row>
    <row r="876">
      <c r="A876" s="64"/>
    </row>
    <row r="877">
      <c r="A877" s="64"/>
    </row>
    <row r="878">
      <c r="A878" s="64"/>
    </row>
    <row r="879">
      <c r="A879" s="64"/>
    </row>
    <row r="880">
      <c r="A880" s="64"/>
    </row>
    <row r="881">
      <c r="A881" s="64"/>
    </row>
    <row r="882">
      <c r="A882" s="64"/>
    </row>
    <row r="883">
      <c r="A883" s="64"/>
    </row>
    <row r="884">
      <c r="A884" s="64"/>
    </row>
    <row r="885">
      <c r="A885" s="64"/>
    </row>
    <row r="886">
      <c r="A886" s="64"/>
    </row>
    <row r="887">
      <c r="A887" s="64"/>
    </row>
    <row r="888">
      <c r="A888" s="64"/>
    </row>
    <row r="889">
      <c r="A889" s="64"/>
    </row>
    <row r="890">
      <c r="A890" s="64"/>
    </row>
    <row r="891">
      <c r="A891" s="64"/>
    </row>
    <row r="892">
      <c r="A892" s="64"/>
    </row>
    <row r="893">
      <c r="A893" s="64"/>
    </row>
    <row r="894">
      <c r="A894" s="64"/>
    </row>
    <row r="895">
      <c r="A895" s="64"/>
    </row>
    <row r="896">
      <c r="A896" s="64"/>
    </row>
    <row r="897">
      <c r="A897" s="64"/>
    </row>
    <row r="898">
      <c r="A898" s="64"/>
    </row>
    <row r="899">
      <c r="A899" s="64"/>
    </row>
    <row r="900">
      <c r="A900" s="64"/>
    </row>
    <row r="901">
      <c r="A901" s="64"/>
    </row>
    <row r="902">
      <c r="A902" s="64"/>
    </row>
    <row r="903">
      <c r="A903" s="64"/>
    </row>
    <row r="904">
      <c r="A904" s="64"/>
    </row>
    <row r="905">
      <c r="A905" s="64"/>
    </row>
    <row r="906">
      <c r="A906" s="64"/>
    </row>
    <row r="907">
      <c r="A907" s="64"/>
    </row>
    <row r="908">
      <c r="A908" s="64"/>
    </row>
    <row r="909">
      <c r="A909" s="64"/>
    </row>
    <row r="910">
      <c r="A910" s="64"/>
    </row>
    <row r="911">
      <c r="A911" s="64"/>
    </row>
    <row r="912">
      <c r="A912" s="64"/>
    </row>
    <row r="913">
      <c r="A913" s="64"/>
    </row>
    <row r="914">
      <c r="A914" s="64"/>
    </row>
    <row r="915">
      <c r="A915" s="64"/>
    </row>
    <row r="916">
      <c r="A916" s="64"/>
    </row>
    <row r="917">
      <c r="A917" s="64"/>
    </row>
    <row r="918">
      <c r="A918" s="64"/>
    </row>
    <row r="919">
      <c r="A919" s="64"/>
    </row>
    <row r="920">
      <c r="A920" s="64"/>
    </row>
    <row r="921">
      <c r="A921" s="64"/>
    </row>
    <row r="922">
      <c r="A922" s="64"/>
    </row>
    <row r="923">
      <c r="A923" s="64"/>
    </row>
    <row r="924">
      <c r="A924" s="64"/>
    </row>
    <row r="925">
      <c r="A925" s="64"/>
    </row>
    <row r="926">
      <c r="A926" s="64"/>
    </row>
    <row r="927">
      <c r="A927" s="64"/>
    </row>
    <row r="928">
      <c r="A928" s="64"/>
    </row>
    <row r="929">
      <c r="A929" s="64"/>
    </row>
    <row r="930">
      <c r="A930" s="64"/>
    </row>
    <row r="931">
      <c r="A931" s="64"/>
    </row>
    <row r="932">
      <c r="A932" s="64"/>
    </row>
    <row r="933">
      <c r="A933" s="64"/>
    </row>
    <row r="934">
      <c r="A934" s="64"/>
    </row>
    <row r="935">
      <c r="A935" s="64"/>
    </row>
    <row r="936">
      <c r="A936" s="64"/>
    </row>
    <row r="937">
      <c r="A937" s="64"/>
    </row>
    <row r="938">
      <c r="A938" s="64"/>
    </row>
    <row r="939">
      <c r="A939" s="64"/>
    </row>
    <row r="940">
      <c r="A940" s="64"/>
    </row>
    <row r="941">
      <c r="A941" s="64"/>
    </row>
    <row r="942">
      <c r="A942" s="64"/>
    </row>
    <row r="943">
      <c r="A943" s="64"/>
    </row>
    <row r="944">
      <c r="A944" s="64"/>
    </row>
    <row r="945">
      <c r="A945" s="64"/>
    </row>
    <row r="946">
      <c r="A946" s="64"/>
    </row>
    <row r="947">
      <c r="A947" s="64"/>
    </row>
    <row r="948">
      <c r="A948" s="64"/>
    </row>
    <row r="949">
      <c r="A949" s="64"/>
    </row>
    <row r="950">
      <c r="A950" s="64"/>
    </row>
    <row r="951">
      <c r="A951" s="64"/>
    </row>
    <row r="952">
      <c r="A952" s="64"/>
    </row>
    <row r="953">
      <c r="A953" s="64"/>
    </row>
    <row r="954">
      <c r="A954" s="64"/>
    </row>
    <row r="955">
      <c r="A955" s="64"/>
    </row>
    <row r="956">
      <c r="A956" s="64"/>
    </row>
    <row r="957">
      <c r="A957" s="64"/>
    </row>
    <row r="958">
      <c r="A958" s="64"/>
    </row>
    <row r="959">
      <c r="A959" s="64"/>
    </row>
    <row r="960">
      <c r="A960" s="64"/>
    </row>
    <row r="961">
      <c r="A961" s="64"/>
    </row>
    <row r="962">
      <c r="A962" s="64"/>
    </row>
    <row r="963">
      <c r="A963" s="64"/>
    </row>
    <row r="964">
      <c r="A964" s="64"/>
    </row>
    <row r="965">
      <c r="A965" s="64"/>
    </row>
    <row r="966">
      <c r="A966" s="64"/>
    </row>
    <row r="967">
      <c r="A967" s="64"/>
    </row>
    <row r="968">
      <c r="A968" s="64"/>
    </row>
    <row r="969">
      <c r="A969" s="64"/>
    </row>
    <row r="970">
      <c r="A970" s="64"/>
    </row>
    <row r="971">
      <c r="A971" s="64"/>
    </row>
    <row r="972">
      <c r="A972" s="64"/>
    </row>
    <row r="973">
      <c r="A973" s="64"/>
    </row>
    <row r="974">
      <c r="A974" s="64"/>
    </row>
    <row r="975">
      <c r="A975" s="64"/>
    </row>
    <row r="976">
      <c r="A976" s="64"/>
    </row>
    <row r="977">
      <c r="A977" s="64"/>
    </row>
    <row r="978">
      <c r="A978" s="64"/>
    </row>
    <row r="979">
      <c r="A979" s="64"/>
    </row>
    <row r="980">
      <c r="A980" s="64"/>
    </row>
    <row r="981">
      <c r="A981" s="64"/>
    </row>
    <row r="982">
      <c r="A982" s="64"/>
    </row>
    <row r="983">
      <c r="A983" s="64"/>
    </row>
    <row r="984">
      <c r="A984" s="64"/>
    </row>
    <row r="985">
      <c r="A985" s="64"/>
    </row>
    <row r="986">
      <c r="A986" s="64"/>
    </row>
    <row r="987">
      <c r="A987" s="64"/>
    </row>
    <row r="988">
      <c r="A988" s="64"/>
    </row>
    <row r="989">
      <c r="A989" s="64"/>
    </row>
    <row r="990">
      <c r="A990" s="64"/>
    </row>
    <row r="991">
      <c r="A991" s="64"/>
    </row>
    <row r="992">
      <c r="A992" s="64"/>
    </row>
    <row r="993">
      <c r="A993" s="64"/>
    </row>
    <row r="994">
      <c r="A994" s="64"/>
    </row>
    <row r="995">
      <c r="A995" s="64"/>
    </row>
    <row r="996">
      <c r="A996" s="64"/>
    </row>
    <row r="997">
      <c r="A997" s="64"/>
    </row>
    <row r="998">
      <c r="A998" s="64"/>
    </row>
    <row r="999">
      <c r="A999" s="64"/>
    </row>
    <row r="1000">
      <c r="A1000" s="64"/>
    </row>
    <row r="1001">
      <c r="A1001" s="6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7.14"/>
    <col customWidth="1" min="3" max="3" width="17.86"/>
    <col customWidth="1" min="4" max="4" width="22.29"/>
  </cols>
  <sheetData>
    <row r="1">
      <c r="A1" s="1" t="s">
        <v>29</v>
      </c>
      <c r="B1" s="1" t="s">
        <v>41</v>
      </c>
      <c r="C1" s="1" t="s">
        <v>40</v>
      </c>
      <c r="D1" s="1" t="s">
        <v>78</v>
      </c>
      <c r="E1" t="s">
        <v>79</v>
      </c>
      <c r="F1" t="s">
        <v>79</v>
      </c>
    </row>
    <row r="2">
      <c r="A2" s="1">
        <v>1.0</v>
      </c>
      <c r="B2" s="63">
        <v>43254.0</v>
      </c>
      <c r="C2" s="1">
        <v>0.0</v>
      </c>
      <c r="D2" s="1">
        <v>68.0</v>
      </c>
    </row>
    <row r="3">
      <c r="A3" s="1">
        <v>1.0</v>
      </c>
      <c r="B3" s="63">
        <v>43254.0</v>
      </c>
      <c r="C3" s="1">
        <v>2.0</v>
      </c>
      <c r="D3" s="1">
        <v>1.0</v>
      </c>
    </row>
    <row r="4">
      <c r="A4" s="1">
        <v>1.0</v>
      </c>
      <c r="B4" s="63">
        <v>43254.0</v>
      </c>
      <c r="C4" s="1">
        <v>4.0</v>
      </c>
      <c r="D4" s="1">
        <v>3.0</v>
      </c>
    </row>
    <row r="5">
      <c r="A5" s="1">
        <v>1.0</v>
      </c>
      <c r="B5" s="63">
        <v>43254.0</v>
      </c>
      <c r="C5" s="1">
        <v>5.0</v>
      </c>
      <c r="D5" s="1">
        <v>17.0</v>
      </c>
    </row>
    <row r="6">
      <c r="A6" s="1">
        <v>1.0</v>
      </c>
      <c r="B6" s="63">
        <v>43254.0</v>
      </c>
      <c r="C6" s="1">
        <v>6.0</v>
      </c>
      <c r="D6" s="1">
        <v>3.0</v>
      </c>
    </row>
    <row r="7">
      <c r="A7" s="1">
        <v>1.0</v>
      </c>
      <c r="B7" s="63">
        <v>43254.0</v>
      </c>
      <c r="C7" s="1">
        <v>8.0</v>
      </c>
      <c r="D7" s="1">
        <v>2.0</v>
      </c>
    </row>
    <row r="8">
      <c r="A8" s="1">
        <v>1.0</v>
      </c>
      <c r="B8" s="63">
        <v>43254.0</v>
      </c>
      <c r="C8" s="1">
        <v>9.0</v>
      </c>
      <c r="D8" s="1">
        <v>10.0</v>
      </c>
    </row>
    <row r="9">
      <c r="A9" s="1">
        <v>1.0</v>
      </c>
      <c r="B9" s="63">
        <v>43254.0</v>
      </c>
      <c r="C9" s="1">
        <v>10.0</v>
      </c>
      <c r="D9" s="1">
        <v>2.0</v>
      </c>
    </row>
    <row r="10">
      <c r="A10" s="1">
        <v>1.0</v>
      </c>
      <c r="B10" s="63">
        <v>43254.0</v>
      </c>
      <c r="C10" s="1">
        <v>11.0</v>
      </c>
      <c r="D10" s="1">
        <v>2.0</v>
      </c>
    </row>
    <row r="11">
      <c r="A11" s="1">
        <v>1.0</v>
      </c>
      <c r="B11" s="63">
        <v>43254.0</v>
      </c>
      <c r="C11" s="1">
        <v>12.0</v>
      </c>
      <c r="D11" s="1">
        <v>1.0</v>
      </c>
    </row>
    <row r="12">
      <c r="A12" s="1">
        <v>1.0</v>
      </c>
      <c r="B12" s="63">
        <v>43254.0</v>
      </c>
      <c r="C12" s="1">
        <v>13.0</v>
      </c>
      <c r="D12" s="1">
        <v>5.0</v>
      </c>
    </row>
    <row r="13">
      <c r="A13" s="1">
        <v>1.0</v>
      </c>
      <c r="B13" s="63">
        <v>43254.0</v>
      </c>
      <c r="C13" s="1">
        <v>14.0</v>
      </c>
      <c r="D13" s="1">
        <v>6.0</v>
      </c>
    </row>
    <row r="14">
      <c r="A14" s="1">
        <v>1.0</v>
      </c>
      <c r="B14" s="63">
        <v>43254.0</v>
      </c>
      <c r="C14" s="1">
        <v>15.0</v>
      </c>
      <c r="D14" s="1">
        <v>2.0</v>
      </c>
    </row>
    <row r="15">
      <c r="A15" s="1">
        <v>1.0</v>
      </c>
      <c r="B15" s="63">
        <v>43254.0</v>
      </c>
      <c r="C15" s="1">
        <v>17.0</v>
      </c>
      <c r="D15" s="1">
        <v>1.0</v>
      </c>
    </row>
    <row r="16">
      <c r="A16" s="1">
        <v>1.0</v>
      </c>
      <c r="B16" s="63">
        <v>43254.0</v>
      </c>
      <c r="C16" s="1">
        <v>18.0</v>
      </c>
      <c r="D16" s="1">
        <v>6.0</v>
      </c>
    </row>
    <row r="17">
      <c r="A17" s="1">
        <v>1.0</v>
      </c>
      <c r="B17" s="63">
        <v>43254.0</v>
      </c>
      <c r="C17" s="1">
        <v>19.0</v>
      </c>
      <c r="D17" s="1">
        <v>2.0</v>
      </c>
    </row>
    <row r="18">
      <c r="A18" s="1">
        <v>1.0</v>
      </c>
      <c r="B18" s="63">
        <v>43254.0</v>
      </c>
      <c r="C18" s="1">
        <v>20.0</v>
      </c>
      <c r="D18" s="1">
        <v>2.0</v>
      </c>
    </row>
    <row r="19">
      <c r="A19" s="1">
        <v>1.0</v>
      </c>
      <c r="B19" s="63">
        <v>43254.0</v>
      </c>
      <c r="C19" s="1">
        <v>22.0</v>
      </c>
      <c r="D19" s="1">
        <v>1.0</v>
      </c>
    </row>
    <row r="20">
      <c r="A20" s="1">
        <v>1.0</v>
      </c>
      <c r="B20" s="63">
        <v>43261.0</v>
      </c>
      <c r="C20" s="1">
        <v>0.0</v>
      </c>
      <c r="D20" s="1">
        <v>237.0</v>
      </c>
    </row>
    <row r="21">
      <c r="A21" s="1">
        <v>1.0</v>
      </c>
      <c r="B21" s="63">
        <v>43261.0</v>
      </c>
      <c r="C21" s="1">
        <v>1.0</v>
      </c>
      <c r="D21" s="1">
        <v>2.0</v>
      </c>
    </row>
    <row r="22">
      <c r="A22" s="1">
        <v>1.0</v>
      </c>
      <c r="B22" s="63">
        <v>43261.0</v>
      </c>
      <c r="C22" s="1">
        <v>2.0</v>
      </c>
      <c r="D22" s="1">
        <v>4.0</v>
      </c>
    </row>
    <row r="23">
      <c r="A23" s="1">
        <v>1.0</v>
      </c>
      <c r="B23" s="63">
        <v>43261.0</v>
      </c>
      <c r="C23" s="1">
        <v>3.0</v>
      </c>
      <c r="D23" s="1">
        <v>6.0</v>
      </c>
    </row>
    <row r="24">
      <c r="A24" s="1">
        <v>1.0</v>
      </c>
      <c r="B24" s="63">
        <v>43261.0</v>
      </c>
      <c r="C24" s="1">
        <v>4.0</v>
      </c>
      <c r="D24" s="1">
        <v>48.0</v>
      </c>
    </row>
    <row r="25">
      <c r="A25" s="1">
        <v>1.0</v>
      </c>
      <c r="B25" s="63">
        <v>43261.0</v>
      </c>
      <c r="C25" s="1">
        <v>5.0</v>
      </c>
      <c r="D25" s="1">
        <v>22.0</v>
      </c>
    </row>
    <row r="26">
      <c r="A26" s="1">
        <v>1.0</v>
      </c>
      <c r="B26" s="63">
        <v>43261.0</v>
      </c>
      <c r="C26" s="1">
        <v>6.0</v>
      </c>
      <c r="D26" s="1">
        <v>7.0</v>
      </c>
    </row>
    <row r="27">
      <c r="A27" s="1">
        <v>1.0</v>
      </c>
      <c r="B27" s="63">
        <v>43261.0</v>
      </c>
      <c r="C27" s="1">
        <v>7.0</v>
      </c>
      <c r="D27" s="1">
        <v>3.0</v>
      </c>
    </row>
    <row r="28">
      <c r="A28" s="1">
        <v>1.0</v>
      </c>
      <c r="B28" s="63">
        <v>43261.0</v>
      </c>
      <c r="C28" s="1">
        <v>8.0</v>
      </c>
      <c r="D28" s="1">
        <v>22.0</v>
      </c>
    </row>
    <row r="29">
      <c r="A29" s="1">
        <v>1.0</v>
      </c>
      <c r="B29" s="63">
        <v>43261.0</v>
      </c>
      <c r="C29" s="1">
        <v>9.0</v>
      </c>
      <c r="D29" s="1">
        <v>30.0</v>
      </c>
    </row>
    <row r="30">
      <c r="A30" s="1">
        <v>1.0</v>
      </c>
      <c r="B30" s="63">
        <v>43261.0</v>
      </c>
      <c r="C30" s="1">
        <v>10.0</v>
      </c>
      <c r="D30" s="1">
        <v>7.0</v>
      </c>
    </row>
    <row r="31">
      <c r="A31" s="1">
        <v>1.0</v>
      </c>
      <c r="B31" s="63">
        <v>43261.0</v>
      </c>
      <c r="C31" s="1">
        <v>11.0</v>
      </c>
      <c r="D31" s="1">
        <v>12.0</v>
      </c>
    </row>
    <row r="32">
      <c r="A32" s="1">
        <v>1.0</v>
      </c>
      <c r="B32" s="63">
        <v>43261.0</v>
      </c>
      <c r="C32" s="1">
        <v>12.0</v>
      </c>
      <c r="D32" s="1">
        <v>5.0</v>
      </c>
    </row>
    <row r="33">
      <c r="A33" s="1">
        <v>1.0</v>
      </c>
      <c r="B33" s="63">
        <v>43261.0</v>
      </c>
      <c r="C33" s="1">
        <v>13.0</v>
      </c>
      <c r="D33" s="1">
        <v>27.0</v>
      </c>
    </row>
    <row r="34">
      <c r="A34" s="1">
        <v>1.0</v>
      </c>
      <c r="B34" s="63">
        <v>43261.0</v>
      </c>
      <c r="C34" s="1">
        <v>14.0</v>
      </c>
      <c r="D34" s="1">
        <v>18.0</v>
      </c>
    </row>
    <row r="35">
      <c r="A35" s="1">
        <v>1.0</v>
      </c>
      <c r="B35" s="63">
        <v>43261.0</v>
      </c>
      <c r="C35" s="1">
        <v>15.0</v>
      </c>
      <c r="D35" s="1">
        <v>10.0</v>
      </c>
    </row>
    <row r="36">
      <c r="A36" s="1">
        <v>1.0</v>
      </c>
      <c r="B36" s="63">
        <v>43261.0</v>
      </c>
      <c r="C36" s="1">
        <v>16.0</v>
      </c>
      <c r="D36" s="1">
        <v>7.0</v>
      </c>
    </row>
    <row r="37">
      <c r="A37" s="1">
        <v>1.0</v>
      </c>
      <c r="B37" s="63">
        <v>43261.0</v>
      </c>
      <c r="C37" s="1">
        <v>17.0</v>
      </c>
      <c r="D37" s="1">
        <v>13.0</v>
      </c>
    </row>
    <row r="38">
      <c r="A38" s="1">
        <v>1.0</v>
      </c>
      <c r="B38" s="63">
        <v>43261.0</v>
      </c>
      <c r="C38" s="1">
        <v>18.0</v>
      </c>
      <c r="D38" s="1">
        <v>23.0</v>
      </c>
    </row>
    <row r="39">
      <c r="A39" s="1">
        <v>1.0</v>
      </c>
      <c r="B39" s="63">
        <v>43261.0</v>
      </c>
      <c r="C39" s="1">
        <v>19.0</v>
      </c>
      <c r="D39" s="1">
        <v>9.0</v>
      </c>
    </row>
    <row r="40">
      <c r="A40" s="1">
        <v>1.0</v>
      </c>
      <c r="B40" s="63">
        <v>43261.0</v>
      </c>
      <c r="C40" s="1">
        <v>20.0</v>
      </c>
      <c r="D40" s="1">
        <v>3.0</v>
      </c>
    </row>
    <row r="41">
      <c r="A41" s="1">
        <v>1.0</v>
      </c>
      <c r="B41" s="63">
        <v>43261.0</v>
      </c>
      <c r="C41" s="1">
        <v>21.0</v>
      </c>
      <c r="D41" s="1">
        <v>1.0</v>
      </c>
    </row>
    <row r="42">
      <c r="A42" s="1">
        <v>1.0</v>
      </c>
      <c r="B42" s="63">
        <v>43268.0</v>
      </c>
      <c r="C42" s="1">
        <v>0.0</v>
      </c>
      <c r="D42" s="1">
        <v>201.0</v>
      </c>
    </row>
    <row r="43">
      <c r="A43" s="1">
        <v>1.0</v>
      </c>
      <c r="B43" s="63">
        <v>43268.0</v>
      </c>
      <c r="C43" s="1">
        <v>1.0</v>
      </c>
      <c r="D43" s="1">
        <v>8.0</v>
      </c>
    </row>
    <row r="44">
      <c r="A44" s="1">
        <v>1.0</v>
      </c>
      <c r="B44" s="63">
        <v>43268.0</v>
      </c>
      <c r="C44" s="1">
        <v>2.0</v>
      </c>
      <c r="D44" s="1">
        <v>5.0</v>
      </c>
    </row>
    <row r="45">
      <c r="A45" s="1">
        <v>1.0</v>
      </c>
      <c r="B45" s="63">
        <v>43268.0</v>
      </c>
      <c r="C45" s="1">
        <v>3.0</v>
      </c>
      <c r="D45" s="1">
        <v>3.0</v>
      </c>
    </row>
    <row r="46">
      <c r="A46" s="1">
        <v>1.0</v>
      </c>
      <c r="B46" s="63">
        <v>43268.0</v>
      </c>
      <c r="C46" s="1">
        <v>4.0</v>
      </c>
      <c r="D46" s="1">
        <v>42.0</v>
      </c>
    </row>
    <row r="47">
      <c r="A47" s="1">
        <v>1.0</v>
      </c>
      <c r="B47" s="63">
        <v>43268.0</v>
      </c>
      <c r="C47" s="1">
        <v>5.0</v>
      </c>
      <c r="D47" s="1">
        <v>14.0</v>
      </c>
    </row>
    <row r="48">
      <c r="A48" s="1">
        <v>1.0</v>
      </c>
      <c r="B48" s="63">
        <v>43268.0</v>
      </c>
      <c r="C48" s="1">
        <v>6.0</v>
      </c>
      <c r="D48" s="1">
        <v>6.0</v>
      </c>
    </row>
    <row r="49">
      <c r="A49" s="1">
        <v>1.0</v>
      </c>
      <c r="B49" s="63">
        <v>43268.0</v>
      </c>
      <c r="C49" s="1">
        <v>7.0</v>
      </c>
      <c r="D49" s="1">
        <v>11.0</v>
      </c>
    </row>
    <row r="50">
      <c r="A50" s="1">
        <v>1.0</v>
      </c>
      <c r="B50" s="63">
        <v>43268.0</v>
      </c>
      <c r="C50" s="1">
        <v>8.0</v>
      </c>
      <c r="D50" s="1">
        <v>23.0</v>
      </c>
    </row>
    <row r="51">
      <c r="A51" s="1">
        <v>1.0</v>
      </c>
      <c r="B51" s="63">
        <v>43268.0</v>
      </c>
      <c r="C51" s="1">
        <v>9.0</v>
      </c>
      <c r="D51" s="1">
        <v>17.0</v>
      </c>
    </row>
    <row r="52">
      <c r="A52" s="1">
        <v>1.0</v>
      </c>
      <c r="B52" s="63">
        <v>43268.0</v>
      </c>
      <c r="C52" s="1">
        <v>10.0</v>
      </c>
      <c r="D52" s="1">
        <v>6.0</v>
      </c>
    </row>
    <row r="53">
      <c r="A53" s="1">
        <v>1.0</v>
      </c>
      <c r="B53" s="63">
        <v>43268.0</v>
      </c>
      <c r="C53" s="1">
        <v>11.0</v>
      </c>
      <c r="D53" s="1">
        <v>12.0</v>
      </c>
    </row>
    <row r="54">
      <c r="A54" s="1">
        <v>1.0</v>
      </c>
      <c r="B54" s="63">
        <v>43268.0</v>
      </c>
      <c r="C54" s="1">
        <v>12.0</v>
      </c>
      <c r="D54" s="1">
        <v>8.0</v>
      </c>
    </row>
    <row r="55">
      <c r="A55" s="1">
        <v>1.0</v>
      </c>
      <c r="B55" s="63">
        <v>43268.0</v>
      </c>
      <c r="C55" s="1">
        <v>13.0</v>
      </c>
      <c r="D55" s="1">
        <v>14.0</v>
      </c>
    </row>
    <row r="56">
      <c r="A56" s="1">
        <v>1.0</v>
      </c>
      <c r="B56" s="63">
        <v>43268.0</v>
      </c>
      <c r="C56" s="1">
        <v>14.0</v>
      </c>
      <c r="D56" s="1">
        <v>8.0</v>
      </c>
    </row>
    <row r="57">
      <c r="A57" s="1">
        <v>1.0</v>
      </c>
      <c r="B57" s="63">
        <v>43268.0</v>
      </c>
      <c r="C57" s="1">
        <v>15.0</v>
      </c>
      <c r="D57" s="1">
        <v>9.0</v>
      </c>
    </row>
    <row r="58">
      <c r="A58" s="1">
        <v>1.0</v>
      </c>
      <c r="B58" s="63">
        <v>43268.0</v>
      </c>
      <c r="C58" s="1">
        <v>16.0</v>
      </c>
      <c r="D58" s="1">
        <v>7.0</v>
      </c>
    </row>
    <row r="59">
      <c r="A59" s="1">
        <v>1.0</v>
      </c>
      <c r="B59" s="63">
        <v>43268.0</v>
      </c>
      <c r="C59" s="1">
        <v>17.0</v>
      </c>
      <c r="D59" s="1">
        <v>18.0</v>
      </c>
    </row>
    <row r="60">
      <c r="A60" s="1">
        <v>1.0</v>
      </c>
      <c r="B60" s="63">
        <v>43268.0</v>
      </c>
      <c r="C60" s="1">
        <v>18.0</v>
      </c>
      <c r="D60" s="1">
        <v>11.0</v>
      </c>
    </row>
    <row r="61">
      <c r="A61" s="1">
        <v>1.0</v>
      </c>
      <c r="B61" s="63">
        <v>43268.0</v>
      </c>
      <c r="C61" s="1">
        <v>19.0</v>
      </c>
      <c r="D61" s="1">
        <v>8.0</v>
      </c>
    </row>
    <row r="62">
      <c r="A62" s="1">
        <v>1.0</v>
      </c>
      <c r="B62" s="63">
        <v>43275.0</v>
      </c>
      <c r="C62" s="1">
        <v>0.0</v>
      </c>
      <c r="D62" s="1">
        <v>174.0</v>
      </c>
    </row>
    <row r="63">
      <c r="A63" s="1">
        <v>1.0</v>
      </c>
      <c r="B63" s="63">
        <v>43275.0</v>
      </c>
      <c r="C63" s="1">
        <v>1.0</v>
      </c>
      <c r="D63" s="1">
        <v>1.0</v>
      </c>
    </row>
    <row r="64">
      <c r="A64" s="1">
        <v>1.0</v>
      </c>
      <c r="B64" s="63">
        <v>43275.0</v>
      </c>
      <c r="C64" s="1">
        <v>3.0</v>
      </c>
      <c r="D64" s="1">
        <v>7.0</v>
      </c>
    </row>
    <row r="65">
      <c r="A65" s="1">
        <v>1.0</v>
      </c>
      <c r="B65" s="63">
        <v>43275.0</v>
      </c>
      <c r="C65" s="1">
        <v>4.0</v>
      </c>
      <c r="D65" s="1">
        <v>34.0</v>
      </c>
    </row>
    <row r="66">
      <c r="A66" s="1">
        <v>1.0</v>
      </c>
      <c r="B66" s="63">
        <v>43275.0</v>
      </c>
      <c r="C66" s="1">
        <v>5.0</v>
      </c>
      <c r="D66" s="1">
        <v>19.0</v>
      </c>
    </row>
    <row r="67">
      <c r="A67" s="1">
        <v>1.0</v>
      </c>
      <c r="B67" s="63">
        <v>43275.0</v>
      </c>
      <c r="C67" s="1">
        <v>6.0</v>
      </c>
      <c r="D67" s="1">
        <v>2.0</v>
      </c>
    </row>
    <row r="68">
      <c r="A68" s="1">
        <v>1.0</v>
      </c>
      <c r="B68" s="63">
        <v>43275.0</v>
      </c>
      <c r="C68" s="1">
        <v>7.0</v>
      </c>
      <c r="D68" s="1">
        <v>7.0</v>
      </c>
    </row>
    <row r="69">
      <c r="A69" s="1">
        <v>1.0</v>
      </c>
      <c r="B69" s="63">
        <v>43275.0</v>
      </c>
      <c r="C69" s="1">
        <v>8.0</v>
      </c>
      <c r="D69" s="1">
        <v>24.0</v>
      </c>
    </row>
    <row r="70">
      <c r="A70" s="1">
        <v>1.0</v>
      </c>
      <c r="B70" s="63">
        <v>43275.0</v>
      </c>
      <c r="C70" s="1">
        <v>9.0</v>
      </c>
      <c r="D70" s="1">
        <v>18.0</v>
      </c>
    </row>
    <row r="71">
      <c r="A71" s="1">
        <v>1.0</v>
      </c>
      <c r="B71" s="63">
        <v>43275.0</v>
      </c>
      <c r="C71" s="1">
        <v>10.0</v>
      </c>
      <c r="D71" s="1">
        <v>5.0</v>
      </c>
    </row>
    <row r="72">
      <c r="A72" s="1">
        <v>1.0</v>
      </c>
      <c r="B72" s="63">
        <v>43275.0</v>
      </c>
      <c r="C72" s="1">
        <v>11.0</v>
      </c>
      <c r="D72" s="1">
        <v>3.0</v>
      </c>
    </row>
    <row r="73">
      <c r="A73" s="1">
        <v>1.0</v>
      </c>
      <c r="B73" s="63">
        <v>43275.0</v>
      </c>
      <c r="C73" s="1">
        <v>12.0</v>
      </c>
      <c r="D73" s="1">
        <v>12.0</v>
      </c>
    </row>
    <row r="74">
      <c r="A74" s="1">
        <v>1.0</v>
      </c>
      <c r="B74" s="63">
        <v>43275.0</v>
      </c>
      <c r="C74" s="1">
        <v>13.0</v>
      </c>
      <c r="D74" s="1">
        <v>9.0</v>
      </c>
    </row>
    <row r="75">
      <c r="A75" s="1">
        <v>1.0</v>
      </c>
      <c r="B75" s="63">
        <v>43275.0</v>
      </c>
      <c r="C75" s="1">
        <v>14.0</v>
      </c>
      <c r="D75" s="1">
        <v>9.0</v>
      </c>
    </row>
    <row r="76">
      <c r="A76" s="1">
        <v>1.0</v>
      </c>
      <c r="B76" s="63">
        <v>43275.0</v>
      </c>
      <c r="C76" s="1">
        <v>15.0</v>
      </c>
      <c r="D76" s="1">
        <v>3.0</v>
      </c>
    </row>
    <row r="77">
      <c r="A77" s="1">
        <v>1.0</v>
      </c>
      <c r="B77" s="63">
        <v>43275.0</v>
      </c>
      <c r="C77" s="1">
        <v>16.0</v>
      </c>
      <c r="D77" s="1">
        <v>9.0</v>
      </c>
    </row>
    <row r="78">
      <c r="A78" s="1">
        <v>1.0</v>
      </c>
      <c r="B78" s="63">
        <v>43275.0</v>
      </c>
      <c r="C78" s="1">
        <v>17.0</v>
      </c>
      <c r="D78" s="1">
        <v>9.0</v>
      </c>
    </row>
    <row r="79">
      <c r="A79" s="1">
        <v>1.0</v>
      </c>
      <c r="B79" s="63">
        <v>43275.0</v>
      </c>
      <c r="C79" s="1">
        <v>18.0</v>
      </c>
      <c r="D79" s="1">
        <v>5.0</v>
      </c>
    </row>
    <row r="80">
      <c r="A80" s="1">
        <v>1.0</v>
      </c>
      <c r="B80" s="63">
        <v>43282.0</v>
      </c>
      <c r="C80" s="1">
        <v>0.0</v>
      </c>
      <c r="D80" s="1">
        <v>200.0</v>
      </c>
    </row>
    <row r="81">
      <c r="A81" s="1">
        <v>1.0</v>
      </c>
      <c r="B81" s="63">
        <v>43282.0</v>
      </c>
      <c r="C81" s="1">
        <v>1.0</v>
      </c>
      <c r="D81" s="1">
        <v>3.0</v>
      </c>
    </row>
    <row r="82">
      <c r="A82" s="1">
        <v>1.0</v>
      </c>
      <c r="B82" s="63">
        <v>43282.0</v>
      </c>
      <c r="C82" s="1">
        <v>2.0</v>
      </c>
      <c r="D82" s="1">
        <v>4.0</v>
      </c>
    </row>
    <row r="83">
      <c r="A83" s="1">
        <v>1.0</v>
      </c>
      <c r="B83" s="63">
        <v>43282.0</v>
      </c>
      <c r="C83" s="1">
        <v>3.0</v>
      </c>
      <c r="D83" s="1">
        <v>13.0</v>
      </c>
    </row>
    <row r="84">
      <c r="A84" s="1">
        <v>1.0</v>
      </c>
      <c r="B84" s="63">
        <v>43282.0</v>
      </c>
      <c r="C84" s="1">
        <v>4.0</v>
      </c>
      <c r="D84" s="1">
        <v>38.0</v>
      </c>
    </row>
    <row r="85">
      <c r="A85" s="1">
        <v>1.0</v>
      </c>
      <c r="B85" s="63">
        <v>43282.0</v>
      </c>
      <c r="C85" s="1">
        <v>5.0</v>
      </c>
      <c r="D85" s="1">
        <v>23.0</v>
      </c>
    </row>
    <row r="86">
      <c r="A86" s="1">
        <v>1.0</v>
      </c>
      <c r="B86" s="63">
        <v>43282.0</v>
      </c>
      <c r="C86" s="1">
        <v>6.0</v>
      </c>
      <c r="D86" s="1">
        <v>5.0</v>
      </c>
    </row>
    <row r="87">
      <c r="A87" s="1">
        <v>1.0</v>
      </c>
      <c r="B87" s="63">
        <v>43282.0</v>
      </c>
      <c r="C87" s="1">
        <v>7.0</v>
      </c>
      <c r="D87" s="1">
        <v>12.0</v>
      </c>
    </row>
    <row r="88">
      <c r="A88" s="1">
        <v>1.0</v>
      </c>
      <c r="B88" s="63">
        <v>43282.0</v>
      </c>
      <c r="C88" s="1">
        <v>8.0</v>
      </c>
      <c r="D88" s="1">
        <v>26.0</v>
      </c>
    </row>
    <row r="89">
      <c r="A89" s="1">
        <v>1.0</v>
      </c>
      <c r="B89" s="63">
        <v>43282.0</v>
      </c>
      <c r="C89" s="1">
        <v>9.0</v>
      </c>
      <c r="D89" s="1">
        <v>13.0</v>
      </c>
    </row>
    <row r="90">
      <c r="A90" s="1">
        <v>1.0</v>
      </c>
      <c r="B90" s="63">
        <v>43282.0</v>
      </c>
      <c r="C90" s="1">
        <v>10.0</v>
      </c>
      <c r="D90" s="1">
        <v>7.0</v>
      </c>
    </row>
    <row r="91">
      <c r="A91" s="1">
        <v>1.0</v>
      </c>
      <c r="B91" s="63">
        <v>43282.0</v>
      </c>
      <c r="C91" s="1">
        <v>11.0</v>
      </c>
      <c r="D91" s="1">
        <v>10.0</v>
      </c>
    </row>
    <row r="92">
      <c r="A92" s="1">
        <v>1.0</v>
      </c>
      <c r="B92" s="63">
        <v>43282.0</v>
      </c>
      <c r="C92" s="1">
        <v>12.0</v>
      </c>
      <c r="D92" s="1">
        <v>5.0</v>
      </c>
    </row>
    <row r="93">
      <c r="A93" s="1">
        <v>1.0</v>
      </c>
      <c r="B93" s="63">
        <v>43282.0</v>
      </c>
      <c r="C93" s="1">
        <v>13.0</v>
      </c>
      <c r="D93" s="1">
        <v>22.0</v>
      </c>
    </row>
    <row r="94">
      <c r="A94" s="1">
        <v>1.0</v>
      </c>
      <c r="B94" s="63">
        <v>43282.0</v>
      </c>
      <c r="C94" s="1">
        <v>14.0</v>
      </c>
      <c r="D94" s="1">
        <v>8.0</v>
      </c>
    </row>
    <row r="95">
      <c r="A95" s="1">
        <v>1.0</v>
      </c>
      <c r="B95" s="63">
        <v>43282.0</v>
      </c>
      <c r="C95" s="1">
        <v>15.0</v>
      </c>
      <c r="D95" s="1">
        <v>11.0</v>
      </c>
    </row>
    <row r="96">
      <c r="A96" s="1">
        <v>1.0</v>
      </c>
      <c r="B96" s="63">
        <v>43282.0</v>
      </c>
      <c r="C96" s="1">
        <v>16.0</v>
      </c>
      <c r="D96" s="1">
        <v>11.0</v>
      </c>
    </row>
    <row r="97">
      <c r="A97" s="1">
        <v>1.0</v>
      </c>
      <c r="B97" s="63">
        <v>43282.0</v>
      </c>
      <c r="C97" s="1">
        <v>17.0</v>
      </c>
      <c r="D97" s="1">
        <v>20.0</v>
      </c>
    </row>
    <row r="98">
      <c r="A98" s="1">
        <v>1.0</v>
      </c>
      <c r="B98" s="63">
        <v>43282.0</v>
      </c>
      <c r="C98" s="1">
        <v>18.0</v>
      </c>
      <c r="D98" s="1">
        <v>2.0</v>
      </c>
    </row>
    <row r="99">
      <c r="A99" s="1">
        <v>2.0</v>
      </c>
      <c r="B99" s="63">
        <v>43254.0</v>
      </c>
      <c r="C99" s="1">
        <v>0.0</v>
      </c>
      <c r="D99" s="1">
        <v>1319.0</v>
      </c>
    </row>
    <row r="100">
      <c r="A100" s="1">
        <v>2.0</v>
      </c>
      <c r="B100" s="63">
        <v>43254.0</v>
      </c>
      <c r="C100" s="1">
        <v>1.0</v>
      </c>
      <c r="D100" s="1">
        <v>28.0</v>
      </c>
    </row>
    <row r="101">
      <c r="A101" s="1">
        <v>2.0</v>
      </c>
      <c r="B101" s="63">
        <v>43254.0</v>
      </c>
      <c r="C101" s="1">
        <v>2.0</v>
      </c>
      <c r="D101" s="1">
        <v>24.0</v>
      </c>
    </row>
    <row r="102">
      <c r="A102" s="1">
        <v>2.0</v>
      </c>
      <c r="B102" s="63">
        <v>43254.0</v>
      </c>
      <c r="C102" s="1">
        <v>3.0</v>
      </c>
      <c r="D102" s="1">
        <v>55.0</v>
      </c>
    </row>
    <row r="103">
      <c r="A103" s="1">
        <v>2.0</v>
      </c>
      <c r="B103" s="63">
        <v>43254.0</v>
      </c>
      <c r="C103" s="1">
        <v>4.0</v>
      </c>
      <c r="D103" s="1">
        <v>86.0</v>
      </c>
    </row>
    <row r="104">
      <c r="A104" s="1">
        <v>2.0</v>
      </c>
      <c r="B104" s="63">
        <v>43254.0</v>
      </c>
      <c r="C104" s="1">
        <v>5.0</v>
      </c>
      <c r="D104" s="1">
        <v>422.0</v>
      </c>
    </row>
    <row r="105">
      <c r="A105" s="1">
        <v>2.0</v>
      </c>
      <c r="B105" s="63">
        <v>43254.0</v>
      </c>
      <c r="C105" s="1">
        <v>6.0</v>
      </c>
      <c r="D105" s="1">
        <v>50.0</v>
      </c>
    </row>
    <row r="106">
      <c r="A106" s="1">
        <v>2.0</v>
      </c>
      <c r="B106" s="63">
        <v>43254.0</v>
      </c>
      <c r="C106" s="1">
        <v>7.0</v>
      </c>
      <c r="D106" s="1">
        <v>56.0</v>
      </c>
    </row>
    <row r="107">
      <c r="A107" s="1">
        <v>2.0</v>
      </c>
      <c r="B107" s="63">
        <v>43254.0</v>
      </c>
      <c r="C107" s="1">
        <v>8.0</v>
      </c>
      <c r="D107" s="1">
        <v>94.0</v>
      </c>
    </row>
    <row r="108">
      <c r="A108" s="1">
        <v>2.0</v>
      </c>
      <c r="B108" s="63">
        <v>43254.0</v>
      </c>
      <c r="C108" s="1">
        <v>9.0</v>
      </c>
      <c r="D108" s="1">
        <v>289.0</v>
      </c>
    </row>
    <row r="109">
      <c r="A109" s="1">
        <v>2.0</v>
      </c>
      <c r="B109" s="63">
        <v>43254.0</v>
      </c>
      <c r="C109" s="1">
        <v>10.0</v>
      </c>
      <c r="D109" s="1">
        <v>74.0</v>
      </c>
    </row>
    <row r="110">
      <c r="A110" s="1">
        <v>2.0</v>
      </c>
      <c r="B110" s="63">
        <v>43254.0</v>
      </c>
      <c r="C110" s="1">
        <v>11.0</v>
      </c>
      <c r="D110" s="1">
        <v>56.0</v>
      </c>
    </row>
    <row r="111">
      <c r="A111" s="1">
        <v>2.0</v>
      </c>
      <c r="B111" s="63">
        <v>43254.0</v>
      </c>
      <c r="C111" s="1">
        <v>12.0</v>
      </c>
      <c r="D111" s="1">
        <v>74.0</v>
      </c>
    </row>
    <row r="112">
      <c r="A112" s="1">
        <v>2.0</v>
      </c>
      <c r="B112" s="63">
        <v>43254.0</v>
      </c>
      <c r="C112" s="1">
        <v>13.0</v>
      </c>
      <c r="D112" s="1">
        <v>123.0</v>
      </c>
    </row>
    <row r="113">
      <c r="A113" s="1">
        <v>2.0</v>
      </c>
      <c r="B113" s="63">
        <v>43254.0</v>
      </c>
      <c r="C113" s="1">
        <v>14.0</v>
      </c>
      <c r="D113" s="1">
        <v>126.0</v>
      </c>
    </row>
    <row r="114">
      <c r="A114" s="1">
        <v>2.0</v>
      </c>
      <c r="B114" s="63">
        <v>43254.0</v>
      </c>
      <c r="C114" s="1">
        <v>15.0</v>
      </c>
      <c r="D114" s="1">
        <v>52.0</v>
      </c>
    </row>
    <row r="115">
      <c r="A115" s="1">
        <v>2.0</v>
      </c>
      <c r="B115" s="63">
        <v>43254.0</v>
      </c>
      <c r="C115" s="1">
        <v>16.0</v>
      </c>
      <c r="D115" s="1">
        <v>60.0</v>
      </c>
    </row>
    <row r="116">
      <c r="A116" s="1">
        <v>2.0</v>
      </c>
      <c r="B116" s="63">
        <v>43254.0</v>
      </c>
      <c r="C116" s="1">
        <v>17.0</v>
      </c>
      <c r="D116" s="1">
        <v>76.0</v>
      </c>
    </row>
    <row r="117">
      <c r="A117" s="1">
        <v>2.0</v>
      </c>
      <c r="B117" s="63">
        <v>43254.0</v>
      </c>
      <c r="C117" s="1">
        <v>18.0</v>
      </c>
      <c r="D117" s="1">
        <v>155.0</v>
      </c>
    </row>
    <row r="118">
      <c r="A118" s="1">
        <v>2.0</v>
      </c>
      <c r="B118" s="63">
        <v>43254.0</v>
      </c>
      <c r="C118" s="1">
        <v>19.0</v>
      </c>
      <c r="D118" s="1">
        <v>61.0</v>
      </c>
    </row>
    <row r="119">
      <c r="A119" s="1">
        <v>2.0</v>
      </c>
      <c r="B119" s="63">
        <v>43254.0</v>
      </c>
      <c r="C119" s="1">
        <v>20.0</v>
      </c>
      <c r="D119" s="1">
        <v>57.0</v>
      </c>
    </row>
    <row r="120">
      <c r="A120" s="1">
        <v>2.0</v>
      </c>
      <c r="B120" s="63">
        <v>43254.0</v>
      </c>
      <c r="C120" s="1">
        <v>21.0</v>
      </c>
      <c r="D120" s="1">
        <v>74.0</v>
      </c>
    </row>
    <row r="121">
      <c r="A121" s="1">
        <v>2.0</v>
      </c>
      <c r="B121" s="63">
        <v>43254.0</v>
      </c>
      <c r="C121" s="1">
        <v>22.0</v>
      </c>
      <c r="D121" s="1">
        <v>15.0</v>
      </c>
    </row>
    <row r="122">
      <c r="A122" s="1">
        <v>2.0</v>
      </c>
      <c r="B122" s="63">
        <v>43261.0</v>
      </c>
      <c r="C122" s="1">
        <v>0.0</v>
      </c>
      <c r="D122" s="1">
        <v>3262.0</v>
      </c>
    </row>
    <row r="123">
      <c r="A123" s="1">
        <v>2.0</v>
      </c>
      <c r="B123" s="63">
        <v>43261.0</v>
      </c>
      <c r="C123" s="1">
        <v>1.0</v>
      </c>
      <c r="D123" s="1">
        <v>54.0</v>
      </c>
    </row>
    <row r="124">
      <c r="A124" s="1">
        <v>2.0</v>
      </c>
      <c r="B124" s="63">
        <v>43261.0</v>
      </c>
      <c r="C124" s="1">
        <v>2.0</v>
      </c>
      <c r="D124" s="1">
        <v>59.0</v>
      </c>
    </row>
    <row r="125">
      <c r="A125" s="1">
        <v>2.0</v>
      </c>
      <c r="B125" s="63">
        <v>43261.0</v>
      </c>
      <c r="C125" s="1">
        <v>3.0</v>
      </c>
      <c r="D125" s="1">
        <v>133.0</v>
      </c>
    </row>
    <row r="126">
      <c r="A126" s="1">
        <v>2.0</v>
      </c>
      <c r="B126" s="63">
        <v>43261.0</v>
      </c>
      <c r="C126" s="1">
        <v>4.0</v>
      </c>
      <c r="D126" s="1">
        <v>832.0</v>
      </c>
    </row>
    <row r="127">
      <c r="A127" s="1">
        <v>2.0</v>
      </c>
      <c r="B127" s="63">
        <v>43261.0</v>
      </c>
      <c r="C127" s="1">
        <v>5.0</v>
      </c>
      <c r="D127" s="1">
        <v>488.0</v>
      </c>
    </row>
    <row r="128">
      <c r="A128" s="1">
        <v>2.0</v>
      </c>
      <c r="B128" s="63">
        <v>43261.0</v>
      </c>
      <c r="C128" s="1">
        <v>6.0</v>
      </c>
      <c r="D128" s="1">
        <v>98.0</v>
      </c>
    </row>
    <row r="129">
      <c r="A129" s="1">
        <v>2.0</v>
      </c>
      <c r="B129" s="63">
        <v>43261.0</v>
      </c>
      <c r="C129" s="1">
        <v>7.0</v>
      </c>
      <c r="D129" s="1">
        <v>144.0</v>
      </c>
    </row>
    <row r="130">
      <c r="A130" s="1">
        <v>2.0</v>
      </c>
      <c r="B130" s="63">
        <v>43261.0</v>
      </c>
      <c r="C130" s="1">
        <v>8.0</v>
      </c>
      <c r="D130" s="1">
        <v>461.0</v>
      </c>
    </row>
    <row r="131">
      <c r="A131" s="1">
        <v>2.0</v>
      </c>
      <c r="B131" s="63">
        <v>43261.0</v>
      </c>
      <c r="C131" s="1">
        <v>9.0</v>
      </c>
      <c r="D131" s="1">
        <v>538.0</v>
      </c>
    </row>
    <row r="132">
      <c r="A132" s="1">
        <v>2.0</v>
      </c>
      <c r="B132" s="63">
        <v>43261.0</v>
      </c>
      <c r="C132" s="1">
        <v>10.0</v>
      </c>
      <c r="D132" s="1">
        <v>163.0</v>
      </c>
    </row>
    <row r="133">
      <c r="A133" s="1">
        <v>2.0</v>
      </c>
      <c r="B133" s="63">
        <v>43261.0</v>
      </c>
      <c r="C133" s="1">
        <v>11.0</v>
      </c>
      <c r="D133" s="1">
        <v>181.0</v>
      </c>
    </row>
    <row r="134">
      <c r="A134" s="1">
        <v>2.0</v>
      </c>
      <c r="B134" s="63">
        <v>43261.0</v>
      </c>
      <c r="C134" s="1">
        <v>12.0</v>
      </c>
      <c r="D134" s="1">
        <v>215.0</v>
      </c>
    </row>
    <row r="135">
      <c r="A135" s="1">
        <v>2.0</v>
      </c>
      <c r="B135" s="63">
        <v>43261.0</v>
      </c>
      <c r="C135" s="1">
        <v>13.0</v>
      </c>
      <c r="D135" s="1">
        <v>456.0</v>
      </c>
    </row>
    <row r="136">
      <c r="A136" s="1">
        <v>2.0</v>
      </c>
      <c r="B136" s="63">
        <v>43261.0</v>
      </c>
      <c r="C136" s="1">
        <v>14.0</v>
      </c>
      <c r="D136" s="1">
        <v>194.0</v>
      </c>
    </row>
    <row r="137">
      <c r="A137" s="1">
        <v>2.0</v>
      </c>
      <c r="B137" s="63">
        <v>43261.0</v>
      </c>
      <c r="C137" s="1">
        <v>15.0</v>
      </c>
      <c r="D137" s="1">
        <v>109.0</v>
      </c>
    </row>
    <row r="138">
      <c r="A138" s="1">
        <v>2.0</v>
      </c>
      <c r="B138" s="63">
        <v>43261.0</v>
      </c>
      <c r="C138" s="1">
        <v>16.0</v>
      </c>
      <c r="D138" s="1">
        <v>189.0</v>
      </c>
    </row>
    <row r="139">
      <c r="A139" s="1">
        <v>2.0</v>
      </c>
      <c r="B139" s="63">
        <v>43261.0</v>
      </c>
      <c r="C139" s="1">
        <v>17.0</v>
      </c>
      <c r="D139" s="1">
        <v>298.0</v>
      </c>
    </row>
    <row r="140">
      <c r="A140" s="1">
        <v>2.0</v>
      </c>
      <c r="B140" s="63">
        <v>43261.0</v>
      </c>
      <c r="C140" s="1">
        <v>18.0</v>
      </c>
      <c r="D140" s="1">
        <v>291.0</v>
      </c>
    </row>
    <row r="141">
      <c r="A141" s="1">
        <v>2.0</v>
      </c>
      <c r="B141" s="63">
        <v>43261.0</v>
      </c>
      <c r="C141" s="1">
        <v>19.0</v>
      </c>
      <c r="D141" s="1">
        <v>147.0</v>
      </c>
    </row>
    <row r="142">
      <c r="A142" s="1">
        <v>2.0</v>
      </c>
      <c r="B142" s="63">
        <v>43261.0</v>
      </c>
      <c r="C142" s="1">
        <v>20.0</v>
      </c>
      <c r="D142" s="1">
        <v>173.0</v>
      </c>
    </row>
    <row r="143">
      <c r="A143" s="1">
        <v>2.0</v>
      </c>
      <c r="B143" s="63">
        <v>43261.0</v>
      </c>
      <c r="C143" s="1">
        <v>21.0</v>
      </c>
      <c r="D143" s="1">
        <v>48.0</v>
      </c>
    </row>
    <row r="144">
      <c r="A144" s="1">
        <v>2.0</v>
      </c>
      <c r="B144" s="63">
        <v>43268.0</v>
      </c>
      <c r="C144" s="1">
        <v>0.0</v>
      </c>
      <c r="D144" s="1">
        <v>4880.0</v>
      </c>
    </row>
    <row r="145">
      <c r="A145" s="1">
        <v>2.0</v>
      </c>
      <c r="B145" s="63">
        <v>43268.0</v>
      </c>
      <c r="C145" s="1">
        <v>1.0</v>
      </c>
      <c r="D145" s="1">
        <v>64.0</v>
      </c>
    </row>
    <row r="146">
      <c r="A146" s="1">
        <v>2.0</v>
      </c>
      <c r="B146" s="63">
        <v>43268.0</v>
      </c>
      <c r="C146" s="1">
        <v>2.0</v>
      </c>
      <c r="D146" s="1">
        <v>84.0</v>
      </c>
    </row>
    <row r="147">
      <c r="A147" s="1">
        <v>2.0</v>
      </c>
      <c r="B147" s="63">
        <v>43268.0</v>
      </c>
      <c r="C147" s="1">
        <v>3.0</v>
      </c>
      <c r="D147" s="1">
        <v>262.0</v>
      </c>
    </row>
    <row r="148">
      <c r="A148" s="1">
        <v>2.0</v>
      </c>
      <c r="B148" s="63">
        <v>43268.0</v>
      </c>
      <c r="C148" s="1">
        <v>4.0</v>
      </c>
      <c r="D148" s="1">
        <v>1309.0</v>
      </c>
    </row>
    <row r="149">
      <c r="A149" s="1">
        <v>2.0</v>
      </c>
      <c r="B149" s="63">
        <v>43268.0</v>
      </c>
      <c r="C149" s="1">
        <v>5.0</v>
      </c>
      <c r="D149" s="1">
        <v>544.0</v>
      </c>
    </row>
    <row r="150">
      <c r="A150" s="1">
        <v>2.0</v>
      </c>
      <c r="B150" s="63">
        <v>43268.0</v>
      </c>
      <c r="C150" s="1">
        <v>6.0</v>
      </c>
      <c r="D150" s="1">
        <v>209.0</v>
      </c>
    </row>
    <row r="151">
      <c r="A151" s="1">
        <v>2.0</v>
      </c>
      <c r="B151" s="63">
        <v>43268.0</v>
      </c>
      <c r="C151" s="1">
        <v>7.0</v>
      </c>
      <c r="D151" s="1">
        <v>310.0</v>
      </c>
    </row>
    <row r="152">
      <c r="A152" s="1">
        <v>2.0</v>
      </c>
      <c r="B152" s="63">
        <v>43268.0</v>
      </c>
      <c r="C152" s="1">
        <v>8.0</v>
      </c>
      <c r="D152" s="1">
        <v>635.0</v>
      </c>
    </row>
    <row r="153">
      <c r="A153" s="1">
        <v>2.0</v>
      </c>
      <c r="B153" s="63">
        <v>43268.0</v>
      </c>
      <c r="C153" s="1">
        <v>9.0</v>
      </c>
      <c r="D153" s="1">
        <v>675.0</v>
      </c>
    </row>
    <row r="154">
      <c r="A154" s="1">
        <v>2.0</v>
      </c>
      <c r="B154" s="63">
        <v>43268.0</v>
      </c>
      <c r="C154" s="1">
        <v>10.0</v>
      </c>
      <c r="D154" s="1">
        <v>284.0</v>
      </c>
    </row>
    <row r="155">
      <c r="A155" s="1">
        <v>2.0</v>
      </c>
      <c r="B155" s="63">
        <v>43268.0</v>
      </c>
      <c r="C155" s="1">
        <v>11.0</v>
      </c>
      <c r="D155" s="1">
        <v>263.0</v>
      </c>
    </row>
    <row r="156">
      <c r="A156" s="1">
        <v>2.0</v>
      </c>
      <c r="B156" s="63">
        <v>43268.0</v>
      </c>
      <c r="C156" s="1">
        <v>12.0</v>
      </c>
      <c r="D156" s="1">
        <v>395.0</v>
      </c>
    </row>
    <row r="157">
      <c r="A157" s="1">
        <v>2.0</v>
      </c>
      <c r="B157" s="63">
        <v>43268.0</v>
      </c>
      <c r="C157" s="1">
        <v>13.0</v>
      </c>
      <c r="D157" s="1">
        <v>575.0</v>
      </c>
    </row>
    <row r="158">
      <c r="A158" s="1">
        <v>2.0</v>
      </c>
      <c r="B158" s="63">
        <v>43268.0</v>
      </c>
      <c r="C158" s="1">
        <v>14.0</v>
      </c>
      <c r="D158" s="1">
        <v>223.0</v>
      </c>
    </row>
    <row r="159">
      <c r="A159" s="1">
        <v>2.0</v>
      </c>
      <c r="B159" s="63">
        <v>43268.0</v>
      </c>
      <c r="C159" s="1">
        <v>15.0</v>
      </c>
      <c r="D159" s="1">
        <v>238.0</v>
      </c>
    </row>
    <row r="160">
      <c r="A160" s="1">
        <v>2.0</v>
      </c>
      <c r="B160" s="63">
        <v>43268.0</v>
      </c>
      <c r="C160" s="1">
        <v>16.0</v>
      </c>
      <c r="D160" s="1">
        <v>306.0</v>
      </c>
    </row>
    <row r="161">
      <c r="A161" s="1">
        <v>2.0</v>
      </c>
      <c r="B161" s="63">
        <v>43268.0</v>
      </c>
      <c r="C161" s="1">
        <v>17.0</v>
      </c>
      <c r="D161" s="1">
        <v>478.0</v>
      </c>
    </row>
    <row r="162">
      <c r="A162" s="1">
        <v>2.0</v>
      </c>
      <c r="B162" s="63">
        <v>43268.0</v>
      </c>
      <c r="C162" s="1">
        <v>18.0</v>
      </c>
      <c r="D162" s="1">
        <v>373.0</v>
      </c>
    </row>
    <row r="163">
      <c r="A163" s="1">
        <v>2.0</v>
      </c>
      <c r="B163" s="63">
        <v>43268.0</v>
      </c>
      <c r="C163" s="1">
        <v>19.0</v>
      </c>
      <c r="D163" s="1">
        <v>217.0</v>
      </c>
    </row>
    <row r="164">
      <c r="A164" s="1">
        <v>2.0</v>
      </c>
      <c r="B164" s="63">
        <v>43268.0</v>
      </c>
      <c r="C164" s="1">
        <v>20.0</v>
      </c>
      <c r="D164" s="1">
        <v>73.0</v>
      </c>
    </row>
    <row r="165">
      <c r="A165" s="1">
        <v>2.0</v>
      </c>
      <c r="B165" s="63">
        <v>43275.0</v>
      </c>
      <c r="C165" s="1">
        <v>0.0</v>
      </c>
      <c r="D165" s="1">
        <v>3986.0</v>
      </c>
    </row>
    <row r="166">
      <c r="A166" s="1">
        <v>2.0</v>
      </c>
      <c r="B166" s="63">
        <v>43275.0</v>
      </c>
      <c r="C166" s="1">
        <v>1.0</v>
      </c>
      <c r="D166" s="1">
        <v>71.0</v>
      </c>
    </row>
    <row r="167">
      <c r="A167" s="1">
        <v>2.0</v>
      </c>
      <c r="B167" s="63">
        <v>43275.0</v>
      </c>
      <c r="C167" s="1">
        <v>2.0</v>
      </c>
      <c r="D167" s="1">
        <v>71.0</v>
      </c>
    </row>
    <row r="168">
      <c r="A168" s="1">
        <v>2.0</v>
      </c>
      <c r="B168" s="63">
        <v>43275.0</v>
      </c>
      <c r="C168" s="1">
        <v>3.0</v>
      </c>
      <c r="D168" s="1">
        <v>231.0</v>
      </c>
    </row>
    <row r="169">
      <c r="A169" s="1">
        <v>2.0</v>
      </c>
      <c r="B169" s="63">
        <v>43275.0</v>
      </c>
      <c r="C169" s="1">
        <v>4.0</v>
      </c>
      <c r="D169" s="1">
        <v>978.0</v>
      </c>
    </row>
    <row r="170">
      <c r="A170" s="1">
        <v>2.0</v>
      </c>
      <c r="B170" s="63">
        <v>43275.0</v>
      </c>
      <c r="C170" s="1">
        <v>5.0</v>
      </c>
      <c r="D170" s="1">
        <v>483.0</v>
      </c>
    </row>
    <row r="171">
      <c r="A171" s="1">
        <v>2.0</v>
      </c>
      <c r="B171" s="63">
        <v>43275.0</v>
      </c>
      <c r="C171" s="1">
        <v>6.0</v>
      </c>
      <c r="D171" s="1">
        <v>168.0</v>
      </c>
    </row>
    <row r="172">
      <c r="A172" s="1">
        <v>2.0</v>
      </c>
      <c r="B172" s="63">
        <v>43275.0</v>
      </c>
      <c r="C172" s="1">
        <v>7.0</v>
      </c>
      <c r="D172" s="1">
        <v>187.0</v>
      </c>
    </row>
    <row r="173">
      <c r="A173" s="1">
        <v>2.0</v>
      </c>
      <c r="B173" s="63">
        <v>43275.0</v>
      </c>
      <c r="C173" s="1">
        <v>8.0</v>
      </c>
      <c r="D173" s="1">
        <v>633.0</v>
      </c>
    </row>
    <row r="174">
      <c r="A174" s="1">
        <v>2.0</v>
      </c>
      <c r="B174" s="63">
        <v>43275.0</v>
      </c>
      <c r="C174" s="1">
        <v>9.0</v>
      </c>
      <c r="D174" s="1">
        <v>471.0</v>
      </c>
    </row>
    <row r="175">
      <c r="A175" s="1">
        <v>2.0</v>
      </c>
      <c r="B175" s="63">
        <v>43275.0</v>
      </c>
      <c r="C175" s="1">
        <v>10.0</v>
      </c>
      <c r="D175" s="1">
        <v>252.0</v>
      </c>
    </row>
    <row r="176">
      <c r="A176" s="1">
        <v>2.0</v>
      </c>
      <c r="B176" s="63">
        <v>43275.0</v>
      </c>
      <c r="C176" s="1">
        <v>11.0</v>
      </c>
      <c r="D176" s="1">
        <v>204.0</v>
      </c>
    </row>
    <row r="177">
      <c r="A177" s="1">
        <v>2.0</v>
      </c>
      <c r="B177" s="63">
        <v>43275.0</v>
      </c>
      <c r="C177" s="1">
        <v>12.0</v>
      </c>
      <c r="D177" s="1">
        <v>203.0</v>
      </c>
    </row>
    <row r="178">
      <c r="A178" s="1">
        <v>2.0</v>
      </c>
      <c r="B178" s="63">
        <v>43275.0</v>
      </c>
      <c r="C178" s="1">
        <v>13.0</v>
      </c>
      <c r="D178" s="1">
        <v>428.0</v>
      </c>
    </row>
    <row r="179">
      <c r="A179" s="1">
        <v>2.0</v>
      </c>
      <c r="B179" s="63">
        <v>43275.0</v>
      </c>
      <c r="C179" s="1">
        <v>14.0</v>
      </c>
      <c r="D179" s="1">
        <v>294.0</v>
      </c>
    </row>
    <row r="180">
      <c r="A180" s="1">
        <v>2.0</v>
      </c>
      <c r="B180" s="63">
        <v>43275.0</v>
      </c>
      <c r="C180" s="1">
        <v>15.0</v>
      </c>
      <c r="D180" s="1">
        <v>169.0</v>
      </c>
    </row>
    <row r="181">
      <c r="A181" s="1">
        <v>2.0</v>
      </c>
      <c r="B181" s="63">
        <v>43275.0</v>
      </c>
      <c r="C181" s="1">
        <v>16.0</v>
      </c>
      <c r="D181" s="1">
        <v>191.0</v>
      </c>
    </row>
    <row r="182">
      <c r="A182" s="1">
        <v>2.0</v>
      </c>
      <c r="B182" s="63">
        <v>43275.0</v>
      </c>
      <c r="C182" s="1">
        <v>17.0</v>
      </c>
      <c r="D182" s="1">
        <v>391.0</v>
      </c>
    </row>
    <row r="183">
      <c r="A183" s="1">
        <v>2.0</v>
      </c>
      <c r="B183" s="63">
        <v>43275.0</v>
      </c>
      <c r="C183" s="1">
        <v>18.0</v>
      </c>
      <c r="D183" s="1">
        <v>274.0</v>
      </c>
    </row>
    <row r="184">
      <c r="A184" s="1">
        <v>2.0</v>
      </c>
      <c r="B184" s="63">
        <v>43275.0</v>
      </c>
      <c r="C184" s="1">
        <v>19.0</v>
      </c>
      <c r="D184" s="1">
        <v>55.0</v>
      </c>
    </row>
    <row r="185">
      <c r="A185" s="1">
        <v>2.0</v>
      </c>
      <c r="B185" s="63">
        <v>43282.0</v>
      </c>
      <c r="C185" s="1">
        <v>0.0</v>
      </c>
      <c r="D185" s="1">
        <v>4517.0</v>
      </c>
    </row>
    <row r="186">
      <c r="A186" s="1">
        <v>2.0</v>
      </c>
      <c r="B186" s="63">
        <v>43282.0</v>
      </c>
      <c r="C186" s="1">
        <v>1.0</v>
      </c>
      <c r="D186" s="1">
        <v>67.0</v>
      </c>
    </row>
    <row r="187">
      <c r="A187" s="1">
        <v>2.0</v>
      </c>
      <c r="B187" s="63">
        <v>43282.0</v>
      </c>
      <c r="C187" s="1">
        <v>2.0</v>
      </c>
      <c r="D187" s="1">
        <v>62.0</v>
      </c>
    </row>
    <row r="188">
      <c r="A188" s="1">
        <v>2.0</v>
      </c>
      <c r="B188" s="63">
        <v>43282.0</v>
      </c>
      <c r="C188" s="1">
        <v>3.0</v>
      </c>
      <c r="D188" s="1">
        <v>248.0</v>
      </c>
    </row>
    <row r="189">
      <c r="A189" s="1">
        <v>2.0</v>
      </c>
      <c r="B189" s="63">
        <v>43282.0</v>
      </c>
      <c r="C189" s="1">
        <v>4.0</v>
      </c>
      <c r="D189" s="1">
        <v>966.0</v>
      </c>
    </row>
    <row r="190">
      <c r="A190" s="1">
        <v>2.0</v>
      </c>
      <c r="B190" s="63">
        <v>43282.0</v>
      </c>
      <c r="C190" s="1">
        <v>5.0</v>
      </c>
      <c r="D190" s="1">
        <v>711.0</v>
      </c>
    </row>
    <row r="191">
      <c r="A191" s="1">
        <v>2.0</v>
      </c>
      <c r="B191" s="63">
        <v>43282.0</v>
      </c>
      <c r="C191" s="1">
        <v>6.0</v>
      </c>
      <c r="D191" s="1">
        <v>134.0</v>
      </c>
    </row>
    <row r="192">
      <c r="A192" s="1">
        <v>2.0</v>
      </c>
      <c r="B192" s="63">
        <v>43282.0</v>
      </c>
      <c r="C192" s="1">
        <v>7.0</v>
      </c>
      <c r="D192" s="1">
        <v>167.0</v>
      </c>
    </row>
    <row r="193">
      <c r="A193" s="1">
        <v>2.0</v>
      </c>
      <c r="B193" s="63">
        <v>43282.0</v>
      </c>
      <c r="C193" s="1">
        <v>8.0</v>
      </c>
      <c r="D193" s="1">
        <v>584.0</v>
      </c>
    </row>
    <row r="194">
      <c r="A194" s="1">
        <v>2.0</v>
      </c>
      <c r="B194" s="63">
        <v>43282.0</v>
      </c>
      <c r="C194" s="1">
        <v>9.0</v>
      </c>
      <c r="D194" s="1">
        <v>600.0</v>
      </c>
    </row>
    <row r="195">
      <c r="A195" s="1">
        <v>2.0</v>
      </c>
      <c r="B195" s="63">
        <v>43282.0</v>
      </c>
      <c r="C195" s="1">
        <v>10.0</v>
      </c>
      <c r="D195" s="1">
        <v>248.0</v>
      </c>
    </row>
    <row r="196">
      <c r="A196" s="1">
        <v>2.0</v>
      </c>
      <c r="B196" s="63">
        <v>43282.0</v>
      </c>
      <c r="C196" s="1">
        <v>11.0</v>
      </c>
      <c r="D196" s="1">
        <v>241.0</v>
      </c>
    </row>
    <row r="197">
      <c r="A197" s="1">
        <v>2.0</v>
      </c>
      <c r="B197" s="63">
        <v>43282.0</v>
      </c>
      <c r="C197" s="1">
        <v>12.0</v>
      </c>
      <c r="D197" s="1">
        <v>191.0</v>
      </c>
    </row>
    <row r="198">
      <c r="A198" s="1">
        <v>2.0</v>
      </c>
      <c r="B198" s="63">
        <v>43282.0</v>
      </c>
      <c r="C198" s="1">
        <v>13.0</v>
      </c>
      <c r="D198" s="1">
        <v>595.0</v>
      </c>
    </row>
    <row r="199">
      <c r="A199" s="1">
        <v>2.0</v>
      </c>
      <c r="B199" s="63">
        <v>43282.0</v>
      </c>
      <c r="C199" s="1">
        <v>14.0</v>
      </c>
      <c r="D199" s="1">
        <v>212.0</v>
      </c>
    </row>
    <row r="200">
      <c r="A200" s="1">
        <v>2.0</v>
      </c>
      <c r="B200" s="63">
        <v>43282.0</v>
      </c>
      <c r="C200" s="1">
        <v>15.0</v>
      </c>
      <c r="D200" s="1">
        <v>164.0</v>
      </c>
    </row>
    <row r="201">
      <c r="A201" s="1">
        <v>2.0</v>
      </c>
      <c r="B201" s="63">
        <v>43282.0</v>
      </c>
      <c r="C201" s="1">
        <v>16.0</v>
      </c>
      <c r="D201" s="1">
        <v>196.0</v>
      </c>
    </row>
    <row r="202">
      <c r="A202" s="1">
        <v>2.0</v>
      </c>
      <c r="B202" s="63">
        <v>43282.0</v>
      </c>
      <c r="C202" s="1">
        <v>17.0</v>
      </c>
      <c r="D202" s="1">
        <v>410.0</v>
      </c>
    </row>
    <row r="203">
      <c r="A203" s="1">
        <v>2.0</v>
      </c>
      <c r="B203" s="63">
        <v>43282.0</v>
      </c>
      <c r="C203" s="1">
        <v>18.0</v>
      </c>
      <c r="D203" s="1">
        <v>151.0</v>
      </c>
    </row>
    <row r="204">
      <c r="A204" s="1">
        <v>3.0</v>
      </c>
      <c r="B204" s="63">
        <v>43254.0</v>
      </c>
      <c r="C204" s="1">
        <v>0.0</v>
      </c>
      <c r="D204" s="1">
        <v>40.0</v>
      </c>
    </row>
    <row r="205">
      <c r="A205" s="1">
        <v>3.0</v>
      </c>
      <c r="B205" s="63">
        <v>43254.0</v>
      </c>
      <c r="C205" s="1">
        <v>2.0</v>
      </c>
      <c r="D205" s="1">
        <v>3.0</v>
      </c>
    </row>
    <row r="206">
      <c r="A206" s="1">
        <v>3.0</v>
      </c>
      <c r="B206" s="63">
        <v>43254.0</v>
      </c>
      <c r="C206" s="1">
        <v>4.0</v>
      </c>
      <c r="D206" s="1">
        <v>2.0</v>
      </c>
    </row>
    <row r="207">
      <c r="A207" s="1">
        <v>3.0</v>
      </c>
      <c r="B207" s="63">
        <v>43254.0</v>
      </c>
      <c r="C207" s="1">
        <v>5.0</v>
      </c>
      <c r="D207" s="1">
        <v>15.0</v>
      </c>
    </row>
    <row r="208">
      <c r="A208" s="1">
        <v>3.0</v>
      </c>
      <c r="B208" s="63">
        <v>43254.0</v>
      </c>
      <c r="C208" s="1">
        <v>6.0</v>
      </c>
      <c r="D208" s="1">
        <v>3.0</v>
      </c>
    </row>
    <row r="209">
      <c r="A209" s="1">
        <v>3.0</v>
      </c>
      <c r="B209" s="63">
        <v>43254.0</v>
      </c>
      <c r="C209" s="1">
        <v>8.0</v>
      </c>
      <c r="D209" s="1">
        <v>1.0</v>
      </c>
    </row>
    <row r="210">
      <c r="A210" s="1">
        <v>3.0</v>
      </c>
      <c r="B210" s="63">
        <v>43254.0</v>
      </c>
      <c r="C210" s="1">
        <v>9.0</v>
      </c>
      <c r="D210" s="1">
        <v>9.0</v>
      </c>
    </row>
    <row r="211">
      <c r="A211" s="1">
        <v>3.0</v>
      </c>
      <c r="B211" s="63">
        <v>43254.0</v>
      </c>
      <c r="C211" s="1">
        <v>10.0</v>
      </c>
      <c r="D211" s="1">
        <v>2.0</v>
      </c>
    </row>
    <row r="212">
      <c r="A212" s="1">
        <v>3.0</v>
      </c>
      <c r="B212" s="63">
        <v>43254.0</v>
      </c>
      <c r="C212" s="1">
        <v>11.0</v>
      </c>
      <c r="D212" s="1">
        <v>1.0</v>
      </c>
    </row>
    <row r="213">
      <c r="A213" s="1">
        <v>3.0</v>
      </c>
      <c r="B213" s="63">
        <v>43254.0</v>
      </c>
      <c r="C213" s="1">
        <v>12.0</v>
      </c>
      <c r="D213" s="1">
        <v>1.0</v>
      </c>
    </row>
    <row r="214">
      <c r="A214" s="1">
        <v>3.0</v>
      </c>
      <c r="B214" s="63">
        <v>43254.0</v>
      </c>
      <c r="C214" s="1">
        <v>13.0</v>
      </c>
      <c r="D214" s="1">
        <v>4.0</v>
      </c>
    </row>
    <row r="215">
      <c r="A215" s="1">
        <v>3.0</v>
      </c>
      <c r="B215" s="63">
        <v>43254.0</v>
      </c>
      <c r="C215" s="1">
        <v>14.0</v>
      </c>
      <c r="D215" s="1">
        <v>3.0</v>
      </c>
    </row>
    <row r="216">
      <c r="A216" s="1">
        <v>3.0</v>
      </c>
      <c r="B216" s="63">
        <v>43254.0</v>
      </c>
      <c r="C216" s="1">
        <v>15.0</v>
      </c>
      <c r="D216" s="1">
        <v>3.0</v>
      </c>
    </row>
    <row r="217">
      <c r="A217" s="1">
        <v>3.0</v>
      </c>
      <c r="B217" s="63">
        <v>43254.0</v>
      </c>
      <c r="C217" s="1">
        <v>16.0</v>
      </c>
      <c r="D217" s="1">
        <v>2.0</v>
      </c>
    </row>
    <row r="218">
      <c r="A218" s="1">
        <v>3.0</v>
      </c>
      <c r="B218" s="63">
        <v>43254.0</v>
      </c>
      <c r="C218" s="1">
        <v>17.0</v>
      </c>
      <c r="D218" s="1">
        <v>1.0</v>
      </c>
    </row>
    <row r="219">
      <c r="A219" s="1">
        <v>3.0</v>
      </c>
      <c r="B219" s="63">
        <v>43254.0</v>
      </c>
      <c r="C219" s="1">
        <v>18.0</v>
      </c>
      <c r="D219" s="1">
        <v>2.0</v>
      </c>
    </row>
    <row r="220">
      <c r="A220" s="1">
        <v>3.0</v>
      </c>
      <c r="B220" s="63">
        <v>43254.0</v>
      </c>
      <c r="C220" s="1">
        <v>19.0</v>
      </c>
      <c r="D220" s="1">
        <v>2.0</v>
      </c>
    </row>
    <row r="221">
      <c r="A221" s="1">
        <v>3.0</v>
      </c>
      <c r="B221" s="63">
        <v>43254.0</v>
      </c>
      <c r="C221" s="1">
        <v>20.0</v>
      </c>
      <c r="D221" s="1">
        <v>3.0</v>
      </c>
    </row>
    <row r="222">
      <c r="A222" s="1">
        <v>3.0</v>
      </c>
      <c r="B222" s="63">
        <v>43254.0</v>
      </c>
      <c r="C222" s="1">
        <v>21.0</v>
      </c>
      <c r="D222" s="1">
        <v>2.0</v>
      </c>
    </row>
    <row r="223">
      <c r="A223" s="1">
        <v>3.0</v>
      </c>
      <c r="B223" s="63">
        <v>43261.0</v>
      </c>
      <c r="C223" s="1">
        <v>0.0</v>
      </c>
      <c r="D223" s="1">
        <v>80.0</v>
      </c>
    </row>
    <row r="224">
      <c r="A224" s="1">
        <v>3.0</v>
      </c>
      <c r="B224" s="63">
        <v>43261.0</v>
      </c>
      <c r="C224" s="1">
        <v>1.0</v>
      </c>
      <c r="D224" s="1">
        <v>1.0</v>
      </c>
    </row>
    <row r="225">
      <c r="A225" s="1">
        <v>3.0</v>
      </c>
      <c r="B225" s="63">
        <v>43261.0</v>
      </c>
      <c r="C225" s="1">
        <v>3.0</v>
      </c>
      <c r="D225" s="1">
        <v>6.0</v>
      </c>
    </row>
    <row r="226">
      <c r="A226" s="1">
        <v>3.0</v>
      </c>
      <c r="B226" s="63">
        <v>43261.0</v>
      </c>
      <c r="C226" s="1">
        <v>4.0</v>
      </c>
      <c r="D226" s="1">
        <v>19.0</v>
      </c>
    </row>
    <row r="227">
      <c r="A227" s="1">
        <v>3.0</v>
      </c>
      <c r="B227" s="63">
        <v>43261.0</v>
      </c>
      <c r="C227" s="1">
        <v>5.0</v>
      </c>
      <c r="D227" s="1">
        <v>10.0</v>
      </c>
    </row>
    <row r="228">
      <c r="A228" s="1">
        <v>3.0</v>
      </c>
      <c r="B228" s="63">
        <v>43261.0</v>
      </c>
      <c r="C228" s="1">
        <v>6.0</v>
      </c>
      <c r="D228" s="1">
        <v>3.0</v>
      </c>
    </row>
    <row r="229">
      <c r="A229" s="1">
        <v>3.0</v>
      </c>
      <c r="B229" s="63">
        <v>43261.0</v>
      </c>
      <c r="C229" s="1">
        <v>7.0</v>
      </c>
      <c r="D229" s="1">
        <v>5.0</v>
      </c>
    </row>
    <row r="230">
      <c r="A230" s="1">
        <v>3.0</v>
      </c>
      <c r="B230" s="63">
        <v>43261.0</v>
      </c>
      <c r="C230" s="1">
        <v>8.0</v>
      </c>
      <c r="D230" s="1">
        <v>10.0</v>
      </c>
    </row>
    <row r="231">
      <c r="A231" s="1">
        <v>3.0</v>
      </c>
      <c r="B231" s="63">
        <v>43261.0</v>
      </c>
      <c r="C231" s="1">
        <v>9.0</v>
      </c>
      <c r="D231" s="1">
        <v>7.0</v>
      </c>
    </row>
    <row r="232">
      <c r="A232" s="1">
        <v>3.0</v>
      </c>
      <c r="B232" s="63">
        <v>43261.0</v>
      </c>
      <c r="C232" s="1">
        <v>10.0</v>
      </c>
      <c r="D232" s="1">
        <v>5.0</v>
      </c>
    </row>
    <row r="233">
      <c r="A233" s="1">
        <v>3.0</v>
      </c>
      <c r="B233" s="63">
        <v>43261.0</v>
      </c>
      <c r="C233" s="1">
        <v>11.0</v>
      </c>
      <c r="D233" s="1">
        <v>1.0</v>
      </c>
    </row>
    <row r="234">
      <c r="A234" s="1">
        <v>3.0</v>
      </c>
      <c r="B234" s="63">
        <v>43261.0</v>
      </c>
      <c r="C234" s="1">
        <v>12.0</v>
      </c>
      <c r="D234" s="1">
        <v>6.0</v>
      </c>
    </row>
    <row r="235">
      <c r="A235" s="1">
        <v>3.0</v>
      </c>
      <c r="B235" s="63">
        <v>43261.0</v>
      </c>
      <c r="C235" s="1">
        <v>13.0</v>
      </c>
      <c r="D235" s="1">
        <v>8.0</v>
      </c>
    </row>
    <row r="236">
      <c r="A236" s="1">
        <v>3.0</v>
      </c>
      <c r="B236" s="63">
        <v>43261.0</v>
      </c>
      <c r="C236" s="1">
        <v>14.0</v>
      </c>
      <c r="D236" s="1">
        <v>4.0</v>
      </c>
    </row>
    <row r="237">
      <c r="A237" s="1">
        <v>3.0</v>
      </c>
      <c r="B237" s="63">
        <v>43261.0</v>
      </c>
      <c r="C237" s="1">
        <v>15.0</v>
      </c>
      <c r="D237" s="1">
        <v>2.0</v>
      </c>
    </row>
    <row r="238">
      <c r="A238" s="1">
        <v>3.0</v>
      </c>
      <c r="B238" s="63">
        <v>43261.0</v>
      </c>
      <c r="C238" s="1">
        <v>16.0</v>
      </c>
      <c r="D238" s="1">
        <v>4.0</v>
      </c>
    </row>
    <row r="239">
      <c r="A239" s="1">
        <v>3.0</v>
      </c>
      <c r="B239" s="63">
        <v>43261.0</v>
      </c>
      <c r="C239" s="1">
        <v>17.0</v>
      </c>
      <c r="D239" s="1">
        <v>9.0</v>
      </c>
    </row>
    <row r="240">
      <c r="A240" s="1">
        <v>3.0</v>
      </c>
      <c r="B240" s="63">
        <v>43261.0</v>
      </c>
      <c r="C240" s="1">
        <v>18.0</v>
      </c>
      <c r="D240" s="1">
        <v>5.0</v>
      </c>
    </row>
    <row r="241">
      <c r="A241" s="1">
        <v>3.0</v>
      </c>
      <c r="B241" s="63">
        <v>43261.0</v>
      </c>
      <c r="C241" s="1">
        <v>19.0</v>
      </c>
      <c r="D241" s="1">
        <v>4.0</v>
      </c>
    </row>
    <row r="242">
      <c r="A242" s="1">
        <v>3.0</v>
      </c>
      <c r="B242" s="63">
        <v>43261.0</v>
      </c>
      <c r="C242" s="1">
        <v>20.0</v>
      </c>
      <c r="D242" s="1">
        <v>2.0</v>
      </c>
    </row>
    <row r="243">
      <c r="A243" s="1">
        <v>3.0</v>
      </c>
      <c r="B243" s="63">
        <v>43268.0</v>
      </c>
      <c r="C243" s="1">
        <v>0.0</v>
      </c>
      <c r="D243" s="1">
        <v>91.0</v>
      </c>
    </row>
    <row r="244">
      <c r="A244" s="1">
        <v>3.0</v>
      </c>
      <c r="B244" s="63">
        <v>43268.0</v>
      </c>
      <c r="C244" s="1">
        <v>1.0</v>
      </c>
      <c r="D244" s="1">
        <v>1.0</v>
      </c>
    </row>
    <row r="245">
      <c r="A245" s="1">
        <v>3.0</v>
      </c>
      <c r="B245" s="63">
        <v>43268.0</v>
      </c>
      <c r="C245" s="1">
        <v>2.0</v>
      </c>
      <c r="D245" s="1">
        <v>3.0</v>
      </c>
    </row>
    <row r="246">
      <c r="A246" s="1">
        <v>3.0</v>
      </c>
      <c r="B246" s="63">
        <v>43268.0</v>
      </c>
      <c r="C246" s="1">
        <v>3.0</v>
      </c>
      <c r="D246" s="1">
        <v>5.0</v>
      </c>
    </row>
    <row r="247">
      <c r="A247" s="1">
        <v>3.0</v>
      </c>
      <c r="B247" s="63">
        <v>43268.0</v>
      </c>
      <c r="C247" s="1">
        <v>4.0</v>
      </c>
      <c r="D247" s="1">
        <v>18.0</v>
      </c>
    </row>
    <row r="248">
      <c r="A248" s="1">
        <v>3.0</v>
      </c>
      <c r="B248" s="63">
        <v>43268.0</v>
      </c>
      <c r="C248" s="1">
        <v>5.0</v>
      </c>
      <c r="D248" s="1">
        <v>13.0</v>
      </c>
    </row>
    <row r="249">
      <c r="A249" s="1">
        <v>3.0</v>
      </c>
      <c r="B249" s="63">
        <v>43268.0</v>
      </c>
      <c r="C249" s="1">
        <v>6.0</v>
      </c>
      <c r="D249" s="1">
        <v>2.0</v>
      </c>
    </row>
    <row r="250">
      <c r="A250" s="1">
        <v>3.0</v>
      </c>
      <c r="B250" s="63">
        <v>43268.0</v>
      </c>
      <c r="C250" s="1">
        <v>7.0</v>
      </c>
      <c r="D250" s="1">
        <v>6.0</v>
      </c>
    </row>
    <row r="251">
      <c r="A251" s="1">
        <v>3.0</v>
      </c>
      <c r="B251" s="63">
        <v>43268.0</v>
      </c>
      <c r="C251" s="1">
        <v>8.0</v>
      </c>
      <c r="D251" s="1">
        <v>14.0</v>
      </c>
    </row>
    <row r="252">
      <c r="A252" s="1">
        <v>3.0</v>
      </c>
      <c r="B252" s="63">
        <v>43268.0</v>
      </c>
      <c r="C252" s="1">
        <v>9.0</v>
      </c>
      <c r="D252" s="1">
        <v>4.0</v>
      </c>
    </row>
    <row r="253">
      <c r="A253" s="1">
        <v>3.0</v>
      </c>
      <c r="B253" s="63">
        <v>43268.0</v>
      </c>
      <c r="C253" s="1">
        <v>10.0</v>
      </c>
      <c r="D253" s="1">
        <v>6.0</v>
      </c>
    </row>
    <row r="254">
      <c r="A254" s="1">
        <v>3.0</v>
      </c>
      <c r="B254" s="63">
        <v>43268.0</v>
      </c>
      <c r="C254" s="1">
        <v>11.0</v>
      </c>
      <c r="D254" s="1">
        <v>7.0</v>
      </c>
    </row>
    <row r="255">
      <c r="A255" s="1">
        <v>3.0</v>
      </c>
      <c r="B255" s="63">
        <v>43268.0</v>
      </c>
      <c r="C255" s="1">
        <v>12.0</v>
      </c>
      <c r="D255" s="1">
        <v>7.0</v>
      </c>
    </row>
    <row r="256">
      <c r="A256" s="1">
        <v>3.0</v>
      </c>
      <c r="B256" s="63">
        <v>43268.0</v>
      </c>
      <c r="C256" s="1">
        <v>13.0</v>
      </c>
      <c r="D256" s="1">
        <v>9.0</v>
      </c>
    </row>
    <row r="257">
      <c r="A257" s="1">
        <v>3.0</v>
      </c>
      <c r="B257" s="63">
        <v>43268.0</v>
      </c>
      <c r="C257" s="1">
        <v>14.0</v>
      </c>
      <c r="D257" s="1">
        <v>2.0</v>
      </c>
    </row>
    <row r="258">
      <c r="A258" s="1">
        <v>3.0</v>
      </c>
      <c r="B258" s="63">
        <v>43268.0</v>
      </c>
      <c r="C258" s="1">
        <v>15.0</v>
      </c>
      <c r="D258" s="1">
        <v>5.0</v>
      </c>
    </row>
    <row r="259">
      <c r="A259" s="1">
        <v>3.0</v>
      </c>
      <c r="B259" s="63">
        <v>43268.0</v>
      </c>
      <c r="C259" s="1">
        <v>16.0</v>
      </c>
      <c r="D259" s="1">
        <v>10.0</v>
      </c>
    </row>
    <row r="260">
      <c r="A260" s="1">
        <v>3.0</v>
      </c>
      <c r="B260" s="63">
        <v>43268.0</v>
      </c>
      <c r="C260" s="1">
        <v>17.0</v>
      </c>
      <c r="D260" s="1">
        <v>7.0</v>
      </c>
    </row>
    <row r="261">
      <c r="A261" s="1">
        <v>3.0</v>
      </c>
      <c r="B261" s="63">
        <v>43268.0</v>
      </c>
      <c r="C261" s="1">
        <v>18.0</v>
      </c>
      <c r="D261" s="1">
        <v>2.0</v>
      </c>
    </row>
    <row r="262">
      <c r="A262" s="1">
        <v>3.0</v>
      </c>
      <c r="B262" s="63">
        <v>43268.0</v>
      </c>
      <c r="C262" s="1">
        <v>19.0</v>
      </c>
      <c r="D262" s="1">
        <v>6.0</v>
      </c>
    </row>
    <row r="263">
      <c r="A263" s="1">
        <v>3.0</v>
      </c>
      <c r="B263" s="63">
        <v>43268.0</v>
      </c>
      <c r="C263" s="1">
        <v>20.0</v>
      </c>
      <c r="D263" s="1">
        <v>1.0</v>
      </c>
    </row>
    <row r="264">
      <c r="A264" s="1">
        <v>3.0</v>
      </c>
      <c r="B264" s="63">
        <v>43275.0</v>
      </c>
      <c r="C264" s="1">
        <v>0.0</v>
      </c>
      <c r="D264" s="1">
        <v>95.0</v>
      </c>
    </row>
    <row r="265">
      <c r="A265" s="1">
        <v>3.0</v>
      </c>
      <c r="B265" s="63">
        <v>43275.0</v>
      </c>
      <c r="C265" s="1">
        <v>1.0</v>
      </c>
      <c r="D265" s="1">
        <v>2.0</v>
      </c>
    </row>
    <row r="266">
      <c r="A266" s="1">
        <v>3.0</v>
      </c>
      <c r="B266" s="63">
        <v>43275.0</v>
      </c>
      <c r="C266" s="1">
        <v>2.0</v>
      </c>
      <c r="D266" s="1">
        <v>2.0</v>
      </c>
    </row>
    <row r="267">
      <c r="A267" s="1">
        <v>3.0</v>
      </c>
      <c r="B267" s="63">
        <v>43275.0</v>
      </c>
      <c r="C267" s="1">
        <v>3.0</v>
      </c>
      <c r="D267" s="1">
        <v>8.0</v>
      </c>
    </row>
    <row r="268">
      <c r="A268" s="1">
        <v>3.0</v>
      </c>
      <c r="B268" s="63">
        <v>43275.0</v>
      </c>
      <c r="C268" s="1">
        <v>4.0</v>
      </c>
      <c r="D268" s="1">
        <v>21.0</v>
      </c>
    </row>
    <row r="269">
      <c r="A269" s="1">
        <v>3.0</v>
      </c>
      <c r="B269" s="63">
        <v>43275.0</v>
      </c>
      <c r="C269" s="1">
        <v>5.0</v>
      </c>
      <c r="D269" s="1">
        <v>13.0</v>
      </c>
    </row>
    <row r="270">
      <c r="A270" s="1">
        <v>3.0</v>
      </c>
      <c r="B270" s="63">
        <v>43275.0</v>
      </c>
      <c r="C270" s="1">
        <v>6.0</v>
      </c>
      <c r="D270" s="1">
        <v>3.0</v>
      </c>
    </row>
    <row r="271">
      <c r="A271" s="1">
        <v>3.0</v>
      </c>
      <c r="B271" s="63">
        <v>43275.0</v>
      </c>
      <c r="C271" s="1">
        <v>7.0</v>
      </c>
      <c r="D271" s="1">
        <v>1.0</v>
      </c>
    </row>
    <row r="272">
      <c r="A272" s="1">
        <v>3.0</v>
      </c>
      <c r="B272" s="63">
        <v>43275.0</v>
      </c>
      <c r="C272" s="1">
        <v>8.0</v>
      </c>
      <c r="D272" s="1">
        <v>14.0</v>
      </c>
    </row>
    <row r="273">
      <c r="A273" s="1">
        <v>3.0</v>
      </c>
      <c r="B273" s="63">
        <v>43275.0</v>
      </c>
      <c r="C273" s="1">
        <v>9.0</v>
      </c>
      <c r="D273" s="1">
        <v>12.0</v>
      </c>
    </row>
    <row r="274">
      <c r="A274" s="1">
        <v>3.0</v>
      </c>
      <c r="B274" s="63">
        <v>43275.0</v>
      </c>
      <c r="C274" s="1">
        <v>10.0</v>
      </c>
      <c r="D274" s="1">
        <v>4.0</v>
      </c>
    </row>
    <row r="275">
      <c r="A275" s="1">
        <v>3.0</v>
      </c>
      <c r="B275" s="63">
        <v>43275.0</v>
      </c>
      <c r="C275" s="1">
        <v>11.0</v>
      </c>
      <c r="D275" s="1">
        <v>7.0</v>
      </c>
    </row>
    <row r="276">
      <c r="A276" s="1">
        <v>3.0</v>
      </c>
      <c r="B276" s="63">
        <v>43275.0</v>
      </c>
      <c r="C276" s="1">
        <v>12.0</v>
      </c>
      <c r="D276" s="1">
        <v>8.0</v>
      </c>
    </row>
    <row r="277">
      <c r="A277" s="1">
        <v>3.0</v>
      </c>
      <c r="B277" s="63">
        <v>43275.0</v>
      </c>
      <c r="C277" s="1">
        <v>13.0</v>
      </c>
      <c r="D277" s="1">
        <v>6.0</v>
      </c>
    </row>
    <row r="278">
      <c r="A278" s="1">
        <v>3.0</v>
      </c>
      <c r="B278" s="63">
        <v>43275.0</v>
      </c>
      <c r="C278" s="1">
        <v>14.0</v>
      </c>
      <c r="D278" s="1">
        <v>3.0</v>
      </c>
    </row>
    <row r="279">
      <c r="A279" s="1">
        <v>3.0</v>
      </c>
      <c r="B279" s="63">
        <v>43275.0</v>
      </c>
      <c r="C279" s="1">
        <v>15.0</v>
      </c>
      <c r="D279" s="1">
        <v>4.0</v>
      </c>
    </row>
    <row r="280">
      <c r="A280" s="1">
        <v>3.0</v>
      </c>
      <c r="B280" s="63">
        <v>43275.0</v>
      </c>
      <c r="C280" s="1">
        <v>16.0</v>
      </c>
      <c r="D280" s="1">
        <v>2.0</v>
      </c>
    </row>
    <row r="281">
      <c r="A281" s="1">
        <v>3.0</v>
      </c>
      <c r="B281" s="63">
        <v>43275.0</v>
      </c>
      <c r="C281" s="1">
        <v>17.0</v>
      </c>
      <c r="D281" s="1">
        <v>6.0</v>
      </c>
    </row>
    <row r="282">
      <c r="A282" s="1">
        <v>3.0</v>
      </c>
      <c r="B282" s="63">
        <v>43275.0</v>
      </c>
      <c r="C282" s="1">
        <v>18.0</v>
      </c>
      <c r="D282" s="1">
        <v>4.0</v>
      </c>
    </row>
    <row r="283">
      <c r="A283" s="1">
        <v>3.0</v>
      </c>
      <c r="B283" s="63">
        <v>43275.0</v>
      </c>
      <c r="C283" s="1">
        <v>19.0</v>
      </c>
      <c r="D283" s="1">
        <v>1.0</v>
      </c>
    </row>
    <row r="284">
      <c r="A284" s="1">
        <v>3.0</v>
      </c>
      <c r="B284" s="63">
        <v>43282.0</v>
      </c>
      <c r="C284" s="1">
        <v>0.0</v>
      </c>
      <c r="D284" s="1">
        <v>101.0</v>
      </c>
    </row>
    <row r="285">
      <c r="A285" s="1">
        <v>3.0</v>
      </c>
      <c r="B285" s="63">
        <v>43282.0</v>
      </c>
      <c r="C285" s="1">
        <v>2.0</v>
      </c>
      <c r="D285" s="1">
        <v>5.0</v>
      </c>
    </row>
    <row r="286">
      <c r="A286" s="1">
        <v>3.0</v>
      </c>
      <c r="B286" s="63">
        <v>43282.0</v>
      </c>
      <c r="C286" s="1">
        <v>3.0</v>
      </c>
      <c r="D286" s="1">
        <v>6.0</v>
      </c>
    </row>
    <row r="287">
      <c r="A287" s="1">
        <v>3.0</v>
      </c>
      <c r="B287" s="63">
        <v>43282.0</v>
      </c>
      <c r="C287" s="1">
        <v>4.0</v>
      </c>
      <c r="D287" s="1">
        <v>20.0</v>
      </c>
    </row>
    <row r="288">
      <c r="A288" s="1">
        <v>3.0</v>
      </c>
      <c r="B288" s="63">
        <v>43282.0</v>
      </c>
      <c r="C288" s="1">
        <v>5.0</v>
      </c>
      <c r="D288" s="1">
        <v>11.0</v>
      </c>
    </row>
    <row r="289">
      <c r="A289" s="1">
        <v>3.0</v>
      </c>
      <c r="B289" s="63">
        <v>43282.0</v>
      </c>
      <c r="C289" s="1">
        <v>6.0</v>
      </c>
      <c r="D289" s="1">
        <v>4.0</v>
      </c>
    </row>
    <row r="290">
      <c r="A290" s="1">
        <v>3.0</v>
      </c>
      <c r="B290" s="63">
        <v>43282.0</v>
      </c>
      <c r="C290" s="1">
        <v>7.0</v>
      </c>
      <c r="D290" s="1">
        <v>3.0</v>
      </c>
    </row>
    <row r="291">
      <c r="A291" s="1">
        <v>3.0</v>
      </c>
      <c r="B291" s="63">
        <v>43282.0</v>
      </c>
      <c r="C291" s="1">
        <v>8.0</v>
      </c>
      <c r="D291" s="1">
        <v>19.0</v>
      </c>
    </row>
    <row r="292">
      <c r="A292" s="1">
        <v>3.0</v>
      </c>
      <c r="B292" s="63">
        <v>43282.0</v>
      </c>
      <c r="C292" s="1">
        <v>9.0</v>
      </c>
      <c r="D292" s="1">
        <v>12.0</v>
      </c>
    </row>
    <row r="293">
      <c r="A293" s="1">
        <v>3.0</v>
      </c>
      <c r="B293" s="63">
        <v>43282.0</v>
      </c>
      <c r="C293" s="1">
        <v>10.0</v>
      </c>
      <c r="D293" s="1">
        <v>3.0</v>
      </c>
    </row>
    <row r="294">
      <c r="A294" s="1">
        <v>3.0</v>
      </c>
      <c r="B294" s="63">
        <v>43282.0</v>
      </c>
      <c r="C294" s="1">
        <v>11.0</v>
      </c>
      <c r="D294" s="1">
        <v>6.0</v>
      </c>
    </row>
    <row r="295">
      <c r="A295" s="1">
        <v>3.0</v>
      </c>
      <c r="B295" s="63">
        <v>43282.0</v>
      </c>
      <c r="C295" s="1">
        <v>12.0</v>
      </c>
      <c r="D295" s="1">
        <v>4.0</v>
      </c>
    </row>
    <row r="296">
      <c r="A296" s="1">
        <v>3.0</v>
      </c>
      <c r="B296" s="63">
        <v>43282.0</v>
      </c>
      <c r="C296" s="1">
        <v>13.0</v>
      </c>
      <c r="D296" s="1">
        <v>16.0</v>
      </c>
    </row>
    <row r="297">
      <c r="A297" s="1">
        <v>3.0</v>
      </c>
      <c r="B297" s="63">
        <v>43282.0</v>
      </c>
      <c r="C297" s="1">
        <v>14.0</v>
      </c>
      <c r="D297" s="1">
        <v>5.0</v>
      </c>
    </row>
    <row r="298">
      <c r="A298" s="1">
        <v>3.0</v>
      </c>
      <c r="B298" s="63">
        <v>43282.0</v>
      </c>
      <c r="C298" s="1">
        <v>15.0</v>
      </c>
      <c r="D298" s="1">
        <v>3.0</v>
      </c>
    </row>
    <row r="299">
      <c r="A299" s="1">
        <v>3.0</v>
      </c>
      <c r="B299" s="63">
        <v>43282.0</v>
      </c>
      <c r="C299" s="1">
        <v>16.0</v>
      </c>
      <c r="D299" s="1">
        <v>7.0</v>
      </c>
    </row>
    <row r="300">
      <c r="A300" s="1">
        <v>3.0</v>
      </c>
      <c r="B300" s="63">
        <v>43282.0</v>
      </c>
      <c r="C300" s="1">
        <v>17.0</v>
      </c>
      <c r="D300" s="1">
        <v>10.0</v>
      </c>
    </row>
    <row r="301">
      <c r="A301" s="1">
        <v>3.0</v>
      </c>
      <c r="B301" s="63">
        <v>43282.0</v>
      </c>
      <c r="C301" s="1">
        <v>18.0</v>
      </c>
      <c r="D301" s="1">
        <v>2.0</v>
      </c>
    </row>
    <row r="302">
      <c r="A302" s="1">
        <v>4.0</v>
      </c>
      <c r="B302" s="63">
        <v>43254.0</v>
      </c>
      <c r="C302" s="1">
        <v>0.0</v>
      </c>
      <c r="D302" s="1">
        <v>217.0</v>
      </c>
    </row>
    <row r="303">
      <c r="A303" s="1">
        <v>4.0</v>
      </c>
      <c r="B303" s="63">
        <v>43254.0</v>
      </c>
      <c r="C303" s="1">
        <v>1.0</v>
      </c>
      <c r="D303" s="1">
        <v>4.0</v>
      </c>
    </row>
    <row r="304">
      <c r="A304" s="1">
        <v>4.0</v>
      </c>
      <c r="B304" s="63">
        <v>43254.0</v>
      </c>
      <c r="C304" s="1">
        <v>2.0</v>
      </c>
      <c r="D304" s="1">
        <v>2.0</v>
      </c>
    </row>
    <row r="305">
      <c r="A305" s="1">
        <v>4.0</v>
      </c>
      <c r="B305" s="63">
        <v>43254.0</v>
      </c>
      <c r="C305" s="1">
        <v>3.0</v>
      </c>
      <c r="D305" s="1">
        <v>5.0</v>
      </c>
    </row>
    <row r="306">
      <c r="A306" s="1">
        <v>4.0</v>
      </c>
      <c r="B306" s="63">
        <v>43254.0</v>
      </c>
      <c r="C306" s="1">
        <v>4.0</v>
      </c>
      <c r="D306" s="1">
        <v>18.0</v>
      </c>
    </row>
    <row r="307">
      <c r="A307" s="1">
        <v>4.0</v>
      </c>
      <c r="B307" s="63">
        <v>43254.0</v>
      </c>
      <c r="C307" s="1">
        <v>5.0</v>
      </c>
      <c r="D307" s="1">
        <v>44.0</v>
      </c>
    </row>
    <row r="308">
      <c r="A308" s="1">
        <v>4.0</v>
      </c>
      <c r="B308" s="63">
        <v>43254.0</v>
      </c>
      <c r="C308" s="1">
        <v>6.0</v>
      </c>
      <c r="D308" s="1">
        <v>12.0</v>
      </c>
    </row>
    <row r="309">
      <c r="A309" s="1">
        <v>4.0</v>
      </c>
      <c r="B309" s="63">
        <v>43254.0</v>
      </c>
      <c r="C309" s="1">
        <v>7.0</v>
      </c>
      <c r="D309" s="1">
        <v>14.0</v>
      </c>
    </row>
    <row r="310">
      <c r="A310" s="1">
        <v>4.0</v>
      </c>
      <c r="B310" s="63">
        <v>43254.0</v>
      </c>
      <c r="C310" s="1">
        <v>8.0</v>
      </c>
      <c r="D310" s="1">
        <v>14.0</v>
      </c>
    </row>
    <row r="311">
      <c r="A311" s="1">
        <v>4.0</v>
      </c>
      <c r="B311" s="63">
        <v>43254.0</v>
      </c>
      <c r="C311" s="1">
        <v>9.0</v>
      </c>
      <c r="D311" s="1">
        <v>42.0</v>
      </c>
    </row>
    <row r="312">
      <c r="A312" s="1">
        <v>4.0</v>
      </c>
      <c r="B312" s="63">
        <v>43254.0</v>
      </c>
      <c r="C312" s="1">
        <v>10.0</v>
      </c>
      <c r="D312" s="1">
        <v>7.0</v>
      </c>
    </row>
    <row r="313">
      <c r="A313" s="1">
        <v>4.0</v>
      </c>
      <c r="B313" s="63">
        <v>43254.0</v>
      </c>
      <c r="C313" s="1">
        <v>11.0</v>
      </c>
      <c r="D313" s="1">
        <v>8.0</v>
      </c>
    </row>
    <row r="314">
      <c r="A314" s="1">
        <v>4.0</v>
      </c>
      <c r="B314" s="63">
        <v>43254.0</v>
      </c>
      <c r="C314" s="1">
        <v>12.0</v>
      </c>
      <c r="D314" s="1">
        <v>16.0</v>
      </c>
    </row>
    <row r="315">
      <c r="A315" s="1">
        <v>4.0</v>
      </c>
      <c r="B315" s="63">
        <v>43254.0</v>
      </c>
      <c r="C315" s="1">
        <v>13.0</v>
      </c>
      <c r="D315" s="1">
        <v>16.0</v>
      </c>
    </row>
    <row r="316">
      <c r="A316" s="1">
        <v>4.0</v>
      </c>
      <c r="B316" s="63">
        <v>43254.0</v>
      </c>
      <c r="C316" s="1">
        <v>14.0</v>
      </c>
      <c r="D316" s="1">
        <v>19.0</v>
      </c>
    </row>
    <row r="317">
      <c r="A317" s="1">
        <v>4.0</v>
      </c>
      <c r="B317" s="63">
        <v>43254.0</v>
      </c>
      <c r="C317" s="1">
        <v>15.0</v>
      </c>
      <c r="D317" s="1">
        <v>5.0</v>
      </c>
    </row>
    <row r="318">
      <c r="A318" s="1">
        <v>4.0</v>
      </c>
      <c r="B318" s="63">
        <v>43254.0</v>
      </c>
      <c r="C318" s="1">
        <v>16.0</v>
      </c>
      <c r="D318" s="1">
        <v>5.0</v>
      </c>
    </row>
    <row r="319">
      <c r="A319" s="1">
        <v>4.0</v>
      </c>
      <c r="B319" s="63">
        <v>43254.0</v>
      </c>
      <c r="C319" s="1">
        <v>17.0</v>
      </c>
      <c r="D319" s="1">
        <v>19.0</v>
      </c>
    </row>
    <row r="320">
      <c r="A320" s="1">
        <v>4.0</v>
      </c>
      <c r="B320" s="63">
        <v>43254.0</v>
      </c>
      <c r="C320" s="1">
        <v>18.0</v>
      </c>
      <c r="D320" s="1">
        <v>21.0</v>
      </c>
    </row>
    <row r="321">
      <c r="A321" s="1">
        <v>4.0</v>
      </c>
      <c r="B321" s="63">
        <v>43254.0</v>
      </c>
      <c r="C321" s="1">
        <v>19.0</v>
      </c>
      <c r="D321" s="1">
        <v>7.0</v>
      </c>
    </row>
    <row r="322">
      <c r="A322" s="1">
        <v>4.0</v>
      </c>
      <c r="B322" s="63">
        <v>43254.0</v>
      </c>
      <c r="C322" s="1">
        <v>20.0</v>
      </c>
      <c r="D322" s="1">
        <v>6.0</v>
      </c>
    </row>
    <row r="323">
      <c r="A323" s="1">
        <v>4.0</v>
      </c>
      <c r="B323" s="63">
        <v>43254.0</v>
      </c>
      <c r="C323" s="1">
        <v>21.0</v>
      </c>
      <c r="D323" s="1">
        <v>15.0</v>
      </c>
    </row>
    <row r="324">
      <c r="A324" s="1">
        <v>4.0</v>
      </c>
      <c r="B324" s="63">
        <v>43254.0</v>
      </c>
      <c r="C324" s="1">
        <v>22.0</v>
      </c>
      <c r="D324" s="1">
        <v>3.0</v>
      </c>
    </row>
    <row r="325">
      <c r="A325" s="1">
        <v>4.0</v>
      </c>
      <c r="B325" s="63">
        <v>43261.0</v>
      </c>
      <c r="C325" s="1">
        <v>0.0</v>
      </c>
      <c r="D325" s="1">
        <v>606.0</v>
      </c>
    </row>
    <row r="326">
      <c r="A326" s="1">
        <v>4.0</v>
      </c>
      <c r="B326" s="63">
        <v>43261.0</v>
      </c>
      <c r="C326" s="1">
        <v>1.0</v>
      </c>
      <c r="D326" s="1">
        <v>13.0</v>
      </c>
    </row>
    <row r="327">
      <c r="A327" s="1">
        <v>4.0</v>
      </c>
      <c r="B327" s="63">
        <v>43261.0</v>
      </c>
      <c r="C327" s="1">
        <v>2.0</v>
      </c>
      <c r="D327" s="1">
        <v>6.0</v>
      </c>
    </row>
    <row r="328">
      <c r="A328" s="1">
        <v>4.0</v>
      </c>
      <c r="B328" s="63">
        <v>43261.0</v>
      </c>
      <c r="C328" s="1">
        <v>3.0</v>
      </c>
      <c r="D328" s="1">
        <v>35.0</v>
      </c>
    </row>
    <row r="329">
      <c r="A329" s="1">
        <v>4.0</v>
      </c>
      <c r="B329" s="63">
        <v>43261.0</v>
      </c>
      <c r="C329" s="1">
        <v>4.0</v>
      </c>
      <c r="D329" s="1">
        <v>151.0</v>
      </c>
    </row>
    <row r="330">
      <c r="A330" s="1">
        <v>4.0</v>
      </c>
      <c r="B330" s="63">
        <v>43261.0</v>
      </c>
      <c r="C330" s="1">
        <v>5.0</v>
      </c>
      <c r="D330" s="1">
        <v>43.0</v>
      </c>
    </row>
    <row r="331">
      <c r="A331" s="1">
        <v>4.0</v>
      </c>
      <c r="B331" s="63">
        <v>43261.0</v>
      </c>
      <c r="C331" s="1">
        <v>6.0</v>
      </c>
      <c r="D331" s="1">
        <v>25.0</v>
      </c>
    </row>
    <row r="332">
      <c r="A332" s="1">
        <v>4.0</v>
      </c>
      <c r="B332" s="63">
        <v>43261.0</v>
      </c>
      <c r="C332" s="1">
        <v>7.0</v>
      </c>
      <c r="D332" s="1">
        <v>22.0</v>
      </c>
    </row>
    <row r="333">
      <c r="A333" s="1">
        <v>4.0</v>
      </c>
      <c r="B333" s="63">
        <v>43261.0</v>
      </c>
      <c r="C333" s="1">
        <v>8.0</v>
      </c>
      <c r="D333" s="1">
        <v>59.0</v>
      </c>
    </row>
    <row r="334">
      <c r="A334" s="1">
        <v>4.0</v>
      </c>
      <c r="B334" s="63">
        <v>43261.0</v>
      </c>
      <c r="C334" s="1">
        <v>9.0</v>
      </c>
      <c r="D334" s="1">
        <v>79.0</v>
      </c>
    </row>
    <row r="335">
      <c r="A335" s="1">
        <v>4.0</v>
      </c>
      <c r="B335" s="63">
        <v>43261.0</v>
      </c>
      <c r="C335" s="1">
        <v>10.0</v>
      </c>
      <c r="D335" s="1">
        <v>33.0</v>
      </c>
    </row>
    <row r="336">
      <c r="A336" s="1">
        <v>4.0</v>
      </c>
      <c r="B336" s="63">
        <v>43261.0</v>
      </c>
      <c r="C336" s="1">
        <v>11.0</v>
      </c>
      <c r="D336" s="1">
        <v>30.0</v>
      </c>
    </row>
    <row r="337">
      <c r="A337" s="1">
        <v>4.0</v>
      </c>
      <c r="B337" s="63">
        <v>43261.0</v>
      </c>
      <c r="C337" s="1">
        <v>12.0</v>
      </c>
      <c r="D337" s="1">
        <v>31.0</v>
      </c>
    </row>
    <row r="338">
      <c r="A338" s="1">
        <v>4.0</v>
      </c>
      <c r="B338" s="63">
        <v>43261.0</v>
      </c>
      <c r="C338" s="1">
        <v>13.0</v>
      </c>
      <c r="D338" s="1">
        <v>68.0</v>
      </c>
    </row>
    <row r="339">
      <c r="A339" s="1">
        <v>4.0</v>
      </c>
      <c r="B339" s="63">
        <v>43261.0</v>
      </c>
      <c r="C339" s="1">
        <v>14.0</v>
      </c>
      <c r="D339" s="1">
        <v>40.0</v>
      </c>
    </row>
    <row r="340">
      <c r="A340" s="1">
        <v>4.0</v>
      </c>
      <c r="B340" s="63">
        <v>43261.0</v>
      </c>
      <c r="C340" s="1">
        <v>15.0</v>
      </c>
      <c r="D340" s="1">
        <v>24.0</v>
      </c>
    </row>
    <row r="341">
      <c r="A341" s="1">
        <v>4.0</v>
      </c>
      <c r="B341" s="63">
        <v>43261.0</v>
      </c>
      <c r="C341" s="1">
        <v>16.0</v>
      </c>
      <c r="D341" s="1">
        <v>34.0</v>
      </c>
    </row>
    <row r="342">
      <c r="A342" s="1">
        <v>4.0</v>
      </c>
      <c r="B342" s="63">
        <v>43261.0</v>
      </c>
      <c r="C342" s="1">
        <v>17.0</v>
      </c>
      <c r="D342" s="1">
        <v>46.0</v>
      </c>
    </row>
    <row r="343">
      <c r="A343" s="1">
        <v>4.0</v>
      </c>
      <c r="B343" s="63">
        <v>43261.0</v>
      </c>
      <c r="C343" s="1">
        <v>18.0</v>
      </c>
      <c r="D343" s="1">
        <v>38.0</v>
      </c>
    </row>
    <row r="344">
      <c r="A344" s="1">
        <v>4.0</v>
      </c>
      <c r="B344" s="63">
        <v>43261.0</v>
      </c>
      <c r="C344" s="1">
        <v>19.0</v>
      </c>
      <c r="D344" s="1">
        <v>36.0</v>
      </c>
    </row>
    <row r="345">
      <c r="A345" s="1">
        <v>4.0</v>
      </c>
      <c r="B345" s="63">
        <v>43261.0</v>
      </c>
      <c r="C345" s="1">
        <v>20.0</v>
      </c>
      <c r="D345" s="1">
        <v>24.0</v>
      </c>
    </row>
    <row r="346">
      <c r="A346" s="1">
        <v>4.0</v>
      </c>
      <c r="B346" s="63">
        <v>43261.0</v>
      </c>
      <c r="C346" s="1">
        <v>21.0</v>
      </c>
      <c r="D346" s="1">
        <v>8.0</v>
      </c>
    </row>
    <row r="347">
      <c r="A347" s="1">
        <v>4.0</v>
      </c>
      <c r="B347" s="63">
        <v>43268.0</v>
      </c>
      <c r="C347" s="1">
        <v>0.0</v>
      </c>
      <c r="D347" s="1">
        <v>825.0</v>
      </c>
    </row>
    <row r="348">
      <c r="A348" s="1">
        <v>4.0</v>
      </c>
      <c r="B348" s="63">
        <v>43268.0</v>
      </c>
      <c r="C348" s="1">
        <v>1.0</v>
      </c>
      <c r="D348" s="1">
        <v>12.0</v>
      </c>
    </row>
    <row r="349">
      <c r="A349" s="1">
        <v>4.0</v>
      </c>
      <c r="B349" s="63">
        <v>43268.0</v>
      </c>
      <c r="C349" s="1">
        <v>2.0</v>
      </c>
      <c r="D349" s="1">
        <v>15.0</v>
      </c>
    </row>
    <row r="350">
      <c r="A350" s="1">
        <v>4.0</v>
      </c>
      <c r="B350" s="63">
        <v>43268.0</v>
      </c>
      <c r="C350" s="1">
        <v>3.0</v>
      </c>
      <c r="D350" s="1">
        <v>62.0</v>
      </c>
    </row>
    <row r="351">
      <c r="A351" s="1">
        <v>4.0</v>
      </c>
      <c r="B351" s="63">
        <v>43268.0</v>
      </c>
      <c r="C351" s="1">
        <v>4.0</v>
      </c>
      <c r="D351" s="1">
        <v>187.0</v>
      </c>
    </row>
    <row r="352">
      <c r="A352" s="1">
        <v>4.0</v>
      </c>
      <c r="B352" s="63">
        <v>43268.0</v>
      </c>
      <c r="C352" s="1">
        <v>5.0</v>
      </c>
      <c r="D352" s="1">
        <v>68.0</v>
      </c>
    </row>
    <row r="353">
      <c r="A353" s="1">
        <v>4.0</v>
      </c>
      <c r="B353" s="63">
        <v>43268.0</v>
      </c>
      <c r="C353" s="1">
        <v>6.0</v>
      </c>
      <c r="D353" s="1">
        <v>25.0</v>
      </c>
    </row>
    <row r="354">
      <c r="A354" s="1">
        <v>4.0</v>
      </c>
      <c r="B354" s="63">
        <v>43268.0</v>
      </c>
      <c r="C354" s="1">
        <v>7.0</v>
      </c>
      <c r="D354" s="1">
        <v>44.0</v>
      </c>
    </row>
    <row r="355">
      <c r="A355" s="1">
        <v>4.0</v>
      </c>
      <c r="B355" s="63">
        <v>43268.0</v>
      </c>
      <c r="C355" s="1">
        <v>8.0</v>
      </c>
      <c r="D355" s="1">
        <v>102.0</v>
      </c>
    </row>
    <row r="356">
      <c r="A356" s="1">
        <v>4.0</v>
      </c>
      <c r="B356" s="63">
        <v>43268.0</v>
      </c>
      <c r="C356" s="1">
        <v>9.0</v>
      </c>
      <c r="D356" s="1">
        <v>98.0</v>
      </c>
    </row>
    <row r="357">
      <c r="A357" s="1">
        <v>4.0</v>
      </c>
      <c r="B357" s="63">
        <v>43268.0</v>
      </c>
      <c r="C357" s="1">
        <v>10.0</v>
      </c>
      <c r="D357" s="1">
        <v>59.0</v>
      </c>
    </row>
    <row r="358">
      <c r="A358" s="1">
        <v>4.0</v>
      </c>
      <c r="B358" s="63">
        <v>43268.0</v>
      </c>
      <c r="C358" s="1">
        <v>11.0</v>
      </c>
      <c r="D358" s="1">
        <v>40.0</v>
      </c>
    </row>
    <row r="359">
      <c r="A359" s="1">
        <v>4.0</v>
      </c>
      <c r="B359" s="63">
        <v>43268.0</v>
      </c>
      <c r="C359" s="1">
        <v>12.0</v>
      </c>
      <c r="D359" s="1">
        <v>73.0</v>
      </c>
    </row>
    <row r="360">
      <c r="A360" s="1">
        <v>4.0</v>
      </c>
      <c r="B360" s="63">
        <v>43268.0</v>
      </c>
      <c r="C360" s="1">
        <v>13.0</v>
      </c>
      <c r="D360" s="1">
        <v>85.0</v>
      </c>
    </row>
    <row r="361">
      <c r="A361" s="1">
        <v>4.0</v>
      </c>
      <c r="B361" s="63">
        <v>43268.0</v>
      </c>
      <c r="C361" s="1">
        <v>14.0</v>
      </c>
      <c r="D361" s="1">
        <v>33.0</v>
      </c>
    </row>
    <row r="362">
      <c r="A362" s="1">
        <v>4.0</v>
      </c>
      <c r="B362" s="63">
        <v>43268.0</v>
      </c>
      <c r="C362" s="1">
        <v>15.0</v>
      </c>
      <c r="D362" s="1">
        <v>40.0</v>
      </c>
    </row>
    <row r="363">
      <c r="A363" s="1">
        <v>4.0</v>
      </c>
      <c r="B363" s="63">
        <v>43268.0</v>
      </c>
      <c r="C363" s="1">
        <v>16.0</v>
      </c>
      <c r="D363" s="1">
        <v>44.0</v>
      </c>
    </row>
    <row r="364">
      <c r="A364" s="1">
        <v>4.0</v>
      </c>
      <c r="B364" s="63">
        <v>43268.0</v>
      </c>
      <c r="C364" s="1">
        <v>17.0</v>
      </c>
      <c r="D364" s="1">
        <v>81.0</v>
      </c>
    </row>
    <row r="365">
      <c r="A365" s="1">
        <v>4.0</v>
      </c>
      <c r="B365" s="63">
        <v>43268.0</v>
      </c>
      <c r="C365" s="1">
        <v>18.0</v>
      </c>
      <c r="D365" s="1">
        <v>59.0</v>
      </c>
    </row>
    <row r="366">
      <c r="A366" s="1">
        <v>4.0</v>
      </c>
      <c r="B366" s="63">
        <v>43268.0</v>
      </c>
      <c r="C366" s="1">
        <v>19.0</v>
      </c>
      <c r="D366" s="1">
        <v>41.0</v>
      </c>
    </row>
    <row r="367">
      <c r="A367" s="1">
        <v>4.0</v>
      </c>
      <c r="B367" s="63">
        <v>43268.0</v>
      </c>
      <c r="C367" s="1">
        <v>20.0</v>
      </c>
      <c r="D367" s="1">
        <v>12.0</v>
      </c>
    </row>
    <row r="368">
      <c r="A368" s="1">
        <v>4.0</v>
      </c>
      <c r="B368" s="63">
        <v>43275.0</v>
      </c>
      <c r="C368" s="1">
        <v>0.0</v>
      </c>
      <c r="D368" s="1">
        <v>796.0</v>
      </c>
    </row>
    <row r="369">
      <c r="A369" s="1">
        <v>4.0</v>
      </c>
      <c r="B369" s="63">
        <v>43275.0</v>
      </c>
      <c r="C369" s="1">
        <v>1.0</v>
      </c>
      <c r="D369" s="1">
        <v>11.0</v>
      </c>
    </row>
    <row r="370">
      <c r="A370" s="1">
        <v>4.0</v>
      </c>
      <c r="B370" s="63">
        <v>43275.0</v>
      </c>
      <c r="C370" s="1">
        <v>2.0</v>
      </c>
      <c r="D370" s="1">
        <v>12.0</v>
      </c>
    </row>
    <row r="371">
      <c r="A371" s="1">
        <v>4.0</v>
      </c>
      <c r="B371" s="63">
        <v>43275.0</v>
      </c>
      <c r="C371" s="1">
        <v>3.0</v>
      </c>
      <c r="D371" s="1">
        <v>45.0</v>
      </c>
    </row>
    <row r="372">
      <c r="A372" s="1">
        <v>4.0</v>
      </c>
      <c r="B372" s="63">
        <v>43275.0</v>
      </c>
      <c r="C372" s="1">
        <v>4.0</v>
      </c>
      <c r="D372" s="1">
        <v>165.0</v>
      </c>
    </row>
    <row r="373">
      <c r="A373" s="1">
        <v>4.0</v>
      </c>
      <c r="B373" s="63">
        <v>43275.0</v>
      </c>
      <c r="C373" s="1">
        <v>5.0</v>
      </c>
      <c r="D373" s="1">
        <v>85.0</v>
      </c>
    </row>
    <row r="374">
      <c r="A374" s="1">
        <v>4.0</v>
      </c>
      <c r="B374" s="63">
        <v>43275.0</v>
      </c>
      <c r="C374" s="1">
        <v>6.0</v>
      </c>
      <c r="D374" s="1">
        <v>32.0</v>
      </c>
    </row>
    <row r="375">
      <c r="A375" s="1">
        <v>4.0</v>
      </c>
      <c r="B375" s="63">
        <v>43275.0</v>
      </c>
      <c r="C375" s="1">
        <v>7.0</v>
      </c>
      <c r="D375" s="1">
        <v>24.0</v>
      </c>
    </row>
    <row r="376">
      <c r="A376" s="1">
        <v>4.0</v>
      </c>
      <c r="B376" s="63">
        <v>43275.0</v>
      </c>
      <c r="C376" s="1">
        <v>8.0</v>
      </c>
      <c r="D376" s="1">
        <v>112.0</v>
      </c>
    </row>
    <row r="377">
      <c r="A377" s="1">
        <v>4.0</v>
      </c>
      <c r="B377" s="63">
        <v>43275.0</v>
      </c>
      <c r="C377" s="1">
        <v>9.0</v>
      </c>
      <c r="D377" s="1">
        <v>113.0</v>
      </c>
    </row>
    <row r="378">
      <c r="A378" s="1">
        <v>4.0</v>
      </c>
      <c r="B378" s="63">
        <v>43275.0</v>
      </c>
      <c r="C378" s="1">
        <v>10.0</v>
      </c>
      <c r="D378" s="1">
        <v>41.0</v>
      </c>
    </row>
    <row r="379">
      <c r="A379" s="1">
        <v>4.0</v>
      </c>
      <c r="B379" s="63">
        <v>43275.0</v>
      </c>
      <c r="C379" s="1">
        <v>11.0</v>
      </c>
      <c r="D379" s="1">
        <v>39.0</v>
      </c>
    </row>
    <row r="380">
      <c r="A380" s="1">
        <v>4.0</v>
      </c>
      <c r="B380" s="63">
        <v>43275.0</v>
      </c>
      <c r="C380" s="1">
        <v>12.0</v>
      </c>
      <c r="D380" s="1">
        <v>39.0</v>
      </c>
    </row>
    <row r="381">
      <c r="A381" s="1">
        <v>4.0</v>
      </c>
      <c r="B381" s="63">
        <v>43275.0</v>
      </c>
      <c r="C381" s="1">
        <v>13.0</v>
      </c>
      <c r="D381" s="1">
        <v>81.0</v>
      </c>
    </row>
    <row r="382">
      <c r="A382" s="1">
        <v>4.0</v>
      </c>
      <c r="B382" s="63">
        <v>43275.0</v>
      </c>
      <c r="C382" s="1">
        <v>14.0</v>
      </c>
      <c r="D382" s="1">
        <v>52.0</v>
      </c>
    </row>
    <row r="383">
      <c r="A383" s="1">
        <v>4.0</v>
      </c>
      <c r="B383" s="63">
        <v>43275.0</v>
      </c>
      <c r="C383" s="1">
        <v>15.0</v>
      </c>
      <c r="D383" s="1">
        <v>30.0</v>
      </c>
    </row>
    <row r="384">
      <c r="A384" s="1">
        <v>4.0</v>
      </c>
      <c r="B384" s="63">
        <v>43275.0</v>
      </c>
      <c r="C384" s="1">
        <v>16.0</v>
      </c>
      <c r="D384" s="1">
        <v>32.0</v>
      </c>
    </row>
    <row r="385">
      <c r="A385" s="1">
        <v>4.0</v>
      </c>
      <c r="B385" s="63">
        <v>43275.0</v>
      </c>
      <c r="C385" s="1">
        <v>17.0</v>
      </c>
      <c r="D385" s="1">
        <v>86.0</v>
      </c>
    </row>
    <row r="386">
      <c r="A386" s="1">
        <v>4.0</v>
      </c>
      <c r="B386" s="63">
        <v>43275.0</v>
      </c>
      <c r="C386" s="1">
        <v>18.0</v>
      </c>
      <c r="D386" s="1">
        <v>46.0</v>
      </c>
    </row>
    <row r="387">
      <c r="A387" s="1">
        <v>4.0</v>
      </c>
      <c r="B387" s="63">
        <v>43275.0</v>
      </c>
      <c r="C387" s="1">
        <v>19.0</v>
      </c>
      <c r="D387" s="1">
        <v>12.0</v>
      </c>
    </row>
    <row r="388">
      <c r="A388" s="1">
        <v>4.0</v>
      </c>
      <c r="B388" s="63">
        <v>43282.0</v>
      </c>
      <c r="C388" s="1">
        <v>0.0</v>
      </c>
      <c r="D388" s="1">
        <v>766.0</v>
      </c>
    </row>
    <row r="389">
      <c r="A389" s="1">
        <v>4.0</v>
      </c>
      <c r="B389" s="63">
        <v>43282.0</v>
      </c>
      <c r="C389" s="1">
        <v>1.0</v>
      </c>
      <c r="D389" s="1">
        <v>10.0</v>
      </c>
    </row>
    <row r="390">
      <c r="A390" s="1">
        <v>4.0</v>
      </c>
      <c r="B390" s="63">
        <v>43282.0</v>
      </c>
      <c r="C390" s="1">
        <v>2.0</v>
      </c>
      <c r="D390" s="1">
        <v>23.0</v>
      </c>
    </row>
    <row r="391">
      <c r="A391" s="1">
        <v>4.0</v>
      </c>
      <c r="B391" s="63">
        <v>43282.0</v>
      </c>
      <c r="C391" s="1">
        <v>3.0</v>
      </c>
      <c r="D391" s="1">
        <v>46.0</v>
      </c>
    </row>
    <row r="392">
      <c r="A392" s="1">
        <v>4.0</v>
      </c>
      <c r="B392" s="63">
        <v>43282.0</v>
      </c>
      <c r="C392" s="1">
        <v>4.0</v>
      </c>
      <c r="D392" s="1">
        <v>142.0</v>
      </c>
    </row>
    <row r="393">
      <c r="A393" s="1">
        <v>4.0</v>
      </c>
      <c r="B393" s="63">
        <v>43282.0</v>
      </c>
      <c r="C393" s="1">
        <v>5.0</v>
      </c>
      <c r="D393" s="1">
        <v>73.0</v>
      </c>
    </row>
    <row r="394">
      <c r="A394" s="1">
        <v>4.0</v>
      </c>
      <c r="B394" s="63">
        <v>43282.0</v>
      </c>
      <c r="C394" s="1">
        <v>6.0</v>
      </c>
      <c r="D394" s="1">
        <v>30.0</v>
      </c>
    </row>
    <row r="395">
      <c r="A395" s="1">
        <v>4.0</v>
      </c>
      <c r="B395" s="63">
        <v>43282.0</v>
      </c>
      <c r="C395" s="1">
        <v>7.0</v>
      </c>
      <c r="D395" s="1">
        <v>32.0</v>
      </c>
    </row>
    <row r="396">
      <c r="A396" s="1">
        <v>4.0</v>
      </c>
      <c r="B396" s="63">
        <v>43282.0</v>
      </c>
      <c r="C396" s="1">
        <v>8.0</v>
      </c>
      <c r="D396" s="1">
        <v>100.0</v>
      </c>
    </row>
    <row r="397">
      <c r="A397" s="1">
        <v>4.0</v>
      </c>
      <c r="B397" s="63">
        <v>43282.0</v>
      </c>
      <c r="C397" s="1">
        <v>9.0</v>
      </c>
      <c r="D397" s="1">
        <v>105.0</v>
      </c>
    </row>
    <row r="398">
      <c r="A398" s="1">
        <v>4.0</v>
      </c>
      <c r="B398" s="63">
        <v>43282.0</v>
      </c>
      <c r="C398" s="1">
        <v>10.0</v>
      </c>
      <c r="D398" s="1">
        <v>47.0</v>
      </c>
    </row>
    <row r="399">
      <c r="A399" s="1">
        <v>4.0</v>
      </c>
      <c r="B399" s="63">
        <v>43282.0</v>
      </c>
      <c r="C399" s="1">
        <v>11.0</v>
      </c>
      <c r="D399" s="1">
        <v>46.0</v>
      </c>
    </row>
    <row r="400">
      <c r="A400" s="1">
        <v>4.0</v>
      </c>
      <c r="B400" s="63">
        <v>43282.0</v>
      </c>
      <c r="C400" s="1">
        <v>12.0</v>
      </c>
      <c r="D400" s="1">
        <v>35.0</v>
      </c>
    </row>
    <row r="401">
      <c r="A401" s="1">
        <v>4.0</v>
      </c>
      <c r="B401" s="63">
        <v>43282.0</v>
      </c>
      <c r="C401" s="1">
        <v>13.0</v>
      </c>
      <c r="D401" s="1">
        <v>105.0</v>
      </c>
    </row>
    <row r="402">
      <c r="A402" s="1">
        <v>4.0</v>
      </c>
      <c r="B402" s="63">
        <v>43282.0</v>
      </c>
      <c r="C402" s="1">
        <v>14.0</v>
      </c>
      <c r="D402" s="1">
        <v>66.0</v>
      </c>
    </row>
    <row r="403">
      <c r="A403" s="1">
        <v>4.0</v>
      </c>
      <c r="B403" s="63">
        <v>43282.0</v>
      </c>
      <c r="C403" s="1">
        <v>15.0</v>
      </c>
      <c r="D403" s="1">
        <v>27.0</v>
      </c>
    </row>
    <row r="404">
      <c r="A404" s="1">
        <v>4.0</v>
      </c>
      <c r="B404" s="63">
        <v>43282.0</v>
      </c>
      <c r="C404" s="1">
        <v>16.0</v>
      </c>
      <c r="D404" s="1">
        <v>46.0</v>
      </c>
    </row>
    <row r="405">
      <c r="A405" s="1">
        <v>4.0</v>
      </c>
      <c r="B405" s="63">
        <v>43282.0</v>
      </c>
      <c r="C405" s="1">
        <v>17.0</v>
      </c>
      <c r="D405" s="1">
        <v>68.0</v>
      </c>
    </row>
    <row r="406">
      <c r="A406" s="1">
        <v>4.0</v>
      </c>
      <c r="B406" s="63">
        <v>43282.0</v>
      </c>
      <c r="C406" s="1">
        <v>18.0</v>
      </c>
      <c r="D406" s="1">
        <v>21.0</v>
      </c>
    </row>
    <row r="407">
      <c r="A407" s="1">
        <v>5.0</v>
      </c>
      <c r="B407" s="63">
        <v>43254.0</v>
      </c>
      <c r="C407" s="1">
        <v>0.0</v>
      </c>
      <c r="D407" s="1">
        <v>314.0</v>
      </c>
    </row>
    <row r="408">
      <c r="A408" s="1">
        <v>5.0</v>
      </c>
      <c r="B408" s="63">
        <v>43254.0</v>
      </c>
      <c r="C408" s="1">
        <v>1.0</v>
      </c>
      <c r="D408" s="1">
        <v>5.0</v>
      </c>
    </row>
    <row r="409">
      <c r="A409" s="1">
        <v>5.0</v>
      </c>
      <c r="B409" s="63">
        <v>43254.0</v>
      </c>
      <c r="C409" s="1">
        <v>2.0</v>
      </c>
      <c r="D409" s="1">
        <v>7.0</v>
      </c>
    </row>
    <row r="410">
      <c r="A410" s="1">
        <v>5.0</v>
      </c>
      <c r="B410" s="63">
        <v>43254.0</v>
      </c>
      <c r="C410" s="1">
        <v>3.0</v>
      </c>
      <c r="D410" s="1">
        <v>11.0</v>
      </c>
    </row>
    <row r="411">
      <c r="A411" s="1">
        <v>5.0</v>
      </c>
      <c r="B411" s="63">
        <v>43254.0</v>
      </c>
      <c r="C411" s="1">
        <v>4.0</v>
      </c>
      <c r="D411" s="1">
        <v>19.0</v>
      </c>
    </row>
    <row r="412">
      <c r="A412" s="1">
        <v>5.0</v>
      </c>
      <c r="B412" s="63">
        <v>43254.0</v>
      </c>
      <c r="C412" s="1">
        <v>5.0</v>
      </c>
      <c r="D412" s="1">
        <v>83.0</v>
      </c>
    </row>
    <row r="413">
      <c r="A413" s="1">
        <v>5.0</v>
      </c>
      <c r="B413" s="63">
        <v>43254.0</v>
      </c>
      <c r="C413" s="1">
        <v>6.0</v>
      </c>
      <c r="D413" s="1">
        <v>11.0</v>
      </c>
    </row>
    <row r="414">
      <c r="A414" s="1">
        <v>5.0</v>
      </c>
      <c r="B414" s="63">
        <v>43254.0</v>
      </c>
      <c r="C414" s="1">
        <v>7.0</v>
      </c>
      <c r="D414" s="1">
        <v>15.0</v>
      </c>
    </row>
    <row r="415">
      <c r="A415" s="1">
        <v>5.0</v>
      </c>
      <c r="B415" s="63">
        <v>43254.0</v>
      </c>
      <c r="C415" s="1">
        <v>8.0</v>
      </c>
      <c r="D415" s="1">
        <v>12.0</v>
      </c>
    </row>
    <row r="416">
      <c r="A416" s="1">
        <v>5.0</v>
      </c>
      <c r="B416" s="63">
        <v>43254.0</v>
      </c>
      <c r="C416" s="1">
        <v>9.0</v>
      </c>
      <c r="D416" s="1">
        <v>71.0</v>
      </c>
    </row>
    <row r="417">
      <c r="A417" s="1">
        <v>5.0</v>
      </c>
      <c r="B417" s="63">
        <v>43254.0</v>
      </c>
      <c r="C417" s="1">
        <v>10.0</v>
      </c>
      <c r="D417" s="1">
        <v>8.0</v>
      </c>
    </row>
    <row r="418">
      <c r="A418" s="1">
        <v>5.0</v>
      </c>
      <c r="B418" s="63">
        <v>43254.0</v>
      </c>
      <c r="C418" s="1">
        <v>11.0</v>
      </c>
      <c r="D418" s="1">
        <v>19.0</v>
      </c>
    </row>
    <row r="419">
      <c r="A419" s="1">
        <v>5.0</v>
      </c>
      <c r="B419" s="63">
        <v>43254.0</v>
      </c>
      <c r="C419" s="1">
        <v>12.0</v>
      </c>
      <c r="D419" s="1">
        <v>15.0</v>
      </c>
    </row>
    <row r="420">
      <c r="A420" s="1">
        <v>5.0</v>
      </c>
      <c r="B420" s="63">
        <v>43254.0</v>
      </c>
      <c r="C420" s="1">
        <v>13.0</v>
      </c>
      <c r="D420" s="1">
        <v>40.0</v>
      </c>
    </row>
    <row r="421">
      <c r="A421" s="1">
        <v>5.0</v>
      </c>
      <c r="B421" s="63">
        <v>43254.0</v>
      </c>
      <c r="C421" s="1">
        <v>14.0</v>
      </c>
      <c r="D421" s="1">
        <v>23.0</v>
      </c>
    </row>
    <row r="422">
      <c r="A422" s="1">
        <v>5.0</v>
      </c>
      <c r="B422" s="63">
        <v>43254.0</v>
      </c>
      <c r="C422" s="1">
        <v>15.0</v>
      </c>
      <c r="D422" s="1">
        <v>16.0</v>
      </c>
    </row>
    <row r="423">
      <c r="A423" s="1">
        <v>5.0</v>
      </c>
      <c r="B423" s="63">
        <v>43254.0</v>
      </c>
      <c r="C423" s="1">
        <v>16.0</v>
      </c>
      <c r="D423" s="1">
        <v>12.0</v>
      </c>
    </row>
    <row r="424">
      <c r="A424" s="1">
        <v>5.0</v>
      </c>
      <c r="B424" s="63">
        <v>43254.0</v>
      </c>
      <c r="C424" s="1">
        <v>17.0</v>
      </c>
      <c r="D424" s="1">
        <v>16.0</v>
      </c>
    </row>
    <row r="425">
      <c r="A425" s="1">
        <v>5.0</v>
      </c>
      <c r="B425" s="63">
        <v>43254.0</v>
      </c>
      <c r="C425" s="1">
        <v>18.0</v>
      </c>
      <c r="D425" s="1">
        <v>35.0</v>
      </c>
    </row>
    <row r="426">
      <c r="A426" s="1">
        <v>5.0</v>
      </c>
      <c r="B426" s="63">
        <v>43254.0</v>
      </c>
      <c r="C426" s="1">
        <v>19.0</v>
      </c>
      <c r="D426" s="1">
        <v>19.0</v>
      </c>
    </row>
    <row r="427">
      <c r="A427" s="1">
        <v>5.0</v>
      </c>
      <c r="B427" s="63">
        <v>43254.0</v>
      </c>
      <c r="C427" s="1">
        <v>20.0</v>
      </c>
      <c r="D427" s="1">
        <v>8.0</v>
      </c>
    </row>
    <row r="428">
      <c r="A428" s="1">
        <v>5.0</v>
      </c>
      <c r="B428" s="63">
        <v>43254.0</v>
      </c>
      <c r="C428" s="1">
        <v>21.0</v>
      </c>
      <c r="D428" s="1">
        <v>16.0</v>
      </c>
    </row>
    <row r="429">
      <c r="A429" s="1">
        <v>5.0</v>
      </c>
      <c r="B429" s="63">
        <v>43254.0</v>
      </c>
      <c r="C429" s="1">
        <v>22.0</v>
      </c>
      <c r="D429" s="1">
        <v>9.0</v>
      </c>
    </row>
    <row r="430">
      <c r="A430" s="1">
        <v>5.0</v>
      </c>
      <c r="B430" s="63">
        <v>43261.0</v>
      </c>
      <c r="C430" s="1">
        <v>0.0</v>
      </c>
      <c r="D430" s="1">
        <v>985.0</v>
      </c>
    </row>
    <row r="431">
      <c r="A431" s="1">
        <v>5.0</v>
      </c>
      <c r="B431" s="63">
        <v>43261.0</v>
      </c>
      <c r="C431" s="1">
        <v>1.0</v>
      </c>
      <c r="D431" s="1">
        <v>10.0</v>
      </c>
    </row>
    <row r="432">
      <c r="A432" s="1">
        <v>5.0</v>
      </c>
      <c r="B432" s="63">
        <v>43261.0</v>
      </c>
      <c r="C432" s="1">
        <v>2.0</v>
      </c>
      <c r="D432" s="1">
        <v>25.0</v>
      </c>
    </row>
    <row r="433">
      <c r="A433" s="1">
        <v>5.0</v>
      </c>
      <c r="B433" s="63">
        <v>43261.0</v>
      </c>
      <c r="C433" s="1">
        <v>3.0</v>
      </c>
      <c r="D433" s="1">
        <v>41.0</v>
      </c>
    </row>
    <row r="434">
      <c r="A434" s="1">
        <v>5.0</v>
      </c>
      <c r="B434" s="63">
        <v>43261.0</v>
      </c>
      <c r="C434" s="1">
        <v>4.0</v>
      </c>
      <c r="D434" s="1">
        <v>212.0</v>
      </c>
    </row>
    <row r="435">
      <c r="A435" s="1">
        <v>5.0</v>
      </c>
      <c r="B435" s="63">
        <v>43261.0</v>
      </c>
      <c r="C435" s="1">
        <v>5.0</v>
      </c>
      <c r="D435" s="1">
        <v>97.0</v>
      </c>
    </row>
    <row r="436">
      <c r="A436" s="1">
        <v>5.0</v>
      </c>
      <c r="B436" s="63">
        <v>43261.0</v>
      </c>
      <c r="C436" s="1">
        <v>6.0</v>
      </c>
      <c r="D436" s="1">
        <v>30.0</v>
      </c>
    </row>
    <row r="437">
      <c r="A437" s="1">
        <v>5.0</v>
      </c>
      <c r="B437" s="63">
        <v>43261.0</v>
      </c>
      <c r="C437" s="1">
        <v>7.0</v>
      </c>
      <c r="D437" s="1">
        <v>43.0</v>
      </c>
    </row>
    <row r="438">
      <c r="A438" s="1">
        <v>5.0</v>
      </c>
      <c r="B438" s="63">
        <v>43261.0</v>
      </c>
      <c r="C438" s="1">
        <v>8.0</v>
      </c>
      <c r="D438" s="1">
        <v>124.0</v>
      </c>
    </row>
    <row r="439">
      <c r="A439" s="1">
        <v>5.0</v>
      </c>
      <c r="B439" s="63">
        <v>43261.0</v>
      </c>
      <c r="C439" s="1">
        <v>9.0</v>
      </c>
      <c r="D439" s="1">
        <v>139.0</v>
      </c>
    </row>
    <row r="440">
      <c r="A440" s="1">
        <v>5.0</v>
      </c>
      <c r="B440" s="63">
        <v>43261.0</v>
      </c>
      <c r="C440" s="1">
        <v>10.0</v>
      </c>
      <c r="D440" s="1">
        <v>51.0</v>
      </c>
    </row>
    <row r="441">
      <c r="A441" s="1">
        <v>5.0</v>
      </c>
      <c r="B441" s="63">
        <v>43261.0</v>
      </c>
      <c r="C441" s="1">
        <v>11.0</v>
      </c>
      <c r="D441" s="1">
        <v>51.0</v>
      </c>
    </row>
    <row r="442">
      <c r="A442" s="1">
        <v>5.0</v>
      </c>
      <c r="B442" s="63">
        <v>43261.0</v>
      </c>
      <c r="C442" s="1">
        <v>12.0</v>
      </c>
      <c r="D442" s="1">
        <v>63.0</v>
      </c>
    </row>
    <row r="443">
      <c r="A443" s="1">
        <v>5.0</v>
      </c>
      <c r="B443" s="63">
        <v>43261.0</v>
      </c>
      <c r="C443" s="1">
        <v>13.0</v>
      </c>
      <c r="D443" s="1">
        <v>113.0</v>
      </c>
    </row>
    <row r="444">
      <c r="A444" s="1">
        <v>5.0</v>
      </c>
      <c r="B444" s="63">
        <v>43261.0</v>
      </c>
      <c r="C444" s="1">
        <v>14.0</v>
      </c>
      <c r="D444" s="1">
        <v>47.0</v>
      </c>
    </row>
    <row r="445">
      <c r="A445" s="1">
        <v>5.0</v>
      </c>
      <c r="B445" s="63">
        <v>43261.0</v>
      </c>
      <c r="C445" s="1">
        <v>15.0</v>
      </c>
      <c r="D445" s="1">
        <v>31.0</v>
      </c>
    </row>
    <row r="446">
      <c r="A446" s="1">
        <v>5.0</v>
      </c>
      <c r="B446" s="63">
        <v>43261.0</v>
      </c>
      <c r="C446" s="1">
        <v>16.0</v>
      </c>
      <c r="D446" s="1">
        <v>43.0</v>
      </c>
    </row>
    <row r="447">
      <c r="A447" s="1">
        <v>5.0</v>
      </c>
      <c r="B447" s="63">
        <v>43261.0</v>
      </c>
      <c r="C447" s="1">
        <v>17.0</v>
      </c>
      <c r="D447" s="1">
        <v>96.0</v>
      </c>
    </row>
    <row r="448">
      <c r="A448" s="1">
        <v>5.0</v>
      </c>
      <c r="B448" s="63">
        <v>43261.0</v>
      </c>
      <c r="C448" s="1">
        <v>18.0</v>
      </c>
      <c r="D448" s="1">
        <v>72.0</v>
      </c>
    </row>
    <row r="449">
      <c r="A449" s="1">
        <v>5.0</v>
      </c>
      <c r="B449" s="63">
        <v>43261.0</v>
      </c>
      <c r="C449" s="1">
        <v>19.0</v>
      </c>
      <c r="D449" s="1">
        <v>26.0</v>
      </c>
    </row>
    <row r="450">
      <c r="A450" s="1">
        <v>5.0</v>
      </c>
      <c r="B450" s="63">
        <v>43261.0</v>
      </c>
      <c r="C450" s="1">
        <v>20.0</v>
      </c>
      <c r="D450" s="1">
        <v>46.0</v>
      </c>
    </row>
    <row r="451">
      <c r="A451" s="1">
        <v>5.0</v>
      </c>
      <c r="B451" s="63">
        <v>43261.0</v>
      </c>
      <c r="C451" s="1">
        <v>21.0</v>
      </c>
      <c r="D451" s="1">
        <v>9.0</v>
      </c>
    </row>
    <row r="452">
      <c r="A452" s="1">
        <v>5.0</v>
      </c>
      <c r="B452" s="63">
        <v>43268.0</v>
      </c>
      <c r="C452" s="1">
        <v>0.0</v>
      </c>
      <c r="D452" s="1">
        <v>1011.0</v>
      </c>
    </row>
    <row r="453">
      <c r="A453" s="1">
        <v>5.0</v>
      </c>
      <c r="B453" s="63">
        <v>43268.0</v>
      </c>
      <c r="C453" s="1">
        <v>1.0</v>
      </c>
      <c r="D453" s="1">
        <v>21.0</v>
      </c>
    </row>
    <row r="454">
      <c r="A454" s="1">
        <v>5.0</v>
      </c>
      <c r="B454" s="63">
        <v>43268.0</v>
      </c>
      <c r="C454" s="1">
        <v>2.0</v>
      </c>
      <c r="D454" s="1">
        <v>23.0</v>
      </c>
    </row>
    <row r="455">
      <c r="A455" s="1">
        <v>5.0</v>
      </c>
      <c r="B455" s="63">
        <v>43268.0</v>
      </c>
      <c r="C455" s="1">
        <v>3.0</v>
      </c>
      <c r="D455" s="1">
        <v>34.0</v>
      </c>
    </row>
    <row r="456">
      <c r="A456" s="1">
        <v>5.0</v>
      </c>
      <c r="B456" s="63">
        <v>43268.0</v>
      </c>
      <c r="C456" s="1">
        <v>4.0</v>
      </c>
      <c r="D456" s="1">
        <v>224.0</v>
      </c>
    </row>
    <row r="457">
      <c r="A457" s="1">
        <v>5.0</v>
      </c>
      <c r="B457" s="63">
        <v>43268.0</v>
      </c>
      <c r="C457" s="1">
        <v>5.0</v>
      </c>
      <c r="D457" s="1">
        <v>128.0</v>
      </c>
    </row>
    <row r="458">
      <c r="A458" s="1">
        <v>5.0</v>
      </c>
      <c r="B458" s="63">
        <v>43268.0</v>
      </c>
      <c r="C458" s="1">
        <v>6.0</v>
      </c>
      <c r="D458" s="1">
        <v>47.0</v>
      </c>
    </row>
    <row r="459">
      <c r="A459" s="1">
        <v>5.0</v>
      </c>
      <c r="B459" s="63">
        <v>43268.0</v>
      </c>
      <c r="C459" s="1">
        <v>7.0</v>
      </c>
      <c r="D459" s="1">
        <v>47.0</v>
      </c>
    </row>
    <row r="460">
      <c r="A460" s="1">
        <v>5.0</v>
      </c>
      <c r="B460" s="63">
        <v>43268.0</v>
      </c>
      <c r="C460" s="1">
        <v>8.0</v>
      </c>
      <c r="D460" s="1">
        <v>113.0</v>
      </c>
    </row>
    <row r="461">
      <c r="A461" s="1">
        <v>5.0</v>
      </c>
      <c r="B461" s="63">
        <v>43268.0</v>
      </c>
      <c r="C461" s="1">
        <v>9.0</v>
      </c>
      <c r="D461" s="1">
        <v>164.0</v>
      </c>
    </row>
    <row r="462">
      <c r="A462" s="1">
        <v>5.0</v>
      </c>
      <c r="B462" s="63">
        <v>43268.0</v>
      </c>
      <c r="C462" s="1">
        <v>10.0</v>
      </c>
      <c r="D462" s="1">
        <v>58.0</v>
      </c>
    </row>
    <row r="463">
      <c r="A463" s="1">
        <v>5.0</v>
      </c>
      <c r="B463" s="63">
        <v>43268.0</v>
      </c>
      <c r="C463" s="1">
        <v>11.0</v>
      </c>
      <c r="D463" s="1">
        <v>57.0</v>
      </c>
    </row>
    <row r="464">
      <c r="A464" s="1">
        <v>5.0</v>
      </c>
      <c r="B464" s="63">
        <v>43268.0</v>
      </c>
      <c r="C464" s="1">
        <v>12.0</v>
      </c>
      <c r="D464" s="1">
        <v>64.0</v>
      </c>
    </row>
    <row r="465">
      <c r="A465" s="1">
        <v>5.0</v>
      </c>
      <c r="B465" s="63">
        <v>43268.0</v>
      </c>
      <c r="C465" s="1">
        <v>13.0</v>
      </c>
      <c r="D465" s="1">
        <v>118.0</v>
      </c>
    </row>
    <row r="466">
      <c r="A466" s="1">
        <v>5.0</v>
      </c>
      <c r="B466" s="63">
        <v>43268.0</v>
      </c>
      <c r="C466" s="1">
        <v>14.0</v>
      </c>
      <c r="D466" s="1">
        <v>49.0</v>
      </c>
    </row>
    <row r="467">
      <c r="A467" s="1">
        <v>5.0</v>
      </c>
      <c r="B467" s="63">
        <v>43268.0</v>
      </c>
      <c r="C467" s="1">
        <v>15.0</v>
      </c>
      <c r="D467" s="1">
        <v>59.0</v>
      </c>
    </row>
    <row r="468">
      <c r="A468" s="1">
        <v>5.0</v>
      </c>
      <c r="B468" s="63">
        <v>43268.0</v>
      </c>
      <c r="C468" s="1">
        <v>16.0</v>
      </c>
      <c r="D468" s="1">
        <v>53.0</v>
      </c>
    </row>
    <row r="469">
      <c r="A469" s="1">
        <v>5.0</v>
      </c>
      <c r="B469" s="63">
        <v>43268.0</v>
      </c>
      <c r="C469" s="1">
        <v>17.0</v>
      </c>
      <c r="D469" s="1">
        <v>63.0</v>
      </c>
    </row>
    <row r="470">
      <c r="A470" s="1">
        <v>5.0</v>
      </c>
      <c r="B470" s="63">
        <v>43268.0</v>
      </c>
      <c r="C470" s="1">
        <v>18.0</v>
      </c>
      <c r="D470" s="1">
        <v>94.0</v>
      </c>
    </row>
    <row r="471">
      <c r="A471" s="1">
        <v>5.0</v>
      </c>
      <c r="B471" s="63">
        <v>43268.0</v>
      </c>
      <c r="C471" s="1">
        <v>19.0</v>
      </c>
      <c r="D471" s="1">
        <v>40.0</v>
      </c>
    </row>
    <row r="472">
      <c r="A472" s="1">
        <v>5.0</v>
      </c>
      <c r="B472" s="63">
        <v>43268.0</v>
      </c>
      <c r="C472" s="1">
        <v>20.0</v>
      </c>
      <c r="D472" s="1">
        <v>13.0</v>
      </c>
    </row>
    <row r="473">
      <c r="A473" s="1">
        <v>5.0</v>
      </c>
      <c r="B473" s="63">
        <v>43275.0</v>
      </c>
      <c r="C473" s="1">
        <v>0.0</v>
      </c>
      <c r="D473" s="1">
        <v>920.0</v>
      </c>
    </row>
    <row r="474">
      <c r="A474" s="1">
        <v>5.0</v>
      </c>
      <c r="B474" s="63">
        <v>43275.0</v>
      </c>
      <c r="C474" s="1">
        <v>1.0</v>
      </c>
      <c r="D474" s="1">
        <v>22.0</v>
      </c>
    </row>
    <row r="475">
      <c r="A475" s="1">
        <v>5.0</v>
      </c>
      <c r="B475" s="63">
        <v>43275.0</v>
      </c>
      <c r="C475" s="1">
        <v>2.0</v>
      </c>
      <c r="D475" s="1">
        <v>21.0</v>
      </c>
    </row>
    <row r="476">
      <c r="A476" s="1">
        <v>5.0</v>
      </c>
      <c r="B476" s="63">
        <v>43275.0</v>
      </c>
      <c r="C476" s="1">
        <v>3.0</v>
      </c>
      <c r="D476" s="1">
        <v>55.0</v>
      </c>
    </row>
    <row r="477">
      <c r="A477" s="1">
        <v>5.0</v>
      </c>
      <c r="B477" s="63">
        <v>43275.0</v>
      </c>
      <c r="C477" s="1">
        <v>4.0</v>
      </c>
      <c r="D477" s="1">
        <v>186.0</v>
      </c>
    </row>
    <row r="478">
      <c r="A478" s="1">
        <v>5.0</v>
      </c>
      <c r="B478" s="63">
        <v>43275.0</v>
      </c>
      <c r="C478" s="1">
        <v>5.0</v>
      </c>
      <c r="D478" s="1">
        <v>130.0</v>
      </c>
    </row>
    <row r="479">
      <c r="A479" s="1">
        <v>5.0</v>
      </c>
      <c r="B479" s="63">
        <v>43275.0</v>
      </c>
      <c r="C479" s="1">
        <v>6.0</v>
      </c>
      <c r="D479" s="1">
        <v>37.0</v>
      </c>
    </row>
    <row r="480">
      <c r="A480" s="1">
        <v>5.0</v>
      </c>
      <c r="B480" s="63">
        <v>43275.0</v>
      </c>
      <c r="C480" s="1">
        <v>7.0</v>
      </c>
      <c r="D480" s="1">
        <v>44.0</v>
      </c>
    </row>
    <row r="481">
      <c r="A481" s="1">
        <v>5.0</v>
      </c>
      <c r="B481" s="63">
        <v>43275.0</v>
      </c>
      <c r="C481" s="1">
        <v>8.0</v>
      </c>
      <c r="D481" s="1">
        <v>126.0</v>
      </c>
    </row>
    <row r="482">
      <c r="A482" s="1">
        <v>5.0</v>
      </c>
      <c r="B482" s="63">
        <v>43275.0</v>
      </c>
      <c r="C482" s="1">
        <v>9.0</v>
      </c>
      <c r="D482" s="1">
        <v>117.0</v>
      </c>
    </row>
    <row r="483">
      <c r="A483" s="1">
        <v>5.0</v>
      </c>
      <c r="B483" s="63">
        <v>43275.0</v>
      </c>
      <c r="C483" s="1">
        <v>10.0</v>
      </c>
      <c r="D483" s="1">
        <v>52.0</v>
      </c>
    </row>
    <row r="484">
      <c r="A484" s="1">
        <v>5.0</v>
      </c>
      <c r="B484" s="63">
        <v>43275.0</v>
      </c>
      <c r="C484" s="1">
        <v>11.0</v>
      </c>
      <c r="D484" s="1">
        <v>50.0</v>
      </c>
    </row>
    <row r="485">
      <c r="A485" s="1">
        <v>5.0</v>
      </c>
      <c r="B485" s="63">
        <v>43275.0</v>
      </c>
      <c r="C485" s="1">
        <v>12.0</v>
      </c>
      <c r="D485" s="1">
        <v>48.0</v>
      </c>
    </row>
    <row r="486">
      <c r="A486" s="1">
        <v>5.0</v>
      </c>
      <c r="B486" s="63">
        <v>43275.0</v>
      </c>
      <c r="C486" s="1">
        <v>13.0</v>
      </c>
      <c r="D486" s="1">
        <v>79.0</v>
      </c>
    </row>
    <row r="487">
      <c r="A487" s="1">
        <v>5.0</v>
      </c>
      <c r="B487" s="63">
        <v>43275.0</v>
      </c>
      <c r="C487" s="1">
        <v>14.0</v>
      </c>
      <c r="D487" s="1">
        <v>71.0</v>
      </c>
    </row>
    <row r="488">
      <c r="A488" s="1">
        <v>5.0</v>
      </c>
      <c r="B488" s="63">
        <v>43275.0</v>
      </c>
      <c r="C488" s="1">
        <v>15.0</v>
      </c>
      <c r="D488" s="1">
        <v>46.0</v>
      </c>
    </row>
    <row r="489">
      <c r="A489" s="1">
        <v>5.0</v>
      </c>
      <c r="B489" s="63">
        <v>43275.0</v>
      </c>
      <c r="C489" s="1">
        <v>16.0</v>
      </c>
      <c r="D489" s="1">
        <v>45.0</v>
      </c>
    </row>
    <row r="490">
      <c r="A490" s="1">
        <v>5.0</v>
      </c>
      <c r="B490" s="63">
        <v>43275.0</v>
      </c>
      <c r="C490" s="1">
        <v>17.0</v>
      </c>
      <c r="D490" s="1">
        <v>85.0</v>
      </c>
    </row>
    <row r="491">
      <c r="A491" s="1">
        <v>5.0</v>
      </c>
      <c r="B491" s="63">
        <v>43275.0</v>
      </c>
      <c r="C491" s="1">
        <v>18.0</v>
      </c>
      <c r="D491" s="1">
        <v>68.0</v>
      </c>
    </row>
    <row r="492">
      <c r="A492" s="1">
        <v>5.0</v>
      </c>
      <c r="B492" s="63">
        <v>43275.0</v>
      </c>
      <c r="C492" s="1">
        <v>19.0</v>
      </c>
      <c r="D492" s="1">
        <v>17.0</v>
      </c>
    </row>
    <row r="493">
      <c r="A493" s="1">
        <v>5.0</v>
      </c>
      <c r="B493" s="63">
        <v>43282.0</v>
      </c>
      <c r="C493" s="1">
        <v>0.0</v>
      </c>
      <c r="D493" s="1">
        <v>1096.0</v>
      </c>
    </row>
    <row r="494">
      <c r="A494" s="1">
        <v>5.0</v>
      </c>
      <c r="B494" s="63">
        <v>43282.0</v>
      </c>
      <c r="C494" s="1">
        <v>1.0</v>
      </c>
      <c r="D494" s="1">
        <v>16.0</v>
      </c>
    </row>
    <row r="495">
      <c r="A495" s="1">
        <v>5.0</v>
      </c>
      <c r="B495" s="63">
        <v>43282.0</v>
      </c>
      <c r="C495" s="1">
        <v>2.0</v>
      </c>
      <c r="D495" s="1">
        <v>29.0</v>
      </c>
    </row>
    <row r="496">
      <c r="A496" s="1">
        <v>5.0</v>
      </c>
      <c r="B496" s="63">
        <v>43282.0</v>
      </c>
      <c r="C496" s="1">
        <v>3.0</v>
      </c>
      <c r="D496" s="1">
        <v>70.0</v>
      </c>
    </row>
    <row r="497">
      <c r="A497" s="1">
        <v>5.0</v>
      </c>
      <c r="B497" s="63">
        <v>43282.0</v>
      </c>
      <c r="C497" s="1">
        <v>4.0</v>
      </c>
      <c r="D497" s="1">
        <v>242.0</v>
      </c>
    </row>
    <row r="498">
      <c r="A498" s="1">
        <v>5.0</v>
      </c>
      <c r="B498" s="63">
        <v>43282.0</v>
      </c>
      <c r="C498" s="1">
        <v>5.0</v>
      </c>
      <c r="D498" s="1">
        <v>149.0</v>
      </c>
    </row>
    <row r="499">
      <c r="A499" s="1">
        <v>5.0</v>
      </c>
      <c r="B499" s="63">
        <v>43282.0</v>
      </c>
      <c r="C499" s="1">
        <v>6.0</v>
      </c>
      <c r="D499" s="1">
        <v>41.0</v>
      </c>
    </row>
    <row r="500">
      <c r="A500" s="1">
        <v>5.0</v>
      </c>
      <c r="B500" s="63">
        <v>43282.0</v>
      </c>
      <c r="C500" s="1">
        <v>7.0</v>
      </c>
      <c r="D500" s="1">
        <v>54.0</v>
      </c>
    </row>
    <row r="501">
      <c r="A501" s="1">
        <v>5.0</v>
      </c>
      <c r="B501" s="63">
        <v>43282.0</v>
      </c>
      <c r="C501" s="1">
        <v>8.0</v>
      </c>
      <c r="D501" s="1">
        <v>155.0</v>
      </c>
    </row>
    <row r="502">
      <c r="A502" s="1">
        <v>5.0</v>
      </c>
      <c r="B502" s="63">
        <v>43282.0</v>
      </c>
      <c r="C502" s="1">
        <v>9.0</v>
      </c>
      <c r="D502" s="1">
        <v>177.0</v>
      </c>
    </row>
    <row r="503">
      <c r="A503" s="1">
        <v>5.0</v>
      </c>
      <c r="B503" s="63">
        <v>43282.0</v>
      </c>
      <c r="C503" s="1">
        <v>10.0</v>
      </c>
      <c r="D503" s="1">
        <v>66.0</v>
      </c>
    </row>
    <row r="504">
      <c r="A504" s="1">
        <v>5.0</v>
      </c>
      <c r="B504" s="63">
        <v>43282.0</v>
      </c>
      <c r="C504" s="1">
        <v>11.0</v>
      </c>
      <c r="D504" s="1">
        <v>57.0</v>
      </c>
    </row>
    <row r="505">
      <c r="A505" s="1">
        <v>5.0</v>
      </c>
      <c r="B505" s="63">
        <v>43282.0</v>
      </c>
      <c r="C505" s="1">
        <v>12.0</v>
      </c>
      <c r="D505" s="1">
        <v>52.0</v>
      </c>
    </row>
    <row r="506">
      <c r="A506" s="1">
        <v>5.0</v>
      </c>
      <c r="B506" s="63">
        <v>43282.0</v>
      </c>
      <c r="C506" s="1">
        <v>13.0</v>
      </c>
      <c r="D506" s="1">
        <v>183.0</v>
      </c>
    </row>
    <row r="507">
      <c r="A507" s="1">
        <v>5.0</v>
      </c>
      <c r="B507" s="63">
        <v>43282.0</v>
      </c>
      <c r="C507" s="1">
        <v>14.0</v>
      </c>
      <c r="D507" s="1">
        <v>64.0</v>
      </c>
    </row>
    <row r="508">
      <c r="A508" s="1">
        <v>5.0</v>
      </c>
      <c r="B508" s="63">
        <v>43282.0</v>
      </c>
      <c r="C508" s="1">
        <v>15.0</v>
      </c>
      <c r="D508" s="1">
        <v>37.0</v>
      </c>
    </row>
    <row r="509">
      <c r="A509" s="1">
        <v>5.0</v>
      </c>
      <c r="B509" s="63">
        <v>43282.0</v>
      </c>
      <c r="C509" s="1">
        <v>16.0</v>
      </c>
      <c r="D509" s="1">
        <v>70.0</v>
      </c>
    </row>
    <row r="510">
      <c r="A510" s="1">
        <v>5.0</v>
      </c>
      <c r="B510" s="63">
        <v>43282.0</v>
      </c>
      <c r="C510" s="1">
        <v>17.0</v>
      </c>
      <c r="D510" s="1">
        <v>116.0</v>
      </c>
    </row>
    <row r="511">
      <c r="A511" s="1">
        <v>5.0</v>
      </c>
      <c r="B511" s="63">
        <v>43282.0</v>
      </c>
      <c r="C511" s="1">
        <v>18.0</v>
      </c>
      <c r="D511" s="1">
        <v>33.0</v>
      </c>
    </row>
    <row r="512">
      <c r="A512" s="1">
        <v>6.0</v>
      </c>
      <c r="B512" s="63">
        <v>43254.0</v>
      </c>
      <c r="C512" s="1">
        <v>0.0</v>
      </c>
      <c r="D512" s="1">
        <v>15.0</v>
      </c>
    </row>
    <row r="513">
      <c r="A513" s="1">
        <v>6.0</v>
      </c>
      <c r="B513" s="63">
        <v>43254.0</v>
      </c>
      <c r="C513" s="1">
        <v>3.0</v>
      </c>
      <c r="D513" s="1">
        <v>2.0</v>
      </c>
    </row>
    <row r="514">
      <c r="A514" s="1">
        <v>6.0</v>
      </c>
      <c r="B514" s="63">
        <v>43254.0</v>
      </c>
      <c r="C514" s="1">
        <v>4.0</v>
      </c>
      <c r="D514" s="1">
        <v>1.0</v>
      </c>
    </row>
    <row r="515">
      <c r="A515" s="1">
        <v>6.0</v>
      </c>
      <c r="B515" s="63">
        <v>43254.0</v>
      </c>
      <c r="C515" s="1">
        <v>5.0</v>
      </c>
      <c r="D515" s="1">
        <v>6.0</v>
      </c>
    </row>
    <row r="516">
      <c r="A516" s="1">
        <v>6.0</v>
      </c>
      <c r="B516" s="63">
        <v>43254.0</v>
      </c>
      <c r="C516" s="1">
        <v>6.0</v>
      </c>
      <c r="D516" s="1">
        <v>1.0</v>
      </c>
    </row>
    <row r="517">
      <c r="A517" s="1">
        <v>6.0</v>
      </c>
      <c r="B517" s="63">
        <v>43254.0</v>
      </c>
      <c r="C517" s="1">
        <v>8.0</v>
      </c>
      <c r="D517" s="1">
        <v>1.0</v>
      </c>
    </row>
    <row r="518">
      <c r="A518" s="1">
        <v>6.0</v>
      </c>
      <c r="B518" s="63">
        <v>43254.0</v>
      </c>
      <c r="C518" s="1">
        <v>9.0</v>
      </c>
      <c r="D518" s="1">
        <v>5.0</v>
      </c>
    </row>
    <row r="519">
      <c r="A519" s="1">
        <v>6.0</v>
      </c>
      <c r="B519" s="63">
        <v>43254.0</v>
      </c>
      <c r="C519" s="1">
        <v>11.0</v>
      </c>
      <c r="D519" s="1">
        <v>4.0</v>
      </c>
    </row>
    <row r="520">
      <c r="A520" s="1">
        <v>6.0</v>
      </c>
      <c r="B520" s="63">
        <v>43254.0</v>
      </c>
      <c r="C520" s="1">
        <v>13.0</v>
      </c>
      <c r="D520" s="1">
        <v>2.0</v>
      </c>
    </row>
    <row r="521">
      <c r="A521" s="1">
        <v>6.0</v>
      </c>
      <c r="B521" s="63">
        <v>43254.0</v>
      </c>
      <c r="C521" s="1">
        <v>14.0</v>
      </c>
      <c r="D521" s="1">
        <v>2.0</v>
      </c>
    </row>
    <row r="522">
      <c r="A522" s="1">
        <v>6.0</v>
      </c>
      <c r="B522" s="63">
        <v>43254.0</v>
      </c>
      <c r="C522" s="1">
        <v>15.0</v>
      </c>
      <c r="D522" s="1">
        <v>1.0</v>
      </c>
    </row>
    <row r="523">
      <c r="A523" s="1">
        <v>6.0</v>
      </c>
      <c r="B523" s="63">
        <v>43254.0</v>
      </c>
      <c r="C523" s="1">
        <v>16.0</v>
      </c>
      <c r="D523" s="1">
        <v>2.0</v>
      </c>
    </row>
    <row r="524">
      <c r="A524" s="1">
        <v>6.0</v>
      </c>
      <c r="B524" s="63">
        <v>43254.0</v>
      </c>
      <c r="C524" s="1">
        <v>18.0</v>
      </c>
      <c r="D524" s="1">
        <v>2.0</v>
      </c>
    </row>
    <row r="525">
      <c r="A525" s="1">
        <v>6.0</v>
      </c>
      <c r="B525" s="63">
        <v>43254.0</v>
      </c>
      <c r="C525" s="1">
        <v>20.0</v>
      </c>
      <c r="D525" s="1">
        <v>2.0</v>
      </c>
    </row>
    <row r="526">
      <c r="A526" s="1">
        <v>6.0</v>
      </c>
      <c r="B526" s="63">
        <v>43254.0</v>
      </c>
      <c r="C526" s="1">
        <v>21.0</v>
      </c>
      <c r="D526" s="1">
        <v>1.0</v>
      </c>
    </row>
    <row r="527">
      <c r="A527" s="1">
        <v>6.0</v>
      </c>
      <c r="B527" s="63">
        <v>43261.0</v>
      </c>
      <c r="C527" s="1">
        <v>0.0</v>
      </c>
      <c r="D527" s="1">
        <v>64.0</v>
      </c>
    </row>
    <row r="528">
      <c r="A528" s="1">
        <v>6.0</v>
      </c>
      <c r="B528" s="63">
        <v>43261.0</v>
      </c>
      <c r="C528" s="1">
        <v>1.0</v>
      </c>
      <c r="D528" s="1">
        <v>2.0</v>
      </c>
    </row>
    <row r="529">
      <c r="A529" s="1">
        <v>6.0</v>
      </c>
      <c r="B529" s="63">
        <v>43261.0</v>
      </c>
      <c r="C529" s="1">
        <v>2.0</v>
      </c>
      <c r="D529" s="1">
        <v>3.0</v>
      </c>
    </row>
    <row r="530">
      <c r="A530" s="1">
        <v>6.0</v>
      </c>
      <c r="B530" s="63">
        <v>43261.0</v>
      </c>
      <c r="C530" s="1">
        <v>3.0</v>
      </c>
      <c r="D530" s="1">
        <v>4.0</v>
      </c>
    </row>
    <row r="531">
      <c r="A531" s="1">
        <v>6.0</v>
      </c>
      <c r="B531" s="63">
        <v>43261.0</v>
      </c>
      <c r="C531" s="1">
        <v>4.0</v>
      </c>
      <c r="D531" s="1">
        <v>20.0</v>
      </c>
    </row>
    <row r="532">
      <c r="A532" s="1">
        <v>6.0</v>
      </c>
      <c r="B532" s="63">
        <v>43261.0</v>
      </c>
      <c r="C532" s="1">
        <v>5.0</v>
      </c>
      <c r="D532" s="1">
        <v>5.0</v>
      </c>
    </row>
    <row r="533">
      <c r="A533" s="1">
        <v>6.0</v>
      </c>
      <c r="B533" s="63">
        <v>43261.0</v>
      </c>
      <c r="C533" s="1">
        <v>6.0</v>
      </c>
      <c r="D533" s="1">
        <v>2.0</v>
      </c>
    </row>
    <row r="534">
      <c r="A534" s="1">
        <v>6.0</v>
      </c>
      <c r="B534" s="63">
        <v>43261.0</v>
      </c>
      <c r="C534" s="1">
        <v>7.0</v>
      </c>
      <c r="D534" s="1">
        <v>4.0</v>
      </c>
    </row>
    <row r="535">
      <c r="A535" s="1">
        <v>6.0</v>
      </c>
      <c r="B535" s="63">
        <v>43261.0</v>
      </c>
      <c r="C535" s="1">
        <v>8.0</v>
      </c>
      <c r="D535" s="1">
        <v>8.0</v>
      </c>
    </row>
    <row r="536">
      <c r="A536" s="1">
        <v>6.0</v>
      </c>
      <c r="B536" s="63">
        <v>43261.0</v>
      </c>
      <c r="C536" s="1">
        <v>9.0</v>
      </c>
      <c r="D536" s="1">
        <v>12.0</v>
      </c>
    </row>
    <row r="537">
      <c r="A537" s="1">
        <v>6.0</v>
      </c>
      <c r="B537" s="63">
        <v>43261.0</v>
      </c>
      <c r="C537" s="1">
        <v>10.0</v>
      </c>
      <c r="D537" s="1">
        <v>4.0</v>
      </c>
    </row>
    <row r="538">
      <c r="A538" s="1">
        <v>6.0</v>
      </c>
      <c r="B538" s="63">
        <v>43261.0</v>
      </c>
      <c r="C538" s="1">
        <v>11.0</v>
      </c>
      <c r="D538" s="1">
        <v>5.0</v>
      </c>
    </row>
    <row r="539">
      <c r="A539" s="1">
        <v>6.0</v>
      </c>
      <c r="B539" s="63">
        <v>43261.0</v>
      </c>
      <c r="C539" s="1">
        <v>12.0</v>
      </c>
      <c r="D539" s="1">
        <v>1.0</v>
      </c>
    </row>
    <row r="540">
      <c r="A540" s="1">
        <v>6.0</v>
      </c>
      <c r="B540" s="63">
        <v>43261.0</v>
      </c>
      <c r="C540" s="1">
        <v>13.0</v>
      </c>
      <c r="D540" s="1">
        <v>15.0</v>
      </c>
    </row>
    <row r="541">
      <c r="A541" s="1">
        <v>6.0</v>
      </c>
      <c r="B541" s="63">
        <v>43261.0</v>
      </c>
      <c r="C541" s="1">
        <v>14.0</v>
      </c>
      <c r="D541" s="1">
        <v>3.0</v>
      </c>
    </row>
    <row r="542">
      <c r="A542" s="1">
        <v>6.0</v>
      </c>
      <c r="B542" s="63">
        <v>43261.0</v>
      </c>
      <c r="C542" s="1">
        <v>15.0</v>
      </c>
      <c r="D542" s="1">
        <v>5.0</v>
      </c>
    </row>
    <row r="543">
      <c r="A543" s="1">
        <v>6.0</v>
      </c>
      <c r="B543" s="63">
        <v>43261.0</v>
      </c>
      <c r="C543" s="1">
        <v>16.0</v>
      </c>
      <c r="D543" s="1">
        <v>3.0</v>
      </c>
    </row>
    <row r="544">
      <c r="A544" s="1">
        <v>6.0</v>
      </c>
      <c r="B544" s="63">
        <v>43261.0</v>
      </c>
      <c r="C544" s="1">
        <v>17.0</v>
      </c>
      <c r="D544" s="1">
        <v>9.0</v>
      </c>
    </row>
    <row r="545">
      <c r="A545" s="1">
        <v>6.0</v>
      </c>
      <c r="B545" s="63">
        <v>43261.0</v>
      </c>
      <c r="C545" s="1">
        <v>18.0</v>
      </c>
      <c r="D545" s="1">
        <v>8.0</v>
      </c>
    </row>
    <row r="546">
      <c r="A546" s="1">
        <v>6.0</v>
      </c>
      <c r="B546" s="63">
        <v>43261.0</v>
      </c>
      <c r="C546" s="1">
        <v>19.0</v>
      </c>
      <c r="D546" s="1">
        <v>4.0</v>
      </c>
    </row>
    <row r="547">
      <c r="A547" s="1">
        <v>6.0</v>
      </c>
      <c r="B547" s="63">
        <v>43261.0</v>
      </c>
      <c r="C547" s="1">
        <v>20.0</v>
      </c>
      <c r="D547" s="1">
        <v>3.0</v>
      </c>
    </row>
    <row r="548">
      <c r="A548" s="1">
        <v>6.0</v>
      </c>
      <c r="B548" s="63">
        <v>43268.0</v>
      </c>
      <c r="C548" s="1">
        <v>0.0</v>
      </c>
      <c r="D548" s="1">
        <v>66.0</v>
      </c>
    </row>
    <row r="549">
      <c r="A549" s="1">
        <v>6.0</v>
      </c>
      <c r="B549" s="63">
        <v>43268.0</v>
      </c>
      <c r="C549" s="1">
        <v>3.0</v>
      </c>
      <c r="D549" s="1">
        <v>6.0</v>
      </c>
    </row>
    <row r="550">
      <c r="A550" s="1">
        <v>6.0</v>
      </c>
      <c r="B550" s="63">
        <v>43268.0</v>
      </c>
      <c r="C550" s="1">
        <v>4.0</v>
      </c>
      <c r="D550" s="1">
        <v>15.0</v>
      </c>
    </row>
    <row r="551">
      <c r="A551" s="1">
        <v>6.0</v>
      </c>
      <c r="B551" s="63">
        <v>43268.0</v>
      </c>
      <c r="C551" s="1">
        <v>5.0</v>
      </c>
      <c r="D551" s="1">
        <v>5.0</v>
      </c>
    </row>
    <row r="552">
      <c r="A552" s="1">
        <v>6.0</v>
      </c>
      <c r="B552" s="63">
        <v>43268.0</v>
      </c>
      <c r="C552" s="1">
        <v>7.0</v>
      </c>
      <c r="D552" s="1">
        <v>3.0</v>
      </c>
    </row>
    <row r="553">
      <c r="A553" s="1">
        <v>6.0</v>
      </c>
      <c r="B553" s="63">
        <v>43268.0</v>
      </c>
      <c r="C553" s="1">
        <v>8.0</v>
      </c>
      <c r="D553" s="1">
        <v>9.0</v>
      </c>
    </row>
    <row r="554">
      <c r="A554" s="1">
        <v>6.0</v>
      </c>
      <c r="B554" s="63">
        <v>43268.0</v>
      </c>
      <c r="C554" s="1">
        <v>9.0</v>
      </c>
      <c r="D554" s="1">
        <v>7.0</v>
      </c>
    </row>
    <row r="555">
      <c r="A555" s="1">
        <v>6.0</v>
      </c>
      <c r="B555" s="63">
        <v>43268.0</v>
      </c>
      <c r="C555" s="1">
        <v>10.0</v>
      </c>
      <c r="D555" s="1">
        <v>3.0</v>
      </c>
    </row>
    <row r="556">
      <c r="A556" s="1">
        <v>6.0</v>
      </c>
      <c r="B556" s="63">
        <v>43268.0</v>
      </c>
      <c r="C556" s="1">
        <v>12.0</v>
      </c>
      <c r="D556" s="1">
        <v>7.0</v>
      </c>
    </row>
    <row r="557">
      <c r="A557" s="1">
        <v>6.0</v>
      </c>
      <c r="B557" s="63">
        <v>43268.0</v>
      </c>
      <c r="C557" s="1">
        <v>13.0</v>
      </c>
      <c r="D557" s="1">
        <v>6.0</v>
      </c>
    </row>
    <row r="558">
      <c r="A558" s="1">
        <v>6.0</v>
      </c>
      <c r="B558" s="63">
        <v>43268.0</v>
      </c>
      <c r="C558" s="1">
        <v>16.0</v>
      </c>
      <c r="D558" s="1">
        <v>3.0</v>
      </c>
    </row>
    <row r="559">
      <c r="A559" s="1">
        <v>6.0</v>
      </c>
      <c r="B559" s="63">
        <v>43268.0</v>
      </c>
      <c r="C559" s="1">
        <v>17.0</v>
      </c>
      <c r="D559" s="1">
        <v>5.0</v>
      </c>
    </row>
    <row r="560">
      <c r="A560" s="1">
        <v>6.0</v>
      </c>
      <c r="B560" s="63">
        <v>43268.0</v>
      </c>
      <c r="C560" s="1">
        <v>18.0</v>
      </c>
      <c r="D560" s="1">
        <v>6.0</v>
      </c>
    </row>
    <row r="561">
      <c r="A561" s="1">
        <v>6.0</v>
      </c>
      <c r="B561" s="63">
        <v>43268.0</v>
      </c>
      <c r="C561" s="1">
        <v>19.0</v>
      </c>
      <c r="D561" s="1">
        <v>2.0</v>
      </c>
    </row>
    <row r="562">
      <c r="A562" s="1">
        <v>6.0</v>
      </c>
      <c r="B562" s="63">
        <v>43275.0</v>
      </c>
      <c r="C562" s="1">
        <v>0.0</v>
      </c>
      <c r="D562" s="1">
        <v>122.0</v>
      </c>
    </row>
    <row r="563">
      <c r="A563" s="1">
        <v>6.0</v>
      </c>
      <c r="B563" s="63">
        <v>43275.0</v>
      </c>
      <c r="C563" s="1">
        <v>1.0</v>
      </c>
      <c r="D563" s="1">
        <v>1.0</v>
      </c>
    </row>
    <row r="564">
      <c r="A564" s="1">
        <v>6.0</v>
      </c>
      <c r="B564" s="63">
        <v>43275.0</v>
      </c>
      <c r="C564" s="1">
        <v>2.0</v>
      </c>
      <c r="D564" s="1">
        <v>2.0</v>
      </c>
    </row>
    <row r="565">
      <c r="A565" s="1">
        <v>6.0</v>
      </c>
      <c r="B565" s="63">
        <v>43275.0</v>
      </c>
      <c r="C565" s="1">
        <v>3.0</v>
      </c>
      <c r="D565" s="1">
        <v>16.0</v>
      </c>
    </row>
    <row r="566">
      <c r="A566" s="1">
        <v>6.0</v>
      </c>
      <c r="B566" s="63">
        <v>43275.0</v>
      </c>
      <c r="C566" s="1">
        <v>4.0</v>
      </c>
      <c r="D566" s="1">
        <v>24.0</v>
      </c>
    </row>
    <row r="567">
      <c r="A567" s="1">
        <v>6.0</v>
      </c>
      <c r="B567" s="63">
        <v>43275.0</v>
      </c>
      <c r="C567" s="1">
        <v>5.0</v>
      </c>
      <c r="D567" s="1">
        <v>17.0</v>
      </c>
    </row>
    <row r="568">
      <c r="A568" s="1">
        <v>6.0</v>
      </c>
      <c r="B568" s="63">
        <v>43275.0</v>
      </c>
      <c r="C568" s="1">
        <v>6.0</v>
      </c>
      <c r="D568" s="1">
        <v>3.0</v>
      </c>
    </row>
    <row r="569">
      <c r="A569" s="1">
        <v>6.0</v>
      </c>
      <c r="B569" s="63">
        <v>43275.0</v>
      </c>
      <c r="C569" s="1">
        <v>7.0</v>
      </c>
      <c r="D569" s="1">
        <v>10.0</v>
      </c>
    </row>
    <row r="570">
      <c r="A570" s="1">
        <v>6.0</v>
      </c>
      <c r="B570" s="63">
        <v>43275.0</v>
      </c>
      <c r="C570" s="1">
        <v>8.0</v>
      </c>
      <c r="D570" s="1">
        <v>17.0</v>
      </c>
    </row>
    <row r="571">
      <c r="A571" s="1">
        <v>6.0</v>
      </c>
      <c r="B571" s="63">
        <v>43275.0</v>
      </c>
      <c r="C571" s="1">
        <v>9.0</v>
      </c>
      <c r="D571" s="1">
        <v>13.0</v>
      </c>
    </row>
    <row r="572">
      <c r="A572" s="1">
        <v>6.0</v>
      </c>
      <c r="B572" s="63">
        <v>43275.0</v>
      </c>
      <c r="C572" s="1">
        <v>10.0</v>
      </c>
      <c r="D572" s="1">
        <v>14.0</v>
      </c>
    </row>
    <row r="573">
      <c r="A573" s="1">
        <v>6.0</v>
      </c>
      <c r="B573" s="63">
        <v>43275.0</v>
      </c>
      <c r="C573" s="1">
        <v>11.0</v>
      </c>
      <c r="D573" s="1">
        <v>6.0</v>
      </c>
    </row>
    <row r="574">
      <c r="A574" s="1">
        <v>6.0</v>
      </c>
      <c r="B574" s="63">
        <v>43275.0</v>
      </c>
      <c r="C574" s="1">
        <v>12.0</v>
      </c>
      <c r="D574" s="1">
        <v>9.0</v>
      </c>
    </row>
    <row r="575">
      <c r="A575" s="1">
        <v>6.0</v>
      </c>
      <c r="B575" s="63">
        <v>43275.0</v>
      </c>
      <c r="C575" s="1">
        <v>13.0</v>
      </c>
      <c r="D575" s="1">
        <v>8.0</v>
      </c>
    </row>
    <row r="576">
      <c r="A576" s="1">
        <v>6.0</v>
      </c>
      <c r="B576" s="63">
        <v>43275.0</v>
      </c>
      <c r="C576" s="1">
        <v>14.0</v>
      </c>
      <c r="D576" s="1">
        <v>15.0</v>
      </c>
    </row>
    <row r="577">
      <c r="A577" s="1">
        <v>6.0</v>
      </c>
      <c r="B577" s="63">
        <v>43275.0</v>
      </c>
      <c r="C577" s="1">
        <v>15.0</v>
      </c>
      <c r="D577" s="1">
        <v>8.0</v>
      </c>
    </row>
    <row r="578">
      <c r="A578" s="1">
        <v>6.0</v>
      </c>
      <c r="B578" s="63">
        <v>43275.0</v>
      </c>
      <c r="C578" s="1">
        <v>16.0</v>
      </c>
      <c r="D578" s="1">
        <v>7.0</v>
      </c>
    </row>
    <row r="579">
      <c r="A579" s="1">
        <v>6.0</v>
      </c>
      <c r="B579" s="63">
        <v>43275.0</v>
      </c>
      <c r="C579" s="1">
        <v>17.0</v>
      </c>
      <c r="D579" s="1">
        <v>8.0</v>
      </c>
    </row>
    <row r="580">
      <c r="A580" s="1">
        <v>6.0</v>
      </c>
      <c r="B580" s="63">
        <v>43275.0</v>
      </c>
      <c r="C580" s="1">
        <v>18.0</v>
      </c>
      <c r="D580" s="1">
        <v>11.0</v>
      </c>
    </row>
    <row r="581">
      <c r="A581" s="1">
        <v>6.0</v>
      </c>
      <c r="B581" s="63">
        <v>43282.0</v>
      </c>
      <c r="C581" s="1">
        <v>0.0</v>
      </c>
      <c r="D581" s="1">
        <v>59.0</v>
      </c>
    </row>
    <row r="582">
      <c r="A582" s="1">
        <v>6.0</v>
      </c>
      <c r="B582" s="63">
        <v>43282.0</v>
      </c>
      <c r="C582" s="1">
        <v>2.0</v>
      </c>
      <c r="D582" s="1">
        <v>2.0</v>
      </c>
    </row>
    <row r="583">
      <c r="A583" s="1">
        <v>6.0</v>
      </c>
      <c r="B583" s="63">
        <v>43282.0</v>
      </c>
      <c r="C583" s="1">
        <v>3.0</v>
      </c>
      <c r="D583" s="1">
        <v>4.0</v>
      </c>
    </row>
    <row r="584">
      <c r="A584" s="1">
        <v>6.0</v>
      </c>
      <c r="B584" s="63">
        <v>43282.0</v>
      </c>
      <c r="C584" s="1">
        <v>4.0</v>
      </c>
      <c r="D584" s="1">
        <v>15.0</v>
      </c>
    </row>
    <row r="585">
      <c r="A585" s="1">
        <v>6.0</v>
      </c>
      <c r="B585" s="63">
        <v>43282.0</v>
      </c>
      <c r="C585" s="1">
        <v>5.0</v>
      </c>
      <c r="D585" s="1">
        <v>7.0</v>
      </c>
    </row>
    <row r="586">
      <c r="A586" s="1">
        <v>6.0</v>
      </c>
      <c r="B586" s="63">
        <v>43282.0</v>
      </c>
      <c r="C586" s="1">
        <v>6.0</v>
      </c>
      <c r="D586" s="1">
        <v>1.0</v>
      </c>
    </row>
    <row r="587">
      <c r="A587" s="1">
        <v>6.0</v>
      </c>
      <c r="B587" s="63">
        <v>43282.0</v>
      </c>
      <c r="C587" s="1">
        <v>7.0</v>
      </c>
      <c r="D587" s="1">
        <v>5.0</v>
      </c>
    </row>
    <row r="588">
      <c r="A588" s="1">
        <v>6.0</v>
      </c>
      <c r="B588" s="63">
        <v>43282.0</v>
      </c>
      <c r="C588" s="1">
        <v>8.0</v>
      </c>
      <c r="D588" s="1">
        <v>13.0</v>
      </c>
    </row>
    <row r="589">
      <c r="A589" s="1">
        <v>6.0</v>
      </c>
      <c r="B589" s="63">
        <v>43282.0</v>
      </c>
      <c r="C589" s="1">
        <v>9.0</v>
      </c>
      <c r="D589" s="1">
        <v>6.0</v>
      </c>
    </row>
    <row r="590">
      <c r="A590" s="1">
        <v>6.0</v>
      </c>
      <c r="B590" s="63">
        <v>43282.0</v>
      </c>
      <c r="C590" s="1">
        <v>10.0</v>
      </c>
      <c r="D590" s="1">
        <v>4.0</v>
      </c>
    </row>
    <row r="591">
      <c r="A591" s="1">
        <v>6.0</v>
      </c>
      <c r="B591" s="63">
        <v>43282.0</v>
      </c>
      <c r="C591" s="1">
        <v>11.0</v>
      </c>
      <c r="D591" s="1">
        <v>6.0</v>
      </c>
    </row>
    <row r="592">
      <c r="A592" s="1">
        <v>6.0</v>
      </c>
      <c r="B592" s="63">
        <v>43282.0</v>
      </c>
      <c r="C592" s="1">
        <v>12.0</v>
      </c>
      <c r="D592" s="1">
        <v>7.0</v>
      </c>
    </row>
    <row r="593">
      <c r="A593" s="1">
        <v>6.0</v>
      </c>
      <c r="B593" s="63">
        <v>43282.0</v>
      </c>
      <c r="C593" s="1">
        <v>13.0</v>
      </c>
      <c r="D593" s="1">
        <v>6.0</v>
      </c>
    </row>
    <row r="594">
      <c r="A594" s="1">
        <v>6.0</v>
      </c>
      <c r="B594" s="63">
        <v>43282.0</v>
      </c>
      <c r="C594" s="1">
        <v>14.0</v>
      </c>
      <c r="D594" s="1">
        <v>2.0</v>
      </c>
    </row>
    <row r="595">
      <c r="A595" s="1">
        <v>6.0</v>
      </c>
      <c r="B595" s="63">
        <v>43282.0</v>
      </c>
      <c r="C595" s="1">
        <v>15.0</v>
      </c>
      <c r="D595" s="1">
        <v>8.0</v>
      </c>
    </row>
    <row r="596">
      <c r="A596" s="1">
        <v>6.0</v>
      </c>
      <c r="B596" s="63">
        <v>43282.0</v>
      </c>
      <c r="C596" s="1">
        <v>16.0</v>
      </c>
      <c r="D596" s="1">
        <v>7.0</v>
      </c>
    </row>
    <row r="597">
      <c r="A597" s="1">
        <v>6.0</v>
      </c>
      <c r="B597" s="63">
        <v>43282.0</v>
      </c>
      <c r="C597" s="1">
        <v>17.0</v>
      </c>
      <c r="D597" s="1">
        <v>2.0</v>
      </c>
    </row>
    <row r="598">
      <c r="A598" s="1">
        <v>6.0</v>
      </c>
      <c r="B598" s="63">
        <v>43282.0</v>
      </c>
      <c r="C598" s="1">
        <v>18.0</v>
      </c>
      <c r="D598" s="1">
        <v>3.0</v>
      </c>
    </row>
    <row r="599">
      <c r="A599" s="1">
        <v>7.0</v>
      </c>
      <c r="B599" s="63">
        <v>43254.0</v>
      </c>
      <c r="C599" s="1">
        <v>0.0</v>
      </c>
      <c r="D599" s="1">
        <v>448.0</v>
      </c>
    </row>
    <row r="600">
      <c r="A600" s="1">
        <v>7.0</v>
      </c>
      <c r="B600" s="63">
        <v>43254.0</v>
      </c>
      <c r="C600" s="1">
        <v>1.0</v>
      </c>
      <c r="D600" s="1">
        <v>13.0</v>
      </c>
    </row>
    <row r="601">
      <c r="A601" s="1">
        <v>7.0</v>
      </c>
      <c r="B601" s="63">
        <v>43254.0</v>
      </c>
      <c r="C601" s="1">
        <v>2.0</v>
      </c>
      <c r="D601" s="1">
        <v>10.0</v>
      </c>
    </row>
    <row r="602">
      <c r="A602" s="1">
        <v>7.0</v>
      </c>
      <c r="B602" s="63">
        <v>43254.0</v>
      </c>
      <c r="C602" s="1">
        <v>3.0</v>
      </c>
      <c r="D602" s="1">
        <v>17.0</v>
      </c>
    </row>
    <row r="603">
      <c r="A603" s="1">
        <v>7.0</v>
      </c>
      <c r="B603" s="63">
        <v>43254.0</v>
      </c>
      <c r="C603" s="1">
        <v>4.0</v>
      </c>
      <c r="D603" s="1">
        <v>21.0</v>
      </c>
    </row>
    <row r="604">
      <c r="A604" s="1">
        <v>7.0</v>
      </c>
      <c r="B604" s="63">
        <v>43254.0</v>
      </c>
      <c r="C604" s="1">
        <v>5.0</v>
      </c>
      <c r="D604" s="1">
        <v>120.0</v>
      </c>
    </row>
    <row r="605">
      <c r="A605" s="1">
        <v>7.0</v>
      </c>
      <c r="B605" s="63">
        <v>43254.0</v>
      </c>
      <c r="C605" s="1">
        <v>6.0</v>
      </c>
      <c r="D605" s="1">
        <v>31.0</v>
      </c>
    </row>
    <row r="606">
      <c r="A606" s="1">
        <v>7.0</v>
      </c>
      <c r="B606" s="63">
        <v>43254.0</v>
      </c>
      <c r="C606" s="1">
        <v>7.0</v>
      </c>
      <c r="D606" s="1">
        <v>14.0</v>
      </c>
    </row>
    <row r="607">
      <c r="A607" s="1">
        <v>7.0</v>
      </c>
      <c r="B607" s="63">
        <v>43254.0</v>
      </c>
      <c r="C607" s="1">
        <v>8.0</v>
      </c>
      <c r="D607" s="1">
        <v>20.0</v>
      </c>
    </row>
    <row r="608">
      <c r="A608" s="1">
        <v>7.0</v>
      </c>
      <c r="B608" s="63">
        <v>43254.0</v>
      </c>
      <c r="C608" s="1">
        <v>9.0</v>
      </c>
      <c r="D608" s="1">
        <v>89.0</v>
      </c>
    </row>
    <row r="609">
      <c r="A609" s="1">
        <v>7.0</v>
      </c>
      <c r="B609" s="63">
        <v>43254.0</v>
      </c>
      <c r="C609" s="1">
        <v>10.0</v>
      </c>
      <c r="D609" s="1">
        <v>25.0</v>
      </c>
    </row>
    <row r="610">
      <c r="A610" s="1">
        <v>7.0</v>
      </c>
      <c r="B610" s="63">
        <v>43254.0</v>
      </c>
      <c r="C610" s="1">
        <v>11.0</v>
      </c>
      <c r="D610" s="1">
        <v>20.0</v>
      </c>
    </row>
    <row r="611">
      <c r="A611" s="1">
        <v>7.0</v>
      </c>
      <c r="B611" s="63">
        <v>43254.0</v>
      </c>
      <c r="C611" s="1">
        <v>12.0</v>
      </c>
      <c r="D611" s="1">
        <v>24.0</v>
      </c>
    </row>
    <row r="612">
      <c r="A612" s="1">
        <v>7.0</v>
      </c>
      <c r="B612" s="63">
        <v>43254.0</v>
      </c>
      <c r="C612" s="1">
        <v>13.0</v>
      </c>
      <c r="D612" s="1">
        <v>44.0</v>
      </c>
    </row>
    <row r="613">
      <c r="A613" s="1">
        <v>7.0</v>
      </c>
      <c r="B613" s="63">
        <v>43254.0</v>
      </c>
      <c r="C613" s="1">
        <v>14.0</v>
      </c>
      <c r="D613" s="1">
        <v>40.0</v>
      </c>
    </row>
    <row r="614">
      <c r="A614" s="1">
        <v>7.0</v>
      </c>
      <c r="B614" s="63">
        <v>43254.0</v>
      </c>
      <c r="C614" s="1">
        <v>15.0</v>
      </c>
      <c r="D614" s="1">
        <v>23.0</v>
      </c>
    </row>
    <row r="615">
      <c r="A615" s="1">
        <v>7.0</v>
      </c>
      <c r="B615" s="63">
        <v>43254.0</v>
      </c>
      <c r="C615" s="1">
        <v>16.0</v>
      </c>
      <c r="D615" s="1">
        <v>21.0</v>
      </c>
    </row>
    <row r="616">
      <c r="A616" s="1">
        <v>7.0</v>
      </c>
      <c r="B616" s="63">
        <v>43254.0</v>
      </c>
      <c r="C616" s="1">
        <v>17.0</v>
      </c>
      <c r="D616" s="1">
        <v>25.0</v>
      </c>
    </row>
    <row r="617">
      <c r="A617" s="1">
        <v>7.0</v>
      </c>
      <c r="B617" s="63">
        <v>43254.0</v>
      </c>
      <c r="C617" s="1">
        <v>18.0</v>
      </c>
      <c r="D617" s="1">
        <v>43.0</v>
      </c>
    </row>
    <row r="618">
      <c r="A618" s="1">
        <v>7.0</v>
      </c>
      <c r="B618" s="63">
        <v>43254.0</v>
      </c>
      <c r="C618" s="1">
        <v>19.0</v>
      </c>
      <c r="D618" s="1">
        <v>14.0</v>
      </c>
    </row>
    <row r="619">
      <c r="A619" s="1">
        <v>7.0</v>
      </c>
      <c r="B619" s="63">
        <v>43254.0</v>
      </c>
      <c r="C619" s="1">
        <v>20.0</v>
      </c>
      <c r="D619" s="1">
        <v>24.0</v>
      </c>
    </row>
    <row r="620">
      <c r="A620" s="1">
        <v>7.0</v>
      </c>
      <c r="B620" s="63">
        <v>43254.0</v>
      </c>
      <c r="C620" s="1">
        <v>21.0</v>
      </c>
      <c r="D620" s="1">
        <v>23.0</v>
      </c>
    </row>
    <row r="621">
      <c r="A621" s="1">
        <v>7.0</v>
      </c>
      <c r="B621" s="63">
        <v>43254.0</v>
      </c>
      <c r="C621" s="1">
        <v>22.0</v>
      </c>
      <c r="D621" s="1">
        <v>12.0</v>
      </c>
    </row>
    <row r="622">
      <c r="A622" s="1">
        <v>7.0</v>
      </c>
      <c r="B622" s="63">
        <v>43261.0</v>
      </c>
      <c r="C622" s="1">
        <v>0.0</v>
      </c>
      <c r="D622" s="1">
        <v>1184.0</v>
      </c>
    </row>
    <row r="623">
      <c r="A623" s="1">
        <v>7.0</v>
      </c>
      <c r="B623" s="63">
        <v>43261.0</v>
      </c>
      <c r="C623" s="1">
        <v>1.0</v>
      </c>
      <c r="D623" s="1">
        <v>28.0</v>
      </c>
    </row>
    <row r="624">
      <c r="A624" s="1">
        <v>7.0</v>
      </c>
      <c r="B624" s="63">
        <v>43261.0</v>
      </c>
      <c r="C624" s="1">
        <v>2.0</v>
      </c>
      <c r="D624" s="1">
        <v>31.0</v>
      </c>
    </row>
    <row r="625">
      <c r="A625" s="1">
        <v>7.0</v>
      </c>
      <c r="B625" s="63">
        <v>43261.0</v>
      </c>
      <c r="C625" s="1">
        <v>3.0</v>
      </c>
      <c r="D625" s="1">
        <v>77.0</v>
      </c>
    </row>
    <row r="626">
      <c r="A626" s="1">
        <v>7.0</v>
      </c>
      <c r="B626" s="63">
        <v>43261.0</v>
      </c>
      <c r="C626" s="1">
        <v>4.0</v>
      </c>
      <c r="D626" s="1">
        <v>284.0</v>
      </c>
    </row>
    <row r="627">
      <c r="A627" s="1">
        <v>7.0</v>
      </c>
      <c r="B627" s="63">
        <v>43261.0</v>
      </c>
      <c r="C627" s="1">
        <v>5.0</v>
      </c>
      <c r="D627" s="1">
        <v>134.0</v>
      </c>
    </row>
    <row r="628">
      <c r="A628" s="1">
        <v>7.0</v>
      </c>
      <c r="B628" s="63">
        <v>43261.0</v>
      </c>
      <c r="C628" s="1">
        <v>6.0</v>
      </c>
      <c r="D628" s="1">
        <v>46.0</v>
      </c>
    </row>
    <row r="629">
      <c r="A629" s="1">
        <v>7.0</v>
      </c>
      <c r="B629" s="63">
        <v>43261.0</v>
      </c>
      <c r="C629" s="1">
        <v>7.0</v>
      </c>
      <c r="D629" s="1">
        <v>49.0</v>
      </c>
    </row>
    <row r="630">
      <c r="A630" s="1">
        <v>7.0</v>
      </c>
      <c r="B630" s="63">
        <v>43261.0</v>
      </c>
      <c r="C630" s="1">
        <v>8.0</v>
      </c>
      <c r="D630" s="1">
        <v>146.0</v>
      </c>
    </row>
    <row r="631">
      <c r="A631" s="1">
        <v>7.0</v>
      </c>
      <c r="B631" s="63">
        <v>43261.0</v>
      </c>
      <c r="C631" s="1">
        <v>9.0</v>
      </c>
      <c r="D631" s="1">
        <v>164.0</v>
      </c>
    </row>
    <row r="632">
      <c r="A632" s="1">
        <v>7.0</v>
      </c>
      <c r="B632" s="63">
        <v>43261.0</v>
      </c>
      <c r="C632" s="1">
        <v>10.0</v>
      </c>
      <c r="D632" s="1">
        <v>60.0</v>
      </c>
    </row>
    <row r="633">
      <c r="A633" s="1">
        <v>7.0</v>
      </c>
      <c r="B633" s="63">
        <v>43261.0</v>
      </c>
      <c r="C633" s="1">
        <v>11.0</v>
      </c>
      <c r="D633" s="1">
        <v>60.0</v>
      </c>
    </row>
    <row r="634">
      <c r="A634" s="1">
        <v>7.0</v>
      </c>
      <c r="B634" s="63">
        <v>43261.0</v>
      </c>
      <c r="C634" s="1">
        <v>12.0</v>
      </c>
      <c r="D634" s="1">
        <v>82.0</v>
      </c>
    </row>
    <row r="635">
      <c r="A635" s="1">
        <v>7.0</v>
      </c>
      <c r="B635" s="63">
        <v>43261.0</v>
      </c>
      <c r="C635" s="1">
        <v>13.0</v>
      </c>
      <c r="D635" s="1">
        <v>150.0</v>
      </c>
    </row>
    <row r="636">
      <c r="A636" s="1">
        <v>7.0</v>
      </c>
      <c r="B636" s="63">
        <v>43261.0</v>
      </c>
      <c r="C636" s="1">
        <v>14.0</v>
      </c>
      <c r="D636" s="1">
        <v>71.0</v>
      </c>
    </row>
    <row r="637">
      <c r="A637" s="1">
        <v>7.0</v>
      </c>
      <c r="B637" s="63">
        <v>43261.0</v>
      </c>
      <c r="C637" s="1">
        <v>15.0</v>
      </c>
      <c r="D637" s="1">
        <v>31.0</v>
      </c>
    </row>
    <row r="638">
      <c r="A638" s="1">
        <v>7.0</v>
      </c>
      <c r="B638" s="63">
        <v>43261.0</v>
      </c>
      <c r="C638" s="1">
        <v>16.0</v>
      </c>
      <c r="D638" s="1">
        <v>60.0</v>
      </c>
    </row>
    <row r="639">
      <c r="A639" s="1">
        <v>7.0</v>
      </c>
      <c r="B639" s="63">
        <v>43261.0</v>
      </c>
      <c r="C639" s="1">
        <v>17.0</v>
      </c>
      <c r="D639" s="1">
        <v>100.0</v>
      </c>
    </row>
    <row r="640">
      <c r="A640" s="1">
        <v>7.0</v>
      </c>
      <c r="B640" s="63">
        <v>43261.0</v>
      </c>
      <c r="C640" s="1">
        <v>18.0</v>
      </c>
      <c r="D640" s="1">
        <v>87.0</v>
      </c>
    </row>
    <row r="641">
      <c r="A641" s="1">
        <v>7.0</v>
      </c>
      <c r="B641" s="63">
        <v>43261.0</v>
      </c>
      <c r="C641" s="1">
        <v>19.0</v>
      </c>
      <c r="D641" s="1">
        <v>50.0</v>
      </c>
    </row>
    <row r="642">
      <c r="A642" s="1">
        <v>7.0</v>
      </c>
      <c r="B642" s="63">
        <v>43261.0</v>
      </c>
      <c r="C642" s="1">
        <v>20.0</v>
      </c>
      <c r="D642" s="1">
        <v>57.0</v>
      </c>
    </row>
    <row r="643">
      <c r="A643" s="1">
        <v>7.0</v>
      </c>
      <c r="B643" s="63">
        <v>43261.0</v>
      </c>
      <c r="C643" s="1">
        <v>21.0</v>
      </c>
      <c r="D643" s="1">
        <v>18.0</v>
      </c>
    </row>
    <row r="644">
      <c r="A644" s="1">
        <v>7.0</v>
      </c>
      <c r="B644" s="63">
        <v>43268.0</v>
      </c>
      <c r="C644" s="1">
        <v>0.0</v>
      </c>
      <c r="D644" s="1">
        <v>1266.0</v>
      </c>
    </row>
    <row r="645">
      <c r="A645" s="1">
        <v>7.0</v>
      </c>
      <c r="B645" s="63">
        <v>43268.0</v>
      </c>
      <c r="C645" s="1">
        <v>1.0</v>
      </c>
      <c r="D645" s="1">
        <v>35.0</v>
      </c>
    </row>
    <row r="646">
      <c r="A646" s="1">
        <v>7.0</v>
      </c>
      <c r="B646" s="63">
        <v>43268.0</v>
      </c>
      <c r="C646" s="1">
        <v>2.0</v>
      </c>
      <c r="D646" s="1">
        <v>28.0</v>
      </c>
    </row>
    <row r="647">
      <c r="A647" s="1">
        <v>7.0</v>
      </c>
      <c r="B647" s="63">
        <v>43268.0</v>
      </c>
      <c r="C647" s="1">
        <v>3.0</v>
      </c>
      <c r="D647" s="1">
        <v>66.0</v>
      </c>
    </row>
    <row r="648">
      <c r="A648" s="1">
        <v>7.0</v>
      </c>
      <c r="B648" s="63">
        <v>43268.0</v>
      </c>
      <c r="C648" s="1">
        <v>4.0</v>
      </c>
      <c r="D648" s="1">
        <v>313.0</v>
      </c>
    </row>
    <row r="649">
      <c r="A649" s="1">
        <v>7.0</v>
      </c>
      <c r="B649" s="63">
        <v>43268.0</v>
      </c>
      <c r="C649" s="1">
        <v>5.0</v>
      </c>
      <c r="D649" s="1">
        <v>142.0</v>
      </c>
    </row>
    <row r="650">
      <c r="A650" s="1">
        <v>7.0</v>
      </c>
      <c r="B650" s="63">
        <v>43268.0</v>
      </c>
      <c r="C650" s="1">
        <v>6.0</v>
      </c>
      <c r="D650" s="1">
        <v>55.0</v>
      </c>
    </row>
    <row r="651">
      <c r="A651" s="1">
        <v>7.0</v>
      </c>
      <c r="B651" s="63">
        <v>43268.0</v>
      </c>
      <c r="C651" s="1">
        <v>7.0</v>
      </c>
      <c r="D651" s="1">
        <v>75.0</v>
      </c>
    </row>
    <row r="652">
      <c r="A652" s="1">
        <v>7.0</v>
      </c>
      <c r="B652" s="63">
        <v>43268.0</v>
      </c>
      <c r="C652" s="1">
        <v>8.0</v>
      </c>
      <c r="D652" s="1">
        <v>169.0</v>
      </c>
    </row>
    <row r="653">
      <c r="A653" s="1">
        <v>7.0</v>
      </c>
      <c r="B653" s="63">
        <v>43268.0</v>
      </c>
      <c r="C653" s="1">
        <v>9.0</v>
      </c>
      <c r="D653" s="1">
        <v>163.0</v>
      </c>
    </row>
    <row r="654">
      <c r="A654" s="1">
        <v>7.0</v>
      </c>
      <c r="B654" s="63">
        <v>43268.0</v>
      </c>
      <c r="C654" s="1">
        <v>10.0</v>
      </c>
      <c r="D654" s="1">
        <v>67.0</v>
      </c>
    </row>
    <row r="655">
      <c r="A655" s="1">
        <v>7.0</v>
      </c>
      <c r="B655" s="63">
        <v>43268.0</v>
      </c>
      <c r="C655" s="1">
        <v>11.0</v>
      </c>
      <c r="D655" s="1">
        <v>65.0</v>
      </c>
    </row>
    <row r="656">
      <c r="A656" s="1">
        <v>7.0</v>
      </c>
      <c r="B656" s="63">
        <v>43268.0</v>
      </c>
      <c r="C656" s="1">
        <v>12.0</v>
      </c>
      <c r="D656" s="1">
        <v>109.0</v>
      </c>
    </row>
    <row r="657">
      <c r="A657" s="1">
        <v>7.0</v>
      </c>
      <c r="B657" s="63">
        <v>43268.0</v>
      </c>
      <c r="C657" s="1">
        <v>13.0</v>
      </c>
      <c r="D657" s="1">
        <v>156.0</v>
      </c>
    </row>
    <row r="658">
      <c r="A658" s="1">
        <v>7.0</v>
      </c>
      <c r="B658" s="63">
        <v>43268.0</v>
      </c>
      <c r="C658" s="1">
        <v>14.0</v>
      </c>
      <c r="D658" s="1">
        <v>45.0</v>
      </c>
    </row>
    <row r="659">
      <c r="A659" s="1">
        <v>7.0</v>
      </c>
      <c r="B659" s="63">
        <v>43268.0</v>
      </c>
      <c r="C659" s="1">
        <v>15.0</v>
      </c>
      <c r="D659" s="1">
        <v>72.0</v>
      </c>
    </row>
    <row r="660">
      <c r="A660" s="1">
        <v>7.0</v>
      </c>
      <c r="B660" s="63">
        <v>43268.0</v>
      </c>
      <c r="C660" s="1">
        <v>16.0</v>
      </c>
      <c r="D660" s="1">
        <v>71.0</v>
      </c>
    </row>
    <row r="661">
      <c r="A661" s="1">
        <v>7.0</v>
      </c>
      <c r="B661" s="63">
        <v>43268.0</v>
      </c>
      <c r="C661" s="1">
        <v>17.0</v>
      </c>
      <c r="D661" s="1">
        <v>111.0</v>
      </c>
    </row>
    <row r="662">
      <c r="A662" s="1">
        <v>7.0</v>
      </c>
      <c r="B662" s="63">
        <v>43268.0</v>
      </c>
      <c r="C662" s="1">
        <v>18.0</v>
      </c>
      <c r="D662" s="1">
        <v>84.0</v>
      </c>
    </row>
    <row r="663">
      <c r="A663" s="1">
        <v>7.0</v>
      </c>
      <c r="B663" s="63">
        <v>43268.0</v>
      </c>
      <c r="C663" s="1">
        <v>19.0</v>
      </c>
      <c r="D663" s="1">
        <v>58.0</v>
      </c>
    </row>
    <row r="664">
      <c r="A664" s="1">
        <v>7.0</v>
      </c>
      <c r="B664" s="63">
        <v>43268.0</v>
      </c>
      <c r="C664" s="1">
        <v>20.0</v>
      </c>
      <c r="D664" s="1">
        <v>18.0</v>
      </c>
    </row>
    <row r="665">
      <c r="A665" s="1">
        <v>7.0</v>
      </c>
      <c r="B665" s="63">
        <v>43275.0</v>
      </c>
      <c r="C665" s="1">
        <v>0.0</v>
      </c>
      <c r="D665" s="1">
        <v>1231.0</v>
      </c>
    </row>
    <row r="666">
      <c r="A666" s="1">
        <v>7.0</v>
      </c>
      <c r="B666" s="63">
        <v>43275.0</v>
      </c>
      <c r="C666" s="1">
        <v>1.0</v>
      </c>
      <c r="D666" s="1">
        <v>28.0</v>
      </c>
    </row>
    <row r="667">
      <c r="A667" s="1">
        <v>7.0</v>
      </c>
      <c r="B667" s="63">
        <v>43275.0</v>
      </c>
      <c r="C667" s="1">
        <v>2.0</v>
      </c>
      <c r="D667" s="1">
        <v>35.0</v>
      </c>
    </row>
    <row r="668">
      <c r="A668" s="1">
        <v>7.0</v>
      </c>
      <c r="B668" s="63">
        <v>43275.0</v>
      </c>
      <c r="C668" s="1">
        <v>3.0</v>
      </c>
      <c r="D668" s="1">
        <v>76.0</v>
      </c>
    </row>
    <row r="669">
      <c r="A669" s="1">
        <v>7.0</v>
      </c>
      <c r="B669" s="63">
        <v>43275.0</v>
      </c>
      <c r="C669" s="1">
        <v>4.0</v>
      </c>
      <c r="D669" s="1">
        <v>264.0</v>
      </c>
    </row>
    <row r="670">
      <c r="A670" s="1">
        <v>7.0</v>
      </c>
      <c r="B670" s="63">
        <v>43275.0</v>
      </c>
      <c r="C670" s="1">
        <v>5.0</v>
      </c>
      <c r="D670" s="1">
        <v>157.0</v>
      </c>
    </row>
    <row r="671">
      <c r="A671" s="1">
        <v>7.0</v>
      </c>
      <c r="B671" s="63">
        <v>43275.0</v>
      </c>
      <c r="C671" s="1">
        <v>6.0</v>
      </c>
      <c r="D671" s="1">
        <v>58.0</v>
      </c>
    </row>
    <row r="672">
      <c r="A672" s="1">
        <v>7.0</v>
      </c>
      <c r="B672" s="63">
        <v>43275.0</v>
      </c>
      <c r="C672" s="1">
        <v>7.0</v>
      </c>
      <c r="D672" s="1">
        <v>65.0</v>
      </c>
    </row>
    <row r="673">
      <c r="A673" s="1">
        <v>7.0</v>
      </c>
      <c r="B673" s="63">
        <v>43275.0</v>
      </c>
      <c r="C673" s="1">
        <v>8.0</v>
      </c>
      <c r="D673" s="1">
        <v>170.0</v>
      </c>
    </row>
    <row r="674">
      <c r="A674" s="1">
        <v>7.0</v>
      </c>
      <c r="B674" s="63">
        <v>43275.0</v>
      </c>
      <c r="C674" s="1">
        <v>9.0</v>
      </c>
      <c r="D674" s="1">
        <v>152.0</v>
      </c>
    </row>
    <row r="675">
      <c r="A675" s="1">
        <v>7.0</v>
      </c>
      <c r="B675" s="63">
        <v>43275.0</v>
      </c>
      <c r="C675" s="1">
        <v>10.0</v>
      </c>
      <c r="D675" s="1">
        <v>74.0</v>
      </c>
    </row>
    <row r="676">
      <c r="A676" s="1">
        <v>7.0</v>
      </c>
      <c r="B676" s="63">
        <v>43275.0</v>
      </c>
      <c r="C676" s="1">
        <v>11.0</v>
      </c>
      <c r="D676" s="1">
        <v>64.0</v>
      </c>
    </row>
    <row r="677">
      <c r="A677" s="1">
        <v>7.0</v>
      </c>
      <c r="B677" s="63">
        <v>43275.0</v>
      </c>
      <c r="C677" s="1">
        <v>12.0</v>
      </c>
      <c r="D677" s="1">
        <v>63.0</v>
      </c>
    </row>
    <row r="678">
      <c r="A678" s="1">
        <v>7.0</v>
      </c>
      <c r="B678" s="63">
        <v>43275.0</v>
      </c>
      <c r="C678" s="1">
        <v>13.0</v>
      </c>
      <c r="D678" s="1">
        <v>133.0</v>
      </c>
    </row>
    <row r="679">
      <c r="A679" s="1">
        <v>7.0</v>
      </c>
      <c r="B679" s="63">
        <v>43275.0</v>
      </c>
      <c r="C679" s="1">
        <v>14.0</v>
      </c>
      <c r="D679" s="1">
        <v>94.0</v>
      </c>
    </row>
    <row r="680">
      <c r="A680" s="1">
        <v>7.0</v>
      </c>
      <c r="B680" s="63">
        <v>43275.0</v>
      </c>
      <c r="C680" s="1">
        <v>15.0</v>
      </c>
      <c r="D680" s="1">
        <v>57.0</v>
      </c>
    </row>
    <row r="681">
      <c r="A681" s="1">
        <v>7.0</v>
      </c>
      <c r="B681" s="63">
        <v>43275.0</v>
      </c>
      <c r="C681" s="1">
        <v>16.0</v>
      </c>
      <c r="D681" s="1">
        <v>65.0</v>
      </c>
    </row>
    <row r="682">
      <c r="A682" s="1">
        <v>7.0</v>
      </c>
      <c r="B682" s="63">
        <v>43275.0</v>
      </c>
      <c r="C682" s="1">
        <v>17.0</v>
      </c>
      <c r="D682" s="1">
        <v>119.0</v>
      </c>
    </row>
    <row r="683">
      <c r="A683" s="1">
        <v>7.0</v>
      </c>
      <c r="B683" s="63">
        <v>43275.0</v>
      </c>
      <c r="C683" s="1">
        <v>18.0</v>
      </c>
      <c r="D683" s="1">
        <v>89.0</v>
      </c>
    </row>
    <row r="684">
      <c r="A684" s="1">
        <v>7.0</v>
      </c>
      <c r="B684" s="63">
        <v>43275.0</v>
      </c>
      <c r="C684" s="1">
        <v>19.0</v>
      </c>
      <c r="D684" s="1">
        <v>15.0</v>
      </c>
    </row>
    <row r="685">
      <c r="A685" s="1">
        <v>7.0</v>
      </c>
      <c r="B685" s="63">
        <v>43282.0</v>
      </c>
      <c r="C685" s="1">
        <v>0.0</v>
      </c>
      <c r="D685" s="1">
        <v>1435.0</v>
      </c>
    </row>
    <row r="686">
      <c r="A686" s="1">
        <v>7.0</v>
      </c>
      <c r="B686" s="63">
        <v>43282.0</v>
      </c>
      <c r="C686" s="1">
        <v>1.0</v>
      </c>
      <c r="D686" s="1">
        <v>33.0</v>
      </c>
    </row>
    <row r="687">
      <c r="A687" s="1">
        <v>7.0</v>
      </c>
      <c r="B687" s="63">
        <v>43282.0</v>
      </c>
      <c r="C687" s="1">
        <v>2.0</v>
      </c>
      <c r="D687" s="1">
        <v>51.0</v>
      </c>
    </row>
    <row r="688">
      <c r="A688" s="1">
        <v>7.0</v>
      </c>
      <c r="B688" s="63">
        <v>43282.0</v>
      </c>
      <c r="C688" s="1">
        <v>3.0</v>
      </c>
      <c r="D688" s="1">
        <v>69.0</v>
      </c>
    </row>
    <row r="689">
      <c r="A689" s="1">
        <v>7.0</v>
      </c>
      <c r="B689" s="63">
        <v>43282.0</v>
      </c>
      <c r="C689" s="1">
        <v>4.0</v>
      </c>
      <c r="D689" s="1">
        <v>280.0</v>
      </c>
    </row>
    <row r="690">
      <c r="A690" s="1">
        <v>7.0</v>
      </c>
      <c r="B690" s="63">
        <v>43282.0</v>
      </c>
      <c r="C690" s="1">
        <v>5.0</v>
      </c>
      <c r="D690" s="1">
        <v>204.0</v>
      </c>
    </row>
    <row r="691">
      <c r="A691" s="1">
        <v>7.0</v>
      </c>
      <c r="B691" s="63">
        <v>43282.0</v>
      </c>
      <c r="C691" s="1">
        <v>6.0</v>
      </c>
      <c r="D691" s="1">
        <v>49.0</v>
      </c>
    </row>
    <row r="692">
      <c r="A692" s="1">
        <v>7.0</v>
      </c>
      <c r="B692" s="63">
        <v>43282.0</v>
      </c>
      <c r="C692" s="1">
        <v>7.0</v>
      </c>
      <c r="D692" s="1">
        <v>61.0</v>
      </c>
    </row>
    <row r="693">
      <c r="A693" s="1">
        <v>7.0</v>
      </c>
      <c r="B693" s="63">
        <v>43282.0</v>
      </c>
      <c r="C693" s="1">
        <v>8.0</v>
      </c>
      <c r="D693" s="1">
        <v>195.0</v>
      </c>
    </row>
    <row r="694">
      <c r="A694" s="1">
        <v>7.0</v>
      </c>
      <c r="B694" s="63">
        <v>43282.0</v>
      </c>
      <c r="C694" s="1">
        <v>9.0</v>
      </c>
      <c r="D694" s="1">
        <v>187.0</v>
      </c>
    </row>
    <row r="695">
      <c r="A695" s="1">
        <v>7.0</v>
      </c>
      <c r="B695" s="63">
        <v>43282.0</v>
      </c>
      <c r="C695" s="1">
        <v>10.0</v>
      </c>
      <c r="D695" s="1">
        <v>71.0</v>
      </c>
    </row>
    <row r="696">
      <c r="A696" s="1">
        <v>7.0</v>
      </c>
      <c r="B696" s="63">
        <v>43282.0</v>
      </c>
      <c r="C696" s="1">
        <v>11.0</v>
      </c>
      <c r="D696" s="1">
        <v>68.0</v>
      </c>
    </row>
    <row r="697">
      <c r="A697" s="1">
        <v>7.0</v>
      </c>
      <c r="B697" s="63">
        <v>43282.0</v>
      </c>
      <c r="C697" s="1">
        <v>12.0</v>
      </c>
      <c r="D697" s="1">
        <v>67.0</v>
      </c>
    </row>
    <row r="698">
      <c r="A698" s="1">
        <v>7.0</v>
      </c>
      <c r="B698" s="63">
        <v>43282.0</v>
      </c>
      <c r="C698" s="1">
        <v>13.0</v>
      </c>
      <c r="D698" s="1">
        <v>178.0</v>
      </c>
    </row>
    <row r="699">
      <c r="A699" s="1">
        <v>7.0</v>
      </c>
      <c r="B699" s="63">
        <v>43282.0</v>
      </c>
      <c r="C699" s="1">
        <v>14.0</v>
      </c>
      <c r="D699" s="1">
        <v>72.0</v>
      </c>
    </row>
    <row r="700">
      <c r="A700" s="1">
        <v>7.0</v>
      </c>
      <c r="B700" s="63">
        <v>43282.0</v>
      </c>
      <c r="C700" s="1">
        <v>15.0</v>
      </c>
      <c r="D700" s="1">
        <v>50.0</v>
      </c>
    </row>
    <row r="701">
      <c r="A701" s="1">
        <v>7.0</v>
      </c>
      <c r="B701" s="63">
        <v>43282.0</v>
      </c>
      <c r="C701" s="1">
        <v>16.0</v>
      </c>
      <c r="D701" s="1">
        <v>66.0</v>
      </c>
    </row>
    <row r="702">
      <c r="A702" s="1">
        <v>7.0</v>
      </c>
      <c r="B702" s="63">
        <v>43282.0</v>
      </c>
      <c r="C702" s="1">
        <v>17.0</v>
      </c>
      <c r="D702" s="1">
        <v>123.0</v>
      </c>
    </row>
    <row r="703">
      <c r="A703" s="1">
        <v>7.0</v>
      </c>
      <c r="B703" s="63">
        <v>43282.0</v>
      </c>
      <c r="C703" s="1">
        <v>18.0</v>
      </c>
      <c r="D703" s="1">
        <v>27.0</v>
      </c>
    </row>
    <row r="704">
      <c r="A704" s="1">
        <v>8.0</v>
      </c>
      <c r="B704" s="63">
        <v>43254.0</v>
      </c>
      <c r="C704" s="1">
        <v>0.0</v>
      </c>
      <c r="D704" s="1">
        <v>21.0</v>
      </c>
    </row>
    <row r="705">
      <c r="A705" s="1">
        <v>8.0</v>
      </c>
      <c r="B705" s="63">
        <v>43254.0</v>
      </c>
      <c r="C705" s="1">
        <v>3.0</v>
      </c>
      <c r="D705" s="1">
        <v>2.0</v>
      </c>
    </row>
    <row r="706">
      <c r="A706" s="1">
        <v>8.0</v>
      </c>
      <c r="B706" s="63">
        <v>43254.0</v>
      </c>
      <c r="C706" s="1">
        <v>4.0</v>
      </c>
      <c r="D706" s="1">
        <v>2.0</v>
      </c>
    </row>
    <row r="707">
      <c r="A707" s="1">
        <v>8.0</v>
      </c>
      <c r="B707" s="63">
        <v>43254.0</v>
      </c>
      <c r="C707" s="1">
        <v>5.0</v>
      </c>
      <c r="D707" s="1">
        <v>3.0</v>
      </c>
    </row>
    <row r="708">
      <c r="A708" s="1">
        <v>8.0</v>
      </c>
      <c r="B708" s="63">
        <v>43254.0</v>
      </c>
      <c r="C708" s="1">
        <v>6.0</v>
      </c>
      <c r="D708" s="1">
        <v>1.0</v>
      </c>
    </row>
    <row r="709">
      <c r="A709" s="1">
        <v>8.0</v>
      </c>
      <c r="B709" s="63">
        <v>43254.0</v>
      </c>
      <c r="C709" s="1">
        <v>7.0</v>
      </c>
      <c r="D709" s="1">
        <v>2.0</v>
      </c>
    </row>
    <row r="710">
      <c r="A710" s="1">
        <v>8.0</v>
      </c>
      <c r="B710" s="63">
        <v>43254.0</v>
      </c>
      <c r="C710" s="1">
        <v>8.0</v>
      </c>
      <c r="D710" s="1">
        <v>3.0</v>
      </c>
    </row>
    <row r="711">
      <c r="A711" s="1">
        <v>8.0</v>
      </c>
      <c r="B711" s="63">
        <v>43254.0</v>
      </c>
      <c r="C711" s="1">
        <v>9.0</v>
      </c>
      <c r="D711" s="1">
        <v>5.0</v>
      </c>
    </row>
    <row r="712">
      <c r="A712" s="1">
        <v>8.0</v>
      </c>
      <c r="B712" s="63">
        <v>43254.0</v>
      </c>
      <c r="C712" s="1">
        <v>10.0</v>
      </c>
      <c r="D712" s="1">
        <v>2.0</v>
      </c>
    </row>
    <row r="713">
      <c r="A713" s="1">
        <v>8.0</v>
      </c>
      <c r="B713" s="63">
        <v>43254.0</v>
      </c>
      <c r="C713" s="1">
        <v>11.0</v>
      </c>
      <c r="D713" s="1">
        <v>1.0</v>
      </c>
    </row>
    <row r="714">
      <c r="A714" s="1">
        <v>8.0</v>
      </c>
      <c r="B714" s="63">
        <v>43254.0</v>
      </c>
      <c r="C714" s="1">
        <v>12.0</v>
      </c>
      <c r="D714" s="1">
        <v>1.0</v>
      </c>
    </row>
    <row r="715">
      <c r="A715" s="1">
        <v>8.0</v>
      </c>
      <c r="B715" s="63">
        <v>43254.0</v>
      </c>
      <c r="C715" s="1">
        <v>13.0</v>
      </c>
      <c r="D715" s="1">
        <v>1.0</v>
      </c>
    </row>
    <row r="716">
      <c r="A716" s="1">
        <v>8.0</v>
      </c>
      <c r="B716" s="63">
        <v>43254.0</v>
      </c>
      <c r="C716" s="1">
        <v>14.0</v>
      </c>
      <c r="D716" s="1">
        <v>7.0</v>
      </c>
    </row>
    <row r="717">
      <c r="A717" s="1">
        <v>8.0</v>
      </c>
      <c r="B717" s="63">
        <v>43254.0</v>
      </c>
      <c r="C717" s="1">
        <v>15.0</v>
      </c>
      <c r="D717" s="1">
        <v>1.0</v>
      </c>
    </row>
    <row r="718">
      <c r="A718" s="1">
        <v>8.0</v>
      </c>
      <c r="B718" s="63">
        <v>43254.0</v>
      </c>
      <c r="C718" s="1">
        <v>17.0</v>
      </c>
      <c r="D718" s="1">
        <v>5.0</v>
      </c>
    </row>
    <row r="719">
      <c r="A719" s="1">
        <v>8.0</v>
      </c>
      <c r="B719" s="63">
        <v>43254.0</v>
      </c>
      <c r="C719" s="1">
        <v>18.0</v>
      </c>
      <c r="D719" s="1">
        <v>3.0</v>
      </c>
    </row>
    <row r="720">
      <c r="A720" s="1">
        <v>8.0</v>
      </c>
      <c r="B720" s="63">
        <v>43254.0</v>
      </c>
      <c r="C720" s="1">
        <v>19.0</v>
      </c>
      <c r="D720" s="1">
        <v>2.0</v>
      </c>
    </row>
    <row r="721">
      <c r="A721" s="1">
        <v>8.0</v>
      </c>
      <c r="B721" s="63">
        <v>43254.0</v>
      </c>
      <c r="C721" s="1">
        <v>20.0</v>
      </c>
      <c r="D721" s="1">
        <v>2.0</v>
      </c>
    </row>
    <row r="722">
      <c r="A722" s="1">
        <v>8.0</v>
      </c>
      <c r="B722" s="63">
        <v>43254.0</v>
      </c>
      <c r="C722" s="1">
        <v>21.0</v>
      </c>
      <c r="D722" s="1">
        <v>1.0</v>
      </c>
    </row>
    <row r="723">
      <c r="A723" s="1">
        <v>8.0</v>
      </c>
      <c r="B723" s="63">
        <v>43261.0</v>
      </c>
      <c r="C723" s="1">
        <v>0.0</v>
      </c>
      <c r="D723" s="1">
        <v>94.0</v>
      </c>
    </row>
    <row r="724">
      <c r="A724" s="1">
        <v>8.0</v>
      </c>
      <c r="B724" s="63">
        <v>43261.0</v>
      </c>
      <c r="C724" s="1">
        <v>1.0</v>
      </c>
      <c r="D724" s="1">
        <v>4.0</v>
      </c>
    </row>
    <row r="725">
      <c r="A725" s="1">
        <v>8.0</v>
      </c>
      <c r="B725" s="63">
        <v>43261.0</v>
      </c>
      <c r="C725" s="1">
        <v>2.0</v>
      </c>
      <c r="D725" s="1">
        <v>1.0</v>
      </c>
    </row>
    <row r="726">
      <c r="A726" s="1">
        <v>8.0</v>
      </c>
      <c r="B726" s="63">
        <v>43261.0</v>
      </c>
      <c r="C726" s="1">
        <v>3.0</v>
      </c>
      <c r="D726" s="1">
        <v>5.0</v>
      </c>
    </row>
    <row r="727">
      <c r="A727" s="1">
        <v>8.0</v>
      </c>
      <c r="B727" s="63">
        <v>43261.0</v>
      </c>
      <c r="C727" s="1">
        <v>4.0</v>
      </c>
      <c r="D727" s="1">
        <v>14.0</v>
      </c>
    </row>
    <row r="728">
      <c r="A728" s="1">
        <v>8.0</v>
      </c>
      <c r="B728" s="63">
        <v>43261.0</v>
      </c>
      <c r="C728" s="1">
        <v>5.0</v>
      </c>
      <c r="D728" s="1">
        <v>18.0</v>
      </c>
    </row>
    <row r="729">
      <c r="A729" s="1">
        <v>8.0</v>
      </c>
      <c r="B729" s="63">
        <v>43261.0</v>
      </c>
      <c r="C729" s="1">
        <v>6.0</v>
      </c>
      <c r="D729" s="1">
        <v>5.0</v>
      </c>
    </row>
    <row r="730">
      <c r="A730" s="1">
        <v>8.0</v>
      </c>
      <c r="B730" s="63">
        <v>43261.0</v>
      </c>
      <c r="C730" s="1">
        <v>7.0</v>
      </c>
      <c r="D730" s="1">
        <v>5.0</v>
      </c>
    </row>
    <row r="731">
      <c r="A731" s="1">
        <v>8.0</v>
      </c>
      <c r="B731" s="63">
        <v>43261.0</v>
      </c>
      <c r="C731" s="1">
        <v>8.0</v>
      </c>
      <c r="D731" s="1">
        <v>18.0</v>
      </c>
    </row>
    <row r="732">
      <c r="A732" s="1">
        <v>8.0</v>
      </c>
      <c r="B732" s="63">
        <v>43261.0</v>
      </c>
      <c r="C732" s="1">
        <v>9.0</v>
      </c>
      <c r="D732" s="1">
        <v>22.0</v>
      </c>
    </row>
    <row r="733">
      <c r="A733" s="1">
        <v>8.0</v>
      </c>
      <c r="B733" s="63">
        <v>43261.0</v>
      </c>
      <c r="C733" s="1">
        <v>10.0</v>
      </c>
      <c r="D733" s="1">
        <v>10.0</v>
      </c>
    </row>
    <row r="734">
      <c r="A734" s="1">
        <v>8.0</v>
      </c>
      <c r="B734" s="63">
        <v>43261.0</v>
      </c>
      <c r="C734" s="1">
        <v>11.0</v>
      </c>
      <c r="D734" s="1">
        <v>8.0</v>
      </c>
    </row>
    <row r="735">
      <c r="A735" s="1">
        <v>8.0</v>
      </c>
      <c r="B735" s="63">
        <v>43261.0</v>
      </c>
      <c r="C735" s="1">
        <v>12.0</v>
      </c>
      <c r="D735" s="1">
        <v>9.0</v>
      </c>
    </row>
    <row r="736">
      <c r="A736" s="1">
        <v>8.0</v>
      </c>
      <c r="B736" s="63">
        <v>43261.0</v>
      </c>
      <c r="C736" s="1">
        <v>13.0</v>
      </c>
      <c r="D736" s="1">
        <v>13.0</v>
      </c>
    </row>
    <row r="737">
      <c r="A737" s="1">
        <v>8.0</v>
      </c>
      <c r="B737" s="63">
        <v>43261.0</v>
      </c>
      <c r="C737" s="1">
        <v>14.0</v>
      </c>
      <c r="D737" s="1">
        <v>10.0</v>
      </c>
    </row>
    <row r="738">
      <c r="A738" s="1">
        <v>8.0</v>
      </c>
      <c r="B738" s="63">
        <v>43261.0</v>
      </c>
      <c r="C738" s="1">
        <v>15.0</v>
      </c>
      <c r="D738" s="1">
        <v>7.0</v>
      </c>
    </row>
    <row r="739">
      <c r="A739" s="1">
        <v>8.0</v>
      </c>
      <c r="B739" s="63">
        <v>43261.0</v>
      </c>
      <c r="C739" s="1">
        <v>16.0</v>
      </c>
      <c r="D739" s="1">
        <v>6.0</v>
      </c>
    </row>
    <row r="740">
      <c r="A740" s="1">
        <v>8.0</v>
      </c>
      <c r="B740" s="63">
        <v>43261.0</v>
      </c>
      <c r="C740" s="1">
        <v>17.0</v>
      </c>
      <c r="D740" s="1">
        <v>9.0</v>
      </c>
    </row>
    <row r="741">
      <c r="A741" s="1">
        <v>8.0</v>
      </c>
      <c r="B741" s="63">
        <v>43261.0</v>
      </c>
      <c r="C741" s="1">
        <v>18.0</v>
      </c>
      <c r="D741" s="1">
        <v>15.0</v>
      </c>
    </row>
    <row r="742">
      <c r="A742" s="1">
        <v>8.0</v>
      </c>
      <c r="B742" s="63">
        <v>43261.0</v>
      </c>
      <c r="C742" s="1">
        <v>19.0</v>
      </c>
      <c r="D742" s="1">
        <v>2.0</v>
      </c>
    </row>
    <row r="743">
      <c r="A743" s="1">
        <v>8.0</v>
      </c>
      <c r="B743" s="63">
        <v>43261.0</v>
      </c>
      <c r="C743" s="1">
        <v>20.0</v>
      </c>
      <c r="D743" s="1">
        <v>3.0</v>
      </c>
    </row>
    <row r="744">
      <c r="A744" s="1">
        <v>8.0</v>
      </c>
      <c r="B744" s="63">
        <v>43261.0</v>
      </c>
      <c r="C744" s="1">
        <v>21.0</v>
      </c>
      <c r="D744" s="1">
        <v>1.0</v>
      </c>
    </row>
    <row r="745">
      <c r="A745" s="1">
        <v>8.0</v>
      </c>
      <c r="B745" s="63">
        <v>43268.0</v>
      </c>
      <c r="C745" s="1">
        <v>0.0</v>
      </c>
      <c r="D745" s="1">
        <v>61.0</v>
      </c>
    </row>
    <row r="746">
      <c r="A746" s="1">
        <v>8.0</v>
      </c>
      <c r="B746" s="63">
        <v>43268.0</v>
      </c>
      <c r="C746" s="1">
        <v>2.0</v>
      </c>
      <c r="D746" s="1">
        <v>2.0</v>
      </c>
    </row>
    <row r="747">
      <c r="A747" s="1">
        <v>8.0</v>
      </c>
      <c r="B747" s="63">
        <v>43268.0</v>
      </c>
      <c r="C747" s="1">
        <v>3.0</v>
      </c>
      <c r="D747" s="1">
        <v>3.0</v>
      </c>
    </row>
    <row r="748">
      <c r="A748" s="1">
        <v>8.0</v>
      </c>
      <c r="B748" s="63">
        <v>43268.0</v>
      </c>
      <c r="C748" s="1">
        <v>4.0</v>
      </c>
      <c r="D748" s="1">
        <v>18.0</v>
      </c>
    </row>
    <row r="749">
      <c r="A749" s="1">
        <v>8.0</v>
      </c>
      <c r="B749" s="63">
        <v>43268.0</v>
      </c>
      <c r="C749" s="1">
        <v>5.0</v>
      </c>
      <c r="D749" s="1">
        <v>3.0</v>
      </c>
    </row>
    <row r="750">
      <c r="A750" s="1">
        <v>8.0</v>
      </c>
      <c r="B750" s="63">
        <v>43268.0</v>
      </c>
      <c r="C750" s="1">
        <v>6.0</v>
      </c>
      <c r="D750" s="1">
        <v>2.0</v>
      </c>
    </row>
    <row r="751">
      <c r="A751" s="1">
        <v>8.0</v>
      </c>
      <c r="B751" s="63">
        <v>43268.0</v>
      </c>
      <c r="C751" s="1">
        <v>7.0</v>
      </c>
      <c r="D751" s="1">
        <v>1.0</v>
      </c>
    </row>
    <row r="752">
      <c r="A752" s="1">
        <v>8.0</v>
      </c>
      <c r="B752" s="63">
        <v>43268.0</v>
      </c>
      <c r="C752" s="1">
        <v>8.0</v>
      </c>
      <c r="D752" s="1">
        <v>6.0</v>
      </c>
    </row>
    <row r="753">
      <c r="A753" s="1">
        <v>8.0</v>
      </c>
      <c r="B753" s="63">
        <v>43268.0</v>
      </c>
      <c r="C753" s="1">
        <v>9.0</v>
      </c>
      <c r="D753" s="1">
        <v>12.0</v>
      </c>
    </row>
    <row r="754">
      <c r="A754" s="1">
        <v>8.0</v>
      </c>
      <c r="B754" s="63">
        <v>43268.0</v>
      </c>
      <c r="C754" s="1">
        <v>10.0</v>
      </c>
      <c r="D754" s="1">
        <v>3.0</v>
      </c>
    </row>
    <row r="755">
      <c r="A755" s="1">
        <v>8.0</v>
      </c>
      <c r="B755" s="63">
        <v>43268.0</v>
      </c>
      <c r="C755" s="1">
        <v>11.0</v>
      </c>
      <c r="D755" s="1">
        <v>7.0</v>
      </c>
    </row>
    <row r="756">
      <c r="A756" s="1">
        <v>8.0</v>
      </c>
      <c r="B756" s="63">
        <v>43268.0</v>
      </c>
      <c r="C756" s="1">
        <v>12.0</v>
      </c>
      <c r="D756" s="1">
        <v>1.0</v>
      </c>
    </row>
    <row r="757">
      <c r="A757" s="1">
        <v>8.0</v>
      </c>
      <c r="B757" s="63">
        <v>43268.0</v>
      </c>
      <c r="C757" s="1">
        <v>13.0</v>
      </c>
      <c r="D757" s="1">
        <v>7.0</v>
      </c>
    </row>
    <row r="758">
      <c r="A758" s="1">
        <v>8.0</v>
      </c>
      <c r="B758" s="63">
        <v>43268.0</v>
      </c>
      <c r="C758" s="1">
        <v>14.0</v>
      </c>
      <c r="D758" s="1">
        <v>2.0</v>
      </c>
    </row>
    <row r="759">
      <c r="A759" s="1">
        <v>8.0</v>
      </c>
      <c r="B759" s="63">
        <v>43268.0</v>
      </c>
      <c r="C759" s="1">
        <v>15.0</v>
      </c>
      <c r="D759" s="1">
        <v>4.0</v>
      </c>
    </row>
    <row r="760">
      <c r="A760" s="1">
        <v>8.0</v>
      </c>
      <c r="B760" s="63">
        <v>43268.0</v>
      </c>
      <c r="C760" s="1">
        <v>16.0</v>
      </c>
      <c r="D760" s="1">
        <v>3.0</v>
      </c>
    </row>
    <row r="761">
      <c r="A761" s="1">
        <v>8.0</v>
      </c>
      <c r="B761" s="63">
        <v>43268.0</v>
      </c>
      <c r="C761" s="1">
        <v>17.0</v>
      </c>
      <c r="D761" s="1">
        <v>6.0</v>
      </c>
    </row>
    <row r="762">
      <c r="A762" s="1">
        <v>8.0</v>
      </c>
      <c r="B762" s="63">
        <v>43268.0</v>
      </c>
      <c r="C762" s="1">
        <v>18.0</v>
      </c>
      <c r="D762" s="1">
        <v>5.0</v>
      </c>
    </row>
    <row r="763">
      <c r="A763" s="1">
        <v>8.0</v>
      </c>
      <c r="B763" s="63">
        <v>43268.0</v>
      </c>
      <c r="C763" s="1">
        <v>19.0</v>
      </c>
      <c r="D763" s="1">
        <v>4.0</v>
      </c>
    </row>
    <row r="764">
      <c r="A764" s="1">
        <v>8.0</v>
      </c>
      <c r="B764" s="63">
        <v>43275.0</v>
      </c>
      <c r="C764" s="1">
        <v>0.0</v>
      </c>
      <c r="D764" s="1">
        <v>92.0</v>
      </c>
    </row>
    <row r="765">
      <c r="A765" s="1">
        <v>8.0</v>
      </c>
      <c r="B765" s="63">
        <v>43275.0</v>
      </c>
      <c r="C765" s="1">
        <v>1.0</v>
      </c>
      <c r="D765" s="1">
        <v>2.0</v>
      </c>
    </row>
    <row r="766">
      <c r="A766" s="1">
        <v>8.0</v>
      </c>
      <c r="B766" s="63">
        <v>43275.0</v>
      </c>
      <c r="C766" s="1">
        <v>2.0</v>
      </c>
      <c r="D766" s="1">
        <v>1.0</v>
      </c>
    </row>
    <row r="767">
      <c r="A767" s="1">
        <v>8.0</v>
      </c>
      <c r="B767" s="63">
        <v>43275.0</v>
      </c>
      <c r="C767" s="1">
        <v>3.0</v>
      </c>
      <c r="D767" s="1">
        <v>5.0</v>
      </c>
    </row>
    <row r="768">
      <c r="A768" s="1">
        <v>8.0</v>
      </c>
      <c r="B768" s="63">
        <v>43275.0</v>
      </c>
      <c r="C768" s="1">
        <v>4.0</v>
      </c>
      <c r="D768" s="1">
        <v>9.0</v>
      </c>
    </row>
    <row r="769">
      <c r="A769" s="1">
        <v>8.0</v>
      </c>
      <c r="B769" s="63">
        <v>43275.0</v>
      </c>
      <c r="C769" s="1">
        <v>5.0</v>
      </c>
      <c r="D769" s="1">
        <v>15.0</v>
      </c>
    </row>
    <row r="770">
      <c r="A770" s="1">
        <v>8.0</v>
      </c>
      <c r="B770" s="63">
        <v>43275.0</v>
      </c>
      <c r="C770" s="1">
        <v>6.0</v>
      </c>
      <c r="D770" s="1">
        <v>7.0</v>
      </c>
    </row>
    <row r="771">
      <c r="A771" s="1">
        <v>8.0</v>
      </c>
      <c r="B771" s="63">
        <v>43275.0</v>
      </c>
      <c r="C771" s="1">
        <v>7.0</v>
      </c>
      <c r="D771" s="1">
        <v>7.0</v>
      </c>
    </row>
    <row r="772">
      <c r="A772" s="1">
        <v>8.0</v>
      </c>
      <c r="B772" s="63">
        <v>43275.0</v>
      </c>
      <c r="C772" s="1">
        <v>8.0</v>
      </c>
      <c r="D772" s="1">
        <v>11.0</v>
      </c>
    </row>
    <row r="773">
      <c r="A773" s="1">
        <v>8.0</v>
      </c>
      <c r="B773" s="63">
        <v>43275.0</v>
      </c>
      <c r="C773" s="1">
        <v>9.0</v>
      </c>
      <c r="D773" s="1">
        <v>12.0</v>
      </c>
    </row>
    <row r="774">
      <c r="A774" s="1">
        <v>8.0</v>
      </c>
      <c r="B774" s="63">
        <v>43275.0</v>
      </c>
      <c r="C774" s="1">
        <v>10.0</v>
      </c>
      <c r="D774" s="1">
        <v>4.0</v>
      </c>
    </row>
    <row r="775">
      <c r="A775" s="1">
        <v>8.0</v>
      </c>
      <c r="B775" s="63">
        <v>43275.0</v>
      </c>
      <c r="C775" s="1">
        <v>11.0</v>
      </c>
      <c r="D775" s="1">
        <v>3.0</v>
      </c>
    </row>
    <row r="776">
      <c r="A776" s="1">
        <v>8.0</v>
      </c>
      <c r="B776" s="63">
        <v>43275.0</v>
      </c>
      <c r="C776" s="1">
        <v>12.0</v>
      </c>
      <c r="D776" s="1">
        <v>5.0</v>
      </c>
    </row>
    <row r="777">
      <c r="A777" s="1">
        <v>8.0</v>
      </c>
      <c r="B777" s="63">
        <v>43275.0</v>
      </c>
      <c r="C777" s="1">
        <v>13.0</v>
      </c>
      <c r="D777" s="1">
        <v>8.0</v>
      </c>
    </row>
    <row r="778">
      <c r="A778" s="1">
        <v>8.0</v>
      </c>
      <c r="B778" s="63">
        <v>43275.0</v>
      </c>
      <c r="C778" s="1">
        <v>14.0</v>
      </c>
      <c r="D778" s="1">
        <v>7.0</v>
      </c>
    </row>
    <row r="779">
      <c r="A779" s="1">
        <v>8.0</v>
      </c>
      <c r="B779" s="63">
        <v>43275.0</v>
      </c>
      <c r="C779" s="1">
        <v>15.0</v>
      </c>
      <c r="D779" s="1">
        <v>8.0</v>
      </c>
    </row>
    <row r="780">
      <c r="A780" s="1">
        <v>8.0</v>
      </c>
      <c r="B780" s="63">
        <v>43275.0</v>
      </c>
      <c r="C780" s="1">
        <v>16.0</v>
      </c>
      <c r="D780" s="1">
        <v>3.0</v>
      </c>
    </row>
    <row r="781">
      <c r="A781" s="1">
        <v>8.0</v>
      </c>
      <c r="B781" s="63">
        <v>43275.0</v>
      </c>
      <c r="C781" s="1">
        <v>17.0</v>
      </c>
      <c r="D781" s="1">
        <v>13.0</v>
      </c>
    </row>
    <row r="782">
      <c r="A782" s="1">
        <v>8.0</v>
      </c>
      <c r="B782" s="63">
        <v>43275.0</v>
      </c>
      <c r="C782" s="1">
        <v>18.0</v>
      </c>
      <c r="D782" s="1">
        <v>6.0</v>
      </c>
    </row>
    <row r="783">
      <c r="A783" s="1">
        <v>8.0</v>
      </c>
      <c r="B783" s="63">
        <v>43275.0</v>
      </c>
      <c r="C783" s="1">
        <v>19.0</v>
      </c>
      <c r="D783" s="1">
        <v>2.0</v>
      </c>
    </row>
    <row r="784">
      <c r="A784" s="1">
        <v>8.0</v>
      </c>
      <c r="B784" s="63">
        <v>43282.0</v>
      </c>
      <c r="C784" s="1">
        <v>0.0</v>
      </c>
      <c r="D784" s="1">
        <v>45.0</v>
      </c>
    </row>
    <row r="785">
      <c r="A785" s="1">
        <v>8.0</v>
      </c>
      <c r="B785" s="63">
        <v>43282.0</v>
      </c>
      <c r="C785" s="1">
        <v>1.0</v>
      </c>
      <c r="D785" s="1">
        <v>1.0</v>
      </c>
    </row>
    <row r="786">
      <c r="A786" s="1">
        <v>8.0</v>
      </c>
      <c r="B786" s="63">
        <v>43282.0</v>
      </c>
      <c r="C786" s="1">
        <v>3.0</v>
      </c>
      <c r="D786" s="1">
        <v>1.0</v>
      </c>
    </row>
    <row r="787">
      <c r="A787" s="1">
        <v>8.0</v>
      </c>
      <c r="B787" s="63">
        <v>43282.0</v>
      </c>
      <c r="C787" s="1">
        <v>4.0</v>
      </c>
      <c r="D787" s="1">
        <v>10.0</v>
      </c>
    </row>
    <row r="788">
      <c r="A788" s="1">
        <v>8.0</v>
      </c>
      <c r="B788" s="63">
        <v>43282.0</v>
      </c>
      <c r="C788" s="1">
        <v>5.0</v>
      </c>
      <c r="D788" s="1">
        <v>3.0</v>
      </c>
    </row>
    <row r="789">
      <c r="A789" s="1">
        <v>8.0</v>
      </c>
      <c r="B789" s="63">
        <v>43282.0</v>
      </c>
      <c r="C789" s="1">
        <v>6.0</v>
      </c>
      <c r="D789" s="1">
        <v>2.0</v>
      </c>
    </row>
    <row r="790">
      <c r="A790" s="1">
        <v>8.0</v>
      </c>
      <c r="B790" s="63">
        <v>43282.0</v>
      </c>
      <c r="C790" s="1">
        <v>7.0</v>
      </c>
      <c r="D790" s="1">
        <v>2.0</v>
      </c>
    </row>
    <row r="791">
      <c r="A791" s="1">
        <v>8.0</v>
      </c>
      <c r="B791" s="63">
        <v>43282.0</v>
      </c>
      <c r="C791" s="1">
        <v>8.0</v>
      </c>
      <c r="D791" s="1">
        <v>6.0</v>
      </c>
    </row>
    <row r="792">
      <c r="A792" s="1">
        <v>8.0</v>
      </c>
      <c r="B792" s="63">
        <v>43282.0</v>
      </c>
      <c r="C792" s="1">
        <v>9.0</v>
      </c>
      <c r="D792" s="1">
        <v>4.0</v>
      </c>
    </row>
    <row r="793">
      <c r="A793" s="1">
        <v>8.0</v>
      </c>
      <c r="B793" s="63">
        <v>43282.0</v>
      </c>
      <c r="C793" s="1">
        <v>11.0</v>
      </c>
      <c r="D793" s="1">
        <v>1.0</v>
      </c>
    </row>
    <row r="794">
      <c r="A794" s="1">
        <v>8.0</v>
      </c>
      <c r="B794" s="63">
        <v>43282.0</v>
      </c>
      <c r="C794" s="1">
        <v>13.0</v>
      </c>
      <c r="D794" s="1">
        <v>11.0</v>
      </c>
    </row>
    <row r="795">
      <c r="A795" s="1">
        <v>8.0</v>
      </c>
      <c r="B795" s="63">
        <v>43282.0</v>
      </c>
      <c r="C795" s="1">
        <v>14.0</v>
      </c>
      <c r="D795" s="1">
        <v>1.0</v>
      </c>
    </row>
    <row r="796">
      <c r="A796" s="1">
        <v>8.0</v>
      </c>
      <c r="B796" s="63">
        <v>43282.0</v>
      </c>
      <c r="C796" s="1">
        <v>15.0</v>
      </c>
      <c r="D796" s="1">
        <v>2.0</v>
      </c>
    </row>
    <row r="797">
      <c r="A797" s="1">
        <v>8.0</v>
      </c>
      <c r="B797" s="63">
        <v>43282.0</v>
      </c>
      <c r="C797" s="1">
        <v>16.0</v>
      </c>
      <c r="D797" s="1">
        <v>1.0</v>
      </c>
    </row>
    <row r="798">
      <c r="A798" s="1">
        <v>8.0</v>
      </c>
      <c r="B798" s="63">
        <v>43282.0</v>
      </c>
      <c r="C798" s="1">
        <v>17.0</v>
      </c>
      <c r="D798" s="1">
        <v>6.0</v>
      </c>
    </row>
    <row r="799">
      <c r="A799" s="1">
        <v>8.0</v>
      </c>
      <c r="B799" s="63">
        <v>43282.0</v>
      </c>
      <c r="C799" s="1">
        <v>18.0</v>
      </c>
      <c r="D799" s="1">
        <v>2.0</v>
      </c>
    </row>
    <row r="800">
      <c r="A800" s="1">
        <v>9.0</v>
      </c>
      <c r="B800" s="63">
        <v>43254.0</v>
      </c>
      <c r="C800" s="1">
        <v>0.0</v>
      </c>
      <c r="D800" s="1">
        <v>23.0</v>
      </c>
    </row>
    <row r="801">
      <c r="A801" s="1">
        <v>9.0</v>
      </c>
      <c r="B801" s="63">
        <v>43254.0</v>
      </c>
      <c r="C801" s="1">
        <v>5.0</v>
      </c>
      <c r="D801" s="1">
        <v>5.0</v>
      </c>
    </row>
    <row r="802">
      <c r="A802" s="1">
        <v>9.0</v>
      </c>
      <c r="B802" s="63">
        <v>43254.0</v>
      </c>
      <c r="C802" s="1">
        <v>9.0</v>
      </c>
      <c r="D802" s="1">
        <v>1.0</v>
      </c>
    </row>
    <row r="803">
      <c r="A803" s="1">
        <v>9.0</v>
      </c>
      <c r="B803" s="63">
        <v>43254.0</v>
      </c>
      <c r="C803" s="1">
        <v>18.0</v>
      </c>
      <c r="D803" s="1">
        <v>1.0</v>
      </c>
    </row>
    <row r="804">
      <c r="A804" s="1">
        <v>9.0</v>
      </c>
      <c r="B804" s="63">
        <v>43261.0</v>
      </c>
      <c r="C804" s="1">
        <v>0.0</v>
      </c>
      <c r="D804" s="1">
        <v>118.0</v>
      </c>
    </row>
    <row r="805">
      <c r="A805" s="1">
        <v>9.0</v>
      </c>
      <c r="B805" s="63">
        <v>43261.0</v>
      </c>
      <c r="C805" s="1">
        <v>1.0</v>
      </c>
      <c r="D805" s="1">
        <v>4.0</v>
      </c>
    </row>
    <row r="806">
      <c r="A806" s="1">
        <v>9.0</v>
      </c>
      <c r="B806" s="63">
        <v>43261.0</v>
      </c>
      <c r="C806" s="1">
        <v>3.0</v>
      </c>
      <c r="D806" s="1">
        <v>4.0</v>
      </c>
    </row>
    <row r="807">
      <c r="A807" s="1">
        <v>9.0</v>
      </c>
      <c r="B807" s="63">
        <v>43261.0</v>
      </c>
      <c r="C807" s="1">
        <v>4.0</v>
      </c>
      <c r="D807" s="1">
        <v>13.0</v>
      </c>
    </row>
    <row r="808">
      <c r="A808" s="1">
        <v>9.0</v>
      </c>
      <c r="B808" s="63">
        <v>43261.0</v>
      </c>
      <c r="C808" s="1">
        <v>5.0</v>
      </c>
      <c r="D808" s="1">
        <v>13.0</v>
      </c>
    </row>
    <row r="809">
      <c r="A809" s="1">
        <v>9.0</v>
      </c>
      <c r="B809" s="63">
        <v>43261.0</v>
      </c>
      <c r="C809" s="1">
        <v>7.0</v>
      </c>
      <c r="D809" s="1">
        <v>2.0</v>
      </c>
    </row>
    <row r="810">
      <c r="A810" s="1">
        <v>9.0</v>
      </c>
      <c r="B810" s="63">
        <v>43261.0</v>
      </c>
      <c r="C810" s="1">
        <v>8.0</v>
      </c>
      <c r="D810" s="1">
        <v>7.0</v>
      </c>
    </row>
    <row r="811">
      <c r="A811" s="1">
        <v>9.0</v>
      </c>
      <c r="B811" s="63">
        <v>43261.0</v>
      </c>
      <c r="C811" s="1">
        <v>9.0</v>
      </c>
      <c r="D811" s="1">
        <v>15.0</v>
      </c>
    </row>
    <row r="812">
      <c r="A812" s="1">
        <v>9.0</v>
      </c>
      <c r="B812" s="63">
        <v>43261.0</v>
      </c>
      <c r="C812" s="1">
        <v>10.0</v>
      </c>
      <c r="D812" s="1">
        <v>4.0</v>
      </c>
    </row>
    <row r="813">
      <c r="A813" s="1">
        <v>9.0</v>
      </c>
      <c r="B813" s="63">
        <v>43261.0</v>
      </c>
      <c r="C813" s="1">
        <v>12.0</v>
      </c>
      <c r="D813" s="1">
        <v>6.0</v>
      </c>
    </row>
    <row r="814">
      <c r="A814" s="1">
        <v>9.0</v>
      </c>
      <c r="B814" s="63">
        <v>43261.0</v>
      </c>
      <c r="C814" s="1">
        <v>13.0</v>
      </c>
      <c r="D814" s="1">
        <v>9.0</v>
      </c>
    </row>
    <row r="815">
      <c r="A815" s="1">
        <v>9.0</v>
      </c>
      <c r="B815" s="63">
        <v>43261.0</v>
      </c>
      <c r="C815" s="1">
        <v>14.0</v>
      </c>
      <c r="D815" s="1">
        <v>8.0</v>
      </c>
    </row>
    <row r="816">
      <c r="A816" s="1">
        <v>9.0</v>
      </c>
      <c r="B816" s="63">
        <v>43261.0</v>
      </c>
      <c r="C816" s="1">
        <v>15.0</v>
      </c>
      <c r="D816" s="1">
        <v>3.0</v>
      </c>
    </row>
    <row r="817">
      <c r="A817" s="1">
        <v>9.0</v>
      </c>
      <c r="B817" s="63">
        <v>43261.0</v>
      </c>
      <c r="C817" s="1">
        <v>16.0</v>
      </c>
      <c r="D817" s="1">
        <v>5.0</v>
      </c>
    </row>
    <row r="818">
      <c r="A818" s="1">
        <v>9.0</v>
      </c>
      <c r="B818" s="63">
        <v>43261.0</v>
      </c>
      <c r="C818" s="1">
        <v>17.0</v>
      </c>
      <c r="D818" s="1">
        <v>6.0</v>
      </c>
    </row>
    <row r="819">
      <c r="A819" s="1">
        <v>9.0</v>
      </c>
      <c r="B819" s="63">
        <v>43261.0</v>
      </c>
      <c r="C819" s="1">
        <v>18.0</v>
      </c>
      <c r="D819" s="1">
        <v>6.0</v>
      </c>
    </row>
    <row r="820">
      <c r="A820" s="1">
        <v>9.0</v>
      </c>
      <c r="B820" s="63">
        <v>43261.0</v>
      </c>
      <c r="C820" s="1">
        <v>19.0</v>
      </c>
      <c r="D820" s="1">
        <v>2.0</v>
      </c>
    </row>
    <row r="821">
      <c r="A821" s="1">
        <v>9.0</v>
      </c>
      <c r="B821" s="63">
        <v>43261.0</v>
      </c>
      <c r="C821" s="1">
        <v>21.0</v>
      </c>
      <c r="D821" s="1">
        <v>1.0</v>
      </c>
    </row>
    <row r="822">
      <c r="A822" s="1">
        <v>9.0</v>
      </c>
      <c r="B822" s="63">
        <v>43268.0</v>
      </c>
      <c r="C822" s="1">
        <v>0.0</v>
      </c>
      <c r="D822" s="1">
        <v>199.0</v>
      </c>
    </row>
    <row r="823">
      <c r="A823" s="1">
        <v>9.0</v>
      </c>
      <c r="B823" s="63">
        <v>43268.0</v>
      </c>
      <c r="C823" s="1">
        <v>1.0</v>
      </c>
      <c r="D823" s="1">
        <v>3.0</v>
      </c>
    </row>
    <row r="824">
      <c r="A824" s="1">
        <v>9.0</v>
      </c>
      <c r="B824" s="63">
        <v>43268.0</v>
      </c>
      <c r="C824" s="1">
        <v>2.0</v>
      </c>
      <c r="D824" s="1">
        <v>2.0</v>
      </c>
    </row>
    <row r="825">
      <c r="A825" s="1">
        <v>9.0</v>
      </c>
      <c r="B825" s="63">
        <v>43268.0</v>
      </c>
      <c r="C825" s="1">
        <v>3.0</v>
      </c>
      <c r="D825" s="1">
        <v>2.0</v>
      </c>
    </row>
    <row r="826">
      <c r="A826" s="1">
        <v>9.0</v>
      </c>
      <c r="B826" s="63">
        <v>43268.0</v>
      </c>
      <c r="C826" s="1">
        <v>4.0</v>
      </c>
      <c r="D826" s="1">
        <v>22.0</v>
      </c>
    </row>
    <row r="827">
      <c r="A827" s="1">
        <v>9.0</v>
      </c>
      <c r="B827" s="63">
        <v>43268.0</v>
      </c>
      <c r="C827" s="1">
        <v>5.0</v>
      </c>
      <c r="D827" s="1">
        <v>14.0</v>
      </c>
    </row>
    <row r="828">
      <c r="A828" s="1">
        <v>9.0</v>
      </c>
      <c r="B828" s="63">
        <v>43268.0</v>
      </c>
      <c r="C828" s="1">
        <v>6.0</v>
      </c>
      <c r="D828" s="1">
        <v>5.0</v>
      </c>
    </row>
    <row r="829">
      <c r="A829" s="1">
        <v>9.0</v>
      </c>
      <c r="B829" s="63">
        <v>43268.0</v>
      </c>
      <c r="C829" s="1">
        <v>7.0</v>
      </c>
      <c r="D829" s="1">
        <v>2.0</v>
      </c>
    </row>
    <row r="830">
      <c r="A830" s="1">
        <v>9.0</v>
      </c>
      <c r="B830" s="63">
        <v>43268.0</v>
      </c>
      <c r="C830" s="1">
        <v>8.0</v>
      </c>
      <c r="D830" s="1">
        <v>18.0</v>
      </c>
    </row>
    <row r="831">
      <c r="A831" s="1">
        <v>9.0</v>
      </c>
      <c r="B831" s="63">
        <v>43268.0</v>
      </c>
      <c r="C831" s="1">
        <v>9.0</v>
      </c>
      <c r="D831" s="1">
        <v>27.0</v>
      </c>
    </row>
    <row r="832">
      <c r="A832" s="1">
        <v>9.0</v>
      </c>
      <c r="B832" s="63">
        <v>43268.0</v>
      </c>
      <c r="C832" s="1">
        <v>10.0</v>
      </c>
      <c r="D832" s="1">
        <v>1.0</v>
      </c>
    </row>
    <row r="833">
      <c r="A833" s="1">
        <v>9.0</v>
      </c>
      <c r="B833" s="63">
        <v>43268.0</v>
      </c>
      <c r="C833" s="1">
        <v>11.0</v>
      </c>
      <c r="D833" s="1">
        <v>4.0</v>
      </c>
    </row>
    <row r="834">
      <c r="A834" s="1">
        <v>9.0</v>
      </c>
      <c r="B834" s="63">
        <v>43268.0</v>
      </c>
      <c r="C834" s="1">
        <v>12.0</v>
      </c>
      <c r="D834" s="1">
        <v>3.0</v>
      </c>
    </row>
    <row r="835">
      <c r="A835" s="1">
        <v>9.0</v>
      </c>
      <c r="B835" s="63">
        <v>43268.0</v>
      </c>
      <c r="C835" s="1">
        <v>13.0</v>
      </c>
      <c r="D835" s="1">
        <v>18.0</v>
      </c>
    </row>
    <row r="836">
      <c r="A836" s="1">
        <v>9.0</v>
      </c>
      <c r="B836" s="63">
        <v>43268.0</v>
      </c>
      <c r="C836" s="1">
        <v>14.0</v>
      </c>
      <c r="D836" s="1">
        <v>11.0</v>
      </c>
    </row>
    <row r="837">
      <c r="A837" s="1">
        <v>9.0</v>
      </c>
      <c r="B837" s="63">
        <v>43268.0</v>
      </c>
      <c r="C837" s="1">
        <v>15.0</v>
      </c>
      <c r="D837" s="1">
        <v>4.0</v>
      </c>
    </row>
    <row r="838">
      <c r="A838" s="1">
        <v>9.0</v>
      </c>
      <c r="B838" s="63">
        <v>43268.0</v>
      </c>
      <c r="C838" s="1">
        <v>16.0</v>
      </c>
      <c r="D838" s="1">
        <v>2.0</v>
      </c>
    </row>
    <row r="839">
      <c r="A839" s="1">
        <v>9.0</v>
      </c>
      <c r="B839" s="63">
        <v>43268.0</v>
      </c>
      <c r="C839" s="1">
        <v>17.0</v>
      </c>
      <c r="D839" s="1">
        <v>8.0</v>
      </c>
    </row>
    <row r="840">
      <c r="A840" s="1">
        <v>9.0</v>
      </c>
      <c r="B840" s="63">
        <v>43268.0</v>
      </c>
      <c r="C840" s="1">
        <v>18.0</v>
      </c>
      <c r="D840" s="1">
        <v>2.0</v>
      </c>
    </row>
    <row r="841">
      <c r="A841" s="1">
        <v>9.0</v>
      </c>
      <c r="B841" s="63">
        <v>43268.0</v>
      </c>
      <c r="C841" s="1">
        <v>19.0</v>
      </c>
      <c r="D841" s="1">
        <v>4.0</v>
      </c>
    </row>
    <row r="842">
      <c r="A842" s="1">
        <v>9.0</v>
      </c>
      <c r="B842" s="63">
        <v>43268.0</v>
      </c>
      <c r="C842" s="1">
        <v>20.0</v>
      </c>
      <c r="D842" s="1">
        <v>2.0</v>
      </c>
    </row>
    <row r="843">
      <c r="A843" s="1">
        <v>9.0</v>
      </c>
      <c r="B843" s="63">
        <v>43275.0</v>
      </c>
      <c r="C843" s="1">
        <v>0.0</v>
      </c>
      <c r="D843" s="1">
        <v>215.0</v>
      </c>
    </row>
    <row r="844">
      <c r="A844" s="1">
        <v>9.0</v>
      </c>
      <c r="B844" s="63">
        <v>43275.0</v>
      </c>
      <c r="C844" s="1">
        <v>1.0</v>
      </c>
      <c r="D844" s="1">
        <v>1.0</v>
      </c>
    </row>
    <row r="845">
      <c r="A845" s="1">
        <v>9.0</v>
      </c>
      <c r="B845" s="63">
        <v>43275.0</v>
      </c>
      <c r="C845" s="1">
        <v>2.0</v>
      </c>
      <c r="D845" s="1">
        <v>3.0</v>
      </c>
    </row>
    <row r="846">
      <c r="A846" s="1">
        <v>9.0</v>
      </c>
      <c r="B846" s="63">
        <v>43275.0</v>
      </c>
      <c r="C846" s="1">
        <v>3.0</v>
      </c>
      <c r="D846" s="1">
        <v>7.0</v>
      </c>
    </row>
    <row r="847">
      <c r="A847" s="1">
        <v>9.0</v>
      </c>
      <c r="B847" s="63">
        <v>43275.0</v>
      </c>
      <c r="C847" s="1">
        <v>4.0</v>
      </c>
      <c r="D847" s="1">
        <v>29.0</v>
      </c>
    </row>
    <row r="848">
      <c r="A848" s="1">
        <v>9.0</v>
      </c>
      <c r="B848" s="63">
        <v>43275.0</v>
      </c>
      <c r="C848" s="1">
        <v>5.0</v>
      </c>
      <c r="D848" s="1">
        <v>21.0</v>
      </c>
    </row>
    <row r="849">
      <c r="A849" s="1">
        <v>9.0</v>
      </c>
      <c r="B849" s="63">
        <v>43275.0</v>
      </c>
      <c r="C849" s="1">
        <v>6.0</v>
      </c>
      <c r="D849" s="1">
        <v>2.0</v>
      </c>
    </row>
    <row r="850">
      <c r="A850" s="1">
        <v>9.0</v>
      </c>
      <c r="B850" s="63">
        <v>43275.0</v>
      </c>
      <c r="C850" s="1">
        <v>7.0</v>
      </c>
      <c r="D850" s="1">
        <v>1.0</v>
      </c>
    </row>
    <row r="851">
      <c r="A851" s="1">
        <v>9.0</v>
      </c>
      <c r="B851" s="63">
        <v>43275.0</v>
      </c>
      <c r="C851" s="1">
        <v>8.0</v>
      </c>
      <c r="D851" s="1">
        <v>33.0</v>
      </c>
    </row>
    <row r="852">
      <c r="A852" s="1">
        <v>9.0</v>
      </c>
      <c r="B852" s="63">
        <v>43275.0</v>
      </c>
      <c r="C852" s="1">
        <v>9.0</v>
      </c>
      <c r="D852" s="1">
        <v>29.0</v>
      </c>
    </row>
    <row r="853">
      <c r="A853" s="1">
        <v>9.0</v>
      </c>
      <c r="B853" s="63">
        <v>43275.0</v>
      </c>
      <c r="C853" s="1">
        <v>10.0</v>
      </c>
      <c r="D853" s="1">
        <v>4.0</v>
      </c>
    </row>
    <row r="854">
      <c r="A854" s="1">
        <v>9.0</v>
      </c>
      <c r="B854" s="63">
        <v>43275.0</v>
      </c>
      <c r="C854" s="1">
        <v>11.0</v>
      </c>
      <c r="D854" s="1">
        <v>3.0</v>
      </c>
    </row>
    <row r="855">
      <c r="A855" s="1">
        <v>9.0</v>
      </c>
      <c r="B855" s="63">
        <v>43275.0</v>
      </c>
      <c r="C855" s="1">
        <v>12.0</v>
      </c>
      <c r="D855" s="1">
        <v>7.0</v>
      </c>
    </row>
    <row r="856">
      <c r="A856" s="1">
        <v>9.0</v>
      </c>
      <c r="B856" s="63">
        <v>43275.0</v>
      </c>
      <c r="C856" s="1">
        <v>13.0</v>
      </c>
      <c r="D856" s="1">
        <v>14.0</v>
      </c>
    </row>
    <row r="857">
      <c r="A857" s="1">
        <v>9.0</v>
      </c>
      <c r="B857" s="63">
        <v>43275.0</v>
      </c>
      <c r="C857" s="1">
        <v>14.0</v>
      </c>
      <c r="D857" s="1">
        <v>11.0</v>
      </c>
    </row>
    <row r="858">
      <c r="A858" s="1">
        <v>9.0</v>
      </c>
      <c r="B858" s="63">
        <v>43275.0</v>
      </c>
      <c r="C858" s="1">
        <v>15.0</v>
      </c>
      <c r="D858" s="1">
        <v>7.0</v>
      </c>
    </row>
    <row r="859">
      <c r="A859" s="1">
        <v>9.0</v>
      </c>
      <c r="B859" s="63">
        <v>43275.0</v>
      </c>
      <c r="C859" s="1">
        <v>16.0</v>
      </c>
      <c r="D859" s="1">
        <v>3.0</v>
      </c>
    </row>
    <row r="860">
      <c r="A860" s="1">
        <v>9.0</v>
      </c>
      <c r="B860" s="63">
        <v>43275.0</v>
      </c>
      <c r="C860" s="1">
        <v>17.0</v>
      </c>
      <c r="D860" s="1">
        <v>11.0</v>
      </c>
    </row>
    <row r="861">
      <c r="A861" s="1">
        <v>9.0</v>
      </c>
      <c r="B861" s="63">
        <v>43275.0</v>
      </c>
      <c r="C861" s="1">
        <v>18.0</v>
      </c>
      <c r="D861" s="1">
        <v>8.0</v>
      </c>
    </row>
    <row r="862">
      <c r="A862" s="1">
        <v>9.0</v>
      </c>
      <c r="B862" s="63">
        <v>43275.0</v>
      </c>
      <c r="C862" s="1">
        <v>19.0</v>
      </c>
      <c r="D862" s="1">
        <v>1.0</v>
      </c>
    </row>
    <row r="863">
      <c r="A863" s="1">
        <v>9.0</v>
      </c>
      <c r="B863" s="63">
        <v>43282.0</v>
      </c>
      <c r="C863" s="1">
        <v>0.0</v>
      </c>
      <c r="D863" s="1">
        <v>212.0</v>
      </c>
    </row>
    <row r="864">
      <c r="A864" s="1">
        <v>9.0</v>
      </c>
      <c r="B864" s="63">
        <v>43282.0</v>
      </c>
      <c r="C864" s="1">
        <v>1.0</v>
      </c>
      <c r="D864" s="1">
        <v>7.0</v>
      </c>
    </row>
    <row r="865">
      <c r="A865" s="1">
        <v>9.0</v>
      </c>
      <c r="B865" s="63">
        <v>43282.0</v>
      </c>
      <c r="C865" s="1">
        <v>2.0</v>
      </c>
      <c r="D865" s="1">
        <v>2.0</v>
      </c>
    </row>
    <row r="866">
      <c r="A866" s="1">
        <v>9.0</v>
      </c>
      <c r="B866" s="63">
        <v>43282.0</v>
      </c>
      <c r="C866" s="1">
        <v>3.0</v>
      </c>
      <c r="D866" s="1">
        <v>3.0</v>
      </c>
    </row>
    <row r="867">
      <c r="A867" s="1">
        <v>9.0</v>
      </c>
      <c r="B867" s="63">
        <v>43282.0</v>
      </c>
      <c r="C867" s="1">
        <v>4.0</v>
      </c>
      <c r="D867" s="1">
        <v>33.0</v>
      </c>
    </row>
    <row r="868">
      <c r="A868" s="1">
        <v>9.0</v>
      </c>
      <c r="B868" s="63">
        <v>43282.0</v>
      </c>
      <c r="C868" s="1">
        <v>5.0</v>
      </c>
      <c r="D868" s="1">
        <v>25.0</v>
      </c>
    </row>
    <row r="869">
      <c r="A869" s="1">
        <v>9.0</v>
      </c>
      <c r="B869" s="63">
        <v>43282.0</v>
      </c>
      <c r="C869" s="1">
        <v>6.0</v>
      </c>
      <c r="D869" s="1">
        <v>2.0</v>
      </c>
    </row>
    <row r="870">
      <c r="A870" s="1">
        <v>9.0</v>
      </c>
      <c r="B870" s="63">
        <v>43282.0</v>
      </c>
      <c r="C870" s="1">
        <v>7.0</v>
      </c>
      <c r="D870" s="1">
        <v>7.0</v>
      </c>
    </row>
    <row r="871">
      <c r="A871" s="1">
        <v>9.0</v>
      </c>
      <c r="B871" s="63">
        <v>43282.0</v>
      </c>
      <c r="C871" s="1">
        <v>8.0</v>
      </c>
      <c r="D871" s="1">
        <v>34.0</v>
      </c>
    </row>
    <row r="872">
      <c r="A872" s="1">
        <v>9.0</v>
      </c>
      <c r="B872" s="63">
        <v>43282.0</v>
      </c>
      <c r="C872" s="1">
        <v>9.0</v>
      </c>
      <c r="D872" s="1">
        <v>21.0</v>
      </c>
    </row>
    <row r="873">
      <c r="A873" s="1">
        <v>9.0</v>
      </c>
      <c r="B873" s="63">
        <v>43282.0</v>
      </c>
      <c r="C873" s="1">
        <v>10.0</v>
      </c>
      <c r="D873" s="1">
        <v>4.0</v>
      </c>
    </row>
    <row r="874">
      <c r="A874" s="1">
        <v>9.0</v>
      </c>
      <c r="B874" s="63">
        <v>43282.0</v>
      </c>
      <c r="C874" s="1">
        <v>11.0</v>
      </c>
      <c r="D874" s="1">
        <v>3.0</v>
      </c>
    </row>
    <row r="875">
      <c r="A875" s="1">
        <v>9.0</v>
      </c>
      <c r="B875" s="63">
        <v>43282.0</v>
      </c>
      <c r="C875" s="1">
        <v>12.0</v>
      </c>
      <c r="D875" s="1">
        <v>5.0</v>
      </c>
    </row>
    <row r="876">
      <c r="A876" s="1">
        <v>9.0</v>
      </c>
      <c r="B876" s="63">
        <v>43282.0</v>
      </c>
      <c r="C876" s="1">
        <v>13.0</v>
      </c>
      <c r="D876" s="1">
        <v>29.0</v>
      </c>
    </row>
    <row r="877">
      <c r="A877" s="1">
        <v>9.0</v>
      </c>
      <c r="B877" s="63">
        <v>43282.0</v>
      </c>
      <c r="C877" s="1">
        <v>14.0</v>
      </c>
      <c r="D877" s="1">
        <v>1.0</v>
      </c>
    </row>
    <row r="878">
      <c r="A878" s="1">
        <v>9.0</v>
      </c>
      <c r="B878" s="63">
        <v>43282.0</v>
      </c>
      <c r="C878" s="1">
        <v>15.0</v>
      </c>
      <c r="D878" s="1">
        <v>2.0</v>
      </c>
    </row>
    <row r="879">
      <c r="A879" s="1">
        <v>9.0</v>
      </c>
      <c r="B879" s="63">
        <v>43282.0</v>
      </c>
      <c r="C879" s="1">
        <v>16.0</v>
      </c>
      <c r="D879" s="1">
        <v>5.0</v>
      </c>
    </row>
    <row r="880">
      <c r="A880" s="1">
        <v>9.0</v>
      </c>
      <c r="B880" s="63">
        <v>43282.0</v>
      </c>
      <c r="C880" s="1">
        <v>17.0</v>
      </c>
      <c r="D880" s="1">
        <v>21.0</v>
      </c>
    </row>
    <row r="881">
      <c r="A881" s="1">
        <v>9.0</v>
      </c>
      <c r="B881" s="63">
        <v>43282.0</v>
      </c>
      <c r="C881" s="1">
        <v>18.0</v>
      </c>
      <c r="D881" s="1">
        <v>7.0</v>
      </c>
    </row>
    <row r="882">
      <c r="A882" s="1">
        <v>10.0</v>
      </c>
      <c r="B882" s="63">
        <v>43254.0</v>
      </c>
      <c r="C882" s="1">
        <v>0.0</v>
      </c>
      <c r="D882" s="1">
        <v>20.0</v>
      </c>
    </row>
    <row r="883">
      <c r="A883" s="1">
        <v>10.0</v>
      </c>
      <c r="B883" s="63">
        <v>43254.0</v>
      </c>
      <c r="C883" s="1">
        <v>3.0</v>
      </c>
      <c r="D883" s="1">
        <v>1.0</v>
      </c>
    </row>
    <row r="884">
      <c r="A884" s="1">
        <v>10.0</v>
      </c>
      <c r="B884" s="63">
        <v>43254.0</v>
      </c>
      <c r="C884" s="1">
        <v>5.0</v>
      </c>
      <c r="D884" s="1">
        <v>8.0</v>
      </c>
    </row>
    <row r="885">
      <c r="A885" s="1">
        <v>10.0</v>
      </c>
      <c r="B885" s="63">
        <v>43254.0</v>
      </c>
      <c r="C885" s="1">
        <v>7.0</v>
      </c>
      <c r="D885" s="1">
        <v>1.0</v>
      </c>
    </row>
    <row r="886">
      <c r="A886" s="1">
        <v>10.0</v>
      </c>
      <c r="B886" s="63">
        <v>43254.0</v>
      </c>
      <c r="C886" s="1">
        <v>9.0</v>
      </c>
      <c r="D886" s="1">
        <v>5.0</v>
      </c>
    </row>
    <row r="887">
      <c r="A887" s="1">
        <v>10.0</v>
      </c>
      <c r="B887" s="63">
        <v>43254.0</v>
      </c>
      <c r="C887" s="1">
        <v>10.0</v>
      </c>
      <c r="D887" s="1">
        <v>1.0</v>
      </c>
    </row>
    <row r="888">
      <c r="A888" s="1">
        <v>10.0</v>
      </c>
      <c r="B888" s="63">
        <v>43254.0</v>
      </c>
      <c r="C888" s="1">
        <v>11.0</v>
      </c>
      <c r="D888" s="1">
        <v>1.0</v>
      </c>
    </row>
    <row r="889">
      <c r="A889" s="1">
        <v>10.0</v>
      </c>
      <c r="B889" s="63">
        <v>43254.0</v>
      </c>
      <c r="C889" s="1">
        <v>12.0</v>
      </c>
      <c r="D889" s="1">
        <v>1.0</v>
      </c>
    </row>
    <row r="890">
      <c r="A890" s="1">
        <v>10.0</v>
      </c>
      <c r="B890" s="63">
        <v>43254.0</v>
      </c>
      <c r="C890" s="1">
        <v>14.0</v>
      </c>
      <c r="D890" s="1">
        <v>2.0</v>
      </c>
    </row>
    <row r="891">
      <c r="A891" s="1">
        <v>10.0</v>
      </c>
      <c r="B891" s="63">
        <v>43254.0</v>
      </c>
      <c r="C891" s="1">
        <v>15.0</v>
      </c>
      <c r="D891" s="1">
        <v>1.0</v>
      </c>
    </row>
    <row r="892">
      <c r="A892" s="1">
        <v>10.0</v>
      </c>
      <c r="B892" s="63">
        <v>43254.0</v>
      </c>
      <c r="C892" s="1">
        <v>18.0</v>
      </c>
      <c r="D892" s="1">
        <v>3.0</v>
      </c>
    </row>
    <row r="893">
      <c r="A893" s="1">
        <v>10.0</v>
      </c>
      <c r="B893" s="63">
        <v>43261.0</v>
      </c>
      <c r="C893" s="1">
        <v>0.0</v>
      </c>
      <c r="D893" s="1">
        <v>63.0</v>
      </c>
    </row>
    <row r="894">
      <c r="A894" s="1">
        <v>10.0</v>
      </c>
      <c r="B894" s="63">
        <v>43261.0</v>
      </c>
      <c r="C894" s="1">
        <v>1.0</v>
      </c>
      <c r="D894" s="1">
        <v>3.0</v>
      </c>
    </row>
    <row r="895">
      <c r="A895" s="1">
        <v>10.0</v>
      </c>
      <c r="B895" s="63">
        <v>43261.0</v>
      </c>
      <c r="C895" s="1">
        <v>2.0</v>
      </c>
      <c r="D895" s="1">
        <v>3.0</v>
      </c>
    </row>
    <row r="896">
      <c r="A896" s="1">
        <v>10.0</v>
      </c>
      <c r="B896" s="63">
        <v>43261.0</v>
      </c>
      <c r="C896" s="1">
        <v>3.0</v>
      </c>
      <c r="D896" s="1">
        <v>2.0</v>
      </c>
    </row>
    <row r="897">
      <c r="A897" s="1">
        <v>10.0</v>
      </c>
      <c r="B897" s="63">
        <v>43261.0</v>
      </c>
      <c r="C897" s="1">
        <v>4.0</v>
      </c>
      <c r="D897" s="1">
        <v>20.0</v>
      </c>
    </row>
    <row r="898">
      <c r="A898" s="1">
        <v>10.0</v>
      </c>
      <c r="B898" s="63">
        <v>43261.0</v>
      </c>
      <c r="C898" s="1">
        <v>5.0</v>
      </c>
      <c r="D898" s="1">
        <v>4.0</v>
      </c>
    </row>
    <row r="899">
      <c r="A899" s="1">
        <v>10.0</v>
      </c>
      <c r="B899" s="63">
        <v>43261.0</v>
      </c>
      <c r="C899" s="1">
        <v>6.0</v>
      </c>
      <c r="D899" s="1">
        <v>5.0</v>
      </c>
    </row>
    <row r="900">
      <c r="A900" s="1">
        <v>10.0</v>
      </c>
      <c r="B900" s="63">
        <v>43261.0</v>
      </c>
      <c r="C900" s="1">
        <v>7.0</v>
      </c>
      <c r="D900" s="1">
        <v>2.0</v>
      </c>
    </row>
    <row r="901">
      <c r="A901" s="1">
        <v>10.0</v>
      </c>
      <c r="B901" s="63">
        <v>43261.0</v>
      </c>
      <c r="C901" s="1">
        <v>8.0</v>
      </c>
      <c r="D901" s="1">
        <v>11.0</v>
      </c>
    </row>
    <row r="902">
      <c r="A902" s="1">
        <v>10.0</v>
      </c>
      <c r="B902" s="63">
        <v>43261.0</v>
      </c>
      <c r="C902" s="1">
        <v>9.0</v>
      </c>
      <c r="D902" s="1">
        <v>9.0</v>
      </c>
    </row>
    <row r="903">
      <c r="A903" s="1">
        <v>10.0</v>
      </c>
      <c r="B903" s="63">
        <v>43261.0</v>
      </c>
      <c r="C903" s="1">
        <v>10.0</v>
      </c>
      <c r="D903" s="1">
        <v>4.0</v>
      </c>
    </row>
    <row r="904">
      <c r="A904" s="1">
        <v>10.0</v>
      </c>
      <c r="B904" s="63">
        <v>43261.0</v>
      </c>
      <c r="C904" s="1">
        <v>11.0</v>
      </c>
      <c r="D904" s="1">
        <v>5.0</v>
      </c>
    </row>
    <row r="905">
      <c r="A905" s="1">
        <v>10.0</v>
      </c>
      <c r="B905" s="63">
        <v>43261.0</v>
      </c>
      <c r="C905" s="1">
        <v>12.0</v>
      </c>
      <c r="D905" s="1">
        <v>6.0</v>
      </c>
    </row>
    <row r="906">
      <c r="A906" s="1">
        <v>10.0</v>
      </c>
      <c r="B906" s="63">
        <v>43261.0</v>
      </c>
      <c r="C906" s="1">
        <v>13.0</v>
      </c>
      <c r="D906" s="1">
        <v>8.0</v>
      </c>
    </row>
    <row r="907">
      <c r="A907" s="1">
        <v>10.0</v>
      </c>
      <c r="B907" s="63">
        <v>43261.0</v>
      </c>
      <c r="C907" s="1">
        <v>14.0</v>
      </c>
      <c r="D907" s="1">
        <v>2.0</v>
      </c>
    </row>
    <row r="908">
      <c r="A908" s="1">
        <v>10.0</v>
      </c>
      <c r="B908" s="63">
        <v>43261.0</v>
      </c>
      <c r="C908" s="1">
        <v>15.0</v>
      </c>
      <c r="D908" s="1">
        <v>7.0</v>
      </c>
    </row>
    <row r="909">
      <c r="A909" s="1">
        <v>10.0</v>
      </c>
      <c r="B909" s="63">
        <v>43261.0</v>
      </c>
      <c r="C909" s="1">
        <v>16.0</v>
      </c>
      <c r="D909" s="1">
        <v>5.0</v>
      </c>
    </row>
    <row r="910">
      <c r="A910" s="1">
        <v>10.0</v>
      </c>
      <c r="B910" s="63">
        <v>43261.0</v>
      </c>
      <c r="C910" s="1">
        <v>17.0</v>
      </c>
      <c r="D910" s="1">
        <v>7.0</v>
      </c>
    </row>
    <row r="911">
      <c r="A911" s="1">
        <v>10.0</v>
      </c>
      <c r="B911" s="63">
        <v>43261.0</v>
      </c>
      <c r="C911" s="1">
        <v>18.0</v>
      </c>
      <c r="D911" s="1">
        <v>4.0</v>
      </c>
    </row>
    <row r="912">
      <c r="A912" s="1">
        <v>10.0</v>
      </c>
      <c r="B912" s="63">
        <v>43261.0</v>
      </c>
      <c r="C912" s="1">
        <v>19.0</v>
      </c>
      <c r="D912" s="1">
        <v>3.0</v>
      </c>
    </row>
    <row r="913">
      <c r="A913" s="1">
        <v>10.0</v>
      </c>
      <c r="B913" s="63">
        <v>43261.0</v>
      </c>
      <c r="C913" s="1">
        <v>20.0</v>
      </c>
      <c r="D913" s="1">
        <v>4.0</v>
      </c>
    </row>
    <row r="914">
      <c r="A914" s="1">
        <v>10.0</v>
      </c>
      <c r="B914" s="63">
        <v>43261.0</v>
      </c>
      <c r="C914" s="1">
        <v>21.0</v>
      </c>
      <c r="D914" s="1">
        <v>2.0</v>
      </c>
    </row>
    <row r="915">
      <c r="A915" s="1">
        <v>10.0</v>
      </c>
      <c r="B915" s="63">
        <v>43268.0</v>
      </c>
      <c r="C915" s="1">
        <v>0.0</v>
      </c>
      <c r="D915" s="1">
        <v>67.0</v>
      </c>
    </row>
    <row r="916">
      <c r="A916" s="1">
        <v>10.0</v>
      </c>
      <c r="B916" s="63">
        <v>43268.0</v>
      </c>
      <c r="C916" s="1">
        <v>1.0</v>
      </c>
      <c r="D916" s="1">
        <v>1.0</v>
      </c>
    </row>
    <row r="917">
      <c r="A917" s="1">
        <v>10.0</v>
      </c>
      <c r="B917" s="63">
        <v>43268.0</v>
      </c>
      <c r="C917" s="1">
        <v>2.0</v>
      </c>
      <c r="D917" s="1">
        <v>3.0</v>
      </c>
    </row>
    <row r="918">
      <c r="A918" s="1">
        <v>10.0</v>
      </c>
      <c r="B918" s="63">
        <v>43268.0</v>
      </c>
      <c r="C918" s="1">
        <v>3.0</v>
      </c>
      <c r="D918" s="1">
        <v>3.0</v>
      </c>
    </row>
    <row r="919">
      <c r="A919" s="1">
        <v>10.0</v>
      </c>
      <c r="B919" s="63">
        <v>43268.0</v>
      </c>
      <c r="C919" s="1">
        <v>4.0</v>
      </c>
      <c r="D919" s="1">
        <v>21.0</v>
      </c>
    </row>
    <row r="920">
      <c r="A920" s="1">
        <v>10.0</v>
      </c>
      <c r="B920" s="63">
        <v>43268.0</v>
      </c>
      <c r="C920" s="1">
        <v>5.0</v>
      </c>
      <c r="D920" s="1">
        <v>7.0</v>
      </c>
    </row>
    <row r="921">
      <c r="A921" s="1">
        <v>10.0</v>
      </c>
      <c r="B921" s="63">
        <v>43268.0</v>
      </c>
      <c r="C921" s="1">
        <v>6.0</v>
      </c>
      <c r="D921" s="1">
        <v>4.0</v>
      </c>
    </row>
    <row r="922">
      <c r="A922" s="1">
        <v>10.0</v>
      </c>
      <c r="B922" s="63">
        <v>43268.0</v>
      </c>
      <c r="C922" s="1">
        <v>7.0</v>
      </c>
      <c r="D922" s="1">
        <v>5.0</v>
      </c>
    </row>
    <row r="923">
      <c r="A923" s="1">
        <v>10.0</v>
      </c>
      <c r="B923" s="63">
        <v>43268.0</v>
      </c>
      <c r="C923" s="1">
        <v>8.0</v>
      </c>
      <c r="D923" s="1">
        <v>8.0</v>
      </c>
    </row>
    <row r="924">
      <c r="A924" s="1">
        <v>10.0</v>
      </c>
      <c r="B924" s="63">
        <v>43268.0</v>
      </c>
      <c r="C924" s="1">
        <v>9.0</v>
      </c>
      <c r="D924" s="1">
        <v>7.0</v>
      </c>
    </row>
    <row r="925">
      <c r="A925" s="1">
        <v>10.0</v>
      </c>
      <c r="B925" s="63">
        <v>43268.0</v>
      </c>
      <c r="C925" s="1">
        <v>10.0</v>
      </c>
      <c r="D925" s="1">
        <v>7.0</v>
      </c>
    </row>
    <row r="926">
      <c r="A926" s="1">
        <v>10.0</v>
      </c>
      <c r="B926" s="63">
        <v>43268.0</v>
      </c>
      <c r="C926" s="1">
        <v>11.0</v>
      </c>
      <c r="D926" s="1">
        <v>3.0</v>
      </c>
    </row>
    <row r="927">
      <c r="A927" s="1">
        <v>10.0</v>
      </c>
      <c r="B927" s="63">
        <v>43268.0</v>
      </c>
      <c r="C927" s="1">
        <v>12.0</v>
      </c>
      <c r="D927" s="1">
        <v>4.0</v>
      </c>
    </row>
    <row r="928">
      <c r="A928" s="1">
        <v>10.0</v>
      </c>
      <c r="B928" s="63">
        <v>43268.0</v>
      </c>
      <c r="C928" s="1">
        <v>13.0</v>
      </c>
      <c r="D928" s="1">
        <v>10.0</v>
      </c>
    </row>
    <row r="929">
      <c r="A929" s="1">
        <v>10.0</v>
      </c>
      <c r="B929" s="63">
        <v>43268.0</v>
      </c>
      <c r="C929" s="1">
        <v>14.0</v>
      </c>
      <c r="D929" s="1">
        <v>9.0</v>
      </c>
    </row>
    <row r="930">
      <c r="A930" s="1">
        <v>10.0</v>
      </c>
      <c r="B930" s="63">
        <v>43268.0</v>
      </c>
      <c r="C930" s="1">
        <v>15.0</v>
      </c>
      <c r="D930" s="1">
        <v>4.0</v>
      </c>
    </row>
    <row r="931">
      <c r="A931" s="1">
        <v>10.0</v>
      </c>
      <c r="B931" s="63">
        <v>43268.0</v>
      </c>
      <c r="C931" s="1">
        <v>16.0</v>
      </c>
      <c r="D931" s="1">
        <v>1.0</v>
      </c>
    </row>
    <row r="932">
      <c r="A932" s="1">
        <v>10.0</v>
      </c>
      <c r="B932" s="63">
        <v>43268.0</v>
      </c>
      <c r="C932" s="1">
        <v>17.0</v>
      </c>
      <c r="D932" s="1">
        <v>4.0</v>
      </c>
    </row>
    <row r="933">
      <c r="A933" s="1">
        <v>10.0</v>
      </c>
      <c r="B933" s="63">
        <v>43268.0</v>
      </c>
      <c r="C933" s="1">
        <v>18.0</v>
      </c>
      <c r="D933" s="1">
        <v>2.0</v>
      </c>
    </row>
    <row r="934">
      <c r="A934" s="1">
        <v>10.0</v>
      </c>
      <c r="B934" s="63">
        <v>43268.0</v>
      </c>
      <c r="C934" s="1">
        <v>19.0</v>
      </c>
      <c r="D934" s="1">
        <v>6.0</v>
      </c>
    </row>
    <row r="935">
      <c r="A935" s="1">
        <v>10.0</v>
      </c>
      <c r="B935" s="63">
        <v>43268.0</v>
      </c>
      <c r="C935" s="1">
        <v>20.0</v>
      </c>
      <c r="D935" s="1">
        <v>1.0</v>
      </c>
    </row>
    <row r="936">
      <c r="A936" s="1">
        <v>10.0</v>
      </c>
      <c r="B936" s="63">
        <v>43275.0</v>
      </c>
      <c r="C936" s="1">
        <v>0.0</v>
      </c>
      <c r="D936" s="1">
        <v>58.0</v>
      </c>
    </row>
    <row r="937">
      <c r="A937" s="1">
        <v>10.0</v>
      </c>
      <c r="B937" s="63">
        <v>43275.0</v>
      </c>
      <c r="C937" s="1">
        <v>1.0</v>
      </c>
      <c r="D937" s="1">
        <v>3.0</v>
      </c>
    </row>
    <row r="938">
      <c r="A938" s="1">
        <v>10.0</v>
      </c>
      <c r="B938" s="63">
        <v>43275.0</v>
      </c>
      <c r="C938" s="1">
        <v>2.0</v>
      </c>
      <c r="D938" s="1">
        <v>2.0</v>
      </c>
    </row>
    <row r="939">
      <c r="A939" s="1">
        <v>10.0</v>
      </c>
      <c r="B939" s="63">
        <v>43275.0</v>
      </c>
      <c r="C939" s="1">
        <v>3.0</v>
      </c>
      <c r="D939" s="1">
        <v>9.0</v>
      </c>
    </row>
    <row r="940">
      <c r="A940" s="1">
        <v>10.0</v>
      </c>
      <c r="B940" s="63">
        <v>43275.0</v>
      </c>
      <c r="C940" s="1">
        <v>4.0</v>
      </c>
      <c r="D940" s="1">
        <v>8.0</v>
      </c>
    </row>
    <row r="941">
      <c r="A941" s="1">
        <v>10.0</v>
      </c>
      <c r="B941" s="63">
        <v>43275.0</v>
      </c>
      <c r="C941" s="1">
        <v>5.0</v>
      </c>
      <c r="D941" s="1">
        <v>6.0</v>
      </c>
    </row>
    <row r="942">
      <c r="A942" s="1">
        <v>10.0</v>
      </c>
      <c r="B942" s="63">
        <v>43275.0</v>
      </c>
      <c r="C942" s="1">
        <v>6.0</v>
      </c>
      <c r="D942" s="1">
        <v>5.0</v>
      </c>
    </row>
    <row r="943">
      <c r="A943" s="1">
        <v>10.0</v>
      </c>
      <c r="B943" s="63">
        <v>43275.0</v>
      </c>
      <c r="C943" s="1">
        <v>7.0</v>
      </c>
      <c r="D943" s="1">
        <v>4.0</v>
      </c>
    </row>
    <row r="944">
      <c r="A944" s="1">
        <v>10.0</v>
      </c>
      <c r="B944" s="63">
        <v>43275.0</v>
      </c>
      <c r="C944" s="1">
        <v>8.0</v>
      </c>
      <c r="D944" s="1">
        <v>9.0</v>
      </c>
    </row>
    <row r="945">
      <c r="A945" s="1">
        <v>10.0</v>
      </c>
      <c r="B945" s="63">
        <v>43275.0</v>
      </c>
      <c r="C945" s="1">
        <v>9.0</v>
      </c>
      <c r="D945" s="1">
        <v>3.0</v>
      </c>
    </row>
    <row r="946">
      <c r="A946" s="1">
        <v>10.0</v>
      </c>
      <c r="B946" s="63">
        <v>43275.0</v>
      </c>
      <c r="C946" s="1">
        <v>10.0</v>
      </c>
      <c r="D946" s="1">
        <v>3.0</v>
      </c>
    </row>
    <row r="947">
      <c r="A947" s="1">
        <v>10.0</v>
      </c>
      <c r="B947" s="63">
        <v>43275.0</v>
      </c>
      <c r="C947" s="1">
        <v>11.0</v>
      </c>
      <c r="D947" s="1">
        <v>5.0</v>
      </c>
    </row>
    <row r="948">
      <c r="A948" s="1">
        <v>10.0</v>
      </c>
      <c r="B948" s="63">
        <v>43275.0</v>
      </c>
      <c r="C948" s="1">
        <v>12.0</v>
      </c>
      <c r="D948" s="1">
        <v>2.0</v>
      </c>
    </row>
    <row r="949">
      <c r="A949" s="1">
        <v>10.0</v>
      </c>
      <c r="B949" s="63">
        <v>43275.0</v>
      </c>
      <c r="C949" s="1">
        <v>13.0</v>
      </c>
      <c r="D949" s="1">
        <v>4.0</v>
      </c>
    </row>
    <row r="950">
      <c r="A950" s="1">
        <v>10.0</v>
      </c>
      <c r="B950" s="63">
        <v>43275.0</v>
      </c>
      <c r="C950" s="1">
        <v>14.0</v>
      </c>
      <c r="D950" s="1">
        <v>8.0</v>
      </c>
    </row>
    <row r="951">
      <c r="A951" s="1">
        <v>10.0</v>
      </c>
      <c r="B951" s="63">
        <v>43275.0</v>
      </c>
      <c r="C951" s="1">
        <v>15.0</v>
      </c>
      <c r="D951" s="1">
        <v>7.0</v>
      </c>
    </row>
    <row r="952">
      <c r="A952" s="1">
        <v>10.0</v>
      </c>
      <c r="B952" s="63">
        <v>43275.0</v>
      </c>
      <c r="C952" s="1">
        <v>17.0</v>
      </c>
      <c r="D952" s="1">
        <v>3.0</v>
      </c>
    </row>
    <row r="953">
      <c r="A953" s="1">
        <v>10.0</v>
      </c>
      <c r="B953" s="63">
        <v>43275.0</v>
      </c>
      <c r="C953" s="1">
        <v>18.0</v>
      </c>
      <c r="D953" s="1">
        <v>4.0</v>
      </c>
    </row>
    <row r="954">
      <c r="A954" s="1">
        <v>10.0</v>
      </c>
      <c r="B954" s="63">
        <v>43275.0</v>
      </c>
      <c r="C954" s="1">
        <v>19.0</v>
      </c>
      <c r="D954" s="1">
        <v>1.0</v>
      </c>
    </row>
    <row r="955">
      <c r="A955" s="1">
        <v>10.0</v>
      </c>
      <c r="B955" s="63">
        <v>43282.0</v>
      </c>
      <c r="C955" s="1">
        <v>0.0</v>
      </c>
      <c r="D955" s="1">
        <v>72.0</v>
      </c>
    </row>
    <row r="956">
      <c r="A956" s="1">
        <v>10.0</v>
      </c>
      <c r="B956" s="63">
        <v>43282.0</v>
      </c>
      <c r="C956" s="1">
        <v>1.0</v>
      </c>
      <c r="D956" s="1">
        <v>2.0</v>
      </c>
    </row>
    <row r="957">
      <c r="A957" s="1">
        <v>10.0</v>
      </c>
      <c r="B957" s="63">
        <v>43282.0</v>
      </c>
      <c r="C957" s="1">
        <v>2.0</v>
      </c>
      <c r="D957" s="1">
        <v>4.0</v>
      </c>
    </row>
    <row r="958">
      <c r="A958" s="1">
        <v>10.0</v>
      </c>
      <c r="B958" s="63">
        <v>43282.0</v>
      </c>
      <c r="C958" s="1">
        <v>3.0</v>
      </c>
      <c r="D958" s="1">
        <v>2.0</v>
      </c>
    </row>
    <row r="959">
      <c r="A959" s="1">
        <v>10.0</v>
      </c>
      <c r="B959" s="63">
        <v>43282.0</v>
      </c>
      <c r="C959" s="1">
        <v>4.0</v>
      </c>
      <c r="D959" s="1">
        <v>17.0</v>
      </c>
    </row>
    <row r="960">
      <c r="A960" s="1">
        <v>10.0</v>
      </c>
      <c r="B960" s="63">
        <v>43282.0</v>
      </c>
      <c r="C960" s="1">
        <v>5.0</v>
      </c>
      <c r="D960" s="1">
        <v>12.0</v>
      </c>
    </row>
    <row r="961">
      <c r="A961" s="1">
        <v>10.0</v>
      </c>
      <c r="B961" s="63">
        <v>43282.0</v>
      </c>
      <c r="C961" s="1">
        <v>6.0</v>
      </c>
      <c r="D961" s="1">
        <v>3.0</v>
      </c>
    </row>
    <row r="962">
      <c r="A962" s="1">
        <v>10.0</v>
      </c>
      <c r="B962" s="63">
        <v>43282.0</v>
      </c>
      <c r="C962" s="1">
        <v>7.0</v>
      </c>
      <c r="D962" s="1">
        <v>3.0</v>
      </c>
    </row>
    <row r="963">
      <c r="A963" s="1">
        <v>10.0</v>
      </c>
      <c r="B963" s="63">
        <v>43282.0</v>
      </c>
      <c r="C963" s="1">
        <v>8.0</v>
      </c>
      <c r="D963" s="1">
        <v>5.0</v>
      </c>
    </row>
    <row r="964">
      <c r="A964" s="1">
        <v>10.0</v>
      </c>
      <c r="B964" s="63">
        <v>43282.0</v>
      </c>
      <c r="C964" s="1">
        <v>9.0</v>
      </c>
      <c r="D964" s="1">
        <v>10.0</v>
      </c>
    </row>
    <row r="965">
      <c r="A965" s="1">
        <v>10.0</v>
      </c>
      <c r="B965" s="63">
        <v>43282.0</v>
      </c>
      <c r="C965" s="1">
        <v>10.0</v>
      </c>
      <c r="D965" s="1">
        <v>4.0</v>
      </c>
    </row>
    <row r="966">
      <c r="A966" s="1">
        <v>10.0</v>
      </c>
      <c r="B966" s="63">
        <v>43282.0</v>
      </c>
      <c r="C966" s="1">
        <v>11.0</v>
      </c>
      <c r="D966" s="1">
        <v>4.0</v>
      </c>
    </row>
    <row r="967">
      <c r="A967" s="1">
        <v>10.0</v>
      </c>
      <c r="B967" s="63">
        <v>43282.0</v>
      </c>
      <c r="C967" s="1">
        <v>12.0</v>
      </c>
      <c r="D967" s="1">
        <v>1.0</v>
      </c>
    </row>
    <row r="968">
      <c r="A968" s="1">
        <v>10.0</v>
      </c>
      <c r="B968" s="63">
        <v>43282.0</v>
      </c>
      <c r="C968" s="1">
        <v>13.0</v>
      </c>
      <c r="D968" s="1">
        <v>8.0</v>
      </c>
    </row>
    <row r="969">
      <c r="A969" s="1">
        <v>10.0</v>
      </c>
      <c r="B969" s="63">
        <v>43282.0</v>
      </c>
      <c r="C969" s="1">
        <v>14.0</v>
      </c>
      <c r="D969" s="1">
        <v>6.0</v>
      </c>
    </row>
    <row r="970">
      <c r="A970" s="1">
        <v>10.0</v>
      </c>
      <c r="B970" s="63">
        <v>43282.0</v>
      </c>
      <c r="C970" s="1">
        <v>15.0</v>
      </c>
      <c r="D970" s="1">
        <v>4.0</v>
      </c>
    </row>
    <row r="971">
      <c r="A971" s="1">
        <v>10.0</v>
      </c>
      <c r="B971" s="63">
        <v>43282.0</v>
      </c>
      <c r="C971" s="1">
        <v>16.0</v>
      </c>
      <c r="D971" s="1">
        <v>2.0</v>
      </c>
    </row>
    <row r="972">
      <c r="A972" s="1">
        <v>10.0</v>
      </c>
      <c r="B972" s="63">
        <v>43282.0</v>
      </c>
      <c r="C972" s="1">
        <v>17.0</v>
      </c>
      <c r="D972" s="1">
        <v>4.0</v>
      </c>
    </row>
    <row r="973">
      <c r="A973" s="1">
        <v>10.0</v>
      </c>
      <c r="B973" s="63">
        <v>43282.0</v>
      </c>
      <c r="C973" s="1">
        <v>18.0</v>
      </c>
      <c r="D973" s="1">
        <v>2.0</v>
      </c>
    </row>
    <row r="974">
      <c r="A974" s="1" t="e">
        <v>#N/A</v>
      </c>
      <c r="B974" s="63">
        <v>43254.0</v>
      </c>
      <c r="C974" s="1">
        <v>0.0</v>
      </c>
      <c r="D974" s="1">
        <v>3.0</v>
      </c>
    </row>
    <row r="975">
      <c r="A975" s="1" t="e">
        <v>#N/A</v>
      </c>
      <c r="B975" s="63">
        <v>43254.0</v>
      </c>
      <c r="C975" s="1">
        <v>10.0</v>
      </c>
      <c r="D975" s="1">
        <v>1.0</v>
      </c>
    </row>
    <row r="976">
      <c r="A976" s="1" t="e">
        <v>#N/A</v>
      </c>
      <c r="B976" s="63">
        <v>43254.0</v>
      </c>
      <c r="C976" s="1">
        <v>14.0</v>
      </c>
      <c r="D976" s="1">
        <v>1.0</v>
      </c>
    </row>
    <row r="977">
      <c r="A977" s="1" t="e">
        <v>#N/A</v>
      </c>
      <c r="B977" s="63">
        <v>43254.0</v>
      </c>
      <c r="C977" s="1">
        <v>18.0</v>
      </c>
      <c r="D977" s="1">
        <v>1.0</v>
      </c>
    </row>
    <row r="978">
      <c r="A978" s="1" t="e">
        <v>#N/A</v>
      </c>
      <c r="B978" s="63">
        <v>43261.0</v>
      </c>
      <c r="C978" s="1">
        <v>0.0</v>
      </c>
      <c r="D978" s="1">
        <v>11.0</v>
      </c>
    </row>
    <row r="979">
      <c r="A979" s="1" t="e">
        <v>#N/A</v>
      </c>
      <c r="B979" s="63">
        <v>43261.0</v>
      </c>
      <c r="C979" s="1">
        <v>4.0</v>
      </c>
      <c r="D979" s="1">
        <v>1.0</v>
      </c>
    </row>
    <row r="980">
      <c r="A980" s="1" t="e">
        <v>#N/A</v>
      </c>
      <c r="B980" s="63">
        <v>43261.0</v>
      </c>
      <c r="C980" s="1">
        <v>9.0</v>
      </c>
      <c r="D980" s="1">
        <v>1.0</v>
      </c>
    </row>
    <row r="981">
      <c r="A981" s="1" t="e">
        <v>#N/A</v>
      </c>
      <c r="B981" s="63">
        <v>43261.0</v>
      </c>
      <c r="C981" s="1">
        <v>11.0</v>
      </c>
      <c r="D981" s="1">
        <v>1.0</v>
      </c>
    </row>
    <row r="982">
      <c r="A982" s="1" t="e">
        <v>#N/A</v>
      </c>
      <c r="B982" s="63">
        <v>43261.0</v>
      </c>
      <c r="C982" s="1">
        <v>12.0</v>
      </c>
      <c r="D982" s="1">
        <v>1.0</v>
      </c>
    </row>
    <row r="983">
      <c r="A983" s="1" t="e">
        <v>#N/A</v>
      </c>
      <c r="B983" s="63">
        <v>43261.0</v>
      </c>
      <c r="C983" s="1">
        <v>16.0</v>
      </c>
      <c r="D983" s="1">
        <v>1.0</v>
      </c>
    </row>
    <row r="984">
      <c r="A984" s="1" t="e">
        <v>#N/A</v>
      </c>
      <c r="B984" s="63">
        <v>43261.0</v>
      </c>
      <c r="C984" s="1">
        <v>18.0</v>
      </c>
      <c r="D984" s="1">
        <v>1.0</v>
      </c>
    </row>
    <row r="985">
      <c r="A985" s="1" t="e">
        <v>#N/A</v>
      </c>
      <c r="B985" s="63">
        <v>43268.0</v>
      </c>
      <c r="C985" s="1">
        <v>0.0</v>
      </c>
      <c r="D985" s="1">
        <v>8.0</v>
      </c>
    </row>
    <row r="986">
      <c r="A986" s="1" t="e">
        <v>#N/A</v>
      </c>
      <c r="B986" s="63">
        <v>43268.0</v>
      </c>
      <c r="C986" s="1">
        <v>3.0</v>
      </c>
      <c r="D986" s="1">
        <v>1.0</v>
      </c>
    </row>
    <row r="987">
      <c r="A987" s="1" t="e">
        <v>#N/A</v>
      </c>
      <c r="B987" s="63">
        <v>43268.0</v>
      </c>
      <c r="C987" s="1">
        <v>4.0</v>
      </c>
      <c r="D987" s="1">
        <v>2.0</v>
      </c>
    </row>
    <row r="988">
      <c r="A988" s="1" t="e">
        <v>#N/A</v>
      </c>
      <c r="B988" s="63">
        <v>43268.0</v>
      </c>
      <c r="C988" s="1">
        <v>7.0</v>
      </c>
      <c r="D988" s="1">
        <v>1.0</v>
      </c>
    </row>
    <row r="989">
      <c r="A989" s="1" t="e">
        <v>#N/A</v>
      </c>
      <c r="B989" s="63">
        <v>43268.0</v>
      </c>
      <c r="C989" s="1">
        <v>12.0</v>
      </c>
      <c r="D989" s="1">
        <v>1.0</v>
      </c>
    </row>
    <row r="990">
      <c r="A990" s="1" t="e">
        <v>#N/A</v>
      </c>
      <c r="B990" s="63">
        <v>43268.0</v>
      </c>
      <c r="C990" s="1">
        <v>13.0</v>
      </c>
      <c r="D990" s="1">
        <v>2.0</v>
      </c>
    </row>
    <row r="991">
      <c r="A991" s="1" t="e">
        <v>#N/A</v>
      </c>
      <c r="B991" s="63">
        <v>43268.0</v>
      </c>
      <c r="C991" s="1">
        <v>16.0</v>
      </c>
      <c r="D991" s="1">
        <v>1.0</v>
      </c>
    </row>
    <row r="992">
      <c r="A992" s="1" t="e">
        <v>#N/A</v>
      </c>
      <c r="B992" s="63">
        <v>43268.0</v>
      </c>
      <c r="C992" s="1">
        <v>17.0</v>
      </c>
      <c r="D992" s="1">
        <v>1.0</v>
      </c>
    </row>
    <row r="993">
      <c r="A993" s="1" t="e">
        <v>#N/A</v>
      </c>
      <c r="B993" s="63">
        <v>43275.0</v>
      </c>
      <c r="C993" s="1">
        <v>0.0</v>
      </c>
      <c r="D993" s="1">
        <v>7.0</v>
      </c>
    </row>
    <row r="994">
      <c r="A994" s="1" t="e">
        <v>#N/A</v>
      </c>
      <c r="B994" s="63">
        <v>43275.0</v>
      </c>
      <c r="C994" s="1">
        <v>4.0</v>
      </c>
      <c r="D994" s="1">
        <v>1.0</v>
      </c>
    </row>
    <row r="995">
      <c r="A995" s="1" t="e">
        <v>#N/A</v>
      </c>
      <c r="B995" s="63">
        <v>43275.0</v>
      </c>
      <c r="C995" s="1">
        <v>13.0</v>
      </c>
      <c r="D995" s="1">
        <v>1.0</v>
      </c>
    </row>
    <row r="996">
      <c r="A996" s="1" t="e">
        <v>#N/A</v>
      </c>
      <c r="B996" s="63">
        <v>43282.0</v>
      </c>
      <c r="C996" s="1">
        <v>0.0</v>
      </c>
      <c r="D996" s="1">
        <v>2.0</v>
      </c>
    </row>
    <row r="997">
      <c r="A997" s="1" t="e">
        <v>#N/A</v>
      </c>
      <c r="B997" s="63">
        <v>43282.0</v>
      </c>
      <c r="C997" s="1">
        <v>1.0</v>
      </c>
      <c r="D997" s="1">
        <v>1.0</v>
      </c>
    </row>
    <row r="998">
      <c r="B998" s="63"/>
      <c r="C998" s="63"/>
      <c r="D998" s="63"/>
    </row>
    <row r="999">
      <c r="B999" s="63"/>
      <c r="C999" s="63"/>
      <c r="D999" s="63"/>
    </row>
    <row r="1000">
      <c r="B1000" s="63"/>
      <c r="C1000" s="63"/>
      <c r="D1000" s="63"/>
    </row>
    <row r="1001">
      <c r="B1001" s="63"/>
      <c r="C1001" s="63"/>
      <c r="D1001" s="63"/>
    </row>
    <row r="1002">
      <c r="B1002" s="63"/>
      <c r="C1002" s="63"/>
      <c r="D1002" s="63"/>
    </row>
    <row r="1003">
      <c r="B1003" s="63"/>
      <c r="C1003" s="63"/>
      <c r="D1003" s="63"/>
    </row>
    <row r="1004">
      <c r="B1004" s="63"/>
      <c r="C1004" s="63"/>
      <c r="D1004" s="63"/>
    </row>
    <row r="1005">
      <c r="B1005" s="63"/>
      <c r="C1005" s="63"/>
      <c r="D1005" s="63"/>
    </row>
    <row r="1006">
      <c r="B1006" s="63"/>
      <c r="C1006" s="63"/>
      <c r="D1006" s="63"/>
    </row>
    <row r="1007">
      <c r="B1007" s="63"/>
      <c r="C1007" s="63"/>
      <c r="D1007" s="63"/>
    </row>
    <row r="1008">
      <c r="B1008" s="63"/>
      <c r="C1008" s="63"/>
      <c r="D1008" s="63"/>
    </row>
    <row r="1009">
      <c r="B1009" s="63"/>
      <c r="C1009" s="63"/>
      <c r="D1009" s="63"/>
    </row>
    <row r="1010">
      <c r="B1010" s="63"/>
      <c r="C1010" s="63"/>
      <c r="D1010" s="63"/>
    </row>
    <row r="1011">
      <c r="B1011" s="63"/>
      <c r="C1011" s="63"/>
      <c r="D1011" s="63"/>
    </row>
    <row r="1012">
      <c r="B1012" s="63"/>
      <c r="C1012" s="63"/>
      <c r="D1012" s="63"/>
    </row>
    <row r="1013">
      <c r="B1013" s="63"/>
      <c r="C1013" s="63"/>
      <c r="D1013" s="63"/>
    </row>
    <row r="1014">
      <c r="B1014" s="63"/>
      <c r="C1014" s="63"/>
      <c r="D1014" s="63"/>
    </row>
    <row r="1015">
      <c r="B1015" s="63"/>
      <c r="C1015" s="63"/>
      <c r="D1015" s="63"/>
    </row>
    <row r="1016">
      <c r="B1016" s="63"/>
      <c r="C1016" s="63"/>
      <c r="D1016" s="63"/>
    </row>
    <row r="1017">
      <c r="B1017" s="63"/>
      <c r="C1017" s="63"/>
      <c r="D1017" s="63"/>
    </row>
    <row r="1018">
      <c r="B1018" s="63"/>
      <c r="C1018" s="63"/>
      <c r="D1018" s="63"/>
    </row>
    <row r="1019">
      <c r="B1019" s="63"/>
      <c r="C1019" s="63"/>
      <c r="D1019" s="63"/>
    </row>
    <row r="1020">
      <c r="B1020" s="63"/>
      <c r="C1020" s="63"/>
      <c r="D1020" s="63"/>
    </row>
    <row r="1021">
      <c r="B1021" s="63"/>
      <c r="C1021" s="63"/>
      <c r="D1021" s="63"/>
    </row>
    <row r="1022">
      <c r="B1022" s="63"/>
      <c r="C1022" s="63"/>
      <c r="D1022" s="63"/>
    </row>
    <row r="1023">
      <c r="B1023" s="63"/>
      <c r="C1023" s="63"/>
      <c r="D1023" s="63"/>
    </row>
    <row r="1024">
      <c r="B1024" s="63"/>
      <c r="C1024" s="63"/>
      <c r="D1024" s="63"/>
    </row>
    <row r="1025">
      <c r="B1025" s="63"/>
      <c r="C1025" s="63"/>
      <c r="D1025" s="63"/>
    </row>
    <row r="1026">
      <c r="B1026" s="63"/>
      <c r="C1026" s="63"/>
      <c r="D1026" s="63"/>
    </row>
    <row r="1027">
      <c r="B1027" s="63"/>
      <c r="C1027" s="63"/>
      <c r="D1027" s="63"/>
    </row>
    <row r="1028">
      <c r="B1028" s="63"/>
      <c r="C1028" s="63"/>
      <c r="D1028" s="63"/>
    </row>
    <row r="1029">
      <c r="B1029" s="63"/>
      <c r="C1029" s="63"/>
      <c r="D1029" s="63"/>
    </row>
    <row r="1030">
      <c r="B1030" s="63"/>
      <c r="C1030" s="63"/>
      <c r="D1030" s="63"/>
    </row>
    <row r="1031">
      <c r="B1031" s="63"/>
      <c r="C1031" s="63"/>
      <c r="D1031" s="63"/>
    </row>
    <row r="1032">
      <c r="B1032" s="63"/>
      <c r="C1032" s="63"/>
      <c r="D1032" s="63"/>
    </row>
    <row r="1033">
      <c r="B1033" s="63"/>
      <c r="C1033" s="63"/>
      <c r="D1033" s="63"/>
    </row>
    <row r="1034">
      <c r="B1034" s="63"/>
      <c r="C1034" s="63"/>
      <c r="D1034" s="63"/>
    </row>
    <row r="1035">
      <c r="B1035" s="63"/>
      <c r="C1035" s="63"/>
      <c r="D1035" s="63"/>
    </row>
    <row r="1036">
      <c r="B1036" s="63"/>
      <c r="C1036" s="63"/>
      <c r="D1036" s="63"/>
    </row>
    <row r="1037">
      <c r="B1037" s="63"/>
      <c r="C1037" s="63"/>
      <c r="D1037" s="63"/>
    </row>
    <row r="1038">
      <c r="B1038" s="63"/>
      <c r="C1038" s="63"/>
      <c r="D1038" s="63"/>
    </row>
    <row r="1039">
      <c r="B1039" s="63"/>
      <c r="C1039" s="63"/>
      <c r="D1039" s="63"/>
    </row>
    <row r="1040">
      <c r="B1040" s="63"/>
      <c r="C1040" s="63"/>
      <c r="D1040" s="63"/>
    </row>
    <row r="1041">
      <c r="B1041" s="63"/>
      <c r="C1041" s="63"/>
      <c r="D1041" s="63"/>
    </row>
    <row r="1042">
      <c r="B1042" s="63"/>
      <c r="C1042" s="63"/>
      <c r="D1042" s="63"/>
    </row>
    <row r="1043">
      <c r="B1043" s="63"/>
      <c r="C1043" s="63"/>
      <c r="D1043" s="63"/>
    </row>
    <row r="1044">
      <c r="B1044" s="63"/>
      <c r="C1044" s="63"/>
      <c r="D1044" s="63"/>
    </row>
    <row r="1045">
      <c r="B1045" s="63"/>
      <c r="C1045" s="63"/>
      <c r="D1045" s="63"/>
    </row>
    <row r="1046">
      <c r="B1046" s="63"/>
      <c r="C1046" s="63"/>
      <c r="D1046" s="63"/>
    </row>
    <row r="1047">
      <c r="B1047" s="63"/>
      <c r="C1047" s="63"/>
      <c r="D1047" s="63"/>
    </row>
    <row r="1048">
      <c r="B1048" s="63"/>
      <c r="C1048" s="63"/>
      <c r="D1048" s="63"/>
    </row>
    <row r="1049">
      <c r="B1049" s="63"/>
      <c r="C1049" s="63"/>
      <c r="D1049" s="63"/>
    </row>
    <row r="1050">
      <c r="B1050" s="63"/>
      <c r="C1050" s="63"/>
      <c r="D1050" s="63"/>
    </row>
    <row r="1051">
      <c r="B1051" s="63"/>
      <c r="C1051" s="63"/>
      <c r="D1051" s="63"/>
    </row>
    <row r="1052">
      <c r="B1052" s="63"/>
      <c r="C1052" s="63"/>
      <c r="D1052" s="63"/>
    </row>
    <row r="1053">
      <c r="B1053" s="63"/>
      <c r="C1053" s="63"/>
      <c r="D1053" s="63"/>
    </row>
    <row r="1054">
      <c r="B1054" s="63"/>
      <c r="C1054" s="63"/>
      <c r="D1054" s="63"/>
    </row>
    <row r="1055">
      <c r="B1055" s="63"/>
      <c r="C1055" s="63"/>
      <c r="D1055" s="63"/>
    </row>
    <row r="1056">
      <c r="B1056" s="63"/>
      <c r="C1056" s="63"/>
      <c r="D1056" s="63"/>
    </row>
    <row r="1057">
      <c r="B1057" s="63"/>
      <c r="C1057" s="63"/>
      <c r="D1057" s="63"/>
    </row>
    <row r="1058">
      <c r="B1058" s="63"/>
      <c r="C1058" s="63"/>
      <c r="D1058" s="63"/>
    </row>
    <row r="1059">
      <c r="B1059" s="63"/>
      <c r="C1059" s="63"/>
      <c r="D1059" s="63"/>
    </row>
    <row r="1060">
      <c r="B1060" s="63"/>
      <c r="C1060" s="63"/>
      <c r="D1060" s="63"/>
    </row>
    <row r="1061">
      <c r="B1061" s="63"/>
      <c r="C1061" s="63"/>
      <c r="D1061" s="63"/>
    </row>
    <row r="1062">
      <c r="B1062" s="63"/>
      <c r="C1062" s="63"/>
      <c r="D1062" s="63"/>
    </row>
    <row r="1063">
      <c r="B1063" s="63"/>
      <c r="C1063" s="63"/>
      <c r="D1063" s="63"/>
    </row>
    <row r="1064">
      <c r="B1064" s="63"/>
      <c r="C1064" s="63"/>
      <c r="D1064" s="63"/>
    </row>
    <row r="1065">
      <c r="B1065" s="63"/>
      <c r="C1065" s="63"/>
      <c r="D1065" s="63"/>
    </row>
    <row r="1066">
      <c r="B1066" s="63"/>
      <c r="C1066" s="63"/>
      <c r="D1066" s="63"/>
    </row>
    <row r="1067">
      <c r="B1067" s="63"/>
      <c r="C1067" s="63"/>
      <c r="D1067" s="63"/>
    </row>
    <row r="1068">
      <c r="B1068" s="63"/>
      <c r="C1068" s="63"/>
      <c r="D1068" s="63"/>
    </row>
    <row r="1069">
      <c r="B1069" s="63"/>
      <c r="C1069" s="63"/>
      <c r="D1069" s="63"/>
    </row>
    <row r="1070">
      <c r="B1070" s="63"/>
      <c r="C1070" s="63"/>
      <c r="D1070" s="63"/>
    </row>
    <row r="1071">
      <c r="B1071" s="63"/>
      <c r="C1071" s="63"/>
      <c r="D1071" s="63"/>
    </row>
    <row r="1072">
      <c r="B1072" s="63"/>
      <c r="C1072" s="63"/>
      <c r="D1072" s="63"/>
    </row>
    <row r="1073">
      <c r="B1073" s="63"/>
      <c r="C1073" s="63"/>
      <c r="D1073" s="63"/>
    </row>
    <row r="1074">
      <c r="B1074" s="63"/>
      <c r="C1074" s="63"/>
      <c r="D1074" s="63"/>
    </row>
    <row r="1075">
      <c r="B1075" s="63"/>
      <c r="C1075" s="63"/>
      <c r="D1075" s="63"/>
    </row>
    <row r="1076">
      <c r="B1076" s="63"/>
      <c r="C1076" s="63"/>
      <c r="D1076" s="63"/>
    </row>
    <row r="1077">
      <c r="B1077" s="63"/>
      <c r="C1077" s="63"/>
      <c r="D1077" s="63"/>
    </row>
    <row r="1078">
      <c r="B1078" s="63"/>
      <c r="C1078" s="63"/>
      <c r="D1078" s="63"/>
    </row>
    <row r="1079">
      <c r="B1079" s="63"/>
      <c r="C1079" s="63"/>
      <c r="D1079" s="63"/>
    </row>
    <row r="1080">
      <c r="B1080" s="63"/>
      <c r="C1080" s="63"/>
      <c r="D1080" s="63"/>
    </row>
    <row r="1081">
      <c r="B1081" s="63"/>
      <c r="C1081" s="63"/>
      <c r="D1081" s="63"/>
    </row>
    <row r="1082">
      <c r="B1082" s="63"/>
      <c r="C1082" s="63"/>
      <c r="D1082" s="63"/>
    </row>
    <row r="1083">
      <c r="B1083" s="63"/>
      <c r="C1083" s="63"/>
      <c r="D1083" s="63"/>
    </row>
    <row r="1084">
      <c r="B1084" s="63"/>
      <c r="C1084" s="63"/>
      <c r="D1084" s="63"/>
    </row>
    <row r="1085">
      <c r="B1085" s="63"/>
      <c r="C1085" s="63"/>
      <c r="D1085" s="63"/>
    </row>
    <row r="1086">
      <c r="B1086" s="63"/>
      <c r="C1086" s="63"/>
      <c r="D1086" s="63"/>
    </row>
    <row r="1087">
      <c r="B1087" s="63"/>
      <c r="C1087" s="63"/>
      <c r="D1087" s="63"/>
    </row>
    <row r="1088">
      <c r="B1088" s="63"/>
      <c r="C1088" s="63"/>
      <c r="D1088" s="63"/>
    </row>
    <row r="1089">
      <c r="B1089" s="63"/>
      <c r="C1089" s="63"/>
      <c r="D1089" s="63"/>
    </row>
    <row r="1090">
      <c r="B1090" s="63"/>
      <c r="C1090" s="63"/>
      <c r="D1090" s="63"/>
    </row>
    <row r="1091">
      <c r="B1091" s="63"/>
      <c r="C1091" s="63"/>
      <c r="D1091" s="63"/>
    </row>
    <row r="1092">
      <c r="B1092" s="63"/>
      <c r="C1092" s="63"/>
      <c r="D1092" s="63"/>
    </row>
    <row r="1093">
      <c r="B1093" s="63"/>
      <c r="C1093" s="63"/>
      <c r="D1093" s="63"/>
    </row>
    <row r="1094">
      <c r="B1094" s="63"/>
      <c r="C1094" s="63"/>
      <c r="D1094" s="63"/>
    </row>
    <row r="1095">
      <c r="B1095" s="63"/>
      <c r="C1095" s="63"/>
      <c r="D1095" s="63"/>
    </row>
    <row r="1096">
      <c r="B1096" s="63"/>
      <c r="C1096" s="63"/>
      <c r="D1096" s="63"/>
    </row>
    <row r="1097">
      <c r="B1097" s="63"/>
      <c r="C1097" s="63"/>
      <c r="D1097" s="63"/>
    </row>
    <row r="1098">
      <c r="B1098" s="63"/>
      <c r="C1098" s="63"/>
      <c r="D1098" s="63"/>
    </row>
    <row r="1099">
      <c r="B1099" s="63"/>
      <c r="C1099" s="63"/>
      <c r="D1099" s="63"/>
    </row>
    <row r="1100">
      <c r="B1100" s="63"/>
      <c r="C1100" s="63"/>
      <c r="D1100" s="63"/>
    </row>
    <row r="1101">
      <c r="B1101" s="63"/>
      <c r="C1101" s="63"/>
      <c r="D1101" s="63"/>
    </row>
    <row r="1102">
      <c r="B1102" s="63"/>
      <c r="C1102" s="63"/>
      <c r="D1102" s="63"/>
    </row>
    <row r="1103">
      <c r="B1103" s="63"/>
      <c r="C1103" s="63"/>
      <c r="D1103" s="63"/>
    </row>
    <row r="1104">
      <c r="B1104" s="63"/>
      <c r="C1104" s="63"/>
      <c r="D1104" s="63"/>
    </row>
    <row r="1105">
      <c r="B1105" s="63"/>
      <c r="C1105" s="63"/>
      <c r="D1105" s="63"/>
    </row>
    <row r="1106">
      <c r="B1106" s="63"/>
      <c r="C1106" s="63"/>
      <c r="D1106" s="63"/>
    </row>
    <row r="1107">
      <c r="B1107" s="63"/>
      <c r="C1107" s="63"/>
      <c r="D1107" s="63"/>
    </row>
    <row r="1108">
      <c r="B1108" s="63"/>
      <c r="C1108" s="63"/>
      <c r="D1108" s="63"/>
    </row>
    <row r="1109">
      <c r="B1109" s="63"/>
      <c r="C1109" s="63"/>
      <c r="D1109" s="63"/>
    </row>
    <row r="1110">
      <c r="B1110" s="63"/>
      <c r="C1110" s="63"/>
      <c r="D1110" s="63"/>
    </row>
    <row r="1111">
      <c r="B1111" s="63"/>
      <c r="C1111" s="63"/>
      <c r="D1111" s="63"/>
    </row>
    <row r="1112">
      <c r="B1112" s="63"/>
      <c r="C1112" s="63"/>
      <c r="D1112" s="63"/>
    </row>
    <row r="1113">
      <c r="B1113" s="63"/>
      <c r="C1113" s="63"/>
      <c r="D1113" s="63"/>
    </row>
    <row r="1114">
      <c r="B1114" s="63"/>
      <c r="C1114" s="63"/>
      <c r="D1114" s="63"/>
    </row>
    <row r="1115">
      <c r="B1115" s="63"/>
      <c r="C1115" s="63"/>
      <c r="D1115" s="63"/>
    </row>
    <row r="1116">
      <c r="B1116" s="63"/>
      <c r="C1116" s="63"/>
      <c r="D1116" s="63"/>
    </row>
    <row r="1117">
      <c r="B1117" s="63"/>
      <c r="C1117" s="63"/>
      <c r="D1117" s="63"/>
    </row>
    <row r="1118">
      <c r="B1118" s="63"/>
      <c r="C1118" s="63"/>
      <c r="D1118" s="63"/>
    </row>
    <row r="1119">
      <c r="B1119" s="63"/>
      <c r="C1119" s="63"/>
      <c r="D1119" s="63"/>
    </row>
    <row r="1120">
      <c r="B1120" s="63"/>
      <c r="C1120" s="63"/>
      <c r="D1120" s="63"/>
    </row>
    <row r="1121">
      <c r="B1121" s="63"/>
      <c r="C1121" s="63"/>
      <c r="D1121" s="63"/>
    </row>
    <row r="1122">
      <c r="B1122" s="63"/>
      <c r="C1122" s="63"/>
      <c r="D1122" s="63"/>
    </row>
    <row r="1123">
      <c r="B1123" s="63"/>
      <c r="C1123" s="63"/>
      <c r="D1123" s="63"/>
    </row>
    <row r="1124">
      <c r="B1124" s="63"/>
      <c r="C1124" s="63"/>
      <c r="D1124" s="63"/>
    </row>
    <row r="1125">
      <c r="B1125" s="63"/>
      <c r="C1125" s="63"/>
      <c r="D1125" s="63"/>
    </row>
    <row r="1126">
      <c r="B1126" s="63"/>
      <c r="C1126" s="63"/>
      <c r="D1126" s="63"/>
    </row>
    <row r="1127">
      <c r="B1127" s="63"/>
      <c r="C1127" s="63"/>
      <c r="D1127" s="63"/>
    </row>
    <row r="1128">
      <c r="B1128" s="63"/>
      <c r="C1128" s="63"/>
      <c r="D1128" s="63"/>
    </row>
    <row r="1129">
      <c r="B1129" s="63"/>
      <c r="C1129" s="63"/>
      <c r="D1129" s="63"/>
    </row>
    <row r="1130">
      <c r="B1130" s="63"/>
      <c r="C1130" s="63"/>
      <c r="D1130" s="63"/>
    </row>
    <row r="1131">
      <c r="B1131" s="63"/>
      <c r="C1131" s="63"/>
      <c r="D1131" s="63"/>
    </row>
    <row r="1132">
      <c r="B1132" s="63"/>
      <c r="C1132" s="63"/>
      <c r="D1132" s="63"/>
    </row>
    <row r="1133">
      <c r="B1133" s="63"/>
      <c r="C1133" s="63"/>
      <c r="D1133" s="63"/>
    </row>
    <row r="1134">
      <c r="B1134" s="63"/>
      <c r="C1134" s="63"/>
      <c r="D1134" s="63"/>
    </row>
    <row r="1135">
      <c r="B1135" s="63"/>
      <c r="C1135" s="63"/>
      <c r="D1135" s="63"/>
    </row>
    <row r="1136">
      <c r="B1136" s="63"/>
      <c r="C1136" s="63"/>
      <c r="D1136" s="63"/>
    </row>
    <row r="1137">
      <c r="B1137" s="63"/>
      <c r="C1137" s="63"/>
      <c r="D1137" s="63"/>
    </row>
    <row r="1138">
      <c r="B1138" s="63"/>
      <c r="C1138" s="63"/>
      <c r="D1138" s="63"/>
    </row>
    <row r="1139">
      <c r="B1139" s="63"/>
      <c r="C1139" s="63"/>
      <c r="D1139" s="63"/>
    </row>
    <row r="1140">
      <c r="B1140" s="63"/>
      <c r="C1140" s="63"/>
      <c r="D1140" s="63"/>
    </row>
    <row r="1141">
      <c r="B1141" s="63"/>
      <c r="C1141" s="63"/>
      <c r="D1141" s="63"/>
    </row>
    <row r="1142">
      <c r="B1142" s="63"/>
      <c r="C1142" s="63"/>
      <c r="D1142" s="63"/>
    </row>
    <row r="1143">
      <c r="B1143" s="63"/>
      <c r="C1143" s="63"/>
      <c r="D1143" s="63"/>
    </row>
    <row r="1144">
      <c r="B1144" s="63"/>
      <c r="C1144" s="63"/>
      <c r="D1144" s="63"/>
    </row>
    <row r="1145">
      <c r="B1145" s="63"/>
      <c r="C1145" s="63"/>
      <c r="D1145" s="63"/>
    </row>
    <row r="1146">
      <c r="B1146" s="63"/>
      <c r="C1146" s="63"/>
      <c r="D1146" s="63"/>
    </row>
    <row r="1147">
      <c r="B1147" s="63"/>
      <c r="C1147" s="63"/>
      <c r="D1147" s="63"/>
    </row>
    <row r="1148">
      <c r="B1148" s="63"/>
      <c r="C1148" s="63"/>
      <c r="D1148" s="63"/>
    </row>
    <row r="1149">
      <c r="B1149" s="63"/>
      <c r="C1149" s="63"/>
      <c r="D1149" s="63"/>
    </row>
    <row r="1150">
      <c r="B1150" s="63"/>
      <c r="C1150" s="63"/>
      <c r="D1150" s="63"/>
    </row>
    <row r="1151">
      <c r="B1151" s="63"/>
      <c r="C1151" s="63"/>
      <c r="D1151" s="63"/>
    </row>
    <row r="1152">
      <c r="B1152" s="63"/>
      <c r="C1152" s="63"/>
      <c r="D1152" s="63"/>
    </row>
    <row r="1153">
      <c r="B1153" s="63"/>
      <c r="C1153" s="63"/>
      <c r="D1153" s="63"/>
    </row>
    <row r="1154">
      <c r="B1154" s="63"/>
      <c r="C1154" s="63"/>
      <c r="D1154" s="63"/>
    </row>
    <row r="1155">
      <c r="B1155" s="63"/>
      <c r="C1155" s="63"/>
      <c r="D1155" s="63"/>
    </row>
    <row r="1156">
      <c r="B1156" s="63"/>
      <c r="C1156" s="63"/>
      <c r="D1156" s="63"/>
    </row>
    <row r="1157">
      <c r="B1157" s="63"/>
      <c r="C1157" s="63"/>
      <c r="D1157" s="63"/>
    </row>
    <row r="1158">
      <c r="B1158" s="63"/>
      <c r="C1158" s="63"/>
      <c r="D1158" s="63"/>
    </row>
    <row r="1159">
      <c r="B1159" s="63"/>
      <c r="C1159" s="63"/>
      <c r="D1159" s="63"/>
    </row>
    <row r="1160">
      <c r="B1160" s="63"/>
      <c r="C1160" s="63"/>
      <c r="D1160" s="63"/>
    </row>
    <row r="1161">
      <c r="B1161" s="63"/>
      <c r="C1161" s="63"/>
      <c r="D1161" s="63"/>
    </row>
    <row r="1162">
      <c r="B1162" s="63"/>
      <c r="C1162" s="63"/>
      <c r="D1162" s="63"/>
    </row>
    <row r="1163">
      <c r="B1163" s="63"/>
      <c r="C1163" s="63"/>
      <c r="D1163" s="63"/>
    </row>
    <row r="1164">
      <c r="B1164" s="63"/>
      <c r="C1164" s="63"/>
      <c r="D1164" s="63"/>
    </row>
    <row r="1165">
      <c r="B1165" s="63"/>
      <c r="C1165" s="63"/>
      <c r="D1165" s="63"/>
    </row>
    <row r="1166">
      <c r="B1166" s="63"/>
      <c r="C1166" s="63"/>
      <c r="D1166" s="63"/>
    </row>
    <row r="1167">
      <c r="B1167" s="63"/>
      <c r="C1167" s="63"/>
      <c r="D1167" s="63"/>
    </row>
    <row r="1168">
      <c r="B1168" s="63"/>
      <c r="C1168" s="63"/>
      <c r="D1168" s="63"/>
    </row>
    <row r="1169">
      <c r="B1169" s="63"/>
      <c r="C1169" s="63"/>
      <c r="D1169" s="63"/>
    </row>
    <row r="1170">
      <c r="B1170" s="63"/>
      <c r="C1170" s="63"/>
      <c r="D1170" s="63"/>
    </row>
    <row r="1171">
      <c r="B1171" s="63"/>
      <c r="C1171" s="63"/>
      <c r="D1171" s="63"/>
    </row>
    <row r="1172">
      <c r="B1172" s="63"/>
      <c r="C1172" s="63"/>
      <c r="D1172" s="63"/>
    </row>
    <row r="1173">
      <c r="B1173" s="63"/>
      <c r="C1173" s="63"/>
      <c r="D1173" s="63"/>
    </row>
    <row r="1174">
      <c r="B1174" s="63"/>
      <c r="C1174" s="63"/>
      <c r="D1174" s="63"/>
    </row>
    <row r="1175">
      <c r="B1175" s="63"/>
      <c r="C1175" s="63"/>
      <c r="D1175" s="63"/>
    </row>
    <row r="1176">
      <c r="B1176" s="63"/>
      <c r="C1176" s="63"/>
      <c r="D1176" s="63"/>
    </row>
    <row r="1177">
      <c r="B1177" s="63"/>
      <c r="C1177" s="63"/>
      <c r="D1177" s="63"/>
    </row>
    <row r="1178">
      <c r="B1178" s="63"/>
      <c r="C1178" s="63"/>
      <c r="D1178" s="63"/>
    </row>
    <row r="1179">
      <c r="B1179" s="63"/>
      <c r="C1179" s="63"/>
      <c r="D1179" s="63"/>
    </row>
    <row r="1180">
      <c r="B1180" s="63"/>
      <c r="C1180" s="63"/>
      <c r="D1180" s="63"/>
    </row>
    <row r="1181">
      <c r="B1181" s="63"/>
      <c r="C1181" s="63"/>
      <c r="D1181" s="63"/>
    </row>
    <row r="1182">
      <c r="B1182" s="63"/>
      <c r="C1182" s="63"/>
      <c r="D1182" s="63"/>
    </row>
    <row r="1183">
      <c r="B1183" s="63"/>
      <c r="C1183" s="63"/>
      <c r="D1183" s="63"/>
    </row>
    <row r="1184">
      <c r="B1184" s="63"/>
      <c r="C1184" s="63"/>
      <c r="D1184" s="63"/>
    </row>
    <row r="1185">
      <c r="B1185" s="63"/>
      <c r="C1185" s="63"/>
      <c r="D1185" s="63"/>
    </row>
    <row r="1186">
      <c r="B1186" s="63"/>
      <c r="C1186" s="63"/>
      <c r="D1186" s="63"/>
    </row>
    <row r="1187">
      <c r="B1187" s="63"/>
      <c r="C1187" s="63"/>
      <c r="D1187" s="63"/>
    </row>
    <row r="1188">
      <c r="B1188" s="63"/>
      <c r="C1188" s="63"/>
      <c r="D1188" s="63"/>
    </row>
    <row r="1189">
      <c r="B1189" s="63"/>
      <c r="C1189" s="63"/>
      <c r="D1189" s="63"/>
    </row>
    <row r="1190">
      <c r="B1190" s="63"/>
      <c r="C1190" s="63"/>
      <c r="D1190" s="63"/>
    </row>
    <row r="1191">
      <c r="B1191" s="63"/>
      <c r="C1191" s="63"/>
      <c r="D1191" s="63"/>
    </row>
    <row r="1192">
      <c r="B1192" s="63"/>
      <c r="C1192" s="63"/>
      <c r="D1192" s="63"/>
    </row>
    <row r="1193">
      <c r="B1193" s="63"/>
      <c r="C1193" s="63"/>
      <c r="D1193" s="63"/>
    </row>
    <row r="1194">
      <c r="B1194" s="63"/>
      <c r="C1194" s="63"/>
      <c r="D1194" s="63"/>
    </row>
    <row r="1195">
      <c r="B1195" s="63"/>
      <c r="C1195" s="63"/>
      <c r="D1195" s="63"/>
    </row>
    <row r="1196">
      <c r="B1196" s="63"/>
      <c r="C1196" s="63"/>
      <c r="D1196" s="63"/>
    </row>
    <row r="1197">
      <c r="B1197" s="63"/>
      <c r="C1197" s="63"/>
      <c r="D1197" s="63"/>
    </row>
    <row r="1198">
      <c r="B1198" s="63"/>
      <c r="C1198" s="63"/>
      <c r="D1198" s="63"/>
    </row>
    <row r="1199">
      <c r="B1199" s="63"/>
      <c r="C1199" s="63"/>
      <c r="D1199" s="63"/>
    </row>
    <row r="1200">
      <c r="B1200" s="63"/>
      <c r="C1200" s="63"/>
      <c r="D1200" s="63"/>
    </row>
    <row r="1201">
      <c r="B1201" s="63"/>
      <c r="C1201" s="63"/>
      <c r="D1201" s="63"/>
    </row>
    <row r="1202">
      <c r="B1202" s="63"/>
      <c r="C1202" s="63"/>
      <c r="D1202" s="63"/>
    </row>
    <row r="1203">
      <c r="B1203" s="63"/>
      <c r="C1203" s="63"/>
      <c r="D1203" s="63"/>
    </row>
    <row r="1204">
      <c r="B1204" s="63"/>
      <c r="C1204" s="63"/>
      <c r="D1204" s="63"/>
    </row>
    <row r="1205">
      <c r="B1205" s="63"/>
      <c r="C1205" s="63"/>
      <c r="D1205" s="63"/>
    </row>
    <row r="1206">
      <c r="B1206" s="63"/>
      <c r="C1206" s="63"/>
      <c r="D1206" s="63"/>
    </row>
    <row r="1207">
      <c r="B1207" s="63"/>
      <c r="C1207" s="63"/>
      <c r="D1207" s="63"/>
    </row>
    <row r="1208">
      <c r="B1208" s="63"/>
      <c r="C1208" s="63"/>
      <c r="D1208" s="63"/>
    </row>
    <row r="1209">
      <c r="B1209" s="63"/>
      <c r="C1209" s="63"/>
      <c r="D1209" s="63"/>
    </row>
    <row r="1210">
      <c r="B1210" s="63"/>
      <c r="C1210" s="63"/>
      <c r="D1210" s="63"/>
    </row>
    <row r="1211">
      <c r="B1211" s="63"/>
      <c r="C1211" s="63"/>
      <c r="D1211" s="63"/>
    </row>
    <row r="1212">
      <c r="B1212" s="63"/>
      <c r="C1212" s="63"/>
      <c r="D1212" s="63"/>
    </row>
    <row r="1213">
      <c r="B1213" s="63"/>
      <c r="C1213" s="63"/>
      <c r="D1213" s="63"/>
    </row>
    <row r="1214">
      <c r="B1214" s="63"/>
      <c r="C1214" s="63"/>
      <c r="D1214" s="63"/>
    </row>
    <row r="1215">
      <c r="B1215" s="63"/>
      <c r="C1215" s="63"/>
      <c r="D1215" s="63"/>
    </row>
    <row r="1216">
      <c r="B1216" s="63"/>
      <c r="C1216" s="63"/>
      <c r="D1216" s="63"/>
    </row>
    <row r="1217">
      <c r="B1217" s="63"/>
      <c r="C1217" s="63"/>
      <c r="D1217" s="63"/>
    </row>
    <row r="1218">
      <c r="B1218" s="63"/>
      <c r="C1218" s="63"/>
      <c r="D1218" s="63"/>
    </row>
    <row r="1219">
      <c r="B1219" s="63"/>
      <c r="C1219" s="63"/>
      <c r="D1219" s="63"/>
    </row>
    <row r="1220">
      <c r="B1220" s="63"/>
      <c r="C1220" s="63"/>
      <c r="D1220" s="63"/>
    </row>
    <row r="1221">
      <c r="B1221" s="63"/>
      <c r="C1221" s="63"/>
      <c r="D1221" s="63"/>
    </row>
    <row r="1222">
      <c r="B1222" s="63"/>
      <c r="C1222" s="63"/>
      <c r="D1222" s="63"/>
    </row>
    <row r="1223">
      <c r="B1223" s="63"/>
      <c r="C1223" s="63"/>
      <c r="D1223" s="63"/>
    </row>
    <row r="1224">
      <c r="B1224" s="63"/>
      <c r="C1224" s="63"/>
      <c r="D1224" s="63"/>
    </row>
    <row r="1225">
      <c r="B1225" s="63"/>
      <c r="C1225" s="63"/>
      <c r="D1225" s="63"/>
    </row>
    <row r="1226">
      <c r="B1226" s="63"/>
      <c r="C1226" s="63"/>
      <c r="D1226" s="63"/>
    </row>
    <row r="1227">
      <c r="B1227" s="63"/>
      <c r="C1227" s="63"/>
      <c r="D1227" s="63"/>
    </row>
    <row r="1228">
      <c r="B1228" s="63"/>
      <c r="C1228" s="63"/>
      <c r="D1228" s="63"/>
    </row>
    <row r="1229">
      <c r="B1229" s="63"/>
      <c r="C1229" s="63"/>
      <c r="D1229" s="63"/>
    </row>
    <row r="1230">
      <c r="B1230" s="63"/>
      <c r="C1230" s="63"/>
      <c r="D1230" s="63"/>
    </row>
    <row r="1231">
      <c r="B1231" s="63"/>
      <c r="C1231" s="63"/>
      <c r="D1231" s="63"/>
    </row>
    <row r="1232">
      <c r="B1232" s="63"/>
      <c r="C1232" s="63"/>
      <c r="D1232" s="63"/>
    </row>
    <row r="1233">
      <c r="B1233" s="63"/>
      <c r="C1233" s="63"/>
      <c r="D1233" s="63"/>
    </row>
    <row r="1234">
      <c r="B1234" s="63"/>
      <c r="C1234" s="63"/>
      <c r="D1234" s="63"/>
    </row>
    <row r="1235">
      <c r="B1235" s="63"/>
      <c r="C1235" s="63"/>
      <c r="D1235" s="63"/>
    </row>
    <row r="1236">
      <c r="B1236" s="63"/>
      <c r="C1236" s="63"/>
      <c r="D1236" s="63"/>
    </row>
    <row r="1237">
      <c r="B1237" s="63"/>
      <c r="C1237" s="63"/>
      <c r="D1237" s="63"/>
    </row>
    <row r="1238">
      <c r="B1238" s="63"/>
      <c r="C1238" s="63"/>
      <c r="D1238" s="63"/>
    </row>
    <row r="1239">
      <c r="B1239" s="63"/>
      <c r="C1239" s="63"/>
      <c r="D1239" s="63"/>
    </row>
    <row r="1240">
      <c r="B1240" s="63"/>
      <c r="C1240" s="63"/>
      <c r="D1240" s="63"/>
    </row>
    <row r="1241">
      <c r="B1241" s="63"/>
      <c r="C1241" s="63"/>
      <c r="D1241" s="63"/>
    </row>
    <row r="1242">
      <c r="B1242" s="63"/>
      <c r="C1242" s="63"/>
      <c r="D1242" s="63"/>
    </row>
    <row r="1243">
      <c r="B1243" s="63"/>
      <c r="C1243" s="63"/>
      <c r="D1243" s="63"/>
    </row>
    <row r="1244">
      <c r="B1244" s="63"/>
      <c r="C1244" s="63"/>
      <c r="D1244" s="63"/>
    </row>
    <row r="1245">
      <c r="B1245" s="63"/>
      <c r="C1245" s="63"/>
      <c r="D1245" s="63"/>
    </row>
    <row r="1246">
      <c r="B1246" s="63"/>
      <c r="C1246" s="63"/>
      <c r="D1246" s="63"/>
    </row>
    <row r="1247">
      <c r="B1247" s="63"/>
      <c r="C1247" s="63"/>
      <c r="D1247" s="63"/>
    </row>
    <row r="1248">
      <c r="B1248" s="63"/>
      <c r="C1248" s="63"/>
      <c r="D1248" s="63"/>
    </row>
    <row r="1249">
      <c r="B1249" s="63"/>
      <c r="C1249" s="63"/>
      <c r="D1249" s="63"/>
    </row>
    <row r="1250">
      <c r="B1250" s="63"/>
      <c r="C1250" s="63"/>
      <c r="D1250" s="63"/>
    </row>
    <row r="1251">
      <c r="B1251" s="63"/>
      <c r="C1251" s="63"/>
      <c r="D1251" s="63"/>
    </row>
    <row r="1252">
      <c r="B1252" s="63"/>
      <c r="C1252" s="63"/>
      <c r="D1252" s="63"/>
    </row>
    <row r="1253">
      <c r="B1253" s="63"/>
      <c r="C1253" s="63"/>
      <c r="D1253" s="63"/>
    </row>
    <row r="1254">
      <c r="B1254" s="63"/>
      <c r="C1254" s="63"/>
      <c r="D1254" s="63"/>
    </row>
    <row r="1255">
      <c r="B1255" s="63"/>
      <c r="C1255" s="63"/>
      <c r="D1255" s="63"/>
    </row>
    <row r="1256">
      <c r="B1256" s="63"/>
      <c r="C1256" s="63"/>
      <c r="D1256" s="63"/>
    </row>
    <row r="1257">
      <c r="B1257" s="63"/>
      <c r="C1257" s="63"/>
      <c r="D1257" s="63"/>
    </row>
    <row r="1258">
      <c r="B1258" s="63"/>
      <c r="C1258" s="63"/>
      <c r="D1258" s="63"/>
    </row>
    <row r="1259">
      <c r="B1259" s="63"/>
      <c r="C1259" s="63"/>
      <c r="D1259" s="63"/>
    </row>
    <row r="1260">
      <c r="B1260" s="63"/>
      <c r="C1260" s="63"/>
      <c r="D1260" s="63"/>
    </row>
    <row r="1261">
      <c r="B1261" s="63"/>
      <c r="C1261" s="63"/>
      <c r="D1261" s="63"/>
    </row>
    <row r="1262">
      <c r="B1262" s="63"/>
      <c r="C1262" s="63"/>
      <c r="D1262" s="63"/>
    </row>
    <row r="1263">
      <c r="B1263" s="63"/>
      <c r="C1263" s="63"/>
      <c r="D1263" s="63"/>
    </row>
    <row r="1264">
      <c r="B1264" s="63"/>
      <c r="C1264" s="63"/>
      <c r="D1264" s="63"/>
    </row>
    <row r="1265">
      <c r="B1265" s="63"/>
      <c r="C1265" s="63"/>
      <c r="D1265" s="63"/>
    </row>
    <row r="1266">
      <c r="B1266" s="63"/>
      <c r="C1266" s="63"/>
      <c r="D1266" s="63"/>
    </row>
    <row r="1267">
      <c r="B1267" s="63"/>
      <c r="C1267" s="63"/>
      <c r="D1267" s="63"/>
    </row>
    <row r="1268">
      <c r="B1268" s="63"/>
      <c r="C1268" s="63"/>
      <c r="D1268" s="63"/>
    </row>
    <row r="1269">
      <c r="B1269" s="63"/>
      <c r="C1269" s="63"/>
      <c r="D1269" s="63"/>
    </row>
    <row r="1270">
      <c r="B1270" s="63"/>
      <c r="C1270" s="63"/>
      <c r="D1270" s="63"/>
    </row>
    <row r="1271">
      <c r="B1271" s="63"/>
      <c r="C1271" s="63"/>
      <c r="D1271" s="63"/>
    </row>
    <row r="1272">
      <c r="B1272" s="63"/>
      <c r="C1272" s="63"/>
      <c r="D1272" s="63"/>
    </row>
    <row r="1273">
      <c r="B1273" s="63"/>
      <c r="C1273" s="63"/>
      <c r="D1273" s="63"/>
    </row>
    <row r="1274">
      <c r="B1274" s="63"/>
      <c r="C1274" s="63"/>
      <c r="D1274" s="63"/>
    </row>
    <row r="1275">
      <c r="B1275" s="63"/>
      <c r="C1275" s="63"/>
      <c r="D1275" s="63"/>
    </row>
    <row r="1276">
      <c r="B1276" s="63"/>
      <c r="C1276" s="63"/>
      <c r="D1276" s="63"/>
    </row>
    <row r="1277">
      <c r="B1277" s="63"/>
      <c r="C1277" s="63"/>
      <c r="D1277" s="63"/>
    </row>
    <row r="1278">
      <c r="B1278" s="63"/>
      <c r="C1278" s="63"/>
      <c r="D1278" s="63"/>
    </row>
    <row r="1279">
      <c r="B1279" s="63"/>
      <c r="C1279" s="63"/>
      <c r="D1279" s="63"/>
    </row>
    <row r="1280">
      <c r="B1280" s="63"/>
      <c r="C1280" s="63"/>
      <c r="D1280" s="63"/>
    </row>
    <row r="1281">
      <c r="B1281" s="63"/>
      <c r="C1281" s="63"/>
      <c r="D1281" s="63"/>
    </row>
    <row r="1282">
      <c r="B1282" s="63"/>
      <c r="C1282" s="63"/>
      <c r="D1282" s="63"/>
    </row>
    <row r="1283">
      <c r="B1283" s="63"/>
      <c r="C1283" s="63"/>
      <c r="D1283" s="63"/>
    </row>
    <row r="1284">
      <c r="B1284" s="63"/>
      <c r="C1284" s="63"/>
      <c r="D1284" s="63"/>
    </row>
    <row r="1285">
      <c r="B1285" s="63"/>
      <c r="C1285" s="63"/>
      <c r="D1285" s="63"/>
    </row>
    <row r="1286">
      <c r="B1286" s="63"/>
      <c r="C1286" s="63"/>
      <c r="D1286" s="63"/>
    </row>
    <row r="1287">
      <c r="B1287" s="63"/>
      <c r="C1287" s="63"/>
      <c r="D1287" s="63"/>
    </row>
    <row r="1288">
      <c r="B1288" s="63"/>
      <c r="C1288" s="63"/>
      <c r="D1288" s="63"/>
    </row>
    <row r="1289">
      <c r="B1289" s="63"/>
      <c r="C1289" s="63"/>
      <c r="D1289" s="63"/>
    </row>
    <row r="1290">
      <c r="B1290" s="63"/>
      <c r="C1290" s="63"/>
      <c r="D1290" s="63"/>
    </row>
    <row r="1291">
      <c r="B1291" s="63"/>
      <c r="C1291" s="63"/>
      <c r="D1291" s="63"/>
    </row>
    <row r="1292">
      <c r="B1292" s="63"/>
      <c r="C1292" s="63"/>
      <c r="D1292" s="63"/>
    </row>
    <row r="1293">
      <c r="B1293" s="63"/>
      <c r="C1293" s="63"/>
      <c r="D1293" s="63"/>
    </row>
    <row r="1294">
      <c r="B1294" s="63"/>
      <c r="C1294" s="63"/>
      <c r="D1294" s="63"/>
    </row>
    <row r="1295">
      <c r="B1295" s="63"/>
      <c r="C1295" s="63"/>
      <c r="D1295" s="63"/>
    </row>
    <row r="1296">
      <c r="B1296" s="63"/>
      <c r="C1296" s="63"/>
      <c r="D1296" s="63"/>
    </row>
    <row r="1297">
      <c r="B1297" s="63"/>
      <c r="C1297" s="63"/>
      <c r="D1297" s="63"/>
    </row>
    <row r="1298">
      <c r="B1298" s="63"/>
      <c r="C1298" s="63"/>
      <c r="D1298" s="63"/>
    </row>
    <row r="1299">
      <c r="B1299" s="63"/>
      <c r="C1299" s="63"/>
      <c r="D1299" s="63"/>
    </row>
    <row r="1300">
      <c r="B1300" s="63"/>
      <c r="C1300" s="63"/>
      <c r="D1300" s="63"/>
    </row>
    <row r="1301">
      <c r="B1301" s="63"/>
      <c r="C1301" s="63"/>
      <c r="D1301" s="63"/>
    </row>
    <row r="1302">
      <c r="B1302" s="63"/>
      <c r="C1302" s="63"/>
      <c r="D1302" s="63"/>
    </row>
    <row r="1303">
      <c r="B1303" s="63"/>
      <c r="C1303" s="63"/>
      <c r="D1303" s="63"/>
    </row>
    <row r="1304">
      <c r="B1304" s="63"/>
      <c r="C1304" s="63"/>
      <c r="D1304" s="63"/>
    </row>
    <row r="1305">
      <c r="B1305" s="63"/>
      <c r="C1305" s="63"/>
      <c r="D1305" s="63"/>
    </row>
    <row r="1306">
      <c r="B1306" s="63"/>
      <c r="C1306" s="63"/>
      <c r="D1306" s="63"/>
    </row>
    <row r="1307">
      <c r="B1307" s="63"/>
      <c r="C1307" s="63"/>
      <c r="D1307" s="63"/>
    </row>
    <row r="1308">
      <c r="B1308" s="63"/>
      <c r="C1308" s="63"/>
      <c r="D1308" s="63"/>
    </row>
    <row r="1309">
      <c r="B1309" s="63"/>
      <c r="C1309" s="63"/>
      <c r="D1309" s="63"/>
    </row>
    <row r="1310">
      <c r="B1310" s="63"/>
      <c r="C1310" s="63"/>
      <c r="D1310" s="63"/>
    </row>
    <row r="1311">
      <c r="B1311" s="63"/>
      <c r="C1311" s="63"/>
      <c r="D1311" s="63"/>
    </row>
    <row r="1312">
      <c r="B1312" s="63"/>
      <c r="C1312" s="63"/>
      <c r="D1312" s="63"/>
    </row>
    <row r="1313">
      <c r="B1313" s="63"/>
      <c r="C1313" s="63"/>
      <c r="D1313" s="63"/>
    </row>
    <row r="1314">
      <c r="B1314" s="63"/>
      <c r="C1314" s="63"/>
      <c r="D1314" s="63"/>
    </row>
    <row r="1315">
      <c r="B1315" s="63"/>
      <c r="C1315" s="63"/>
      <c r="D1315" s="63"/>
    </row>
    <row r="1316">
      <c r="B1316" s="63"/>
      <c r="C1316" s="63"/>
      <c r="D1316" s="63"/>
    </row>
    <row r="1317">
      <c r="B1317" s="63"/>
      <c r="C1317" s="63"/>
      <c r="D1317" s="63"/>
    </row>
    <row r="1318">
      <c r="B1318" s="63"/>
      <c r="C1318" s="63"/>
      <c r="D1318" s="63"/>
    </row>
    <row r="1319">
      <c r="B1319" s="63"/>
      <c r="C1319" s="63"/>
      <c r="D1319" s="63"/>
    </row>
    <row r="1320">
      <c r="B1320" s="63"/>
      <c r="C1320" s="63"/>
      <c r="D1320" s="63"/>
    </row>
    <row r="1321">
      <c r="B1321" s="63"/>
      <c r="C1321" s="63"/>
      <c r="D1321" s="63"/>
    </row>
    <row r="1322">
      <c r="B1322" s="63"/>
      <c r="C1322" s="63"/>
      <c r="D1322" s="63"/>
    </row>
    <row r="1323">
      <c r="B1323" s="63"/>
      <c r="C1323" s="63"/>
      <c r="D1323" s="63"/>
    </row>
    <row r="1324">
      <c r="B1324" s="63"/>
      <c r="C1324" s="63"/>
      <c r="D1324" s="63"/>
    </row>
    <row r="1325">
      <c r="B1325" s="63"/>
      <c r="C1325" s="63"/>
      <c r="D1325" s="63"/>
    </row>
    <row r="1326">
      <c r="B1326" s="63"/>
      <c r="C1326" s="63"/>
      <c r="D1326" s="63"/>
    </row>
    <row r="1327">
      <c r="B1327" s="63"/>
      <c r="C1327" s="63"/>
      <c r="D1327" s="63"/>
    </row>
    <row r="1328">
      <c r="B1328" s="63"/>
      <c r="C1328" s="63"/>
      <c r="D1328" s="63"/>
    </row>
    <row r="1329">
      <c r="B1329" s="63"/>
      <c r="C1329" s="63"/>
      <c r="D1329" s="63"/>
    </row>
    <row r="1330">
      <c r="B1330" s="63"/>
      <c r="C1330" s="63"/>
      <c r="D1330" s="63"/>
    </row>
    <row r="1331">
      <c r="B1331" s="63"/>
      <c r="C1331" s="63"/>
      <c r="D1331" s="63"/>
    </row>
    <row r="1332">
      <c r="B1332" s="63"/>
      <c r="C1332" s="63"/>
      <c r="D1332" s="63"/>
    </row>
    <row r="1333">
      <c r="B1333" s="63"/>
      <c r="C1333" s="63"/>
      <c r="D1333" s="63"/>
    </row>
    <row r="1334">
      <c r="B1334" s="63"/>
      <c r="C1334" s="63"/>
      <c r="D1334" s="63"/>
    </row>
    <row r="1335">
      <c r="B1335" s="63"/>
      <c r="C1335" s="63"/>
      <c r="D1335" s="63"/>
    </row>
    <row r="1336">
      <c r="B1336" s="63"/>
      <c r="C1336" s="63"/>
      <c r="D1336" s="63"/>
    </row>
    <row r="1337">
      <c r="B1337" s="63"/>
      <c r="C1337" s="63"/>
      <c r="D1337" s="63"/>
    </row>
    <row r="1338">
      <c r="B1338" s="63"/>
      <c r="C1338" s="63"/>
      <c r="D1338" s="63"/>
    </row>
    <row r="1339">
      <c r="B1339" s="63"/>
      <c r="C1339" s="63"/>
      <c r="D1339" s="63"/>
    </row>
    <row r="1340">
      <c r="B1340" s="63"/>
      <c r="C1340" s="63"/>
      <c r="D1340" s="63"/>
    </row>
    <row r="1341">
      <c r="B1341" s="63"/>
      <c r="C1341" s="63"/>
      <c r="D1341" s="63"/>
    </row>
    <row r="1342">
      <c r="B1342" s="63"/>
      <c r="C1342" s="63"/>
      <c r="D1342" s="63"/>
    </row>
    <row r="1343">
      <c r="B1343" s="63"/>
      <c r="C1343" s="63"/>
      <c r="D1343" s="63"/>
    </row>
    <row r="1344">
      <c r="B1344" s="63"/>
      <c r="C1344" s="63"/>
      <c r="D1344" s="63"/>
    </row>
    <row r="1345">
      <c r="B1345" s="63"/>
      <c r="C1345" s="63"/>
      <c r="D1345" s="63"/>
    </row>
    <row r="1346">
      <c r="B1346" s="63"/>
      <c r="C1346" s="63"/>
      <c r="D1346" s="63"/>
    </row>
    <row r="1347">
      <c r="B1347" s="63"/>
      <c r="C1347" s="63"/>
      <c r="D1347" s="63"/>
    </row>
    <row r="1348">
      <c r="B1348" s="63"/>
      <c r="C1348" s="63"/>
      <c r="D1348" s="63"/>
    </row>
    <row r="1349">
      <c r="B1349" s="63"/>
      <c r="C1349" s="63"/>
      <c r="D1349" s="63"/>
    </row>
    <row r="1350">
      <c r="B1350" s="63"/>
      <c r="C1350" s="63"/>
      <c r="D1350" s="63"/>
    </row>
    <row r="1351">
      <c r="B1351" s="63"/>
      <c r="C1351" s="63"/>
      <c r="D1351" s="63"/>
    </row>
    <row r="1352">
      <c r="B1352" s="63"/>
      <c r="C1352" s="63"/>
      <c r="D1352" s="63"/>
    </row>
    <row r="1353">
      <c r="B1353" s="63"/>
      <c r="C1353" s="63"/>
      <c r="D1353" s="63"/>
    </row>
    <row r="1354">
      <c r="B1354" s="63"/>
      <c r="C1354" s="63"/>
      <c r="D1354" s="63"/>
    </row>
    <row r="1355">
      <c r="B1355" s="63"/>
      <c r="C1355" s="63"/>
      <c r="D1355" s="63"/>
    </row>
    <row r="1356">
      <c r="B1356" s="63"/>
      <c r="C1356" s="63"/>
      <c r="D1356" s="63"/>
    </row>
    <row r="1357">
      <c r="B1357" s="63"/>
      <c r="C1357" s="63"/>
      <c r="D1357" s="63"/>
    </row>
    <row r="1358">
      <c r="B1358" s="63"/>
      <c r="C1358" s="63"/>
      <c r="D1358" s="63"/>
    </row>
    <row r="1359">
      <c r="B1359" s="63"/>
      <c r="C1359" s="63"/>
      <c r="D1359" s="63"/>
    </row>
    <row r="1360">
      <c r="B1360" s="63"/>
      <c r="C1360" s="63"/>
      <c r="D1360" s="63"/>
    </row>
    <row r="1361">
      <c r="B1361" s="63"/>
      <c r="C1361" s="63"/>
      <c r="D1361" s="63"/>
    </row>
    <row r="1362">
      <c r="B1362" s="63"/>
      <c r="C1362" s="63"/>
      <c r="D1362" s="63"/>
    </row>
    <row r="1363">
      <c r="B1363" s="63"/>
      <c r="C1363" s="63"/>
      <c r="D1363" s="63"/>
    </row>
    <row r="1364">
      <c r="B1364" s="63"/>
      <c r="C1364" s="63"/>
      <c r="D1364" s="63"/>
    </row>
    <row r="1365">
      <c r="B1365" s="63"/>
      <c r="C1365" s="63"/>
      <c r="D1365" s="63"/>
    </row>
    <row r="1366">
      <c r="B1366" s="63"/>
      <c r="C1366" s="63"/>
      <c r="D1366" s="63"/>
    </row>
    <row r="1367">
      <c r="B1367" s="63"/>
      <c r="C1367" s="63"/>
      <c r="D1367" s="63"/>
    </row>
    <row r="1368">
      <c r="B1368" s="63"/>
      <c r="C1368" s="63"/>
      <c r="D1368" s="63"/>
    </row>
    <row r="1369">
      <c r="B1369" s="63"/>
      <c r="C1369" s="63"/>
      <c r="D1369" s="63"/>
    </row>
    <row r="1370">
      <c r="B1370" s="63"/>
      <c r="C1370" s="63"/>
      <c r="D1370" s="63"/>
    </row>
    <row r="1371">
      <c r="B1371" s="63"/>
      <c r="C1371" s="63"/>
      <c r="D1371" s="63"/>
    </row>
    <row r="1372">
      <c r="B1372" s="63"/>
      <c r="C1372" s="63"/>
      <c r="D1372" s="63"/>
    </row>
    <row r="1373">
      <c r="B1373" s="63"/>
      <c r="C1373" s="63"/>
      <c r="D1373" s="63"/>
    </row>
    <row r="1374">
      <c r="B1374" s="63"/>
      <c r="C1374" s="63"/>
      <c r="D1374" s="63"/>
    </row>
    <row r="1375">
      <c r="B1375" s="63"/>
      <c r="C1375" s="63"/>
      <c r="D1375" s="63"/>
    </row>
    <row r="1376">
      <c r="B1376" s="63"/>
      <c r="C1376" s="63"/>
      <c r="D1376" s="63"/>
    </row>
    <row r="1377">
      <c r="B1377" s="63"/>
      <c r="C1377" s="63"/>
      <c r="D1377" s="63"/>
    </row>
    <row r="1378">
      <c r="B1378" s="63"/>
      <c r="C1378" s="63"/>
      <c r="D1378" s="63"/>
    </row>
    <row r="1379">
      <c r="B1379" s="63"/>
      <c r="C1379" s="63"/>
      <c r="D1379" s="63"/>
    </row>
    <row r="1380">
      <c r="B1380" s="63"/>
      <c r="C1380" s="63"/>
      <c r="D1380" s="63"/>
    </row>
    <row r="1381">
      <c r="B1381" s="63"/>
      <c r="C1381" s="63"/>
      <c r="D1381" s="63"/>
    </row>
    <row r="1382">
      <c r="B1382" s="63"/>
      <c r="C1382" s="63"/>
      <c r="D1382" s="63"/>
    </row>
    <row r="1383">
      <c r="B1383" s="63"/>
      <c r="C1383" s="63"/>
      <c r="D1383" s="63"/>
    </row>
    <row r="1384">
      <c r="B1384" s="63"/>
      <c r="C1384" s="63"/>
      <c r="D1384" s="63"/>
    </row>
    <row r="1385">
      <c r="B1385" s="63"/>
      <c r="C1385" s="63"/>
      <c r="D1385" s="63"/>
    </row>
    <row r="1386">
      <c r="B1386" s="63"/>
      <c r="C1386" s="63"/>
      <c r="D1386" s="63"/>
    </row>
    <row r="1387">
      <c r="B1387" s="63"/>
      <c r="C1387" s="63"/>
      <c r="D1387" s="63"/>
    </row>
    <row r="1388">
      <c r="B1388" s="63"/>
      <c r="C1388" s="63"/>
      <c r="D1388" s="63"/>
    </row>
    <row r="1389">
      <c r="B1389" s="63"/>
      <c r="C1389" s="63"/>
      <c r="D1389" s="63"/>
    </row>
    <row r="1390">
      <c r="B1390" s="63"/>
      <c r="C1390" s="63"/>
      <c r="D1390" s="63"/>
    </row>
    <row r="1391">
      <c r="B1391" s="63"/>
      <c r="C1391" s="63"/>
      <c r="D1391" s="63"/>
    </row>
    <row r="1392">
      <c r="B1392" s="63"/>
      <c r="C1392" s="63"/>
      <c r="D1392" s="63"/>
    </row>
    <row r="1393">
      <c r="B1393" s="63"/>
      <c r="C1393" s="63"/>
      <c r="D1393" s="63"/>
    </row>
    <row r="1394">
      <c r="B1394" s="63"/>
      <c r="C1394" s="63"/>
      <c r="D1394" s="63"/>
    </row>
    <row r="1395">
      <c r="B1395" s="63"/>
      <c r="C1395" s="63"/>
      <c r="D1395" s="63"/>
    </row>
    <row r="1396">
      <c r="B1396" s="63"/>
      <c r="C1396" s="63"/>
      <c r="D1396" s="63"/>
    </row>
    <row r="1397">
      <c r="B1397" s="63"/>
      <c r="C1397" s="63"/>
      <c r="D1397" s="63"/>
    </row>
    <row r="1398">
      <c r="B1398" s="63"/>
      <c r="C1398" s="63"/>
      <c r="D1398" s="63"/>
    </row>
    <row r="1399">
      <c r="B1399" s="63"/>
      <c r="C1399" s="63"/>
      <c r="D1399" s="63"/>
    </row>
    <row r="1400">
      <c r="B1400" s="63"/>
      <c r="C1400" s="63"/>
      <c r="D1400" s="63"/>
    </row>
    <row r="1401">
      <c r="B1401" s="63"/>
      <c r="C1401" s="63"/>
      <c r="D1401" s="63"/>
    </row>
    <row r="1402">
      <c r="B1402" s="63"/>
      <c r="C1402" s="63"/>
      <c r="D1402" s="63"/>
    </row>
    <row r="1403">
      <c r="B1403" s="63"/>
      <c r="C1403" s="63"/>
      <c r="D1403" s="63"/>
    </row>
    <row r="1404">
      <c r="B1404" s="63"/>
      <c r="C1404" s="63"/>
      <c r="D1404" s="63"/>
    </row>
    <row r="1405">
      <c r="B1405" s="63"/>
      <c r="C1405" s="63"/>
      <c r="D1405" s="63"/>
    </row>
    <row r="1406">
      <c r="B1406" s="63"/>
      <c r="C1406" s="63"/>
      <c r="D1406" s="63"/>
    </row>
    <row r="1407">
      <c r="B1407" s="63"/>
      <c r="C1407" s="63"/>
      <c r="D1407" s="63"/>
    </row>
    <row r="1408">
      <c r="B1408" s="63"/>
      <c r="C1408" s="63"/>
      <c r="D1408" s="63"/>
    </row>
    <row r="1409">
      <c r="B1409" s="63"/>
      <c r="C1409" s="63"/>
      <c r="D1409" s="63"/>
    </row>
    <row r="1410">
      <c r="B1410" s="63"/>
      <c r="C1410" s="63"/>
      <c r="D1410" s="63"/>
    </row>
    <row r="1411">
      <c r="B1411" s="63"/>
      <c r="C1411" s="63"/>
      <c r="D1411" s="63"/>
    </row>
    <row r="1412">
      <c r="B1412" s="63"/>
      <c r="C1412" s="63"/>
      <c r="D1412" s="63"/>
    </row>
    <row r="1413">
      <c r="B1413" s="63"/>
      <c r="C1413" s="63"/>
      <c r="D1413" s="63"/>
    </row>
    <row r="1414">
      <c r="B1414" s="63"/>
      <c r="C1414" s="63"/>
      <c r="D1414" s="63"/>
    </row>
    <row r="1415">
      <c r="B1415" s="63"/>
      <c r="C1415" s="63"/>
      <c r="D1415" s="63"/>
    </row>
    <row r="1416">
      <c r="B1416" s="63"/>
      <c r="C1416" s="63"/>
      <c r="D1416" s="63"/>
    </row>
    <row r="1417">
      <c r="B1417" s="63"/>
      <c r="C1417" s="63"/>
      <c r="D1417" s="63"/>
    </row>
    <row r="1418">
      <c r="B1418" s="63"/>
      <c r="C1418" s="63"/>
      <c r="D1418" s="63"/>
    </row>
    <row r="1419">
      <c r="B1419" s="63"/>
      <c r="C1419" s="63"/>
      <c r="D1419" s="63"/>
    </row>
    <row r="1420">
      <c r="B1420" s="63"/>
      <c r="C1420" s="63"/>
      <c r="D1420" s="63"/>
    </row>
    <row r="1421">
      <c r="B1421" s="63"/>
      <c r="C1421" s="63"/>
      <c r="D1421" s="63"/>
    </row>
    <row r="1422">
      <c r="B1422" s="63"/>
      <c r="C1422" s="63"/>
      <c r="D1422" s="63"/>
    </row>
    <row r="1423">
      <c r="B1423" s="63"/>
      <c r="C1423" s="63"/>
      <c r="D1423" s="63"/>
    </row>
    <row r="1424">
      <c r="B1424" s="63"/>
      <c r="C1424" s="63"/>
      <c r="D1424" s="63"/>
    </row>
    <row r="1425">
      <c r="B1425" s="63"/>
      <c r="C1425" s="63"/>
      <c r="D1425" s="63"/>
    </row>
    <row r="1426">
      <c r="B1426" s="63"/>
      <c r="C1426" s="63"/>
      <c r="D1426" s="63"/>
    </row>
    <row r="1427">
      <c r="B1427" s="63"/>
      <c r="C1427" s="63"/>
      <c r="D1427" s="63"/>
    </row>
    <row r="1428">
      <c r="B1428" s="63"/>
      <c r="C1428" s="63"/>
      <c r="D1428" s="63"/>
    </row>
    <row r="1429">
      <c r="B1429" s="63"/>
      <c r="C1429" s="63"/>
      <c r="D1429" s="63"/>
    </row>
    <row r="1430">
      <c r="B1430" s="63"/>
      <c r="C1430" s="63"/>
      <c r="D1430" s="63"/>
    </row>
    <row r="1431">
      <c r="B1431" s="63"/>
      <c r="C1431" s="63"/>
      <c r="D1431" s="63"/>
    </row>
    <row r="1432">
      <c r="B1432" s="63"/>
      <c r="C1432" s="63"/>
      <c r="D1432" s="63"/>
    </row>
    <row r="1433">
      <c r="B1433" s="63"/>
      <c r="C1433" s="63"/>
      <c r="D1433" s="63"/>
    </row>
    <row r="1434">
      <c r="B1434" s="63"/>
      <c r="C1434" s="63"/>
      <c r="D1434" s="63"/>
    </row>
    <row r="1435">
      <c r="B1435" s="63"/>
      <c r="C1435" s="63"/>
      <c r="D1435" s="63"/>
    </row>
    <row r="1436">
      <c r="B1436" s="63"/>
      <c r="C1436" s="63"/>
      <c r="D1436" s="63"/>
    </row>
    <row r="1437">
      <c r="B1437" s="63"/>
      <c r="C1437" s="63"/>
      <c r="D1437" s="63"/>
    </row>
    <row r="1438">
      <c r="B1438" s="63"/>
      <c r="C1438" s="63"/>
      <c r="D1438" s="63"/>
    </row>
    <row r="1439">
      <c r="B1439" s="63"/>
      <c r="C1439" s="63"/>
      <c r="D1439" s="63"/>
    </row>
    <row r="1440">
      <c r="B1440" s="63"/>
      <c r="C1440" s="63"/>
      <c r="D1440" s="63"/>
    </row>
    <row r="1441">
      <c r="B1441" s="63"/>
      <c r="C1441" s="63"/>
      <c r="D1441" s="63"/>
    </row>
    <row r="1442">
      <c r="B1442" s="63"/>
      <c r="C1442" s="63"/>
      <c r="D1442" s="63"/>
    </row>
    <row r="1443">
      <c r="B1443" s="63"/>
      <c r="C1443" s="63"/>
      <c r="D1443" s="63"/>
    </row>
    <row r="1444">
      <c r="B1444" s="63"/>
      <c r="C1444" s="63"/>
      <c r="D1444" s="63"/>
    </row>
    <row r="1445">
      <c r="B1445" s="63"/>
      <c r="C1445" s="63"/>
      <c r="D1445" s="63"/>
    </row>
    <row r="1446">
      <c r="B1446" s="63"/>
      <c r="C1446" s="63"/>
      <c r="D1446" s="63"/>
    </row>
    <row r="1447">
      <c r="B1447" s="63"/>
      <c r="C1447" s="63"/>
      <c r="D1447" s="63"/>
    </row>
    <row r="1448">
      <c r="B1448" s="63"/>
      <c r="C1448" s="63"/>
      <c r="D1448" s="63"/>
    </row>
    <row r="1449">
      <c r="B1449" s="63"/>
      <c r="C1449" s="63"/>
      <c r="D1449" s="63"/>
    </row>
    <row r="1450">
      <c r="B1450" s="63"/>
      <c r="C1450" s="63"/>
      <c r="D1450" s="63"/>
    </row>
    <row r="1451">
      <c r="B1451" s="63"/>
      <c r="C1451" s="63"/>
      <c r="D1451" s="63"/>
    </row>
    <row r="1452">
      <c r="B1452" s="63"/>
      <c r="C1452" s="63"/>
      <c r="D1452" s="63"/>
    </row>
    <row r="1453">
      <c r="B1453" s="63"/>
      <c r="C1453" s="63"/>
      <c r="D1453" s="63"/>
    </row>
    <row r="1454">
      <c r="B1454" s="63"/>
      <c r="C1454" s="63"/>
      <c r="D1454" s="63"/>
    </row>
    <row r="1455">
      <c r="B1455" s="63"/>
      <c r="C1455" s="63"/>
      <c r="D1455" s="63"/>
    </row>
    <row r="1456">
      <c r="B1456" s="63"/>
      <c r="C1456" s="63"/>
      <c r="D1456" s="63"/>
    </row>
    <row r="1457">
      <c r="B1457" s="63"/>
      <c r="C1457" s="63"/>
      <c r="D1457" s="63"/>
    </row>
    <row r="1458">
      <c r="B1458" s="63"/>
      <c r="C1458" s="63"/>
      <c r="D1458" s="63"/>
    </row>
    <row r="1459">
      <c r="B1459" s="63"/>
      <c r="C1459" s="63"/>
      <c r="D1459" s="63"/>
    </row>
    <row r="1460">
      <c r="B1460" s="63"/>
      <c r="C1460" s="63"/>
      <c r="D1460" s="63"/>
    </row>
    <row r="1461">
      <c r="B1461" s="63"/>
      <c r="C1461" s="63"/>
      <c r="D1461" s="63"/>
    </row>
    <row r="1462">
      <c r="B1462" s="63"/>
      <c r="C1462" s="63"/>
      <c r="D1462" s="63"/>
    </row>
    <row r="1463">
      <c r="B1463" s="63"/>
      <c r="C1463" s="63"/>
      <c r="D1463" s="63"/>
    </row>
    <row r="1464">
      <c r="B1464" s="63"/>
      <c r="C1464" s="63"/>
      <c r="D1464" s="63"/>
    </row>
    <row r="1465">
      <c r="B1465" s="63"/>
      <c r="C1465" s="63"/>
      <c r="D1465" s="63"/>
    </row>
    <row r="1466">
      <c r="B1466" s="63"/>
      <c r="C1466" s="63"/>
      <c r="D1466" s="63"/>
    </row>
    <row r="1467">
      <c r="B1467" s="63"/>
      <c r="C1467" s="63"/>
      <c r="D1467" s="63"/>
    </row>
    <row r="1468">
      <c r="B1468" s="63"/>
      <c r="C1468" s="63"/>
      <c r="D1468" s="63"/>
    </row>
    <row r="1469">
      <c r="B1469" s="63"/>
      <c r="C1469" s="63"/>
      <c r="D1469" s="63"/>
    </row>
    <row r="1470">
      <c r="B1470" s="63"/>
      <c r="C1470" s="63"/>
      <c r="D1470" s="63"/>
    </row>
    <row r="1471">
      <c r="B1471" s="63"/>
      <c r="C1471" s="63"/>
      <c r="D1471" s="63"/>
    </row>
    <row r="1472">
      <c r="B1472" s="63"/>
      <c r="C1472" s="63"/>
      <c r="D1472" s="63"/>
    </row>
    <row r="1473">
      <c r="B1473" s="63"/>
      <c r="C1473" s="63"/>
      <c r="D1473" s="63"/>
    </row>
    <row r="1474">
      <c r="B1474" s="63"/>
      <c r="C1474" s="63"/>
      <c r="D1474" s="63"/>
    </row>
    <row r="1475">
      <c r="B1475" s="63"/>
      <c r="C1475" s="63"/>
      <c r="D1475" s="63"/>
    </row>
    <row r="1476">
      <c r="B1476" s="63"/>
      <c r="C1476" s="63"/>
      <c r="D1476" s="63"/>
    </row>
    <row r="1477">
      <c r="B1477" s="63"/>
      <c r="C1477" s="63"/>
      <c r="D1477" s="63"/>
    </row>
    <row r="1478">
      <c r="B1478" s="63"/>
      <c r="C1478" s="63"/>
      <c r="D1478" s="63"/>
    </row>
    <row r="1479">
      <c r="B1479" s="63"/>
      <c r="C1479" s="63"/>
      <c r="D1479" s="63"/>
    </row>
    <row r="1480">
      <c r="B1480" s="63"/>
      <c r="C1480" s="63"/>
      <c r="D1480" s="63"/>
    </row>
    <row r="1481">
      <c r="B1481" s="63"/>
      <c r="C1481" s="63"/>
      <c r="D1481" s="63"/>
    </row>
    <row r="1482">
      <c r="B1482" s="63"/>
      <c r="C1482" s="63"/>
      <c r="D1482" s="63"/>
    </row>
    <row r="1483">
      <c r="B1483" s="63"/>
      <c r="C1483" s="63"/>
      <c r="D1483" s="63"/>
    </row>
    <row r="1484">
      <c r="B1484" s="63"/>
      <c r="C1484" s="63"/>
      <c r="D1484" s="63"/>
    </row>
    <row r="1485">
      <c r="B1485" s="63"/>
      <c r="C1485" s="63"/>
      <c r="D1485" s="63"/>
    </row>
    <row r="1486">
      <c r="B1486" s="63"/>
      <c r="C1486" s="63"/>
      <c r="D1486" s="63"/>
    </row>
    <row r="1487">
      <c r="B1487" s="63"/>
      <c r="C1487" s="63"/>
      <c r="D1487" s="63"/>
    </row>
    <row r="1488">
      <c r="B1488" s="63"/>
      <c r="C1488" s="63"/>
      <c r="D1488" s="63"/>
    </row>
    <row r="1489">
      <c r="B1489" s="63"/>
      <c r="C1489" s="63"/>
      <c r="D1489" s="63"/>
    </row>
    <row r="1490">
      <c r="B1490" s="63"/>
      <c r="C1490" s="63"/>
      <c r="D1490" s="63"/>
    </row>
    <row r="1491">
      <c r="B1491" s="63"/>
      <c r="C1491" s="63"/>
      <c r="D1491" s="63"/>
    </row>
    <row r="1492">
      <c r="B1492" s="63"/>
      <c r="C1492" s="63"/>
      <c r="D1492" s="63"/>
    </row>
    <row r="1493">
      <c r="B1493" s="63"/>
      <c r="C1493" s="63"/>
      <c r="D1493" s="63"/>
    </row>
    <row r="1494">
      <c r="B1494" s="63"/>
      <c r="C1494" s="63"/>
      <c r="D1494" s="63"/>
    </row>
    <row r="1495">
      <c r="B1495" s="63"/>
      <c r="C1495" s="63"/>
      <c r="D1495" s="63"/>
    </row>
    <row r="1496">
      <c r="B1496" s="63"/>
      <c r="C1496" s="63"/>
      <c r="D1496" s="63"/>
    </row>
    <row r="1497">
      <c r="B1497" s="63"/>
      <c r="C1497" s="63"/>
      <c r="D1497" s="63"/>
    </row>
    <row r="1498">
      <c r="B1498" s="63"/>
      <c r="C1498" s="63"/>
      <c r="D1498" s="63"/>
    </row>
    <row r="1499">
      <c r="B1499" s="63"/>
      <c r="C1499" s="63"/>
      <c r="D1499" s="63"/>
    </row>
    <row r="1500">
      <c r="B1500" s="63"/>
      <c r="C1500" s="63"/>
      <c r="D1500" s="63"/>
    </row>
    <row r="1501">
      <c r="B1501" s="63"/>
      <c r="C1501" s="63"/>
      <c r="D1501" s="63"/>
    </row>
    <row r="1502">
      <c r="B1502" s="63"/>
      <c r="C1502" s="63"/>
      <c r="D1502" s="63"/>
    </row>
    <row r="1503">
      <c r="B1503" s="63"/>
      <c r="C1503" s="63"/>
      <c r="D1503" s="63"/>
    </row>
    <row r="1504">
      <c r="B1504" s="63"/>
      <c r="C1504" s="63"/>
      <c r="D1504" s="63"/>
    </row>
    <row r="1505">
      <c r="B1505" s="63"/>
      <c r="C1505" s="63"/>
      <c r="D1505" s="63"/>
    </row>
    <row r="1506">
      <c r="B1506" s="63"/>
      <c r="C1506" s="63"/>
      <c r="D1506" s="63"/>
    </row>
    <row r="1507">
      <c r="B1507" s="63"/>
      <c r="C1507" s="63"/>
      <c r="D1507" s="63"/>
    </row>
    <row r="1508">
      <c r="B1508" s="63"/>
      <c r="C1508" s="63"/>
      <c r="D1508" s="63"/>
    </row>
    <row r="1509">
      <c r="B1509" s="63"/>
      <c r="C1509" s="63"/>
      <c r="D1509" s="63"/>
    </row>
    <row r="1510">
      <c r="B1510" s="63"/>
      <c r="C1510" s="63"/>
      <c r="D1510" s="63"/>
    </row>
    <row r="1511">
      <c r="B1511" s="63"/>
      <c r="C1511" s="63"/>
      <c r="D1511" s="63"/>
    </row>
    <row r="1512">
      <c r="B1512" s="63"/>
      <c r="C1512" s="63"/>
      <c r="D1512" s="63"/>
    </row>
    <row r="1513">
      <c r="B1513" s="63"/>
      <c r="C1513" s="63"/>
      <c r="D1513" s="63"/>
    </row>
    <row r="1514">
      <c r="B1514" s="63"/>
      <c r="C1514" s="63"/>
      <c r="D1514" s="63"/>
    </row>
    <row r="1515">
      <c r="B1515" s="63"/>
      <c r="C1515" s="63"/>
      <c r="D1515" s="63"/>
    </row>
    <row r="1516">
      <c r="B1516" s="63"/>
      <c r="C1516" s="63"/>
      <c r="D1516" s="63"/>
    </row>
    <row r="1517">
      <c r="B1517" s="63"/>
      <c r="C1517" s="63"/>
      <c r="D1517" s="63"/>
    </row>
    <row r="1518">
      <c r="B1518" s="63"/>
      <c r="C1518" s="63"/>
      <c r="D1518" s="63"/>
    </row>
    <row r="1519">
      <c r="B1519" s="63"/>
      <c r="C1519" s="63"/>
      <c r="D1519" s="63"/>
    </row>
    <row r="1520">
      <c r="B1520" s="63"/>
      <c r="C1520" s="63"/>
      <c r="D1520" s="63"/>
    </row>
    <row r="1521">
      <c r="B1521" s="63"/>
      <c r="C1521" s="63"/>
      <c r="D1521" s="63"/>
    </row>
    <row r="1522">
      <c r="B1522" s="63"/>
      <c r="C1522" s="63"/>
      <c r="D1522" s="63"/>
    </row>
    <row r="1523">
      <c r="B1523" s="63"/>
      <c r="C1523" s="63"/>
      <c r="D1523" s="63"/>
    </row>
    <row r="1524">
      <c r="B1524" s="63"/>
      <c r="C1524" s="63"/>
      <c r="D1524" s="63"/>
    </row>
    <row r="1525">
      <c r="B1525" s="63"/>
      <c r="C1525" s="63"/>
      <c r="D1525" s="63"/>
    </row>
    <row r="1526">
      <c r="B1526" s="63"/>
      <c r="C1526" s="63"/>
      <c r="D1526" s="63"/>
    </row>
    <row r="1527">
      <c r="B1527" s="63"/>
      <c r="C1527" s="63"/>
      <c r="D1527" s="63"/>
    </row>
    <row r="1528">
      <c r="B1528" s="63"/>
      <c r="C1528" s="63"/>
      <c r="D1528" s="63"/>
    </row>
    <row r="1529">
      <c r="B1529" s="63"/>
      <c r="C1529" s="63"/>
      <c r="D1529" s="63"/>
    </row>
    <row r="1530">
      <c r="B1530" s="63"/>
      <c r="C1530" s="63"/>
      <c r="D1530" s="63"/>
    </row>
    <row r="1531">
      <c r="B1531" s="63"/>
      <c r="C1531" s="63"/>
      <c r="D1531" s="63"/>
    </row>
    <row r="1532">
      <c r="B1532" s="63"/>
      <c r="C1532" s="63"/>
      <c r="D1532" s="63"/>
    </row>
    <row r="1533">
      <c r="B1533" s="63"/>
      <c r="C1533" s="63"/>
      <c r="D1533" s="63"/>
    </row>
    <row r="1534">
      <c r="B1534" s="63"/>
      <c r="C1534" s="63"/>
      <c r="D1534" s="63"/>
    </row>
    <row r="1535">
      <c r="B1535" s="63"/>
      <c r="C1535" s="63"/>
      <c r="D1535" s="63"/>
    </row>
    <row r="1536">
      <c r="B1536" s="63"/>
      <c r="C1536" s="63"/>
      <c r="D1536" s="63"/>
    </row>
    <row r="1537">
      <c r="B1537" s="63"/>
      <c r="C1537" s="63"/>
      <c r="D1537" s="63"/>
    </row>
    <row r="1538">
      <c r="B1538" s="63"/>
      <c r="C1538" s="63"/>
      <c r="D1538" s="63"/>
    </row>
    <row r="1539">
      <c r="B1539" s="63"/>
      <c r="C1539" s="63"/>
      <c r="D1539" s="63"/>
    </row>
    <row r="1540">
      <c r="B1540" s="63"/>
      <c r="C1540" s="63"/>
      <c r="D1540" s="63"/>
    </row>
    <row r="1541">
      <c r="B1541" s="63"/>
      <c r="C1541" s="63"/>
      <c r="D1541" s="63"/>
    </row>
    <row r="1542">
      <c r="B1542" s="63"/>
      <c r="C1542" s="63"/>
      <c r="D1542" s="63"/>
    </row>
    <row r="1543">
      <c r="B1543" s="63"/>
      <c r="C1543" s="63"/>
      <c r="D1543" s="63"/>
    </row>
    <row r="1544">
      <c r="B1544" s="63"/>
      <c r="C1544" s="63"/>
      <c r="D1544" s="63"/>
    </row>
    <row r="1545">
      <c r="B1545" s="63"/>
      <c r="C1545" s="63"/>
      <c r="D1545" s="63"/>
    </row>
    <row r="1546">
      <c r="B1546" s="63"/>
      <c r="C1546" s="63"/>
      <c r="D1546" s="63"/>
    </row>
    <row r="1547">
      <c r="B1547" s="63"/>
      <c r="C1547" s="63"/>
      <c r="D1547" s="63"/>
    </row>
    <row r="1548">
      <c r="B1548" s="63"/>
      <c r="C1548" s="63"/>
      <c r="D1548" s="63"/>
    </row>
    <row r="1549">
      <c r="B1549" s="63"/>
      <c r="C1549" s="63"/>
      <c r="D1549" s="63"/>
    </row>
    <row r="1550">
      <c r="B1550" s="63"/>
      <c r="C1550" s="63"/>
      <c r="D1550" s="63"/>
    </row>
    <row r="1551">
      <c r="B1551" s="63"/>
      <c r="C1551" s="63"/>
      <c r="D1551" s="63"/>
    </row>
    <row r="1552">
      <c r="B1552" s="63"/>
      <c r="C1552" s="63"/>
      <c r="D1552" s="63"/>
    </row>
    <row r="1553">
      <c r="B1553" s="63"/>
      <c r="C1553" s="63"/>
      <c r="D1553" s="63"/>
    </row>
    <row r="1554">
      <c r="B1554" s="63"/>
      <c r="C1554" s="63"/>
      <c r="D1554" s="63"/>
    </row>
    <row r="1555">
      <c r="B1555" s="63"/>
      <c r="C1555" s="63"/>
      <c r="D1555" s="63"/>
    </row>
    <row r="1556">
      <c r="B1556" s="63"/>
      <c r="C1556" s="63"/>
      <c r="D1556" s="63"/>
    </row>
    <row r="1557">
      <c r="B1557" s="63"/>
      <c r="C1557" s="63"/>
      <c r="D1557" s="63"/>
    </row>
    <row r="1558">
      <c r="B1558" s="63"/>
      <c r="C1558" s="63"/>
      <c r="D1558" s="63"/>
    </row>
    <row r="1559">
      <c r="B1559" s="63"/>
      <c r="C1559" s="63"/>
      <c r="D1559" s="63"/>
    </row>
    <row r="1560">
      <c r="B1560" s="63"/>
      <c r="C1560" s="63"/>
      <c r="D1560" s="63"/>
    </row>
    <row r="1561">
      <c r="B1561" s="63"/>
      <c r="C1561" s="63"/>
      <c r="D1561" s="63"/>
    </row>
    <row r="1562">
      <c r="B1562" s="63"/>
      <c r="C1562" s="63"/>
      <c r="D1562" s="63"/>
    </row>
    <row r="1563">
      <c r="B1563" s="63"/>
      <c r="C1563" s="63"/>
      <c r="D1563" s="63"/>
    </row>
    <row r="1564">
      <c r="B1564" s="63"/>
      <c r="C1564" s="63"/>
      <c r="D1564" s="63"/>
    </row>
    <row r="1565">
      <c r="B1565" s="63"/>
      <c r="C1565" s="63"/>
      <c r="D1565" s="63"/>
    </row>
    <row r="1566">
      <c r="B1566" s="63"/>
      <c r="C1566" s="63"/>
      <c r="D1566" s="63"/>
    </row>
    <row r="1567">
      <c r="B1567" s="63"/>
      <c r="C1567" s="63"/>
      <c r="D1567" s="63"/>
    </row>
    <row r="1568">
      <c r="B1568" s="63"/>
      <c r="C1568" s="63"/>
      <c r="D1568" s="63"/>
    </row>
    <row r="1569">
      <c r="B1569" s="63"/>
      <c r="C1569" s="63"/>
      <c r="D1569" s="63"/>
    </row>
    <row r="1570">
      <c r="B1570" s="63"/>
      <c r="C1570" s="63"/>
      <c r="D1570" s="63"/>
    </row>
    <row r="1571">
      <c r="B1571" s="63"/>
      <c r="C1571" s="63"/>
      <c r="D1571" s="63"/>
    </row>
    <row r="1572">
      <c r="B1572" s="63"/>
      <c r="C1572" s="63"/>
      <c r="D1572" s="63"/>
    </row>
    <row r="1573">
      <c r="B1573" s="63"/>
      <c r="C1573" s="63"/>
      <c r="D1573" s="63"/>
    </row>
    <row r="1574">
      <c r="B1574" s="63"/>
      <c r="C1574" s="63"/>
      <c r="D1574" s="63"/>
    </row>
    <row r="1575">
      <c r="B1575" s="63"/>
      <c r="C1575" s="63"/>
      <c r="D1575" s="63"/>
    </row>
    <row r="1576">
      <c r="B1576" s="63"/>
      <c r="C1576" s="63"/>
      <c r="D1576" s="63"/>
    </row>
    <row r="1577">
      <c r="B1577" s="63"/>
      <c r="C1577" s="63"/>
      <c r="D1577" s="63"/>
    </row>
    <row r="1578">
      <c r="B1578" s="63"/>
      <c r="C1578" s="63"/>
      <c r="D1578" s="63"/>
    </row>
    <row r="1579">
      <c r="B1579" s="63"/>
      <c r="C1579" s="63"/>
      <c r="D1579" s="63"/>
    </row>
    <row r="1580">
      <c r="B1580" s="63"/>
      <c r="C1580" s="63"/>
      <c r="D1580" s="63"/>
    </row>
    <row r="1581">
      <c r="B1581" s="63"/>
      <c r="C1581" s="63"/>
      <c r="D1581" s="63"/>
    </row>
    <row r="1582">
      <c r="B1582" s="63"/>
      <c r="C1582" s="63"/>
      <c r="D1582" s="63"/>
    </row>
    <row r="1583">
      <c r="B1583" s="63"/>
      <c r="C1583" s="63"/>
      <c r="D1583" s="63"/>
    </row>
    <row r="1584">
      <c r="B1584" s="63"/>
      <c r="C1584" s="63"/>
      <c r="D1584" s="63"/>
    </row>
    <row r="1585">
      <c r="B1585" s="63"/>
      <c r="C1585" s="63"/>
      <c r="D1585" s="63"/>
    </row>
    <row r="1586">
      <c r="B1586" s="63"/>
      <c r="C1586" s="63"/>
      <c r="D1586" s="63"/>
    </row>
    <row r="1587">
      <c r="B1587" s="63"/>
      <c r="C1587" s="63"/>
      <c r="D1587" s="63"/>
    </row>
    <row r="1588">
      <c r="B1588" s="63"/>
      <c r="C1588" s="63"/>
      <c r="D1588" s="63"/>
    </row>
    <row r="1589">
      <c r="B1589" s="63"/>
      <c r="C1589" s="63"/>
      <c r="D1589" s="63"/>
    </row>
    <row r="1590">
      <c r="B1590" s="63"/>
      <c r="C1590" s="63"/>
      <c r="D1590" s="63"/>
    </row>
    <row r="1591">
      <c r="B1591" s="63"/>
      <c r="C1591" s="63"/>
      <c r="D1591" s="63"/>
    </row>
    <row r="1592">
      <c r="B1592" s="63"/>
      <c r="C1592" s="63"/>
      <c r="D1592" s="63"/>
    </row>
    <row r="1593">
      <c r="B1593" s="63"/>
      <c r="C1593" s="63"/>
      <c r="D1593" s="63"/>
    </row>
    <row r="1594">
      <c r="B1594" s="63"/>
      <c r="C1594" s="63"/>
      <c r="D1594" s="63"/>
    </row>
    <row r="1595">
      <c r="B1595" s="63"/>
      <c r="C1595" s="63"/>
      <c r="D1595" s="63"/>
    </row>
    <row r="1596">
      <c r="B1596" s="63"/>
      <c r="C1596" s="63"/>
      <c r="D1596" s="63"/>
    </row>
    <row r="1597">
      <c r="B1597" s="63"/>
      <c r="C1597" s="63"/>
      <c r="D1597" s="63"/>
    </row>
    <row r="1598">
      <c r="B1598" s="63"/>
      <c r="C1598" s="63"/>
      <c r="D1598" s="63"/>
    </row>
    <row r="1599">
      <c r="B1599" s="63"/>
      <c r="C1599" s="63"/>
      <c r="D1599" s="63"/>
    </row>
    <row r="1600">
      <c r="B1600" s="63"/>
      <c r="C1600" s="63"/>
      <c r="D1600" s="63"/>
    </row>
    <row r="1601">
      <c r="B1601" s="63"/>
      <c r="C1601" s="63"/>
      <c r="D1601" s="63"/>
    </row>
    <row r="1602">
      <c r="B1602" s="63"/>
      <c r="C1602" s="63"/>
      <c r="D1602" s="63"/>
    </row>
    <row r="1603">
      <c r="B1603" s="63"/>
      <c r="C1603" s="63"/>
      <c r="D1603" s="63"/>
    </row>
    <row r="1604">
      <c r="B1604" s="63"/>
      <c r="C1604" s="63"/>
      <c r="D1604" s="63"/>
    </row>
    <row r="1605">
      <c r="B1605" s="63"/>
      <c r="C1605" s="63"/>
      <c r="D1605" s="63"/>
    </row>
    <row r="1606">
      <c r="B1606" s="63"/>
      <c r="C1606" s="63"/>
      <c r="D1606" s="63"/>
    </row>
    <row r="1607">
      <c r="B1607" s="63"/>
      <c r="C1607" s="63"/>
      <c r="D1607" s="63"/>
    </row>
    <row r="1608">
      <c r="B1608" s="63"/>
      <c r="C1608" s="63"/>
      <c r="D1608" s="63"/>
    </row>
    <row r="1609">
      <c r="B1609" s="63"/>
      <c r="C1609" s="63"/>
      <c r="D1609" s="63"/>
    </row>
    <row r="1610">
      <c r="B1610" s="63"/>
      <c r="C1610" s="63"/>
      <c r="D1610" s="63"/>
    </row>
    <row r="1611">
      <c r="B1611" s="63"/>
      <c r="C1611" s="63"/>
      <c r="D1611" s="63"/>
    </row>
    <row r="1612">
      <c r="B1612" s="63"/>
      <c r="C1612" s="63"/>
      <c r="D1612" s="63"/>
    </row>
    <row r="1613">
      <c r="B1613" s="63"/>
      <c r="C1613" s="63"/>
      <c r="D1613" s="63"/>
    </row>
    <row r="1614">
      <c r="B1614" s="63"/>
      <c r="C1614" s="63"/>
      <c r="D1614" s="63"/>
    </row>
    <row r="1615">
      <c r="B1615" s="63"/>
      <c r="C1615" s="63"/>
      <c r="D1615" s="63"/>
    </row>
    <row r="1616">
      <c r="B1616" s="63"/>
      <c r="C1616" s="63"/>
      <c r="D1616" s="63"/>
    </row>
    <row r="1617">
      <c r="B1617" s="63"/>
      <c r="C1617" s="63"/>
      <c r="D1617" s="63"/>
    </row>
    <row r="1618">
      <c r="B1618" s="63"/>
      <c r="C1618" s="63"/>
      <c r="D1618" s="63"/>
    </row>
    <row r="1619">
      <c r="B1619" s="63"/>
      <c r="C1619" s="63"/>
      <c r="D1619" s="63"/>
    </row>
    <row r="1620">
      <c r="B1620" s="63"/>
      <c r="C1620" s="63"/>
      <c r="D1620" s="63"/>
    </row>
    <row r="1621">
      <c r="B1621" s="63"/>
      <c r="C1621" s="63"/>
      <c r="D1621" s="63"/>
    </row>
    <row r="1622">
      <c r="B1622" s="63"/>
      <c r="C1622" s="63"/>
      <c r="D1622" s="63"/>
    </row>
    <row r="1623">
      <c r="B1623" s="63"/>
      <c r="C1623" s="63"/>
      <c r="D1623" s="63"/>
    </row>
    <row r="1624">
      <c r="B1624" s="63"/>
      <c r="C1624" s="63"/>
      <c r="D1624" s="63"/>
    </row>
    <row r="1625">
      <c r="B1625" s="63"/>
      <c r="C1625" s="63"/>
      <c r="D1625" s="63"/>
    </row>
    <row r="1626">
      <c r="B1626" s="63"/>
      <c r="C1626" s="63"/>
      <c r="D1626" s="63"/>
    </row>
    <row r="1627">
      <c r="B1627" s="63"/>
      <c r="C1627" s="63"/>
      <c r="D1627" s="63"/>
    </row>
    <row r="1628">
      <c r="B1628" s="63"/>
      <c r="C1628" s="63"/>
      <c r="D1628" s="63"/>
    </row>
    <row r="1629">
      <c r="B1629" s="63"/>
      <c r="C1629" s="63"/>
      <c r="D1629" s="63"/>
    </row>
    <row r="1630">
      <c r="B1630" s="63"/>
      <c r="C1630" s="63"/>
      <c r="D1630" s="63"/>
    </row>
    <row r="1631">
      <c r="B1631" s="63"/>
      <c r="C1631" s="63"/>
      <c r="D1631" s="63"/>
    </row>
    <row r="1632">
      <c r="B1632" s="63"/>
      <c r="C1632" s="63"/>
      <c r="D1632" s="63"/>
    </row>
    <row r="1633">
      <c r="B1633" s="63"/>
      <c r="C1633" s="63"/>
      <c r="D1633" s="63"/>
    </row>
    <row r="1634">
      <c r="B1634" s="63"/>
      <c r="C1634" s="63"/>
      <c r="D1634" s="63"/>
    </row>
    <row r="1635">
      <c r="B1635" s="63"/>
      <c r="C1635" s="63"/>
      <c r="D1635" s="63"/>
    </row>
    <row r="1636">
      <c r="B1636" s="63"/>
      <c r="C1636" s="63"/>
      <c r="D1636" s="63"/>
    </row>
    <row r="1637">
      <c r="B1637" s="63"/>
      <c r="C1637" s="63"/>
      <c r="D1637" s="63"/>
    </row>
    <row r="1638">
      <c r="B1638" s="63"/>
      <c r="C1638" s="63"/>
      <c r="D1638" s="63"/>
    </row>
    <row r="1639">
      <c r="B1639" s="63"/>
      <c r="C1639" s="63"/>
      <c r="D1639" s="63"/>
    </row>
    <row r="1640">
      <c r="B1640" s="63"/>
      <c r="C1640" s="63"/>
      <c r="D1640" s="63"/>
    </row>
    <row r="1641">
      <c r="B1641" s="63"/>
      <c r="C1641" s="63"/>
      <c r="D1641" s="63"/>
    </row>
    <row r="1642">
      <c r="B1642" s="63"/>
      <c r="C1642" s="63"/>
      <c r="D1642" s="63"/>
    </row>
    <row r="1643">
      <c r="B1643" s="63"/>
      <c r="C1643" s="63"/>
      <c r="D1643" s="63"/>
    </row>
    <row r="1644">
      <c r="B1644" s="63"/>
      <c r="C1644" s="63"/>
      <c r="D1644" s="63"/>
    </row>
    <row r="1645">
      <c r="B1645" s="63"/>
      <c r="C1645" s="63"/>
      <c r="D1645" s="63"/>
    </row>
    <row r="1646">
      <c r="B1646" s="63"/>
      <c r="C1646" s="63"/>
      <c r="D1646" s="63"/>
    </row>
    <row r="1647">
      <c r="B1647" s="63"/>
      <c r="C1647" s="63"/>
      <c r="D1647" s="63"/>
    </row>
    <row r="1648">
      <c r="B1648" s="63"/>
      <c r="C1648" s="63"/>
      <c r="D1648" s="63"/>
    </row>
    <row r="1649">
      <c r="B1649" s="63"/>
      <c r="C1649" s="63"/>
      <c r="D1649" s="63"/>
    </row>
    <row r="1650">
      <c r="B1650" s="63"/>
      <c r="C1650" s="63"/>
      <c r="D1650" s="63"/>
    </row>
    <row r="1651">
      <c r="B1651" s="63"/>
      <c r="C1651" s="63"/>
      <c r="D1651" s="63"/>
    </row>
    <row r="1652">
      <c r="B1652" s="63"/>
      <c r="C1652" s="63"/>
      <c r="D1652" s="63"/>
    </row>
    <row r="1653">
      <c r="B1653" s="63"/>
      <c r="C1653" s="63"/>
      <c r="D1653" s="63"/>
    </row>
    <row r="1654">
      <c r="B1654" s="63"/>
      <c r="C1654" s="63"/>
      <c r="D1654" s="63"/>
    </row>
    <row r="1655">
      <c r="B1655" s="63"/>
      <c r="C1655" s="63"/>
      <c r="D1655" s="63"/>
    </row>
    <row r="1656">
      <c r="B1656" s="63"/>
      <c r="C1656" s="63"/>
      <c r="D1656" s="63"/>
    </row>
    <row r="1657">
      <c r="B1657" s="63"/>
      <c r="C1657" s="63"/>
      <c r="D1657" s="63"/>
    </row>
    <row r="1658">
      <c r="B1658" s="63"/>
      <c r="C1658" s="63"/>
      <c r="D1658" s="63"/>
    </row>
    <row r="1659">
      <c r="B1659" s="63"/>
      <c r="C1659" s="63"/>
      <c r="D1659" s="63"/>
    </row>
    <row r="1660">
      <c r="B1660" s="63"/>
      <c r="C1660" s="63"/>
      <c r="D1660" s="63"/>
    </row>
    <row r="1661">
      <c r="B1661" s="63"/>
      <c r="C1661" s="63"/>
      <c r="D1661" s="63"/>
    </row>
    <row r="1662">
      <c r="B1662" s="63"/>
      <c r="C1662" s="63"/>
      <c r="D1662" s="63"/>
    </row>
    <row r="1663">
      <c r="B1663" s="63"/>
      <c r="C1663" s="63"/>
      <c r="D1663" s="63"/>
    </row>
    <row r="1664">
      <c r="B1664" s="63"/>
      <c r="C1664" s="63"/>
      <c r="D1664" s="63"/>
    </row>
    <row r="1665">
      <c r="B1665" s="63"/>
      <c r="C1665" s="63"/>
      <c r="D1665" s="63"/>
    </row>
    <row r="1666">
      <c r="B1666" s="63"/>
      <c r="C1666" s="63"/>
      <c r="D1666" s="63"/>
    </row>
    <row r="1667">
      <c r="B1667" s="63"/>
      <c r="C1667" s="63"/>
      <c r="D1667" s="63"/>
    </row>
    <row r="1668">
      <c r="B1668" s="63"/>
      <c r="C1668" s="63"/>
      <c r="D1668" s="63"/>
    </row>
    <row r="1669">
      <c r="B1669" s="63"/>
      <c r="C1669" s="63"/>
      <c r="D1669" s="63"/>
    </row>
    <row r="1670">
      <c r="B1670" s="63"/>
      <c r="C1670" s="63"/>
      <c r="D1670" s="63"/>
    </row>
    <row r="1671">
      <c r="B1671" s="63"/>
      <c r="C1671" s="63"/>
      <c r="D1671" s="63"/>
    </row>
    <row r="1672">
      <c r="B1672" s="63"/>
      <c r="C1672" s="63"/>
      <c r="D1672" s="63"/>
    </row>
    <row r="1673">
      <c r="B1673" s="63"/>
      <c r="C1673" s="63"/>
      <c r="D1673" s="63"/>
    </row>
    <row r="1674">
      <c r="B1674" s="63"/>
      <c r="C1674" s="63"/>
      <c r="D1674" s="63"/>
    </row>
    <row r="1675">
      <c r="B1675" s="63"/>
      <c r="C1675" s="63"/>
      <c r="D1675" s="63"/>
    </row>
    <row r="1676">
      <c r="B1676" s="63"/>
      <c r="C1676" s="63"/>
      <c r="D1676" s="63"/>
    </row>
    <row r="1677">
      <c r="B1677" s="63"/>
      <c r="C1677" s="63"/>
      <c r="D1677" s="63"/>
    </row>
    <row r="1678">
      <c r="B1678" s="63"/>
      <c r="C1678" s="63"/>
      <c r="D1678" s="63"/>
    </row>
    <row r="1679">
      <c r="B1679" s="63"/>
      <c r="C1679" s="63"/>
      <c r="D1679" s="63"/>
    </row>
    <row r="1680">
      <c r="B1680" s="63"/>
      <c r="C1680" s="63"/>
      <c r="D1680" s="63"/>
    </row>
    <row r="1681">
      <c r="B1681" s="63"/>
      <c r="C1681" s="63"/>
      <c r="D1681" s="63"/>
    </row>
    <row r="1682">
      <c r="B1682" s="63"/>
      <c r="C1682" s="63"/>
      <c r="D1682" s="63"/>
    </row>
    <row r="1683">
      <c r="B1683" s="63"/>
      <c r="C1683" s="63"/>
      <c r="D1683" s="63"/>
    </row>
    <row r="1684">
      <c r="B1684" s="63"/>
      <c r="C1684" s="63"/>
      <c r="D1684" s="63"/>
    </row>
    <row r="1685">
      <c r="B1685" s="63"/>
      <c r="C1685" s="63"/>
      <c r="D1685" s="63"/>
    </row>
    <row r="1686">
      <c r="B1686" s="63"/>
      <c r="C1686" s="63"/>
      <c r="D1686" s="63"/>
    </row>
    <row r="1687">
      <c r="B1687" s="63"/>
      <c r="C1687" s="63"/>
      <c r="D1687" s="63"/>
    </row>
    <row r="1688">
      <c r="B1688" s="63"/>
      <c r="C1688" s="63"/>
      <c r="D1688" s="63"/>
    </row>
    <row r="1689">
      <c r="B1689" s="63"/>
      <c r="C1689" s="63"/>
      <c r="D1689" s="63"/>
    </row>
    <row r="1690">
      <c r="B1690" s="63"/>
      <c r="C1690" s="63"/>
      <c r="D1690" s="63"/>
    </row>
    <row r="1691">
      <c r="B1691" s="63"/>
      <c r="C1691" s="63"/>
      <c r="D1691" s="63"/>
    </row>
    <row r="1692">
      <c r="B1692" s="63"/>
      <c r="C1692" s="63"/>
      <c r="D1692" s="63"/>
    </row>
    <row r="1693">
      <c r="B1693" s="63"/>
      <c r="C1693" s="63"/>
      <c r="D1693" s="63"/>
    </row>
    <row r="1694">
      <c r="B1694" s="63"/>
      <c r="C1694" s="63"/>
      <c r="D1694" s="63"/>
    </row>
    <row r="1695">
      <c r="B1695" s="63"/>
      <c r="C1695" s="63"/>
      <c r="D1695" s="63"/>
    </row>
    <row r="1696">
      <c r="B1696" s="63"/>
      <c r="C1696" s="63"/>
      <c r="D1696" s="63"/>
    </row>
    <row r="1697">
      <c r="B1697" s="63"/>
      <c r="C1697" s="63"/>
      <c r="D1697" s="63"/>
    </row>
    <row r="1698">
      <c r="B1698" s="63"/>
      <c r="C1698" s="63"/>
      <c r="D1698" s="63"/>
    </row>
    <row r="1699">
      <c r="B1699" s="63"/>
      <c r="C1699" s="63"/>
      <c r="D1699" s="63"/>
    </row>
    <row r="1700">
      <c r="B1700" s="63"/>
      <c r="C1700" s="63"/>
      <c r="D1700" s="63"/>
    </row>
    <row r="1701">
      <c r="B1701" s="63"/>
      <c r="C1701" s="63"/>
      <c r="D1701" s="63"/>
    </row>
    <row r="1702">
      <c r="B1702" s="63"/>
      <c r="C1702" s="63"/>
      <c r="D1702" s="63"/>
    </row>
    <row r="1703">
      <c r="B1703" s="63"/>
      <c r="C1703" s="63"/>
      <c r="D1703" s="63"/>
    </row>
    <row r="1704">
      <c r="B1704" s="63"/>
      <c r="C1704" s="63"/>
      <c r="D1704" s="63"/>
    </row>
    <row r="1705">
      <c r="B1705" s="63"/>
      <c r="C1705" s="63"/>
      <c r="D1705" s="63"/>
    </row>
    <row r="1706">
      <c r="B1706" s="63"/>
      <c r="C1706" s="63"/>
      <c r="D1706" s="63"/>
    </row>
    <row r="1707">
      <c r="B1707" s="63"/>
      <c r="C1707" s="63"/>
      <c r="D1707" s="63"/>
    </row>
    <row r="1708">
      <c r="B1708" s="63"/>
      <c r="C1708" s="63"/>
      <c r="D1708" s="63"/>
    </row>
    <row r="1709">
      <c r="B1709" s="63"/>
      <c r="C1709" s="63"/>
      <c r="D1709" s="63"/>
    </row>
    <row r="1710">
      <c r="B1710" s="63"/>
      <c r="C1710" s="63"/>
      <c r="D1710" s="63"/>
    </row>
    <row r="1711">
      <c r="B1711" s="63"/>
      <c r="C1711" s="63"/>
      <c r="D1711" s="63"/>
    </row>
    <row r="1712">
      <c r="B1712" s="63"/>
      <c r="C1712" s="63"/>
      <c r="D1712" s="63"/>
    </row>
    <row r="1713">
      <c r="B1713" s="63"/>
      <c r="C1713" s="63"/>
      <c r="D1713" s="63"/>
    </row>
    <row r="1714">
      <c r="B1714" s="63"/>
      <c r="C1714" s="63"/>
      <c r="D1714" s="63"/>
    </row>
    <row r="1715">
      <c r="B1715" s="63"/>
      <c r="C1715" s="63"/>
      <c r="D1715" s="63"/>
    </row>
    <row r="1716">
      <c r="B1716" s="63"/>
      <c r="C1716" s="63"/>
      <c r="D1716" s="63"/>
    </row>
    <row r="1717">
      <c r="B1717" s="63"/>
      <c r="C1717" s="63"/>
      <c r="D1717" s="63"/>
    </row>
    <row r="1718">
      <c r="B1718" s="63"/>
      <c r="C1718" s="63"/>
      <c r="D1718" s="63"/>
    </row>
    <row r="1719">
      <c r="B1719" s="63"/>
      <c r="C1719" s="63"/>
      <c r="D1719" s="63"/>
    </row>
    <row r="1720">
      <c r="B1720" s="63"/>
      <c r="C1720" s="63"/>
      <c r="D1720" s="63"/>
    </row>
    <row r="1721">
      <c r="B1721" s="63"/>
      <c r="C1721" s="63"/>
      <c r="D1721" s="63"/>
    </row>
    <row r="1722">
      <c r="B1722" s="63"/>
      <c r="C1722" s="63"/>
      <c r="D1722" s="63"/>
    </row>
    <row r="1723">
      <c r="B1723" s="63"/>
      <c r="C1723" s="63"/>
      <c r="D1723" s="63"/>
    </row>
    <row r="1724">
      <c r="B1724" s="63"/>
      <c r="C1724" s="63"/>
      <c r="D1724" s="63"/>
    </row>
    <row r="1725">
      <c r="B1725" s="63"/>
      <c r="C1725" s="63"/>
      <c r="D1725" s="63"/>
    </row>
    <row r="1726">
      <c r="B1726" s="63"/>
      <c r="C1726" s="63"/>
      <c r="D1726" s="63"/>
    </row>
    <row r="1727">
      <c r="B1727" s="63"/>
      <c r="C1727" s="63"/>
      <c r="D1727" s="63"/>
    </row>
    <row r="1728">
      <c r="B1728" s="63"/>
      <c r="C1728" s="63"/>
      <c r="D1728" s="63"/>
    </row>
    <row r="1729">
      <c r="B1729" s="63"/>
      <c r="C1729" s="63"/>
      <c r="D1729" s="63"/>
    </row>
    <row r="1730">
      <c r="B1730" s="63"/>
      <c r="C1730" s="63"/>
      <c r="D1730" s="63"/>
    </row>
    <row r="1731">
      <c r="B1731" s="63"/>
      <c r="C1731" s="63"/>
      <c r="D1731" s="63"/>
    </row>
    <row r="1732">
      <c r="B1732" s="63"/>
      <c r="C1732" s="63"/>
      <c r="D1732" s="63"/>
    </row>
    <row r="1733">
      <c r="B1733" s="63"/>
      <c r="C1733" s="63"/>
      <c r="D1733" s="63"/>
    </row>
    <row r="1734">
      <c r="B1734" s="63"/>
      <c r="C1734" s="63"/>
      <c r="D1734" s="63"/>
    </row>
    <row r="1735">
      <c r="B1735" s="63"/>
      <c r="C1735" s="63"/>
      <c r="D1735" s="63"/>
    </row>
    <row r="1736">
      <c r="B1736" s="63"/>
      <c r="C1736" s="63"/>
      <c r="D1736" s="63"/>
    </row>
    <row r="1737">
      <c r="B1737" s="63"/>
      <c r="C1737" s="63"/>
      <c r="D1737" s="63"/>
    </row>
    <row r="1738">
      <c r="B1738" s="63"/>
      <c r="C1738" s="63"/>
      <c r="D1738" s="63"/>
    </row>
    <row r="1739">
      <c r="B1739" s="63"/>
      <c r="C1739" s="63"/>
      <c r="D1739" s="63"/>
    </row>
    <row r="1740">
      <c r="B1740" s="63"/>
      <c r="C1740" s="63"/>
      <c r="D1740" s="63"/>
    </row>
    <row r="1741">
      <c r="B1741" s="63"/>
      <c r="C1741" s="63"/>
      <c r="D1741" s="63"/>
    </row>
    <row r="1742">
      <c r="B1742" s="63"/>
      <c r="C1742" s="63"/>
      <c r="D1742" s="63"/>
    </row>
    <row r="1743">
      <c r="B1743" s="63"/>
      <c r="C1743" s="63"/>
      <c r="D1743" s="63"/>
    </row>
    <row r="1744">
      <c r="B1744" s="63"/>
      <c r="C1744" s="63"/>
      <c r="D1744" s="63"/>
    </row>
    <row r="1745">
      <c r="B1745" s="63"/>
      <c r="C1745" s="63"/>
      <c r="D1745" s="63"/>
    </row>
    <row r="1746">
      <c r="B1746" s="63"/>
      <c r="C1746" s="63"/>
      <c r="D1746" s="63"/>
    </row>
    <row r="1747">
      <c r="B1747" s="63"/>
      <c r="C1747" s="63"/>
      <c r="D1747" s="63"/>
    </row>
    <row r="1748">
      <c r="B1748" s="63"/>
      <c r="C1748" s="63"/>
      <c r="D1748" s="63"/>
    </row>
    <row r="1749">
      <c r="B1749" s="63"/>
      <c r="C1749" s="63"/>
      <c r="D1749" s="63"/>
    </row>
    <row r="1750">
      <c r="B1750" s="63"/>
      <c r="C1750" s="63"/>
      <c r="D1750" s="63"/>
    </row>
    <row r="1751">
      <c r="B1751" s="63"/>
      <c r="C1751" s="63"/>
      <c r="D1751" s="63"/>
    </row>
    <row r="1752">
      <c r="B1752" s="63"/>
      <c r="C1752" s="63"/>
      <c r="D1752" s="63"/>
    </row>
    <row r="1753">
      <c r="B1753" s="63"/>
      <c r="C1753" s="63"/>
      <c r="D1753" s="63"/>
    </row>
    <row r="1754">
      <c r="B1754" s="63"/>
      <c r="C1754" s="63"/>
      <c r="D1754" s="63"/>
    </row>
    <row r="1755">
      <c r="B1755" s="63"/>
      <c r="C1755" s="63"/>
      <c r="D1755" s="63"/>
    </row>
    <row r="1756">
      <c r="B1756" s="63"/>
      <c r="C1756" s="63"/>
      <c r="D1756" s="63"/>
    </row>
    <row r="1757">
      <c r="B1757" s="63"/>
      <c r="C1757" s="63"/>
      <c r="D1757" s="63"/>
    </row>
    <row r="1758">
      <c r="B1758" s="63"/>
      <c r="C1758" s="63"/>
      <c r="D1758" s="63"/>
    </row>
    <row r="1759">
      <c r="B1759" s="63"/>
      <c r="C1759" s="63"/>
      <c r="D1759" s="63"/>
    </row>
    <row r="1760">
      <c r="B1760" s="63"/>
      <c r="C1760" s="63"/>
      <c r="D1760" s="63"/>
    </row>
    <row r="1761">
      <c r="B1761" s="63"/>
      <c r="C1761" s="63"/>
      <c r="D1761" s="63"/>
    </row>
    <row r="1762">
      <c r="B1762" s="63"/>
      <c r="C1762" s="63"/>
      <c r="D1762" s="63"/>
    </row>
    <row r="1763">
      <c r="B1763" s="63"/>
      <c r="C1763" s="63"/>
      <c r="D1763" s="63"/>
    </row>
    <row r="1764">
      <c r="B1764" s="63"/>
      <c r="C1764" s="63"/>
      <c r="D1764" s="63"/>
    </row>
    <row r="1765">
      <c r="B1765" s="63"/>
      <c r="C1765" s="63"/>
      <c r="D1765" s="63"/>
    </row>
    <row r="1766">
      <c r="B1766" s="63"/>
      <c r="C1766" s="63"/>
      <c r="D1766" s="63"/>
    </row>
    <row r="1767">
      <c r="B1767" s="63"/>
      <c r="C1767" s="63"/>
      <c r="D1767" s="63"/>
    </row>
    <row r="1768">
      <c r="B1768" s="63"/>
      <c r="C1768" s="63"/>
      <c r="D1768" s="63"/>
    </row>
    <row r="1769">
      <c r="B1769" s="63"/>
      <c r="C1769" s="63"/>
      <c r="D1769" s="63"/>
    </row>
    <row r="1770">
      <c r="B1770" s="63"/>
      <c r="C1770" s="63"/>
      <c r="D1770" s="63"/>
    </row>
    <row r="1771">
      <c r="B1771" s="63"/>
      <c r="C1771" s="63"/>
      <c r="D1771" s="63"/>
    </row>
    <row r="1772">
      <c r="B1772" s="63"/>
      <c r="C1772" s="63"/>
      <c r="D1772" s="63"/>
    </row>
    <row r="1773">
      <c r="B1773" s="63"/>
      <c r="C1773" s="63"/>
      <c r="D1773" s="63"/>
    </row>
    <row r="1774">
      <c r="B1774" s="63"/>
      <c r="C1774" s="63"/>
      <c r="D1774" s="63"/>
    </row>
    <row r="1775">
      <c r="B1775" s="63"/>
      <c r="C1775" s="63"/>
      <c r="D1775" s="63"/>
    </row>
    <row r="1776">
      <c r="B1776" s="63"/>
      <c r="C1776" s="63"/>
      <c r="D1776" s="63"/>
    </row>
    <row r="1777">
      <c r="B1777" s="63"/>
      <c r="C1777" s="63"/>
      <c r="D1777" s="63"/>
    </row>
    <row r="1778">
      <c r="B1778" s="63"/>
      <c r="C1778" s="63"/>
      <c r="D1778" s="63"/>
    </row>
    <row r="1779">
      <c r="B1779" s="63"/>
      <c r="C1779" s="63"/>
      <c r="D1779" s="63"/>
    </row>
    <row r="1780">
      <c r="B1780" s="63"/>
      <c r="C1780" s="63"/>
      <c r="D1780" s="63"/>
    </row>
    <row r="1781">
      <c r="B1781" s="63"/>
      <c r="C1781" s="63"/>
      <c r="D1781" s="63"/>
    </row>
    <row r="1782">
      <c r="B1782" s="63"/>
      <c r="C1782" s="63"/>
      <c r="D1782" s="63"/>
    </row>
    <row r="1783">
      <c r="B1783" s="63"/>
      <c r="C1783" s="63"/>
      <c r="D1783" s="63"/>
    </row>
    <row r="1784">
      <c r="B1784" s="63"/>
      <c r="C1784" s="63"/>
      <c r="D1784" s="63"/>
    </row>
    <row r="1785">
      <c r="B1785" s="63"/>
      <c r="C1785" s="63"/>
      <c r="D1785" s="63"/>
    </row>
    <row r="1786">
      <c r="B1786" s="63"/>
      <c r="C1786" s="63"/>
      <c r="D1786" s="63"/>
    </row>
    <row r="1787">
      <c r="B1787" s="63"/>
      <c r="C1787" s="63"/>
      <c r="D1787" s="63"/>
    </row>
    <row r="1788">
      <c r="B1788" s="63"/>
      <c r="C1788" s="63"/>
      <c r="D1788" s="63"/>
    </row>
    <row r="1789">
      <c r="B1789" s="63"/>
      <c r="C1789" s="63"/>
      <c r="D1789" s="63"/>
    </row>
    <row r="1790">
      <c r="B1790" s="63"/>
      <c r="C1790" s="63"/>
      <c r="D1790" s="63"/>
    </row>
    <row r="1791">
      <c r="B1791" s="63"/>
      <c r="C1791" s="63"/>
      <c r="D1791" s="63"/>
    </row>
    <row r="1792">
      <c r="B1792" s="63"/>
      <c r="C1792" s="63"/>
      <c r="D1792" s="63"/>
    </row>
    <row r="1793">
      <c r="B1793" s="63"/>
      <c r="C1793" s="63"/>
      <c r="D1793" s="63"/>
    </row>
    <row r="1794">
      <c r="B1794" s="63"/>
      <c r="C1794" s="63"/>
      <c r="D1794" s="63"/>
    </row>
    <row r="1795">
      <c r="B1795" s="63"/>
      <c r="C1795" s="63"/>
      <c r="D1795" s="63"/>
    </row>
    <row r="1796">
      <c r="B1796" s="63"/>
      <c r="C1796" s="63"/>
      <c r="D1796" s="63"/>
    </row>
    <row r="1797">
      <c r="B1797" s="63"/>
      <c r="C1797" s="63"/>
      <c r="D1797" s="63"/>
    </row>
    <row r="1798">
      <c r="B1798" s="63"/>
      <c r="C1798" s="63"/>
      <c r="D1798" s="63"/>
    </row>
    <row r="1799">
      <c r="B1799" s="63"/>
      <c r="C1799" s="63"/>
      <c r="D1799" s="63"/>
    </row>
    <row r="1800">
      <c r="B1800" s="63"/>
      <c r="C1800" s="63"/>
      <c r="D1800" s="63"/>
    </row>
    <row r="1801">
      <c r="B1801" s="63"/>
      <c r="C1801" s="63"/>
      <c r="D1801" s="63"/>
    </row>
    <row r="1802">
      <c r="B1802" s="63"/>
      <c r="C1802" s="63"/>
      <c r="D1802" s="63"/>
    </row>
    <row r="1803">
      <c r="B1803" s="63"/>
      <c r="C1803" s="63"/>
      <c r="D1803" s="63"/>
    </row>
    <row r="1804">
      <c r="B1804" s="63"/>
      <c r="C1804" s="63"/>
      <c r="D1804" s="63"/>
    </row>
    <row r="1805">
      <c r="B1805" s="63"/>
      <c r="C1805" s="63"/>
      <c r="D1805" s="63"/>
    </row>
    <row r="1806">
      <c r="B1806" s="63"/>
      <c r="C1806" s="63"/>
      <c r="D1806" s="63"/>
    </row>
    <row r="1807">
      <c r="B1807" s="63"/>
      <c r="C1807" s="63"/>
      <c r="D1807" s="63"/>
    </row>
    <row r="1808">
      <c r="B1808" s="63"/>
      <c r="C1808" s="63"/>
      <c r="D1808" s="63"/>
    </row>
    <row r="1809">
      <c r="B1809" s="63"/>
      <c r="C1809" s="63"/>
      <c r="D1809" s="63"/>
    </row>
    <row r="1810">
      <c r="B1810" s="63"/>
      <c r="C1810" s="63"/>
      <c r="D1810" s="63"/>
    </row>
    <row r="1811">
      <c r="B1811" s="63"/>
      <c r="C1811" s="63"/>
      <c r="D1811" s="63"/>
    </row>
    <row r="1812">
      <c r="B1812" s="63"/>
      <c r="C1812" s="63"/>
      <c r="D1812" s="63"/>
    </row>
    <row r="1813">
      <c r="B1813" s="63"/>
      <c r="C1813" s="63"/>
      <c r="D1813" s="63"/>
    </row>
    <row r="1814">
      <c r="B1814" s="63"/>
      <c r="C1814" s="63"/>
      <c r="D1814" s="63"/>
    </row>
    <row r="1815">
      <c r="B1815" s="63"/>
      <c r="C1815" s="63"/>
      <c r="D1815" s="63"/>
    </row>
    <row r="1816">
      <c r="B1816" s="63"/>
      <c r="C1816" s="63"/>
      <c r="D1816" s="63"/>
    </row>
    <row r="1817">
      <c r="B1817" s="63"/>
      <c r="C1817" s="63"/>
      <c r="D1817" s="63"/>
    </row>
    <row r="1818">
      <c r="B1818" s="63"/>
      <c r="C1818" s="63"/>
      <c r="D1818" s="63"/>
    </row>
    <row r="1819">
      <c r="B1819" s="63"/>
      <c r="C1819" s="63"/>
      <c r="D1819" s="63"/>
    </row>
    <row r="1820">
      <c r="B1820" s="63"/>
      <c r="C1820" s="63"/>
      <c r="D1820" s="63"/>
    </row>
    <row r="1821">
      <c r="B1821" s="63"/>
      <c r="C1821" s="63"/>
      <c r="D1821" s="63"/>
    </row>
    <row r="1822">
      <c r="B1822" s="63"/>
      <c r="C1822" s="63"/>
      <c r="D1822" s="63"/>
    </row>
    <row r="1823">
      <c r="B1823" s="63"/>
      <c r="C1823" s="63"/>
      <c r="D1823" s="63"/>
    </row>
    <row r="1824">
      <c r="B1824" s="63"/>
      <c r="C1824" s="63"/>
      <c r="D1824" s="63"/>
    </row>
    <row r="1825">
      <c r="B1825" s="63"/>
      <c r="C1825" s="63"/>
      <c r="D1825" s="63"/>
    </row>
    <row r="1826">
      <c r="B1826" s="63"/>
      <c r="C1826" s="63"/>
      <c r="D1826" s="63"/>
    </row>
    <row r="1827">
      <c r="B1827" s="63"/>
      <c r="C1827" s="63"/>
      <c r="D1827" s="63"/>
    </row>
    <row r="1828">
      <c r="B1828" s="63"/>
      <c r="C1828" s="63"/>
      <c r="D1828" s="63"/>
    </row>
    <row r="1829">
      <c r="B1829" s="63"/>
      <c r="C1829" s="63"/>
      <c r="D1829" s="63"/>
    </row>
    <row r="1830">
      <c r="B1830" s="63"/>
      <c r="C1830" s="63"/>
      <c r="D1830" s="63"/>
    </row>
    <row r="1831">
      <c r="B1831" s="63"/>
      <c r="C1831" s="63"/>
      <c r="D1831" s="63"/>
    </row>
    <row r="1832">
      <c r="B1832" s="63"/>
      <c r="C1832" s="63"/>
      <c r="D1832" s="63"/>
    </row>
    <row r="1833">
      <c r="B1833" s="63"/>
      <c r="C1833" s="63"/>
      <c r="D1833" s="63"/>
    </row>
    <row r="1834">
      <c r="B1834" s="63"/>
      <c r="C1834" s="63"/>
      <c r="D1834" s="63"/>
    </row>
    <row r="1835">
      <c r="B1835" s="63"/>
      <c r="C1835" s="63"/>
      <c r="D1835" s="63"/>
    </row>
    <row r="1836">
      <c r="B1836" s="63"/>
      <c r="C1836" s="63"/>
      <c r="D1836" s="63"/>
    </row>
    <row r="1837">
      <c r="B1837" s="63"/>
      <c r="C1837" s="63"/>
      <c r="D1837" s="63"/>
    </row>
    <row r="1838">
      <c r="B1838" s="63"/>
      <c r="C1838" s="63"/>
      <c r="D1838" s="63"/>
    </row>
    <row r="1839">
      <c r="B1839" s="63"/>
      <c r="C1839" s="63"/>
      <c r="D1839" s="63"/>
    </row>
    <row r="1840">
      <c r="B1840" s="63"/>
      <c r="C1840" s="63"/>
      <c r="D1840" s="63"/>
    </row>
    <row r="1841">
      <c r="B1841" s="63"/>
      <c r="C1841" s="63"/>
      <c r="D1841" s="63"/>
    </row>
    <row r="1842">
      <c r="B1842" s="63"/>
      <c r="C1842" s="63"/>
      <c r="D1842" s="63"/>
    </row>
    <row r="1843">
      <c r="B1843" s="63"/>
      <c r="C1843" s="63"/>
      <c r="D1843" s="63"/>
    </row>
    <row r="1844">
      <c r="B1844" s="63"/>
      <c r="C1844" s="63"/>
      <c r="D1844" s="63"/>
    </row>
    <row r="1845">
      <c r="B1845" s="63"/>
      <c r="C1845" s="63"/>
      <c r="D1845" s="63"/>
    </row>
    <row r="1846">
      <c r="B1846" s="63"/>
      <c r="C1846" s="63"/>
      <c r="D1846" s="63"/>
    </row>
    <row r="1847">
      <c r="B1847" s="63"/>
      <c r="C1847" s="63"/>
      <c r="D1847" s="63"/>
    </row>
    <row r="1848">
      <c r="B1848" s="63"/>
      <c r="C1848" s="63"/>
      <c r="D1848" s="63"/>
    </row>
    <row r="1849">
      <c r="B1849" s="63"/>
      <c r="C1849" s="63"/>
      <c r="D1849" s="63"/>
    </row>
    <row r="1850">
      <c r="B1850" s="63"/>
      <c r="C1850" s="63"/>
      <c r="D1850" s="63"/>
    </row>
    <row r="1851">
      <c r="B1851" s="63"/>
      <c r="C1851" s="63"/>
      <c r="D1851" s="63"/>
    </row>
    <row r="1852">
      <c r="B1852" s="63"/>
      <c r="C1852" s="63"/>
      <c r="D1852" s="63"/>
    </row>
    <row r="1853">
      <c r="B1853" s="63"/>
      <c r="C1853" s="63"/>
      <c r="D1853" s="63"/>
    </row>
    <row r="1854">
      <c r="B1854" s="63"/>
      <c r="C1854" s="63"/>
      <c r="D1854" s="63"/>
    </row>
    <row r="1855">
      <c r="B1855" s="63"/>
      <c r="C1855" s="63"/>
      <c r="D1855" s="63"/>
    </row>
    <row r="1856">
      <c r="B1856" s="63"/>
      <c r="C1856" s="63"/>
      <c r="D1856" s="63"/>
    </row>
    <row r="1857">
      <c r="B1857" s="63"/>
      <c r="C1857" s="63"/>
      <c r="D1857" s="63"/>
    </row>
    <row r="1858">
      <c r="B1858" s="63"/>
      <c r="C1858" s="63"/>
      <c r="D1858" s="63"/>
    </row>
    <row r="1859">
      <c r="B1859" s="63"/>
      <c r="C1859" s="63"/>
      <c r="D1859" s="63"/>
    </row>
    <row r="1860">
      <c r="B1860" s="63"/>
      <c r="C1860" s="63"/>
      <c r="D1860" s="63"/>
    </row>
    <row r="1861">
      <c r="B1861" s="63"/>
      <c r="C1861" s="63"/>
      <c r="D1861" s="63"/>
    </row>
    <row r="1862">
      <c r="B1862" s="63"/>
      <c r="C1862" s="63"/>
      <c r="D1862" s="63"/>
    </row>
    <row r="1863">
      <c r="B1863" s="63"/>
      <c r="C1863" s="63"/>
      <c r="D1863" s="63"/>
    </row>
    <row r="1864">
      <c r="B1864" s="63"/>
      <c r="C1864" s="63"/>
      <c r="D1864" s="63"/>
    </row>
    <row r="1865">
      <c r="B1865" s="63"/>
      <c r="C1865" s="63"/>
      <c r="D1865" s="63"/>
    </row>
    <row r="1866">
      <c r="B1866" s="63"/>
      <c r="C1866" s="63"/>
      <c r="D1866" s="63"/>
    </row>
    <row r="1867">
      <c r="B1867" s="63"/>
      <c r="C1867" s="63"/>
      <c r="D1867" s="63"/>
    </row>
    <row r="1868">
      <c r="B1868" s="63"/>
      <c r="C1868" s="63"/>
      <c r="D1868" s="63"/>
    </row>
    <row r="1869">
      <c r="B1869" s="63"/>
      <c r="C1869" s="63"/>
      <c r="D1869" s="63"/>
    </row>
    <row r="1870">
      <c r="B1870" s="63"/>
      <c r="C1870" s="63"/>
      <c r="D1870" s="63"/>
    </row>
    <row r="1871">
      <c r="B1871" s="63"/>
      <c r="C1871" s="63"/>
      <c r="D1871" s="63"/>
    </row>
    <row r="1872">
      <c r="B1872" s="63"/>
      <c r="C1872" s="63"/>
      <c r="D1872" s="63"/>
    </row>
    <row r="1873">
      <c r="B1873" s="63"/>
      <c r="C1873" s="63"/>
      <c r="D1873" s="63"/>
    </row>
    <row r="1874">
      <c r="B1874" s="63"/>
      <c r="C1874" s="63"/>
      <c r="D1874" s="63"/>
    </row>
    <row r="1875">
      <c r="B1875" s="63"/>
      <c r="C1875" s="63"/>
      <c r="D1875" s="63"/>
    </row>
    <row r="1876">
      <c r="B1876" s="63"/>
      <c r="C1876" s="63"/>
      <c r="D1876" s="63"/>
    </row>
    <row r="1877">
      <c r="B1877" s="63"/>
      <c r="C1877" s="63"/>
      <c r="D1877" s="63"/>
    </row>
    <row r="1878">
      <c r="B1878" s="63"/>
      <c r="C1878" s="63"/>
      <c r="D1878" s="63"/>
    </row>
    <row r="1879">
      <c r="B1879" s="63"/>
      <c r="C1879" s="63"/>
      <c r="D1879" s="63"/>
    </row>
    <row r="1880">
      <c r="B1880" s="63"/>
      <c r="C1880" s="63"/>
      <c r="D1880" s="63"/>
    </row>
    <row r="1881">
      <c r="B1881" s="63"/>
      <c r="C1881" s="63"/>
      <c r="D1881" s="63"/>
    </row>
    <row r="1882">
      <c r="B1882" s="63"/>
      <c r="C1882" s="63"/>
      <c r="D1882" s="63"/>
    </row>
    <row r="1883">
      <c r="B1883" s="63"/>
      <c r="C1883" s="63"/>
      <c r="D1883" s="63"/>
    </row>
    <row r="1884">
      <c r="B1884" s="63"/>
      <c r="C1884" s="63"/>
      <c r="D1884" s="63"/>
    </row>
    <row r="1885">
      <c r="B1885" s="63"/>
      <c r="C1885" s="63"/>
      <c r="D1885" s="63"/>
    </row>
    <row r="1886">
      <c r="B1886" s="63"/>
      <c r="C1886" s="63"/>
      <c r="D1886" s="63"/>
    </row>
    <row r="1887">
      <c r="B1887" s="63"/>
      <c r="C1887" s="63"/>
      <c r="D1887" s="63"/>
    </row>
    <row r="1888">
      <c r="B1888" s="63"/>
      <c r="C1888" s="63"/>
      <c r="D1888" s="63"/>
    </row>
    <row r="1889">
      <c r="B1889" s="63"/>
      <c r="C1889" s="63"/>
      <c r="D1889" s="63"/>
    </row>
    <row r="1890">
      <c r="B1890" s="63"/>
      <c r="C1890" s="63"/>
      <c r="D1890" s="63"/>
    </row>
    <row r="1891">
      <c r="B1891" s="63"/>
      <c r="C1891" s="63"/>
      <c r="D1891" s="63"/>
    </row>
    <row r="1892">
      <c r="B1892" s="63"/>
      <c r="C1892" s="63"/>
      <c r="D1892" s="63"/>
    </row>
    <row r="1893">
      <c r="B1893" s="63"/>
      <c r="C1893" s="63"/>
      <c r="D1893" s="63"/>
    </row>
    <row r="1894">
      <c r="B1894" s="63"/>
      <c r="C1894" s="63"/>
      <c r="D1894" s="63"/>
    </row>
    <row r="1895">
      <c r="B1895" s="63"/>
      <c r="C1895" s="63"/>
      <c r="D1895" s="63"/>
    </row>
    <row r="1896">
      <c r="B1896" s="63"/>
      <c r="C1896" s="63"/>
      <c r="D1896" s="63"/>
    </row>
    <row r="1897">
      <c r="B1897" s="63"/>
      <c r="C1897" s="63"/>
      <c r="D1897" s="63"/>
    </row>
    <row r="1898">
      <c r="B1898" s="63"/>
      <c r="C1898" s="63"/>
      <c r="D1898" s="63"/>
    </row>
    <row r="1899">
      <c r="B1899" s="63"/>
      <c r="C1899" s="63"/>
      <c r="D1899" s="63"/>
    </row>
    <row r="1900">
      <c r="B1900" s="63"/>
      <c r="C1900" s="63"/>
      <c r="D1900" s="63"/>
    </row>
    <row r="1901">
      <c r="B1901" s="63"/>
      <c r="C1901" s="63"/>
      <c r="D1901" s="63"/>
    </row>
    <row r="1902">
      <c r="B1902" s="63"/>
      <c r="C1902" s="63"/>
      <c r="D1902" s="63"/>
    </row>
    <row r="1903">
      <c r="B1903" s="63"/>
      <c r="C1903" s="63"/>
      <c r="D1903" s="63"/>
    </row>
    <row r="1904">
      <c r="B1904" s="63"/>
      <c r="C1904" s="63"/>
      <c r="D1904" s="63"/>
    </row>
    <row r="1905">
      <c r="B1905" s="63"/>
      <c r="C1905" s="63"/>
      <c r="D1905" s="63"/>
    </row>
    <row r="1906">
      <c r="B1906" s="63"/>
      <c r="C1906" s="63"/>
      <c r="D1906" s="63"/>
    </row>
    <row r="1907">
      <c r="B1907" s="63"/>
      <c r="C1907" s="63"/>
      <c r="D1907" s="63"/>
    </row>
    <row r="1908">
      <c r="B1908" s="63"/>
      <c r="C1908" s="63"/>
      <c r="D1908" s="63"/>
    </row>
    <row r="1909">
      <c r="B1909" s="63"/>
      <c r="C1909" s="63"/>
      <c r="D1909" s="63"/>
    </row>
    <row r="1910">
      <c r="B1910" s="63"/>
      <c r="C1910" s="63"/>
      <c r="D1910" s="63"/>
    </row>
    <row r="1911">
      <c r="B1911" s="63"/>
      <c r="C1911" s="63"/>
      <c r="D1911" s="63"/>
    </row>
    <row r="1912">
      <c r="B1912" s="63"/>
      <c r="C1912" s="63"/>
      <c r="D1912" s="63"/>
    </row>
    <row r="1913">
      <c r="B1913" s="63"/>
      <c r="C1913" s="63"/>
      <c r="D1913" s="63"/>
    </row>
    <row r="1914">
      <c r="B1914" s="63"/>
      <c r="C1914" s="63"/>
      <c r="D1914" s="63"/>
    </row>
    <row r="1915">
      <c r="B1915" s="63"/>
      <c r="C1915" s="63"/>
      <c r="D1915" s="63"/>
    </row>
    <row r="1916">
      <c r="B1916" s="63"/>
      <c r="C1916" s="63"/>
      <c r="D1916" s="63"/>
    </row>
    <row r="1917">
      <c r="B1917" s="63"/>
      <c r="C1917" s="63"/>
      <c r="D1917" s="63"/>
    </row>
    <row r="1918">
      <c r="B1918" s="63"/>
      <c r="C1918" s="63"/>
      <c r="D1918" s="63"/>
    </row>
    <row r="1919">
      <c r="B1919" s="63"/>
      <c r="C1919" s="63"/>
      <c r="D1919" s="63"/>
    </row>
    <row r="1920">
      <c r="B1920" s="63"/>
      <c r="C1920" s="63"/>
      <c r="D1920" s="63"/>
    </row>
    <row r="1921">
      <c r="B1921" s="63"/>
      <c r="C1921" s="63"/>
      <c r="D1921" s="63"/>
    </row>
    <row r="1922">
      <c r="B1922" s="63"/>
      <c r="C1922" s="63"/>
      <c r="D1922" s="63"/>
    </row>
    <row r="1923">
      <c r="B1923" s="63"/>
      <c r="C1923" s="63"/>
      <c r="D1923" s="63"/>
    </row>
    <row r="1924">
      <c r="B1924" s="63"/>
      <c r="C1924" s="63"/>
      <c r="D1924" s="63"/>
    </row>
    <row r="1925">
      <c r="B1925" s="63"/>
      <c r="C1925" s="63"/>
      <c r="D1925" s="63"/>
    </row>
    <row r="1926">
      <c r="B1926" s="63"/>
      <c r="C1926" s="63"/>
      <c r="D1926" s="63"/>
    </row>
    <row r="1927">
      <c r="B1927" s="63"/>
      <c r="C1927" s="63"/>
      <c r="D1927" s="63"/>
    </row>
    <row r="1928">
      <c r="B1928" s="63"/>
      <c r="C1928" s="63"/>
      <c r="D1928" s="63"/>
    </row>
    <row r="1929">
      <c r="B1929" s="63"/>
      <c r="C1929" s="63"/>
      <c r="D1929" s="63"/>
    </row>
    <row r="1930">
      <c r="B1930" s="63"/>
      <c r="C1930" s="63"/>
      <c r="D1930" s="63"/>
    </row>
    <row r="1931">
      <c r="B1931" s="63"/>
      <c r="C1931" s="63"/>
      <c r="D1931" s="63"/>
    </row>
    <row r="1932">
      <c r="B1932" s="63"/>
      <c r="C1932" s="63"/>
      <c r="D1932" s="63"/>
    </row>
    <row r="1933">
      <c r="B1933" s="63"/>
      <c r="C1933" s="63"/>
      <c r="D1933" s="63"/>
    </row>
    <row r="1934">
      <c r="B1934" s="63"/>
      <c r="C1934" s="63"/>
      <c r="D1934" s="63"/>
    </row>
    <row r="1935">
      <c r="B1935" s="63"/>
      <c r="C1935" s="63"/>
      <c r="D1935" s="63"/>
    </row>
    <row r="1936">
      <c r="B1936" s="63"/>
      <c r="C1936" s="63"/>
      <c r="D1936" s="63"/>
    </row>
    <row r="1937">
      <c r="B1937" s="63"/>
      <c r="C1937" s="63"/>
      <c r="D1937" s="63"/>
    </row>
    <row r="1938">
      <c r="B1938" s="63"/>
      <c r="C1938" s="63"/>
      <c r="D1938" s="63"/>
    </row>
    <row r="1939">
      <c r="B1939" s="63"/>
      <c r="C1939" s="63"/>
      <c r="D1939" s="63"/>
    </row>
    <row r="1940">
      <c r="B1940" s="63"/>
      <c r="C1940" s="63"/>
      <c r="D1940" s="63"/>
    </row>
    <row r="1941">
      <c r="B1941" s="63"/>
      <c r="C1941" s="63"/>
      <c r="D1941" s="63"/>
    </row>
    <row r="1942">
      <c r="B1942" s="63"/>
      <c r="C1942" s="63"/>
      <c r="D1942" s="63"/>
    </row>
    <row r="1943">
      <c r="B1943" s="63"/>
      <c r="C1943" s="63"/>
      <c r="D1943" s="63"/>
    </row>
    <row r="1944">
      <c r="B1944" s="63"/>
      <c r="C1944" s="63"/>
      <c r="D1944" s="63"/>
    </row>
    <row r="1945">
      <c r="B1945" s="63"/>
      <c r="C1945" s="63"/>
      <c r="D1945" s="63"/>
    </row>
    <row r="1946">
      <c r="B1946" s="63"/>
      <c r="C1946" s="63"/>
      <c r="D1946" s="63"/>
    </row>
    <row r="1947">
      <c r="B1947" s="63"/>
      <c r="C1947" s="63"/>
      <c r="D1947" s="63"/>
    </row>
    <row r="1948">
      <c r="B1948" s="63"/>
      <c r="C1948" s="63"/>
      <c r="D1948" s="63"/>
    </row>
    <row r="1949">
      <c r="B1949" s="63"/>
      <c r="C1949" s="63"/>
      <c r="D1949" s="63"/>
    </row>
    <row r="1950">
      <c r="B1950" s="63"/>
      <c r="C1950" s="63"/>
      <c r="D1950" s="63"/>
    </row>
    <row r="1951">
      <c r="B1951" s="63"/>
      <c r="C1951" s="63"/>
      <c r="D1951" s="63"/>
    </row>
    <row r="1952">
      <c r="B1952" s="63"/>
      <c r="C1952" s="63"/>
      <c r="D1952" s="63"/>
    </row>
    <row r="1953">
      <c r="B1953" s="63"/>
      <c r="C1953" s="63"/>
      <c r="D1953" s="63"/>
    </row>
    <row r="1954">
      <c r="B1954" s="63"/>
      <c r="C1954" s="63"/>
      <c r="D1954" s="63"/>
    </row>
    <row r="1955">
      <c r="B1955" s="63"/>
      <c r="C1955" s="63"/>
      <c r="D1955" s="63"/>
    </row>
    <row r="1956">
      <c r="B1956" s="63"/>
      <c r="C1956" s="63"/>
      <c r="D1956" s="63"/>
    </row>
    <row r="1957">
      <c r="B1957" s="63"/>
      <c r="C1957" s="63"/>
      <c r="D1957" s="63"/>
    </row>
    <row r="1958">
      <c r="B1958" s="63"/>
      <c r="C1958" s="63"/>
      <c r="D1958" s="63"/>
    </row>
    <row r="1959">
      <c r="B1959" s="63"/>
      <c r="C1959" s="63"/>
      <c r="D1959" s="63"/>
    </row>
    <row r="1960">
      <c r="B1960" s="63"/>
      <c r="C1960" s="63"/>
      <c r="D1960" s="63"/>
    </row>
    <row r="1961">
      <c r="B1961" s="63"/>
      <c r="C1961" s="63"/>
      <c r="D1961" s="63"/>
    </row>
    <row r="1962">
      <c r="B1962" s="63"/>
      <c r="C1962" s="63"/>
      <c r="D1962" s="63"/>
    </row>
    <row r="1963">
      <c r="B1963" s="63"/>
      <c r="C1963" s="63"/>
      <c r="D1963" s="63"/>
    </row>
    <row r="1964">
      <c r="B1964" s="63"/>
      <c r="C1964" s="63"/>
      <c r="D1964" s="63"/>
    </row>
    <row r="1965">
      <c r="B1965" s="63"/>
      <c r="C1965" s="63"/>
      <c r="D1965" s="63"/>
    </row>
    <row r="1966">
      <c r="B1966" s="63"/>
      <c r="C1966" s="63"/>
      <c r="D1966" s="63"/>
    </row>
    <row r="1967">
      <c r="B1967" s="63"/>
      <c r="C1967" s="63"/>
      <c r="D1967" s="63"/>
    </row>
    <row r="1968">
      <c r="B1968" s="63"/>
      <c r="C1968" s="63"/>
      <c r="D1968" s="63"/>
    </row>
    <row r="1969">
      <c r="B1969" s="63"/>
      <c r="C1969" s="63"/>
      <c r="D1969" s="63"/>
    </row>
    <row r="1970">
      <c r="B1970" s="63"/>
      <c r="C1970" s="63"/>
      <c r="D1970" s="63"/>
    </row>
    <row r="1971">
      <c r="B1971" s="63"/>
      <c r="C1971" s="63"/>
      <c r="D1971" s="63"/>
    </row>
    <row r="1972">
      <c r="B1972" s="63"/>
      <c r="C1972" s="63"/>
      <c r="D1972" s="63"/>
    </row>
    <row r="1973">
      <c r="B1973" s="63"/>
      <c r="C1973" s="63"/>
      <c r="D1973" s="63"/>
    </row>
    <row r="1974">
      <c r="B1974" s="63"/>
      <c r="C1974" s="63"/>
      <c r="D1974" s="63"/>
    </row>
    <row r="1975">
      <c r="B1975" s="63"/>
      <c r="C1975" s="63"/>
      <c r="D1975" s="63"/>
    </row>
    <row r="1976">
      <c r="B1976" s="63"/>
      <c r="C1976" s="63"/>
      <c r="D1976" s="63"/>
    </row>
    <row r="1977">
      <c r="B1977" s="63"/>
      <c r="C1977" s="63"/>
      <c r="D1977" s="63"/>
    </row>
    <row r="1978">
      <c r="B1978" s="63"/>
      <c r="C1978" s="63"/>
      <c r="D1978" s="63"/>
    </row>
    <row r="1979">
      <c r="B1979" s="63"/>
      <c r="C1979" s="63"/>
      <c r="D1979" s="63"/>
    </row>
    <row r="1980">
      <c r="B1980" s="63"/>
      <c r="C1980" s="63"/>
      <c r="D1980" s="63"/>
    </row>
    <row r="1981">
      <c r="B1981" s="63"/>
      <c r="C1981" s="63"/>
      <c r="D1981" s="63"/>
    </row>
    <row r="1982">
      <c r="B1982" s="63"/>
      <c r="C1982" s="63"/>
      <c r="D1982" s="63"/>
    </row>
    <row r="1983">
      <c r="B1983" s="63"/>
      <c r="C1983" s="63"/>
      <c r="D1983" s="63"/>
    </row>
    <row r="1984">
      <c r="B1984" s="63"/>
      <c r="C1984" s="63"/>
      <c r="D1984" s="63"/>
    </row>
    <row r="1985">
      <c r="B1985" s="63"/>
      <c r="C1985" s="63"/>
      <c r="D1985" s="63"/>
    </row>
    <row r="1986">
      <c r="B1986" s="63"/>
      <c r="C1986" s="63"/>
      <c r="D1986" s="63"/>
    </row>
    <row r="1987">
      <c r="B1987" s="63"/>
      <c r="C1987" s="63"/>
      <c r="D1987" s="63"/>
    </row>
    <row r="1988">
      <c r="B1988" s="63"/>
      <c r="C1988" s="63"/>
      <c r="D1988" s="63"/>
    </row>
    <row r="1989">
      <c r="B1989" s="63"/>
      <c r="C1989" s="63"/>
      <c r="D1989" s="63"/>
    </row>
    <row r="1990">
      <c r="B1990" s="63"/>
      <c r="C1990" s="63"/>
      <c r="D1990" s="63"/>
    </row>
    <row r="1991">
      <c r="B1991" s="63"/>
      <c r="C1991" s="63"/>
      <c r="D1991" s="63"/>
    </row>
    <row r="1992">
      <c r="B1992" s="63"/>
      <c r="C1992" s="63"/>
      <c r="D1992" s="63"/>
    </row>
    <row r="1993">
      <c r="B1993" s="63"/>
      <c r="C1993" s="63"/>
      <c r="D1993" s="63"/>
    </row>
    <row r="1994">
      <c r="B1994" s="63"/>
      <c r="C1994" s="63"/>
      <c r="D1994" s="63"/>
    </row>
    <row r="1995">
      <c r="B1995" s="63"/>
      <c r="C1995" s="63"/>
      <c r="D1995" s="63"/>
    </row>
    <row r="1996">
      <c r="B1996" s="63"/>
      <c r="C1996" s="63"/>
      <c r="D1996" s="63"/>
    </row>
    <row r="1997">
      <c r="B1997" s="63"/>
      <c r="C1997" s="63"/>
      <c r="D1997" s="63"/>
    </row>
    <row r="1998">
      <c r="B1998" s="63"/>
      <c r="C1998" s="63"/>
      <c r="D1998" s="63"/>
    </row>
    <row r="1999">
      <c r="B1999" s="63"/>
      <c r="C1999" s="63"/>
      <c r="D1999" s="63"/>
    </row>
    <row r="2000">
      <c r="B2000" s="63"/>
      <c r="C2000" s="63"/>
      <c r="D2000" s="63"/>
    </row>
    <row r="2001">
      <c r="B2001" s="63"/>
      <c r="C2001" s="63"/>
      <c r="D2001" s="63"/>
    </row>
    <row r="2002">
      <c r="B2002" s="63"/>
      <c r="C2002" s="63"/>
      <c r="D2002" s="63"/>
    </row>
    <row r="2003">
      <c r="B2003" s="63"/>
      <c r="C2003" s="63"/>
      <c r="D2003" s="63"/>
    </row>
    <row r="2004">
      <c r="B2004" s="63"/>
      <c r="C2004" s="63"/>
      <c r="D2004" s="63"/>
    </row>
    <row r="2005">
      <c r="B2005" s="63"/>
      <c r="C2005" s="63"/>
      <c r="D2005" s="63"/>
    </row>
    <row r="2006">
      <c r="B2006" s="63"/>
      <c r="C2006" s="63"/>
      <c r="D2006" s="63"/>
    </row>
    <row r="2007">
      <c r="B2007" s="63"/>
      <c r="C2007" s="63"/>
      <c r="D2007" s="63"/>
    </row>
    <row r="2008">
      <c r="B2008" s="63"/>
      <c r="C2008" s="63"/>
      <c r="D2008" s="63"/>
    </row>
    <row r="2009">
      <c r="B2009" s="63"/>
      <c r="C2009" s="63"/>
      <c r="D2009" s="63"/>
    </row>
    <row r="2010">
      <c r="B2010" s="63"/>
      <c r="C2010" s="63"/>
      <c r="D2010" s="63"/>
    </row>
    <row r="2011">
      <c r="B2011" s="63"/>
      <c r="C2011" s="63"/>
      <c r="D2011" s="63"/>
    </row>
    <row r="2012">
      <c r="B2012" s="63"/>
      <c r="C2012" s="63"/>
      <c r="D2012" s="63"/>
    </row>
    <row r="2013">
      <c r="B2013" s="63"/>
      <c r="C2013" s="63"/>
      <c r="D2013" s="63"/>
    </row>
    <row r="2014">
      <c r="B2014" s="63"/>
      <c r="C2014" s="63"/>
      <c r="D2014" s="63"/>
    </row>
    <row r="2015">
      <c r="B2015" s="63"/>
      <c r="C2015" s="63"/>
      <c r="D2015" s="63"/>
    </row>
    <row r="2016">
      <c r="B2016" s="63"/>
      <c r="C2016" s="63"/>
      <c r="D2016" s="63"/>
    </row>
    <row r="2017">
      <c r="B2017" s="63"/>
      <c r="C2017" s="63"/>
      <c r="D2017" s="63"/>
    </row>
    <row r="2018">
      <c r="B2018" s="63"/>
      <c r="C2018" s="63"/>
      <c r="D2018" s="63"/>
    </row>
    <row r="2019">
      <c r="B2019" s="63"/>
      <c r="C2019" s="63"/>
      <c r="D2019" s="63"/>
    </row>
    <row r="2020">
      <c r="B2020" s="63"/>
      <c r="C2020" s="63"/>
      <c r="D2020" s="63"/>
    </row>
    <row r="2021">
      <c r="B2021" s="63"/>
      <c r="C2021" s="63"/>
      <c r="D2021" s="63"/>
    </row>
    <row r="2022">
      <c r="B2022" s="63"/>
      <c r="C2022" s="63"/>
      <c r="D2022" s="63"/>
    </row>
    <row r="2023">
      <c r="B2023" s="63"/>
      <c r="C2023" s="63"/>
      <c r="D2023" s="63"/>
    </row>
    <row r="2024">
      <c r="B2024" s="63"/>
      <c r="C2024" s="63"/>
      <c r="D2024" s="63"/>
    </row>
    <row r="2025">
      <c r="B2025" s="63"/>
      <c r="C2025" s="63"/>
      <c r="D2025" s="63"/>
    </row>
    <row r="2026">
      <c r="B2026" s="63"/>
      <c r="C2026" s="63"/>
      <c r="D2026" s="63"/>
    </row>
    <row r="2027">
      <c r="B2027" s="63"/>
      <c r="C2027" s="63"/>
      <c r="D2027" s="63"/>
    </row>
    <row r="2028">
      <c r="B2028" s="63"/>
      <c r="C2028" s="63"/>
      <c r="D2028" s="63"/>
    </row>
    <row r="2029">
      <c r="B2029" s="63"/>
      <c r="C2029" s="63"/>
      <c r="D2029" s="63"/>
    </row>
    <row r="2030">
      <c r="B2030" s="63"/>
      <c r="C2030" s="63"/>
      <c r="D2030" s="63"/>
    </row>
    <row r="2031">
      <c r="B2031" s="63"/>
      <c r="C2031" s="63"/>
      <c r="D2031" s="63"/>
    </row>
    <row r="2032">
      <c r="B2032" s="63"/>
      <c r="C2032" s="63"/>
      <c r="D2032" s="63"/>
    </row>
    <row r="2033">
      <c r="B2033" s="63"/>
      <c r="C2033" s="63"/>
      <c r="D2033" s="63"/>
    </row>
    <row r="2034">
      <c r="B2034" s="63"/>
      <c r="C2034" s="63"/>
      <c r="D2034" s="63"/>
    </row>
    <row r="2035">
      <c r="B2035" s="63"/>
      <c r="C2035" s="63"/>
      <c r="D2035" s="63"/>
    </row>
    <row r="2036">
      <c r="B2036" s="63"/>
      <c r="C2036" s="63"/>
      <c r="D2036" s="63"/>
    </row>
    <row r="2037">
      <c r="B2037" s="63"/>
      <c r="C2037" s="63"/>
      <c r="D2037" s="63"/>
    </row>
    <row r="2038">
      <c r="B2038" s="63"/>
      <c r="C2038" s="63"/>
      <c r="D2038" s="63"/>
    </row>
    <row r="2039">
      <c r="B2039" s="63"/>
      <c r="C2039" s="63"/>
      <c r="D2039" s="63"/>
    </row>
    <row r="2040">
      <c r="B2040" s="63"/>
      <c r="C2040" s="63"/>
      <c r="D2040" s="63"/>
    </row>
    <row r="2041">
      <c r="B2041" s="63"/>
      <c r="C2041" s="63"/>
      <c r="D2041" s="63"/>
    </row>
    <row r="2042">
      <c r="B2042" s="63"/>
      <c r="C2042" s="63"/>
      <c r="D2042" s="63"/>
    </row>
    <row r="2043">
      <c r="B2043" s="63"/>
      <c r="C2043" s="63"/>
      <c r="D2043" s="63"/>
    </row>
    <row r="2044">
      <c r="B2044" s="63"/>
      <c r="C2044" s="63"/>
      <c r="D2044" s="63"/>
    </row>
    <row r="2045">
      <c r="B2045" s="63"/>
      <c r="C2045" s="63"/>
      <c r="D2045" s="63"/>
    </row>
    <row r="2046">
      <c r="B2046" s="63"/>
      <c r="C2046" s="63"/>
      <c r="D2046" s="63"/>
    </row>
    <row r="2047">
      <c r="B2047" s="63"/>
      <c r="C2047" s="63"/>
      <c r="D2047" s="63"/>
    </row>
    <row r="2048">
      <c r="B2048" s="63"/>
      <c r="C2048" s="63"/>
      <c r="D2048" s="63"/>
    </row>
    <row r="2049">
      <c r="B2049" s="63"/>
      <c r="C2049" s="63"/>
      <c r="D2049" s="63"/>
    </row>
    <row r="2050">
      <c r="B2050" s="63"/>
      <c r="C2050" s="63"/>
      <c r="D2050" s="63"/>
    </row>
    <row r="2051">
      <c r="B2051" s="63"/>
      <c r="C2051" s="63"/>
      <c r="D2051" s="63"/>
    </row>
    <row r="2052">
      <c r="B2052" s="63"/>
      <c r="C2052" s="63"/>
      <c r="D2052" s="63"/>
    </row>
    <row r="2053">
      <c r="B2053" s="63"/>
      <c r="C2053" s="63"/>
      <c r="D2053" s="63"/>
    </row>
    <row r="2054">
      <c r="B2054" s="63"/>
      <c r="C2054" s="63"/>
      <c r="D2054" s="63"/>
    </row>
    <row r="2055">
      <c r="B2055" s="63"/>
      <c r="C2055" s="63"/>
      <c r="D2055" s="63"/>
    </row>
    <row r="2056">
      <c r="B2056" s="63"/>
      <c r="C2056" s="63"/>
      <c r="D2056" s="63"/>
    </row>
    <row r="2057">
      <c r="B2057" s="63"/>
      <c r="C2057" s="63"/>
      <c r="D2057" s="63"/>
    </row>
    <row r="2058">
      <c r="B2058" s="63"/>
      <c r="C2058" s="63"/>
      <c r="D2058" s="63"/>
    </row>
    <row r="2059">
      <c r="B2059" s="63"/>
      <c r="C2059" s="63"/>
      <c r="D2059" s="63"/>
    </row>
    <row r="2060">
      <c r="B2060" s="63"/>
      <c r="C2060" s="63"/>
      <c r="D2060" s="63"/>
    </row>
    <row r="2061">
      <c r="B2061" s="63"/>
      <c r="C2061" s="63"/>
      <c r="D2061" s="63"/>
    </row>
    <row r="2062">
      <c r="B2062" s="63"/>
      <c r="C2062" s="63"/>
      <c r="D2062" s="63"/>
    </row>
    <row r="2063">
      <c r="B2063" s="63"/>
      <c r="C2063" s="63"/>
      <c r="D2063" s="63"/>
    </row>
    <row r="2064">
      <c r="B2064" s="63"/>
      <c r="C2064" s="63"/>
      <c r="D2064" s="63"/>
    </row>
    <row r="2065">
      <c r="B2065" s="63"/>
      <c r="C2065" s="63"/>
      <c r="D2065" s="63"/>
    </row>
    <row r="2066">
      <c r="B2066" s="63"/>
      <c r="C2066" s="63"/>
      <c r="D2066" s="63"/>
    </row>
    <row r="2067">
      <c r="B2067" s="63"/>
      <c r="C2067" s="63"/>
      <c r="D2067" s="63"/>
    </row>
    <row r="2068">
      <c r="B2068" s="63"/>
      <c r="C2068" s="63"/>
      <c r="D2068" s="63"/>
    </row>
    <row r="2069">
      <c r="B2069" s="63"/>
      <c r="C2069" s="63"/>
      <c r="D2069" s="63"/>
    </row>
    <row r="2070">
      <c r="B2070" s="63"/>
      <c r="C2070" s="63"/>
      <c r="D2070" s="63"/>
    </row>
    <row r="2071">
      <c r="B2071" s="63"/>
      <c r="C2071" s="63"/>
      <c r="D2071" s="63"/>
    </row>
    <row r="2072">
      <c r="B2072" s="63"/>
      <c r="C2072" s="63"/>
      <c r="D2072" s="63"/>
    </row>
    <row r="2073">
      <c r="B2073" s="63"/>
      <c r="C2073" s="63"/>
      <c r="D2073" s="63"/>
    </row>
    <row r="2074">
      <c r="B2074" s="63"/>
      <c r="C2074" s="63"/>
      <c r="D2074" s="63"/>
    </row>
    <row r="2075">
      <c r="B2075" s="63"/>
      <c r="C2075" s="63"/>
      <c r="D2075" s="63"/>
    </row>
    <row r="2076">
      <c r="B2076" s="63"/>
      <c r="C2076" s="63"/>
      <c r="D2076" s="63"/>
    </row>
    <row r="2077">
      <c r="B2077" s="63"/>
      <c r="C2077" s="63"/>
      <c r="D2077" s="63"/>
    </row>
    <row r="2078">
      <c r="B2078" s="63"/>
      <c r="C2078" s="63"/>
      <c r="D2078" s="63"/>
    </row>
    <row r="2079">
      <c r="B2079" s="63"/>
      <c r="C2079" s="63"/>
      <c r="D2079" s="63"/>
    </row>
    <row r="2080">
      <c r="B2080" s="63"/>
      <c r="C2080" s="63"/>
      <c r="D2080" s="63"/>
    </row>
    <row r="2081">
      <c r="B2081" s="63"/>
      <c r="C2081" s="63"/>
      <c r="D2081" s="63"/>
    </row>
    <row r="2082">
      <c r="B2082" s="63"/>
      <c r="C2082" s="63"/>
      <c r="D2082" s="63"/>
    </row>
    <row r="2083">
      <c r="B2083" s="63"/>
      <c r="C2083" s="63"/>
      <c r="D2083" s="63"/>
    </row>
    <row r="2084">
      <c r="B2084" s="63"/>
      <c r="C2084" s="63"/>
      <c r="D2084" s="63"/>
    </row>
    <row r="2085">
      <c r="B2085" s="63"/>
      <c r="C2085" s="63"/>
      <c r="D2085" s="63"/>
    </row>
    <row r="2086">
      <c r="B2086" s="63"/>
      <c r="C2086" s="63"/>
      <c r="D2086" s="63"/>
    </row>
    <row r="2087">
      <c r="B2087" s="63"/>
      <c r="C2087" s="63"/>
      <c r="D2087" s="63"/>
    </row>
    <row r="2088">
      <c r="B2088" s="63"/>
      <c r="C2088" s="63"/>
      <c r="D2088" s="63"/>
    </row>
    <row r="2089">
      <c r="B2089" s="63"/>
      <c r="C2089" s="63"/>
      <c r="D2089" s="63"/>
    </row>
    <row r="2090">
      <c r="B2090" s="63"/>
      <c r="C2090" s="63"/>
      <c r="D2090" s="63"/>
    </row>
    <row r="2091">
      <c r="B2091" s="63"/>
      <c r="C2091" s="63"/>
      <c r="D2091" s="63"/>
    </row>
    <row r="2092">
      <c r="B2092" s="63"/>
      <c r="C2092" s="63"/>
      <c r="D2092" s="63"/>
    </row>
    <row r="2093">
      <c r="B2093" s="63"/>
      <c r="C2093" s="63"/>
      <c r="D2093" s="63"/>
    </row>
    <row r="2094">
      <c r="B2094" s="63"/>
      <c r="C2094" s="63"/>
      <c r="D2094" s="63"/>
    </row>
    <row r="2095">
      <c r="B2095" s="63"/>
      <c r="C2095" s="63"/>
      <c r="D2095" s="63"/>
    </row>
    <row r="2096">
      <c r="B2096" s="63"/>
      <c r="C2096" s="63"/>
      <c r="D2096" s="63"/>
    </row>
    <row r="2097">
      <c r="B2097" s="63"/>
      <c r="C2097" s="63"/>
      <c r="D2097" s="63"/>
    </row>
    <row r="2098">
      <c r="B2098" s="63"/>
      <c r="C2098" s="63"/>
      <c r="D2098" s="63"/>
    </row>
    <row r="2099">
      <c r="B2099" s="63"/>
      <c r="C2099" s="63"/>
      <c r="D2099" s="63"/>
    </row>
    <row r="2100">
      <c r="B2100" s="63"/>
      <c r="C2100" s="63"/>
      <c r="D2100" s="63"/>
    </row>
    <row r="2101">
      <c r="B2101" s="63"/>
      <c r="C2101" s="63"/>
      <c r="D2101" s="63"/>
    </row>
    <row r="2102">
      <c r="B2102" s="63"/>
      <c r="C2102" s="63"/>
      <c r="D2102" s="63"/>
    </row>
    <row r="2103">
      <c r="B2103" s="63"/>
      <c r="C2103" s="63"/>
      <c r="D2103" s="63"/>
    </row>
    <row r="2104">
      <c r="B2104" s="63"/>
      <c r="C2104" s="63"/>
      <c r="D2104" s="63"/>
    </row>
    <row r="2105">
      <c r="B2105" s="63"/>
      <c r="C2105" s="63"/>
      <c r="D2105" s="63"/>
    </row>
    <row r="2106">
      <c r="B2106" s="63"/>
      <c r="C2106" s="63"/>
      <c r="D2106" s="63"/>
    </row>
    <row r="2107">
      <c r="B2107" s="63"/>
      <c r="C2107" s="63"/>
      <c r="D2107" s="63"/>
    </row>
    <row r="2108">
      <c r="B2108" s="63"/>
      <c r="C2108" s="63"/>
      <c r="D2108" s="63"/>
    </row>
    <row r="2109">
      <c r="B2109" s="63"/>
      <c r="C2109" s="63"/>
      <c r="D2109" s="63"/>
    </row>
    <row r="2110">
      <c r="B2110" s="63"/>
      <c r="C2110" s="63"/>
      <c r="D2110" s="63"/>
    </row>
    <row r="2111">
      <c r="B2111" s="63"/>
      <c r="C2111" s="63"/>
      <c r="D2111" s="63"/>
    </row>
    <row r="2112">
      <c r="B2112" s="63"/>
      <c r="C2112" s="63"/>
      <c r="D2112" s="63"/>
    </row>
    <row r="2113">
      <c r="B2113" s="63"/>
      <c r="C2113" s="63"/>
      <c r="D2113" s="63"/>
    </row>
    <row r="2114">
      <c r="B2114" s="63"/>
      <c r="C2114" s="63"/>
      <c r="D2114" s="63"/>
    </row>
    <row r="2115">
      <c r="B2115" s="63"/>
      <c r="C2115" s="63"/>
      <c r="D2115" s="63"/>
    </row>
    <row r="2116">
      <c r="B2116" s="63"/>
      <c r="C2116" s="63"/>
      <c r="D2116" s="63"/>
    </row>
    <row r="2117">
      <c r="B2117" s="63"/>
      <c r="C2117" s="63"/>
      <c r="D2117" s="63"/>
    </row>
    <row r="2118">
      <c r="B2118" s="63"/>
      <c r="C2118" s="63"/>
      <c r="D2118" s="63"/>
    </row>
    <row r="2119">
      <c r="B2119" s="63"/>
      <c r="C2119" s="63"/>
      <c r="D2119" s="63"/>
    </row>
    <row r="2120">
      <c r="B2120" s="63"/>
      <c r="C2120" s="63"/>
      <c r="D2120" s="63"/>
    </row>
    <row r="2121">
      <c r="B2121" s="63"/>
      <c r="C2121" s="63"/>
      <c r="D2121" s="63"/>
    </row>
    <row r="2122">
      <c r="B2122" s="63"/>
      <c r="C2122" s="63"/>
      <c r="D2122" s="63"/>
    </row>
    <row r="2123">
      <c r="B2123" s="63"/>
      <c r="C2123" s="63"/>
      <c r="D2123" s="63"/>
    </row>
    <row r="2124">
      <c r="B2124" s="63"/>
      <c r="C2124" s="63"/>
      <c r="D2124" s="63"/>
    </row>
    <row r="2125">
      <c r="B2125" s="63"/>
      <c r="C2125" s="63"/>
      <c r="D2125" s="63"/>
    </row>
    <row r="2126">
      <c r="B2126" s="63"/>
      <c r="C2126" s="63"/>
      <c r="D2126" s="63"/>
    </row>
    <row r="2127">
      <c r="B2127" s="63"/>
      <c r="C2127" s="63"/>
      <c r="D2127" s="63"/>
    </row>
    <row r="2128">
      <c r="B2128" s="63"/>
      <c r="C2128" s="63"/>
      <c r="D2128" s="63"/>
    </row>
    <row r="2129">
      <c r="B2129" s="63"/>
      <c r="C2129" s="63"/>
      <c r="D2129" s="63"/>
    </row>
    <row r="2130">
      <c r="B2130" s="63"/>
      <c r="C2130" s="63"/>
      <c r="D2130" s="63"/>
    </row>
    <row r="2131">
      <c r="B2131" s="63"/>
      <c r="C2131" s="63"/>
      <c r="D2131" s="63"/>
    </row>
    <row r="2132">
      <c r="B2132" s="63"/>
      <c r="C2132" s="63"/>
      <c r="D2132" s="63"/>
    </row>
    <row r="2133">
      <c r="B2133" s="63"/>
      <c r="C2133" s="63"/>
      <c r="D2133" s="63"/>
    </row>
    <row r="2134">
      <c r="B2134" s="63"/>
      <c r="C2134" s="63"/>
      <c r="D2134" s="63"/>
    </row>
    <row r="2135">
      <c r="B2135" s="63"/>
      <c r="C2135" s="63"/>
      <c r="D2135" s="63"/>
    </row>
    <row r="2136">
      <c r="B2136" s="63"/>
      <c r="C2136" s="63"/>
      <c r="D2136" s="63"/>
    </row>
    <row r="2137">
      <c r="B2137" s="63"/>
      <c r="C2137" s="63"/>
      <c r="D2137" s="63"/>
    </row>
    <row r="2138">
      <c r="B2138" s="63"/>
      <c r="C2138" s="63"/>
      <c r="D2138" s="63"/>
    </row>
    <row r="2139">
      <c r="B2139" s="63"/>
      <c r="C2139" s="63"/>
      <c r="D2139" s="63"/>
    </row>
    <row r="2140">
      <c r="B2140" s="63"/>
      <c r="C2140" s="63"/>
      <c r="D2140" s="63"/>
    </row>
    <row r="2141">
      <c r="B2141" s="63"/>
      <c r="C2141" s="63"/>
      <c r="D2141" s="63"/>
    </row>
    <row r="2142">
      <c r="B2142" s="63"/>
      <c r="C2142" s="63"/>
      <c r="D2142" s="63"/>
    </row>
    <row r="2143">
      <c r="B2143" s="63"/>
      <c r="C2143" s="63"/>
      <c r="D2143" s="63"/>
    </row>
    <row r="2144">
      <c r="B2144" s="63"/>
      <c r="C2144" s="63"/>
      <c r="D2144" s="63"/>
    </row>
    <row r="2145">
      <c r="B2145" s="63"/>
      <c r="C2145" s="63"/>
      <c r="D2145" s="63"/>
    </row>
    <row r="2146">
      <c r="B2146" s="63"/>
      <c r="C2146" s="63"/>
      <c r="D2146" s="63"/>
    </row>
    <row r="2147">
      <c r="B2147" s="63"/>
      <c r="C2147" s="63"/>
      <c r="D2147" s="63"/>
    </row>
    <row r="2148">
      <c r="B2148" s="63"/>
      <c r="C2148" s="63"/>
      <c r="D2148" s="63"/>
    </row>
    <row r="2149">
      <c r="B2149" s="63"/>
      <c r="C2149" s="63"/>
      <c r="D2149" s="63"/>
    </row>
    <row r="2150">
      <c r="B2150" s="63"/>
      <c r="C2150" s="63"/>
      <c r="D2150" s="63"/>
    </row>
    <row r="2151">
      <c r="B2151" s="63"/>
      <c r="C2151" s="63"/>
      <c r="D2151" s="63"/>
    </row>
    <row r="2152">
      <c r="B2152" s="63"/>
      <c r="C2152" s="63"/>
      <c r="D2152" s="63"/>
    </row>
    <row r="2153">
      <c r="B2153" s="63"/>
      <c r="C2153" s="63"/>
      <c r="D2153" s="63"/>
    </row>
    <row r="2154">
      <c r="B2154" s="63"/>
      <c r="C2154" s="63"/>
      <c r="D2154" s="63"/>
    </row>
    <row r="2155">
      <c r="B2155" s="63"/>
      <c r="C2155" s="63"/>
      <c r="D2155" s="63"/>
    </row>
    <row r="2156">
      <c r="B2156" s="63"/>
      <c r="C2156" s="63"/>
      <c r="D2156" s="63"/>
    </row>
    <row r="2157">
      <c r="B2157" s="63"/>
      <c r="C2157" s="63"/>
      <c r="D2157" s="63"/>
    </row>
    <row r="2158">
      <c r="B2158" s="63"/>
      <c r="C2158" s="63"/>
      <c r="D2158" s="63"/>
    </row>
    <row r="2159">
      <c r="B2159" s="63"/>
      <c r="C2159" s="63"/>
      <c r="D2159" s="63"/>
    </row>
    <row r="2160">
      <c r="B2160" s="63"/>
      <c r="C2160" s="63"/>
      <c r="D2160" s="63"/>
    </row>
    <row r="2161">
      <c r="B2161" s="63"/>
      <c r="C2161" s="63"/>
      <c r="D2161" s="63"/>
    </row>
    <row r="2162">
      <c r="B2162" s="63"/>
      <c r="C2162" s="63"/>
      <c r="D2162" s="63"/>
    </row>
    <row r="2163">
      <c r="B2163" s="63"/>
      <c r="C2163" s="63"/>
      <c r="D2163" s="63"/>
    </row>
    <row r="2164">
      <c r="B2164" s="63"/>
      <c r="C2164" s="63"/>
      <c r="D2164" s="63"/>
    </row>
    <row r="2165">
      <c r="B2165" s="63"/>
      <c r="C2165" s="63"/>
      <c r="D2165" s="63"/>
    </row>
    <row r="2166">
      <c r="B2166" s="63"/>
      <c r="C2166" s="63"/>
      <c r="D2166" s="63"/>
    </row>
    <row r="2167">
      <c r="B2167" s="63"/>
      <c r="C2167" s="63"/>
      <c r="D2167" s="63"/>
    </row>
    <row r="2168">
      <c r="B2168" s="63"/>
      <c r="C2168" s="63"/>
      <c r="D2168" s="63"/>
    </row>
    <row r="2169">
      <c r="B2169" s="63"/>
      <c r="C2169" s="63"/>
      <c r="D2169" s="63"/>
    </row>
    <row r="2170">
      <c r="B2170" s="63"/>
      <c r="C2170" s="63"/>
      <c r="D2170" s="63"/>
    </row>
    <row r="2171">
      <c r="B2171" s="63"/>
      <c r="C2171" s="63"/>
      <c r="D2171" s="63"/>
    </row>
    <row r="2172">
      <c r="B2172" s="63"/>
      <c r="C2172" s="63"/>
      <c r="D2172" s="63"/>
    </row>
    <row r="2173">
      <c r="B2173" s="63"/>
      <c r="C2173" s="63"/>
      <c r="D2173" s="63"/>
    </row>
    <row r="2174">
      <c r="B2174" s="63"/>
      <c r="C2174" s="63"/>
      <c r="D2174" s="63"/>
    </row>
    <row r="2175">
      <c r="B2175" s="63"/>
      <c r="C2175" s="63"/>
      <c r="D2175" s="63"/>
    </row>
    <row r="2176">
      <c r="B2176" s="63"/>
      <c r="C2176" s="63"/>
      <c r="D2176" s="63"/>
    </row>
    <row r="2177">
      <c r="B2177" s="63"/>
      <c r="C2177" s="63"/>
      <c r="D2177" s="63"/>
    </row>
    <row r="2178">
      <c r="B2178" s="63"/>
      <c r="C2178" s="63"/>
      <c r="D2178" s="63"/>
    </row>
    <row r="2179">
      <c r="B2179" s="63"/>
      <c r="C2179" s="63"/>
      <c r="D2179" s="63"/>
    </row>
    <row r="2180">
      <c r="B2180" s="63"/>
      <c r="C2180" s="63"/>
      <c r="D2180" s="63"/>
    </row>
    <row r="2181">
      <c r="B2181" s="63"/>
      <c r="C2181" s="63"/>
      <c r="D2181" s="63"/>
    </row>
    <row r="2182">
      <c r="B2182" s="63"/>
      <c r="C2182" s="63"/>
      <c r="D2182" s="63"/>
    </row>
    <row r="2183">
      <c r="B2183" s="63"/>
      <c r="C2183" s="63"/>
      <c r="D2183" s="63"/>
    </row>
    <row r="2184">
      <c r="B2184" s="63"/>
      <c r="C2184" s="63"/>
      <c r="D2184" s="63"/>
    </row>
    <row r="2185">
      <c r="B2185" s="63"/>
      <c r="C2185" s="63"/>
      <c r="D2185" s="63"/>
    </row>
    <row r="2186">
      <c r="B2186" s="63"/>
      <c r="C2186" s="63"/>
      <c r="D2186" s="63"/>
    </row>
    <row r="2187">
      <c r="B2187" s="63"/>
      <c r="C2187" s="63"/>
      <c r="D2187" s="63"/>
    </row>
    <row r="2188">
      <c r="B2188" s="63"/>
      <c r="C2188" s="63"/>
      <c r="D2188" s="63"/>
    </row>
    <row r="2189">
      <c r="B2189" s="63"/>
      <c r="C2189" s="63"/>
      <c r="D2189" s="63"/>
    </row>
    <row r="2190">
      <c r="B2190" s="63"/>
      <c r="C2190" s="63"/>
      <c r="D2190" s="63"/>
    </row>
    <row r="2191">
      <c r="B2191" s="63"/>
      <c r="C2191" s="63"/>
      <c r="D2191" s="63"/>
    </row>
    <row r="2192">
      <c r="B2192" s="63"/>
      <c r="C2192" s="63"/>
      <c r="D2192" s="63"/>
    </row>
    <row r="2193">
      <c r="B2193" s="63"/>
      <c r="C2193" s="63"/>
      <c r="D2193" s="63"/>
    </row>
    <row r="2194">
      <c r="B2194" s="63"/>
      <c r="C2194" s="63"/>
      <c r="D2194" s="63"/>
    </row>
    <row r="2195">
      <c r="B2195" s="63"/>
      <c r="C2195" s="63"/>
      <c r="D2195" s="63"/>
    </row>
    <row r="2196">
      <c r="B2196" s="63"/>
      <c r="C2196" s="63"/>
      <c r="D2196" s="63"/>
    </row>
    <row r="2197">
      <c r="B2197" s="63"/>
      <c r="C2197" s="63"/>
      <c r="D2197" s="63"/>
    </row>
    <row r="2198">
      <c r="B2198" s="63"/>
      <c r="C2198" s="63"/>
      <c r="D2198" s="63"/>
    </row>
    <row r="2199">
      <c r="B2199" s="63"/>
      <c r="C2199" s="63"/>
      <c r="D2199" s="63"/>
    </row>
    <row r="2200">
      <c r="B2200" s="63"/>
      <c r="C2200" s="63"/>
      <c r="D2200" s="63"/>
    </row>
    <row r="2201">
      <c r="B2201" s="63"/>
      <c r="C2201" s="63"/>
      <c r="D2201" s="63"/>
    </row>
    <row r="2202">
      <c r="B2202" s="63"/>
      <c r="C2202" s="63"/>
      <c r="D2202" s="63"/>
    </row>
    <row r="2203">
      <c r="B2203" s="63"/>
      <c r="C2203" s="63"/>
      <c r="D2203" s="63"/>
    </row>
    <row r="2204">
      <c r="B2204" s="63"/>
      <c r="C2204" s="63"/>
      <c r="D2204" s="63"/>
    </row>
    <row r="2205">
      <c r="B2205" s="63"/>
      <c r="C2205" s="63"/>
      <c r="D2205" s="63"/>
    </row>
    <row r="2206">
      <c r="B2206" s="63"/>
      <c r="C2206" s="63"/>
      <c r="D2206" s="63"/>
    </row>
    <row r="2207">
      <c r="B2207" s="63"/>
      <c r="C2207" s="63"/>
      <c r="D2207" s="63"/>
    </row>
    <row r="2208">
      <c r="B2208" s="63"/>
      <c r="C2208" s="63"/>
      <c r="D2208" s="63"/>
    </row>
    <row r="2209">
      <c r="B2209" s="63"/>
      <c r="C2209" s="63"/>
      <c r="D2209" s="63"/>
    </row>
    <row r="2210">
      <c r="B2210" s="63"/>
      <c r="C2210" s="63"/>
      <c r="D2210" s="63"/>
    </row>
    <row r="2211">
      <c r="B2211" s="63"/>
      <c r="C2211" s="63"/>
      <c r="D2211" s="63"/>
    </row>
    <row r="2212">
      <c r="B2212" s="63"/>
      <c r="C2212" s="63"/>
      <c r="D2212" s="63"/>
    </row>
    <row r="2213">
      <c r="B2213" s="63"/>
      <c r="C2213" s="63"/>
      <c r="D2213" s="63"/>
    </row>
    <row r="2214">
      <c r="B2214" s="63"/>
      <c r="C2214" s="63"/>
      <c r="D2214" s="63"/>
    </row>
    <row r="2215">
      <c r="B2215" s="63"/>
      <c r="C2215" s="63"/>
      <c r="D2215" s="63"/>
    </row>
    <row r="2216">
      <c r="B2216" s="63"/>
      <c r="C2216" s="63"/>
      <c r="D2216" s="63"/>
    </row>
    <row r="2217">
      <c r="B2217" s="63"/>
      <c r="C2217" s="63"/>
      <c r="D2217" s="63"/>
    </row>
    <row r="2218">
      <c r="B2218" s="63"/>
      <c r="C2218" s="63"/>
      <c r="D2218" s="63"/>
    </row>
    <row r="2219">
      <c r="B2219" s="63"/>
      <c r="C2219" s="63"/>
      <c r="D2219" s="63"/>
    </row>
    <row r="2220">
      <c r="B2220" s="63"/>
      <c r="C2220" s="63"/>
      <c r="D2220" s="63"/>
    </row>
    <row r="2221">
      <c r="B2221" s="63"/>
      <c r="C2221" s="63"/>
      <c r="D2221" s="63"/>
    </row>
    <row r="2222">
      <c r="B2222" s="63"/>
      <c r="C2222" s="63"/>
      <c r="D2222" s="63"/>
    </row>
    <row r="2223">
      <c r="B2223" s="63"/>
      <c r="C2223" s="63"/>
      <c r="D2223" s="63"/>
    </row>
    <row r="2224">
      <c r="B2224" s="63"/>
      <c r="C2224" s="63"/>
      <c r="D2224" s="63"/>
    </row>
    <row r="2225">
      <c r="B2225" s="63"/>
      <c r="C2225" s="63"/>
      <c r="D2225" s="63"/>
    </row>
    <row r="2226">
      <c r="B2226" s="63"/>
      <c r="C2226" s="63"/>
      <c r="D2226" s="63"/>
    </row>
    <row r="2227">
      <c r="B2227" s="63"/>
      <c r="C2227" s="63"/>
      <c r="D2227" s="63"/>
    </row>
    <row r="2228">
      <c r="B2228" s="63"/>
      <c r="C2228" s="63"/>
      <c r="D2228" s="63"/>
    </row>
    <row r="2229">
      <c r="B2229" s="63"/>
      <c r="C2229" s="63"/>
      <c r="D2229" s="63"/>
    </row>
    <row r="2230">
      <c r="B2230" s="63"/>
      <c r="C2230" s="63"/>
      <c r="D2230" s="63"/>
    </row>
    <row r="2231">
      <c r="B2231" s="63"/>
      <c r="C2231" s="63"/>
      <c r="D2231" s="63"/>
    </row>
    <row r="2232">
      <c r="B2232" s="63"/>
      <c r="C2232" s="63"/>
      <c r="D2232" s="63"/>
    </row>
    <row r="2233">
      <c r="B2233" s="63"/>
      <c r="C2233" s="63"/>
      <c r="D2233" s="63"/>
    </row>
    <row r="2234">
      <c r="B2234" s="63"/>
      <c r="C2234" s="63"/>
      <c r="D2234" s="63"/>
    </row>
    <row r="2235">
      <c r="B2235" s="63"/>
      <c r="C2235" s="63"/>
      <c r="D2235" s="63"/>
    </row>
    <row r="2236">
      <c r="B2236" s="63"/>
      <c r="C2236" s="63"/>
      <c r="D2236" s="63"/>
    </row>
    <row r="2237">
      <c r="B2237" s="63"/>
      <c r="C2237" s="63"/>
      <c r="D2237" s="63"/>
    </row>
    <row r="2238">
      <c r="B2238" s="63"/>
      <c r="C2238" s="63"/>
      <c r="D2238" s="63"/>
    </row>
    <row r="2239">
      <c r="B2239" s="63"/>
      <c r="C2239" s="63"/>
      <c r="D2239" s="63"/>
    </row>
    <row r="2240">
      <c r="B2240" s="63"/>
      <c r="C2240" s="63"/>
      <c r="D2240" s="63"/>
    </row>
    <row r="2241">
      <c r="B2241" s="63"/>
      <c r="C2241" s="63"/>
      <c r="D2241" s="63"/>
    </row>
    <row r="2242">
      <c r="B2242" s="63"/>
      <c r="C2242" s="63"/>
      <c r="D2242" s="63"/>
    </row>
    <row r="2243">
      <c r="B2243" s="63"/>
      <c r="C2243" s="63"/>
      <c r="D2243" s="63"/>
    </row>
    <row r="2244">
      <c r="B2244" s="63"/>
      <c r="C2244" s="63"/>
      <c r="D2244" s="63"/>
    </row>
    <row r="2245">
      <c r="B2245" s="63"/>
      <c r="C2245" s="63"/>
      <c r="D2245" s="63"/>
    </row>
    <row r="2246">
      <c r="B2246" s="63"/>
      <c r="C2246" s="63"/>
      <c r="D2246" s="63"/>
    </row>
    <row r="2247">
      <c r="B2247" s="63"/>
      <c r="C2247" s="63"/>
      <c r="D2247" s="63"/>
    </row>
    <row r="2248">
      <c r="B2248" s="63"/>
      <c r="C2248" s="63"/>
      <c r="D2248" s="63"/>
    </row>
    <row r="2249">
      <c r="B2249" s="63"/>
      <c r="C2249" s="63"/>
      <c r="D2249" s="63"/>
    </row>
    <row r="2250">
      <c r="B2250" s="63"/>
      <c r="C2250" s="63"/>
      <c r="D2250" s="63"/>
    </row>
    <row r="2251">
      <c r="B2251" s="63"/>
      <c r="C2251" s="63"/>
      <c r="D2251" s="63"/>
    </row>
    <row r="2252">
      <c r="B2252" s="63"/>
      <c r="C2252" s="63"/>
      <c r="D2252" s="63"/>
    </row>
    <row r="2253">
      <c r="B2253" s="63"/>
      <c r="C2253" s="63"/>
      <c r="D2253" s="63"/>
    </row>
    <row r="2254">
      <c r="B2254" s="63"/>
      <c r="C2254" s="63"/>
      <c r="D2254" s="63"/>
    </row>
    <row r="2255">
      <c r="B2255" s="63"/>
      <c r="C2255" s="63"/>
      <c r="D2255" s="63"/>
    </row>
    <row r="2256">
      <c r="B2256" s="63"/>
      <c r="C2256" s="63"/>
      <c r="D2256" s="63"/>
    </row>
    <row r="2257">
      <c r="B2257" s="63"/>
      <c r="C2257" s="63"/>
      <c r="D2257" s="63"/>
    </row>
    <row r="2258">
      <c r="B2258" s="63"/>
      <c r="C2258" s="63"/>
      <c r="D2258" s="63"/>
    </row>
    <row r="2259">
      <c r="B2259" s="63"/>
      <c r="C2259" s="63"/>
      <c r="D2259" s="63"/>
    </row>
    <row r="2260">
      <c r="B2260" s="63"/>
      <c r="C2260" s="63"/>
      <c r="D2260" s="63"/>
    </row>
    <row r="2261">
      <c r="B2261" s="63"/>
      <c r="C2261" s="63"/>
      <c r="D2261" s="63"/>
    </row>
    <row r="2262">
      <c r="B2262" s="63"/>
      <c r="C2262" s="63"/>
      <c r="D2262" s="63"/>
    </row>
    <row r="2263">
      <c r="B2263" s="63"/>
      <c r="C2263" s="63"/>
      <c r="D2263" s="63"/>
    </row>
    <row r="2264">
      <c r="B2264" s="63"/>
      <c r="C2264" s="63"/>
      <c r="D2264" s="63"/>
    </row>
    <row r="2265">
      <c r="B2265" s="63"/>
      <c r="C2265" s="63"/>
      <c r="D2265" s="63"/>
    </row>
    <row r="2266">
      <c r="B2266" s="63"/>
      <c r="C2266" s="63"/>
      <c r="D2266" s="63"/>
    </row>
    <row r="2267">
      <c r="B2267" s="63"/>
      <c r="C2267" s="63"/>
      <c r="D2267" s="63"/>
    </row>
    <row r="2268">
      <c r="B2268" s="63"/>
      <c r="C2268" s="63"/>
      <c r="D2268" s="63"/>
    </row>
    <row r="2269">
      <c r="B2269" s="63"/>
      <c r="C2269" s="63"/>
      <c r="D2269" s="63"/>
    </row>
    <row r="2270">
      <c r="B2270" s="63"/>
      <c r="C2270" s="63"/>
      <c r="D2270" s="63"/>
    </row>
    <row r="2271">
      <c r="B2271" s="63"/>
      <c r="C2271" s="63"/>
      <c r="D2271" s="63"/>
    </row>
    <row r="2272">
      <c r="B2272" s="63"/>
      <c r="C2272" s="63"/>
      <c r="D2272" s="63"/>
    </row>
    <row r="2273">
      <c r="B2273" s="63"/>
      <c r="C2273" s="63"/>
      <c r="D2273" s="63"/>
    </row>
    <row r="2274">
      <c r="B2274" s="63"/>
      <c r="C2274" s="63"/>
      <c r="D2274" s="63"/>
    </row>
    <row r="2275">
      <c r="B2275" s="63"/>
      <c r="C2275" s="63"/>
      <c r="D2275" s="63"/>
    </row>
    <row r="2276">
      <c r="B2276" s="63"/>
      <c r="C2276" s="63"/>
      <c r="D2276" s="63"/>
    </row>
    <row r="2277">
      <c r="B2277" s="63"/>
      <c r="C2277" s="63"/>
      <c r="D2277" s="63"/>
    </row>
    <row r="2278">
      <c r="B2278" s="63"/>
      <c r="C2278" s="63"/>
      <c r="D2278" s="63"/>
    </row>
    <row r="2279">
      <c r="B2279" s="63"/>
      <c r="C2279" s="63"/>
      <c r="D2279" s="63"/>
    </row>
    <row r="2280">
      <c r="B2280" s="63"/>
      <c r="C2280" s="63"/>
      <c r="D2280" s="63"/>
    </row>
    <row r="2281">
      <c r="B2281" s="63"/>
      <c r="C2281" s="63"/>
      <c r="D2281" s="63"/>
    </row>
    <row r="2282">
      <c r="B2282" s="63"/>
      <c r="C2282" s="63"/>
      <c r="D2282" s="63"/>
    </row>
    <row r="2283">
      <c r="B2283" s="63"/>
      <c r="C2283" s="63"/>
      <c r="D2283" s="63"/>
    </row>
    <row r="2284">
      <c r="B2284" s="63"/>
      <c r="C2284" s="63"/>
      <c r="D2284" s="63"/>
    </row>
    <row r="2285">
      <c r="B2285" s="63"/>
      <c r="C2285" s="63"/>
      <c r="D2285" s="63"/>
    </row>
    <row r="2286">
      <c r="B2286" s="63"/>
      <c r="C2286" s="63"/>
      <c r="D2286" s="63"/>
    </row>
    <row r="2287">
      <c r="B2287" s="63"/>
      <c r="C2287" s="63"/>
      <c r="D2287" s="63"/>
    </row>
    <row r="2288">
      <c r="B2288" s="63"/>
      <c r="C2288" s="63"/>
      <c r="D2288" s="63"/>
    </row>
    <row r="2289">
      <c r="B2289" s="63"/>
      <c r="C2289" s="63"/>
      <c r="D2289" s="63"/>
    </row>
    <row r="2290">
      <c r="B2290" s="63"/>
      <c r="C2290" s="63"/>
      <c r="D2290" s="63"/>
    </row>
    <row r="2291">
      <c r="B2291" s="63"/>
      <c r="C2291" s="63"/>
      <c r="D2291" s="63"/>
    </row>
    <row r="2292">
      <c r="B2292" s="63"/>
      <c r="C2292" s="63"/>
      <c r="D2292" s="63"/>
    </row>
    <row r="2293">
      <c r="B2293" s="63"/>
      <c r="C2293" s="63"/>
      <c r="D2293" s="63"/>
    </row>
    <row r="2294">
      <c r="B2294" s="63"/>
      <c r="C2294" s="63"/>
      <c r="D2294" s="63"/>
    </row>
    <row r="2295">
      <c r="B2295" s="63"/>
      <c r="C2295" s="63"/>
      <c r="D2295" s="63"/>
    </row>
    <row r="2296">
      <c r="B2296" s="63"/>
      <c r="C2296" s="63"/>
      <c r="D2296" s="63"/>
    </row>
    <row r="2297">
      <c r="B2297" s="63"/>
      <c r="C2297" s="63"/>
      <c r="D2297" s="63"/>
    </row>
    <row r="2298">
      <c r="B2298" s="63"/>
      <c r="C2298" s="63"/>
      <c r="D2298" s="63"/>
    </row>
    <row r="2299">
      <c r="B2299" s="63"/>
      <c r="C2299" s="63"/>
      <c r="D2299" s="63"/>
    </row>
    <row r="2300">
      <c r="B2300" s="63"/>
      <c r="C2300" s="63"/>
      <c r="D2300" s="63"/>
    </row>
    <row r="2301">
      <c r="B2301" s="63"/>
      <c r="C2301" s="63"/>
      <c r="D2301" s="63"/>
    </row>
    <row r="2302">
      <c r="B2302" s="63"/>
      <c r="C2302" s="63"/>
      <c r="D2302" s="63"/>
    </row>
    <row r="2303">
      <c r="B2303" s="63"/>
      <c r="C2303" s="63"/>
      <c r="D2303" s="63"/>
    </row>
    <row r="2304">
      <c r="B2304" s="63"/>
      <c r="C2304" s="63"/>
      <c r="D2304" s="63"/>
    </row>
    <row r="2305">
      <c r="B2305" s="63"/>
      <c r="C2305" s="63"/>
      <c r="D2305" s="63"/>
    </row>
    <row r="2306">
      <c r="B2306" s="63"/>
      <c r="C2306" s="63"/>
      <c r="D2306" s="63"/>
    </row>
    <row r="2307">
      <c r="B2307" s="63"/>
      <c r="C2307" s="63"/>
      <c r="D2307" s="63"/>
    </row>
    <row r="2308">
      <c r="B2308" s="63"/>
      <c r="C2308" s="63"/>
      <c r="D2308" s="63"/>
    </row>
    <row r="2309">
      <c r="B2309" s="63"/>
      <c r="C2309" s="63"/>
      <c r="D2309" s="63"/>
    </row>
    <row r="2310">
      <c r="B2310" s="63"/>
      <c r="C2310" s="63"/>
      <c r="D2310" s="63"/>
    </row>
    <row r="2311">
      <c r="B2311" s="63"/>
      <c r="C2311" s="63"/>
      <c r="D2311" s="63"/>
    </row>
    <row r="2312">
      <c r="B2312" s="63"/>
      <c r="C2312" s="63"/>
      <c r="D2312" s="63"/>
    </row>
    <row r="2313">
      <c r="B2313" s="63"/>
      <c r="C2313" s="63"/>
      <c r="D2313" s="63"/>
    </row>
    <row r="2314">
      <c r="B2314" s="63"/>
      <c r="C2314" s="63"/>
      <c r="D2314" s="63"/>
    </row>
    <row r="2315">
      <c r="B2315" s="63"/>
      <c r="C2315" s="63"/>
      <c r="D2315" s="63"/>
    </row>
    <row r="2316">
      <c r="B2316" s="63"/>
      <c r="C2316" s="63"/>
      <c r="D2316" s="63"/>
    </row>
    <row r="2317">
      <c r="B2317" s="63"/>
      <c r="C2317" s="63"/>
      <c r="D2317" s="63"/>
    </row>
    <row r="2318">
      <c r="B2318" s="63"/>
      <c r="C2318" s="63"/>
      <c r="D2318" s="63"/>
    </row>
    <row r="2319">
      <c r="B2319" s="63"/>
      <c r="C2319" s="63"/>
      <c r="D2319" s="63"/>
    </row>
    <row r="2320">
      <c r="B2320" s="63"/>
      <c r="C2320" s="63"/>
      <c r="D2320" s="63"/>
    </row>
    <row r="2321">
      <c r="B2321" s="63"/>
      <c r="C2321" s="63"/>
      <c r="D2321" s="63"/>
    </row>
    <row r="2322">
      <c r="B2322" s="63"/>
      <c r="C2322" s="63"/>
      <c r="D2322" s="63"/>
    </row>
    <row r="2323">
      <c r="B2323" s="63"/>
      <c r="C2323" s="63"/>
      <c r="D2323" s="63"/>
    </row>
    <row r="2324">
      <c r="B2324" s="63"/>
      <c r="C2324" s="63"/>
      <c r="D2324" s="63"/>
    </row>
    <row r="2325">
      <c r="B2325" s="63"/>
      <c r="C2325" s="63"/>
      <c r="D2325" s="63"/>
    </row>
    <row r="2326">
      <c r="B2326" s="63"/>
      <c r="C2326" s="63"/>
      <c r="D2326" s="63"/>
    </row>
    <row r="2327">
      <c r="B2327" s="63"/>
      <c r="C2327" s="63"/>
      <c r="D2327" s="63"/>
    </row>
    <row r="2328">
      <c r="B2328" s="63"/>
      <c r="C2328" s="63"/>
      <c r="D2328" s="63"/>
    </row>
    <row r="2329">
      <c r="B2329" s="63"/>
      <c r="C2329" s="63"/>
      <c r="D2329" s="63"/>
    </row>
    <row r="2330">
      <c r="B2330" s="63"/>
      <c r="C2330" s="63"/>
      <c r="D2330" s="63"/>
    </row>
    <row r="2331">
      <c r="B2331" s="63"/>
      <c r="C2331" s="63"/>
      <c r="D2331" s="63"/>
    </row>
    <row r="2332">
      <c r="B2332" s="63"/>
      <c r="C2332" s="63"/>
      <c r="D2332" s="63"/>
    </row>
    <row r="2333">
      <c r="B2333" s="63"/>
      <c r="C2333" s="63"/>
      <c r="D2333" s="63"/>
    </row>
    <row r="2334">
      <c r="B2334" s="63"/>
      <c r="C2334" s="63"/>
      <c r="D2334" s="63"/>
    </row>
    <row r="2335">
      <c r="B2335" s="63"/>
      <c r="C2335" s="63"/>
      <c r="D2335" s="63"/>
    </row>
    <row r="2336">
      <c r="B2336" s="63"/>
      <c r="C2336" s="63"/>
      <c r="D2336" s="63"/>
    </row>
    <row r="2337">
      <c r="B2337" s="63"/>
      <c r="C2337" s="63"/>
      <c r="D2337" s="63"/>
    </row>
    <row r="2338">
      <c r="B2338" s="63"/>
      <c r="C2338" s="63"/>
      <c r="D2338" s="63"/>
    </row>
    <row r="2339">
      <c r="B2339" s="63"/>
      <c r="C2339" s="63"/>
      <c r="D2339" s="63"/>
    </row>
    <row r="2340">
      <c r="B2340" s="63"/>
      <c r="C2340" s="63"/>
      <c r="D2340" s="63"/>
    </row>
    <row r="2341">
      <c r="B2341" s="63"/>
      <c r="C2341" s="63"/>
      <c r="D2341" s="63"/>
    </row>
    <row r="2342">
      <c r="B2342" s="63"/>
      <c r="C2342" s="63"/>
      <c r="D2342" s="63"/>
    </row>
    <row r="2343">
      <c r="B2343" s="63"/>
      <c r="C2343" s="63"/>
      <c r="D2343" s="63"/>
    </row>
    <row r="2344">
      <c r="B2344" s="63"/>
      <c r="C2344" s="63"/>
      <c r="D2344" s="63"/>
    </row>
    <row r="2345">
      <c r="B2345" s="63"/>
      <c r="C2345" s="63"/>
      <c r="D2345" s="63"/>
    </row>
    <row r="2346">
      <c r="B2346" s="63"/>
      <c r="C2346" s="63"/>
      <c r="D2346" s="63"/>
    </row>
    <row r="2347">
      <c r="B2347" s="63"/>
      <c r="C2347" s="63"/>
      <c r="D2347" s="63"/>
    </row>
    <row r="2348">
      <c r="B2348" s="63"/>
      <c r="C2348" s="63"/>
      <c r="D2348" s="63"/>
    </row>
    <row r="2349">
      <c r="B2349" s="63"/>
      <c r="C2349" s="63"/>
      <c r="D2349" s="63"/>
    </row>
    <row r="2350">
      <c r="B2350" s="63"/>
      <c r="C2350" s="63"/>
      <c r="D2350" s="63"/>
    </row>
    <row r="2351">
      <c r="B2351" s="63"/>
      <c r="C2351" s="63"/>
      <c r="D2351" s="63"/>
    </row>
    <row r="2352">
      <c r="B2352" s="63"/>
      <c r="C2352" s="63"/>
      <c r="D2352" s="63"/>
    </row>
    <row r="2353">
      <c r="B2353" s="63"/>
      <c r="C2353" s="63"/>
      <c r="D2353" s="63"/>
    </row>
    <row r="2354">
      <c r="B2354" s="63"/>
      <c r="C2354" s="63"/>
      <c r="D2354" s="63"/>
    </row>
    <row r="2355">
      <c r="B2355" s="63"/>
      <c r="C2355" s="63"/>
      <c r="D2355" s="63"/>
    </row>
    <row r="2356">
      <c r="B2356" s="63"/>
      <c r="C2356" s="63"/>
      <c r="D2356" s="63"/>
    </row>
    <row r="2357">
      <c r="B2357" s="63"/>
      <c r="C2357" s="63"/>
      <c r="D2357" s="63"/>
    </row>
    <row r="2358">
      <c r="B2358" s="63"/>
      <c r="C2358" s="63"/>
      <c r="D2358" s="63"/>
    </row>
    <row r="2359">
      <c r="B2359" s="63"/>
      <c r="C2359" s="63"/>
      <c r="D2359" s="63"/>
    </row>
    <row r="2360">
      <c r="B2360" s="63"/>
      <c r="C2360" s="63"/>
      <c r="D2360" s="63"/>
    </row>
    <row r="2361">
      <c r="B2361" s="63"/>
      <c r="C2361" s="63"/>
      <c r="D2361" s="63"/>
    </row>
    <row r="2362">
      <c r="B2362" s="63"/>
      <c r="C2362" s="63"/>
      <c r="D2362" s="63"/>
    </row>
    <row r="2363">
      <c r="B2363" s="63"/>
      <c r="C2363" s="63"/>
      <c r="D2363" s="63"/>
    </row>
    <row r="2364">
      <c r="B2364" s="63"/>
      <c r="C2364" s="63"/>
      <c r="D2364" s="63"/>
    </row>
    <row r="2365">
      <c r="B2365" s="63"/>
      <c r="C2365" s="63"/>
      <c r="D2365" s="63"/>
    </row>
    <row r="2366">
      <c r="B2366" s="63"/>
      <c r="C2366" s="63"/>
      <c r="D2366" s="63"/>
    </row>
    <row r="2367">
      <c r="B2367" s="63"/>
      <c r="C2367" s="63"/>
      <c r="D2367" s="63"/>
    </row>
    <row r="2368">
      <c r="B2368" s="63"/>
      <c r="C2368" s="63"/>
      <c r="D2368" s="63"/>
    </row>
    <row r="2369">
      <c r="B2369" s="63"/>
      <c r="C2369" s="63"/>
      <c r="D2369" s="63"/>
    </row>
    <row r="2370">
      <c r="B2370" s="63"/>
      <c r="C2370" s="63"/>
      <c r="D2370" s="63"/>
    </row>
    <row r="2371">
      <c r="B2371" s="63"/>
      <c r="C2371" s="63"/>
      <c r="D2371" s="63"/>
    </row>
    <row r="2372">
      <c r="B2372" s="63"/>
      <c r="C2372" s="63"/>
      <c r="D2372" s="63"/>
    </row>
    <row r="2373">
      <c r="B2373" s="63"/>
      <c r="C2373" s="63"/>
      <c r="D2373" s="63"/>
    </row>
    <row r="2374">
      <c r="B2374" s="63"/>
      <c r="C2374" s="63"/>
      <c r="D2374" s="63"/>
    </row>
    <row r="2375">
      <c r="B2375" s="63"/>
      <c r="C2375" s="63"/>
      <c r="D2375" s="63"/>
    </row>
    <row r="2376">
      <c r="B2376" s="63"/>
      <c r="C2376" s="63"/>
      <c r="D2376" s="63"/>
    </row>
    <row r="2377">
      <c r="B2377" s="63"/>
      <c r="C2377" s="63"/>
      <c r="D2377" s="63"/>
    </row>
    <row r="2378">
      <c r="B2378" s="63"/>
      <c r="C2378" s="63"/>
      <c r="D2378" s="63"/>
    </row>
    <row r="2379">
      <c r="B2379" s="63"/>
      <c r="C2379" s="63"/>
      <c r="D2379" s="63"/>
    </row>
    <row r="2380">
      <c r="B2380" s="63"/>
      <c r="C2380" s="63"/>
      <c r="D2380" s="63"/>
    </row>
    <row r="2381">
      <c r="B2381" s="63"/>
      <c r="C2381" s="63"/>
      <c r="D2381" s="63"/>
    </row>
    <row r="2382">
      <c r="B2382" s="63"/>
      <c r="C2382" s="63"/>
      <c r="D2382" s="63"/>
    </row>
    <row r="2383">
      <c r="B2383" s="63"/>
      <c r="C2383" s="63"/>
      <c r="D2383" s="63"/>
    </row>
    <row r="2384">
      <c r="B2384" s="63"/>
      <c r="C2384" s="63"/>
      <c r="D2384" s="63"/>
    </row>
    <row r="2385">
      <c r="B2385" s="63"/>
      <c r="C2385" s="63"/>
      <c r="D2385" s="63"/>
    </row>
    <row r="2386">
      <c r="B2386" s="63"/>
      <c r="C2386" s="63"/>
      <c r="D2386" s="63"/>
    </row>
    <row r="2387">
      <c r="B2387" s="63"/>
      <c r="C2387" s="63"/>
      <c r="D2387" s="63"/>
    </row>
    <row r="2388">
      <c r="B2388" s="63"/>
      <c r="C2388" s="63"/>
      <c r="D2388" s="63"/>
    </row>
    <row r="2389">
      <c r="B2389" s="63"/>
      <c r="C2389" s="63"/>
      <c r="D2389" s="63"/>
    </row>
    <row r="2390">
      <c r="B2390" s="63"/>
      <c r="C2390" s="63"/>
      <c r="D2390" s="63"/>
    </row>
    <row r="2391">
      <c r="B2391" s="63"/>
      <c r="C2391" s="63"/>
      <c r="D2391" s="63"/>
    </row>
    <row r="2392">
      <c r="B2392" s="63"/>
      <c r="C2392" s="63"/>
      <c r="D2392" s="63"/>
    </row>
    <row r="2393">
      <c r="B2393" s="63"/>
      <c r="C2393" s="63"/>
      <c r="D2393" s="63"/>
    </row>
    <row r="2394">
      <c r="B2394" s="63"/>
      <c r="C2394" s="63"/>
      <c r="D2394" s="63"/>
    </row>
    <row r="2395">
      <c r="B2395" s="63"/>
      <c r="C2395" s="63"/>
      <c r="D2395" s="63"/>
    </row>
    <row r="2396">
      <c r="B2396" s="63"/>
      <c r="C2396" s="63"/>
      <c r="D2396" s="63"/>
    </row>
    <row r="2397">
      <c r="B2397" s="63"/>
      <c r="C2397" s="63"/>
      <c r="D2397" s="63"/>
    </row>
    <row r="2398">
      <c r="B2398" s="63"/>
      <c r="C2398" s="63"/>
      <c r="D2398" s="63"/>
    </row>
    <row r="2399">
      <c r="B2399" s="63"/>
      <c r="C2399" s="63"/>
      <c r="D2399" s="63"/>
    </row>
    <row r="2400">
      <c r="B2400" s="63"/>
      <c r="C2400" s="63"/>
      <c r="D2400" s="63"/>
    </row>
    <row r="2401">
      <c r="B2401" s="63"/>
      <c r="C2401" s="63"/>
      <c r="D2401" s="63"/>
    </row>
    <row r="2402">
      <c r="B2402" s="63"/>
      <c r="C2402" s="63"/>
      <c r="D2402" s="63"/>
    </row>
    <row r="2403">
      <c r="B2403" s="63"/>
      <c r="C2403" s="63"/>
      <c r="D2403" s="63"/>
    </row>
    <row r="2404">
      <c r="B2404" s="63"/>
      <c r="C2404" s="63"/>
      <c r="D2404" s="63"/>
    </row>
    <row r="2405">
      <c r="B2405" s="63"/>
      <c r="C2405" s="63"/>
      <c r="D2405" s="63"/>
    </row>
    <row r="2406">
      <c r="B2406" s="63"/>
      <c r="C2406" s="63"/>
      <c r="D2406" s="63"/>
    </row>
    <row r="2407">
      <c r="B2407" s="63"/>
      <c r="C2407" s="63"/>
      <c r="D2407" s="63"/>
    </row>
    <row r="2408">
      <c r="B2408" s="63"/>
      <c r="C2408" s="63"/>
      <c r="D2408" s="63"/>
    </row>
    <row r="2409">
      <c r="B2409" s="63"/>
      <c r="C2409" s="63"/>
      <c r="D2409" s="63"/>
    </row>
    <row r="2410">
      <c r="B2410" s="63"/>
      <c r="C2410" s="63"/>
      <c r="D2410" s="63"/>
    </row>
    <row r="2411">
      <c r="B2411" s="63"/>
      <c r="C2411" s="63"/>
      <c r="D2411" s="63"/>
    </row>
    <row r="2412">
      <c r="B2412" s="63"/>
      <c r="C2412" s="63"/>
      <c r="D2412" s="63"/>
    </row>
    <row r="2413">
      <c r="B2413" s="63"/>
      <c r="C2413" s="63"/>
      <c r="D2413" s="63"/>
    </row>
    <row r="2414">
      <c r="B2414" s="63"/>
      <c r="C2414" s="63"/>
      <c r="D2414" s="63"/>
    </row>
    <row r="2415">
      <c r="B2415" s="63"/>
      <c r="C2415" s="63"/>
      <c r="D2415" s="63"/>
    </row>
    <row r="2416">
      <c r="B2416" s="63"/>
      <c r="C2416" s="63"/>
      <c r="D2416" s="63"/>
    </row>
    <row r="2417">
      <c r="B2417" s="63"/>
      <c r="C2417" s="63"/>
      <c r="D2417" s="63"/>
    </row>
    <row r="2418">
      <c r="B2418" s="63"/>
      <c r="C2418" s="63"/>
      <c r="D2418" s="63"/>
    </row>
    <row r="2419">
      <c r="B2419" s="63"/>
      <c r="C2419" s="63"/>
      <c r="D2419" s="63"/>
    </row>
    <row r="2420">
      <c r="B2420" s="63"/>
      <c r="C2420" s="63"/>
      <c r="D2420" s="63"/>
    </row>
    <row r="2421">
      <c r="B2421" s="63"/>
      <c r="C2421" s="63"/>
      <c r="D2421" s="63"/>
    </row>
    <row r="2422">
      <c r="B2422" s="63"/>
      <c r="C2422" s="63"/>
      <c r="D2422" s="63"/>
    </row>
    <row r="2423">
      <c r="B2423" s="63"/>
      <c r="C2423" s="63"/>
      <c r="D2423" s="63"/>
    </row>
    <row r="2424">
      <c r="B2424" s="63"/>
      <c r="C2424" s="63"/>
      <c r="D2424" s="63"/>
    </row>
    <row r="2425">
      <c r="B2425" s="63"/>
      <c r="C2425" s="63"/>
      <c r="D2425" s="63"/>
    </row>
    <row r="2426">
      <c r="B2426" s="63"/>
      <c r="C2426" s="63"/>
      <c r="D2426" s="63"/>
    </row>
    <row r="2427">
      <c r="B2427" s="63"/>
      <c r="C2427" s="63"/>
      <c r="D2427" s="63"/>
    </row>
    <row r="2428">
      <c r="B2428" s="63"/>
      <c r="C2428" s="63"/>
      <c r="D2428" s="63"/>
    </row>
    <row r="2429">
      <c r="B2429" s="63"/>
      <c r="C2429" s="63"/>
      <c r="D2429" s="63"/>
    </row>
    <row r="2430">
      <c r="B2430" s="63"/>
      <c r="C2430" s="63"/>
      <c r="D2430" s="63"/>
    </row>
    <row r="2431">
      <c r="B2431" s="63"/>
      <c r="C2431" s="63"/>
      <c r="D2431" s="63"/>
    </row>
    <row r="2432">
      <c r="B2432" s="63"/>
      <c r="C2432" s="63"/>
      <c r="D2432" s="63"/>
    </row>
    <row r="2433">
      <c r="B2433" s="63"/>
      <c r="C2433" s="63"/>
      <c r="D2433" s="63"/>
    </row>
    <row r="2434">
      <c r="B2434" s="63"/>
      <c r="C2434" s="63"/>
      <c r="D2434" s="63"/>
    </row>
    <row r="2435">
      <c r="B2435" s="63"/>
      <c r="C2435" s="63"/>
      <c r="D2435" s="63"/>
    </row>
    <row r="2436">
      <c r="B2436" s="63"/>
      <c r="C2436" s="63"/>
      <c r="D2436" s="63"/>
    </row>
    <row r="2437">
      <c r="B2437" s="63"/>
      <c r="C2437" s="63"/>
      <c r="D2437" s="63"/>
    </row>
    <row r="2438">
      <c r="B2438" s="63"/>
      <c r="C2438" s="63"/>
      <c r="D2438" s="63"/>
    </row>
    <row r="2439">
      <c r="B2439" s="63"/>
      <c r="C2439" s="63"/>
      <c r="D2439" s="63"/>
    </row>
    <row r="2440">
      <c r="B2440" s="63"/>
      <c r="C2440" s="63"/>
      <c r="D2440" s="63"/>
    </row>
    <row r="2441">
      <c r="B2441" s="63"/>
      <c r="C2441" s="63"/>
      <c r="D2441" s="63"/>
    </row>
    <row r="2442">
      <c r="B2442" s="63"/>
      <c r="C2442" s="63"/>
      <c r="D2442" s="63"/>
    </row>
    <row r="2443">
      <c r="B2443" s="63"/>
      <c r="C2443" s="63"/>
      <c r="D2443" s="63"/>
    </row>
    <row r="2444">
      <c r="B2444" s="63"/>
      <c r="C2444" s="63"/>
      <c r="D2444" s="63"/>
    </row>
    <row r="2445">
      <c r="B2445" s="63"/>
      <c r="C2445" s="63"/>
      <c r="D2445" s="63"/>
    </row>
    <row r="2446">
      <c r="B2446" s="63"/>
      <c r="C2446" s="63"/>
      <c r="D2446" s="63"/>
    </row>
    <row r="2447">
      <c r="B2447" s="63"/>
      <c r="C2447" s="63"/>
      <c r="D2447" s="63"/>
    </row>
    <row r="2448">
      <c r="B2448" s="63"/>
      <c r="C2448" s="63"/>
      <c r="D2448" s="63"/>
    </row>
    <row r="2449">
      <c r="B2449" s="63"/>
      <c r="C2449" s="63"/>
      <c r="D2449" s="63"/>
    </row>
    <row r="2450">
      <c r="B2450" s="63"/>
      <c r="C2450" s="63"/>
      <c r="D2450" s="63"/>
    </row>
    <row r="2451">
      <c r="B2451" s="63"/>
      <c r="C2451" s="63"/>
      <c r="D2451" s="63"/>
    </row>
    <row r="2452">
      <c r="B2452" s="63"/>
      <c r="C2452" s="63"/>
      <c r="D2452" s="63"/>
    </row>
    <row r="2453">
      <c r="B2453" s="63"/>
      <c r="C2453" s="63"/>
      <c r="D2453" s="63"/>
    </row>
    <row r="2454">
      <c r="B2454" s="63"/>
      <c r="C2454" s="63"/>
      <c r="D2454" s="63"/>
    </row>
    <row r="2455">
      <c r="B2455" s="63"/>
      <c r="C2455" s="63"/>
      <c r="D2455" s="63"/>
    </row>
    <row r="2456">
      <c r="B2456" s="63"/>
      <c r="C2456" s="63"/>
      <c r="D2456" s="63"/>
    </row>
    <row r="2457">
      <c r="B2457" s="63"/>
      <c r="C2457" s="63"/>
      <c r="D2457" s="63"/>
    </row>
    <row r="2458">
      <c r="B2458" s="63"/>
      <c r="C2458" s="63"/>
      <c r="D2458" s="63"/>
    </row>
    <row r="2459">
      <c r="B2459" s="63"/>
      <c r="C2459" s="63"/>
      <c r="D2459" s="63"/>
    </row>
    <row r="2460">
      <c r="B2460" s="63"/>
      <c r="C2460" s="63"/>
      <c r="D2460" s="63"/>
    </row>
    <row r="2461">
      <c r="B2461" s="63"/>
      <c r="C2461" s="63"/>
      <c r="D2461" s="63"/>
    </row>
    <row r="2462">
      <c r="B2462" s="63"/>
      <c r="C2462" s="63"/>
      <c r="D2462" s="63"/>
    </row>
    <row r="2463">
      <c r="B2463" s="63"/>
      <c r="C2463" s="63"/>
      <c r="D2463" s="63"/>
    </row>
    <row r="2464">
      <c r="B2464" s="63"/>
      <c r="C2464" s="63"/>
      <c r="D2464" s="63"/>
    </row>
    <row r="2465">
      <c r="B2465" s="63"/>
      <c r="C2465" s="63"/>
      <c r="D2465" s="63"/>
    </row>
    <row r="2466">
      <c r="B2466" s="63"/>
      <c r="C2466" s="63"/>
      <c r="D2466" s="63"/>
    </row>
    <row r="2467">
      <c r="B2467" s="63"/>
      <c r="C2467" s="63"/>
      <c r="D2467" s="63"/>
    </row>
    <row r="2468">
      <c r="B2468" s="63"/>
      <c r="C2468" s="63"/>
      <c r="D2468" s="63"/>
    </row>
    <row r="2469">
      <c r="B2469" s="63"/>
      <c r="C2469" s="63"/>
      <c r="D2469" s="63"/>
    </row>
    <row r="2470">
      <c r="B2470" s="63"/>
      <c r="C2470" s="63"/>
      <c r="D2470" s="63"/>
    </row>
    <row r="2471">
      <c r="B2471" s="63"/>
      <c r="C2471" s="63"/>
      <c r="D2471" s="63"/>
    </row>
    <row r="2472">
      <c r="B2472" s="63"/>
      <c r="C2472" s="63"/>
      <c r="D2472" s="63"/>
    </row>
    <row r="2473">
      <c r="B2473" s="63"/>
      <c r="C2473" s="63"/>
      <c r="D2473" s="63"/>
    </row>
    <row r="2474">
      <c r="B2474" s="63"/>
      <c r="C2474" s="63"/>
      <c r="D2474" s="63"/>
    </row>
    <row r="2475">
      <c r="B2475" s="63"/>
      <c r="C2475" s="63"/>
      <c r="D2475" s="63"/>
    </row>
    <row r="2476">
      <c r="B2476" s="63"/>
      <c r="C2476" s="63"/>
      <c r="D2476" s="63"/>
    </row>
    <row r="2477">
      <c r="B2477" s="63"/>
      <c r="C2477" s="63"/>
      <c r="D2477" s="63"/>
    </row>
    <row r="2478">
      <c r="B2478" s="63"/>
      <c r="C2478" s="63"/>
      <c r="D2478" s="63"/>
    </row>
    <row r="2479">
      <c r="B2479" s="63"/>
      <c r="C2479" s="63"/>
      <c r="D2479" s="63"/>
    </row>
    <row r="2480">
      <c r="B2480" s="63"/>
      <c r="C2480" s="63"/>
      <c r="D2480" s="63"/>
    </row>
    <row r="2481">
      <c r="B2481" s="63"/>
      <c r="C2481" s="63"/>
      <c r="D2481" s="63"/>
    </row>
    <row r="2482">
      <c r="B2482" s="63"/>
      <c r="C2482" s="63"/>
      <c r="D2482" s="63"/>
    </row>
    <row r="2483">
      <c r="B2483" s="63"/>
      <c r="C2483" s="63"/>
      <c r="D2483" s="63"/>
    </row>
    <row r="2484">
      <c r="B2484" s="63"/>
      <c r="C2484" s="63"/>
      <c r="D2484" s="63"/>
    </row>
    <row r="2485">
      <c r="B2485" s="63"/>
      <c r="C2485" s="63"/>
      <c r="D2485" s="63"/>
    </row>
    <row r="2486">
      <c r="B2486" s="63"/>
      <c r="C2486" s="63"/>
      <c r="D2486" s="63"/>
    </row>
    <row r="2487">
      <c r="B2487" s="63"/>
      <c r="C2487" s="63"/>
      <c r="D2487" s="63"/>
    </row>
    <row r="2488">
      <c r="B2488" s="63"/>
      <c r="C2488" s="63"/>
      <c r="D2488" s="63"/>
    </row>
    <row r="2489">
      <c r="B2489" s="63"/>
      <c r="C2489" s="63"/>
      <c r="D2489" s="63"/>
    </row>
    <row r="2490">
      <c r="B2490" s="63"/>
      <c r="C2490" s="63"/>
      <c r="D2490" s="63"/>
    </row>
    <row r="2491">
      <c r="B2491" s="63"/>
      <c r="C2491" s="63"/>
      <c r="D2491" s="63"/>
    </row>
    <row r="2492">
      <c r="B2492" s="63"/>
      <c r="C2492" s="63"/>
      <c r="D2492" s="63"/>
    </row>
    <row r="2493">
      <c r="B2493" s="63"/>
      <c r="C2493" s="63"/>
      <c r="D2493" s="63"/>
    </row>
    <row r="2494">
      <c r="B2494" s="63"/>
      <c r="C2494" s="63"/>
      <c r="D2494" s="63"/>
    </row>
    <row r="2495">
      <c r="B2495" s="63"/>
      <c r="C2495" s="63"/>
      <c r="D2495" s="63"/>
    </row>
    <row r="2496">
      <c r="B2496" s="63"/>
      <c r="C2496" s="63"/>
      <c r="D2496" s="63"/>
    </row>
    <row r="2497">
      <c r="B2497" s="63"/>
      <c r="C2497" s="63"/>
      <c r="D2497" s="63"/>
    </row>
    <row r="2498">
      <c r="B2498" s="63"/>
      <c r="C2498" s="63"/>
      <c r="D2498" s="63"/>
    </row>
    <row r="2499">
      <c r="B2499" s="63"/>
      <c r="C2499" s="63"/>
      <c r="D2499" s="63"/>
    </row>
    <row r="2500">
      <c r="B2500" s="63"/>
      <c r="C2500" s="63"/>
      <c r="D2500" s="63"/>
    </row>
    <row r="2501">
      <c r="B2501" s="63"/>
      <c r="C2501" s="63"/>
      <c r="D2501" s="63"/>
    </row>
    <row r="2502">
      <c r="B2502" s="63"/>
      <c r="C2502" s="63"/>
      <c r="D2502" s="63"/>
    </row>
    <row r="2503">
      <c r="B2503" s="63"/>
      <c r="C2503" s="63"/>
      <c r="D2503" s="63"/>
    </row>
    <row r="2504">
      <c r="B2504" s="63"/>
      <c r="C2504" s="63"/>
      <c r="D2504" s="63"/>
    </row>
    <row r="2505">
      <c r="B2505" s="63"/>
      <c r="C2505" s="63"/>
      <c r="D2505" s="63"/>
    </row>
    <row r="2506">
      <c r="B2506" s="63"/>
      <c r="C2506" s="63"/>
      <c r="D2506" s="63"/>
    </row>
    <row r="2507">
      <c r="B2507" s="63"/>
      <c r="C2507" s="63"/>
      <c r="D2507" s="63"/>
    </row>
    <row r="2508">
      <c r="B2508" s="63"/>
      <c r="C2508" s="63"/>
      <c r="D2508" s="63"/>
    </row>
    <row r="2509">
      <c r="B2509" s="63"/>
      <c r="C2509" s="63"/>
      <c r="D2509" s="63"/>
    </row>
    <row r="2510">
      <c r="B2510" s="63"/>
      <c r="C2510" s="63"/>
      <c r="D2510" s="63"/>
    </row>
    <row r="2511">
      <c r="B2511" s="63"/>
      <c r="C2511" s="63"/>
      <c r="D2511" s="63"/>
    </row>
    <row r="2512">
      <c r="B2512" s="63"/>
      <c r="C2512" s="63"/>
      <c r="D2512" s="63"/>
    </row>
    <row r="2513">
      <c r="B2513" s="63"/>
      <c r="C2513" s="63"/>
      <c r="D2513" s="63"/>
    </row>
    <row r="2514">
      <c r="B2514" s="63"/>
      <c r="C2514" s="63"/>
      <c r="D2514" s="63"/>
    </row>
    <row r="2515">
      <c r="B2515" s="63"/>
      <c r="C2515" s="63"/>
      <c r="D2515" s="63"/>
    </row>
    <row r="2516">
      <c r="B2516" s="63"/>
      <c r="C2516" s="63"/>
      <c r="D2516" s="63"/>
    </row>
    <row r="2517">
      <c r="B2517" s="63"/>
      <c r="C2517" s="63"/>
      <c r="D2517" s="63"/>
    </row>
    <row r="2518">
      <c r="B2518" s="63"/>
      <c r="C2518" s="63"/>
      <c r="D2518" s="63"/>
    </row>
    <row r="2519">
      <c r="B2519" s="63"/>
      <c r="C2519" s="63"/>
      <c r="D2519" s="63"/>
    </row>
    <row r="2520">
      <c r="B2520" s="63"/>
      <c r="C2520" s="63"/>
      <c r="D2520" s="63"/>
    </row>
    <row r="2521">
      <c r="B2521" s="63"/>
      <c r="C2521" s="63"/>
      <c r="D2521" s="63"/>
    </row>
    <row r="2522">
      <c r="B2522" s="63"/>
      <c r="C2522" s="63"/>
      <c r="D2522" s="63"/>
    </row>
    <row r="2523">
      <c r="B2523" s="63"/>
      <c r="C2523" s="63"/>
      <c r="D2523" s="63"/>
    </row>
    <row r="2524">
      <c r="B2524" s="63"/>
      <c r="C2524" s="63"/>
      <c r="D2524" s="63"/>
    </row>
    <row r="2525">
      <c r="B2525" s="63"/>
      <c r="C2525" s="63"/>
      <c r="D2525" s="63"/>
    </row>
    <row r="2526">
      <c r="B2526" s="63"/>
      <c r="C2526" s="63"/>
      <c r="D2526" s="63"/>
    </row>
    <row r="2527">
      <c r="B2527" s="63"/>
      <c r="C2527" s="63"/>
      <c r="D2527" s="63"/>
    </row>
    <row r="2528">
      <c r="B2528" s="63"/>
      <c r="C2528" s="63"/>
      <c r="D2528" s="63"/>
    </row>
    <row r="2529">
      <c r="B2529" s="63"/>
      <c r="C2529" s="63"/>
      <c r="D2529" s="63"/>
    </row>
    <row r="2530">
      <c r="B2530" s="63"/>
      <c r="C2530" s="63"/>
      <c r="D2530" s="63"/>
    </row>
    <row r="2531">
      <c r="B2531" s="63"/>
      <c r="C2531" s="63"/>
      <c r="D2531" s="63"/>
    </row>
    <row r="2532">
      <c r="B2532" s="63"/>
      <c r="C2532" s="63"/>
      <c r="D2532" s="63"/>
    </row>
    <row r="2533">
      <c r="B2533" s="63"/>
      <c r="C2533" s="63"/>
      <c r="D2533" s="63"/>
    </row>
    <row r="2534">
      <c r="B2534" s="63"/>
      <c r="C2534" s="63"/>
      <c r="D2534" s="63"/>
    </row>
    <row r="2535">
      <c r="B2535" s="63"/>
      <c r="C2535" s="63"/>
      <c r="D2535" s="63"/>
    </row>
    <row r="2536">
      <c r="B2536" s="63"/>
      <c r="C2536" s="63"/>
      <c r="D2536" s="63"/>
    </row>
    <row r="2537">
      <c r="B2537" s="63"/>
      <c r="C2537" s="63"/>
      <c r="D2537" s="63"/>
    </row>
    <row r="2538">
      <c r="B2538" s="63"/>
      <c r="C2538" s="63"/>
      <c r="D2538" s="63"/>
    </row>
    <row r="2539">
      <c r="B2539" s="63"/>
      <c r="C2539" s="63"/>
      <c r="D2539" s="63"/>
    </row>
    <row r="2540">
      <c r="B2540" s="63"/>
      <c r="C2540" s="63"/>
      <c r="D2540" s="63"/>
    </row>
    <row r="2541">
      <c r="B2541" s="63"/>
      <c r="C2541" s="63"/>
      <c r="D2541" s="63"/>
    </row>
    <row r="2542">
      <c r="B2542" s="63"/>
      <c r="C2542" s="63"/>
      <c r="D2542" s="63"/>
    </row>
    <row r="2543">
      <c r="B2543" s="63"/>
      <c r="C2543" s="63"/>
      <c r="D2543" s="63"/>
    </row>
    <row r="2544">
      <c r="B2544" s="63"/>
      <c r="C2544" s="63"/>
      <c r="D2544" s="63"/>
    </row>
    <row r="2545">
      <c r="B2545" s="63"/>
      <c r="C2545" s="63"/>
      <c r="D2545" s="63"/>
    </row>
    <row r="2546">
      <c r="B2546" s="63"/>
      <c r="C2546" s="63"/>
      <c r="D2546" s="63"/>
    </row>
    <row r="2547">
      <c r="B2547" s="63"/>
      <c r="C2547" s="63"/>
      <c r="D2547" s="63"/>
    </row>
    <row r="2548">
      <c r="B2548" s="63"/>
      <c r="C2548" s="63"/>
      <c r="D2548" s="63"/>
    </row>
    <row r="2549">
      <c r="B2549" s="63"/>
      <c r="C2549" s="63"/>
      <c r="D2549" s="63"/>
    </row>
    <row r="2550">
      <c r="B2550" s="63"/>
      <c r="C2550" s="63"/>
      <c r="D2550" s="63"/>
    </row>
    <row r="2551">
      <c r="B2551" s="63"/>
      <c r="C2551" s="63"/>
      <c r="D2551" s="63"/>
    </row>
    <row r="2552">
      <c r="B2552" s="63"/>
      <c r="C2552" s="63"/>
      <c r="D2552" s="63"/>
    </row>
    <row r="2553">
      <c r="B2553" s="63"/>
      <c r="C2553" s="63"/>
      <c r="D2553" s="63"/>
    </row>
    <row r="2554">
      <c r="B2554" s="63"/>
      <c r="C2554" s="63"/>
      <c r="D2554" s="63"/>
    </row>
    <row r="2555">
      <c r="B2555" s="63"/>
      <c r="C2555" s="63"/>
      <c r="D2555" s="63"/>
    </row>
    <row r="2556">
      <c r="B2556" s="63"/>
      <c r="C2556" s="63"/>
      <c r="D2556" s="63"/>
    </row>
    <row r="2557">
      <c r="B2557" s="63"/>
      <c r="C2557" s="63"/>
      <c r="D2557" s="63"/>
    </row>
    <row r="2558">
      <c r="B2558" s="63"/>
      <c r="C2558" s="63"/>
      <c r="D2558" s="63"/>
    </row>
    <row r="2559">
      <c r="B2559" s="63"/>
      <c r="C2559" s="63"/>
      <c r="D2559" s="63"/>
    </row>
    <row r="2560">
      <c r="B2560" s="63"/>
      <c r="C2560" s="63"/>
      <c r="D2560" s="63"/>
    </row>
    <row r="2561">
      <c r="B2561" s="63"/>
      <c r="C2561" s="63"/>
      <c r="D2561" s="63"/>
    </row>
    <row r="2562">
      <c r="B2562" s="63"/>
      <c r="C2562" s="63"/>
      <c r="D2562" s="63"/>
    </row>
    <row r="2563">
      <c r="B2563" s="63"/>
      <c r="C2563" s="63"/>
      <c r="D2563" s="63"/>
    </row>
    <row r="2564">
      <c r="B2564" s="63"/>
      <c r="C2564" s="63"/>
      <c r="D2564" s="63"/>
    </row>
    <row r="2565">
      <c r="B2565" s="63"/>
      <c r="C2565" s="63"/>
      <c r="D2565" s="63"/>
    </row>
    <row r="2566">
      <c r="B2566" s="63"/>
      <c r="C2566" s="63"/>
      <c r="D2566" s="63"/>
    </row>
    <row r="2567">
      <c r="B2567" s="63"/>
      <c r="C2567" s="63"/>
      <c r="D2567" s="63"/>
    </row>
    <row r="2568">
      <c r="B2568" s="63"/>
      <c r="C2568" s="63"/>
      <c r="D2568" s="63"/>
    </row>
    <row r="2569">
      <c r="B2569" s="63"/>
      <c r="C2569" s="63"/>
      <c r="D2569" s="63"/>
    </row>
    <row r="2570">
      <c r="B2570" s="63"/>
      <c r="C2570" s="63"/>
      <c r="D2570" s="63"/>
    </row>
    <row r="2571">
      <c r="B2571" s="63"/>
      <c r="C2571" s="63"/>
      <c r="D2571" s="63"/>
    </row>
    <row r="2572">
      <c r="B2572" s="63"/>
      <c r="C2572" s="63"/>
      <c r="D2572" s="63"/>
    </row>
    <row r="2573">
      <c r="B2573" s="63"/>
      <c r="C2573" s="63"/>
      <c r="D2573" s="63"/>
    </row>
    <row r="2574">
      <c r="B2574" s="63"/>
      <c r="C2574" s="63"/>
      <c r="D2574" s="63"/>
    </row>
    <row r="2575">
      <c r="B2575" s="63"/>
      <c r="C2575" s="63"/>
      <c r="D2575" s="63"/>
    </row>
    <row r="2576">
      <c r="B2576" s="63"/>
      <c r="C2576" s="63"/>
      <c r="D2576" s="63"/>
    </row>
    <row r="2577">
      <c r="B2577" s="63"/>
      <c r="C2577" s="63"/>
      <c r="D2577" s="63"/>
    </row>
    <row r="2578">
      <c r="B2578" s="63"/>
      <c r="C2578" s="63"/>
      <c r="D2578" s="63"/>
    </row>
    <row r="2579">
      <c r="B2579" s="63"/>
      <c r="C2579" s="63"/>
      <c r="D2579" s="63"/>
    </row>
    <row r="2580">
      <c r="B2580" s="63"/>
      <c r="C2580" s="63"/>
      <c r="D2580" s="63"/>
    </row>
    <row r="2581">
      <c r="B2581" s="63"/>
      <c r="C2581" s="63"/>
      <c r="D2581" s="63"/>
    </row>
    <row r="2582">
      <c r="B2582" s="63"/>
      <c r="C2582" s="63"/>
      <c r="D2582" s="63"/>
    </row>
    <row r="2583">
      <c r="B2583" s="63"/>
      <c r="C2583" s="63"/>
      <c r="D2583" s="63"/>
    </row>
    <row r="2584">
      <c r="B2584" s="63"/>
      <c r="C2584" s="63"/>
      <c r="D2584" s="63"/>
    </row>
    <row r="2585">
      <c r="B2585" s="63"/>
      <c r="C2585" s="63"/>
      <c r="D2585" s="63"/>
    </row>
    <row r="2586">
      <c r="B2586" s="63"/>
      <c r="C2586" s="63"/>
      <c r="D2586" s="63"/>
    </row>
    <row r="2587">
      <c r="B2587" s="63"/>
      <c r="C2587" s="63"/>
      <c r="D2587" s="63"/>
    </row>
    <row r="2588">
      <c r="B2588" s="63"/>
      <c r="C2588" s="63"/>
      <c r="D2588" s="63"/>
    </row>
    <row r="2589">
      <c r="B2589" s="63"/>
      <c r="C2589" s="63"/>
      <c r="D2589" s="63"/>
    </row>
    <row r="2590">
      <c r="B2590" s="63"/>
      <c r="C2590" s="63"/>
      <c r="D2590" s="63"/>
    </row>
    <row r="2591">
      <c r="B2591" s="63"/>
      <c r="C2591" s="63"/>
      <c r="D2591" s="63"/>
    </row>
    <row r="2592">
      <c r="B2592" s="63"/>
      <c r="C2592" s="63"/>
      <c r="D2592" s="63"/>
    </row>
    <row r="2593">
      <c r="B2593" s="63"/>
      <c r="C2593" s="63"/>
      <c r="D2593" s="63"/>
    </row>
    <row r="2594">
      <c r="B2594" s="63"/>
      <c r="C2594" s="63"/>
      <c r="D2594" s="63"/>
    </row>
    <row r="2595">
      <c r="B2595" s="63"/>
      <c r="C2595" s="63"/>
      <c r="D2595" s="63"/>
    </row>
    <row r="2596">
      <c r="B2596" s="63"/>
      <c r="C2596" s="63"/>
      <c r="D2596" s="63"/>
    </row>
    <row r="2597">
      <c r="B2597" s="63"/>
      <c r="C2597" s="63"/>
      <c r="D2597" s="63"/>
    </row>
    <row r="2598">
      <c r="B2598" s="63"/>
      <c r="C2598" s="63"/>
      <c r="D2598" s="63"/>
    </row>
    <row r="2599">
      <c r="B2599" s="63"/>
      <c r="C2599" s="63"/>
      <c r="D2599" s="63"/>
    </row>
    <row r="2600">
      <c r="B2600" s="63"/>
      <c r="C2600" s="63"/>
      <c r="D2600" s="63"/>
    </row>
    <row r="2601">
      <c r="B2601" s="63"/>
      <c r="C2601" s="63"/>
      <c r="D2601" s="63"/>
    </row>
    <row r="2602">
      <c r="B2602" s="63"/>
      <c r="C2602" s="63"/>
      <c r="D2602" s="63"/>
    </row>
    <row r="2603">
      <c r="B2603" s="63"/>
      <c r="C2603" s="63"/>
      <c r="D2603" s="63"/>
    </row>
    <row r="2604">
      <c r="B2604" s="63"/>
      <c r="C2604" s="63"/>
      <c r="D2604" s="63"/>
    </row>
    <row r="2605">
      <c r="B2605" s="63"/>
      <c r="C2605" s="63"/>
      <c r="D2605" s="63"/>
    </row>
    <row r="2606">
      <c r="B2606" s="63"/>
      <c r="C2606" s="63"/>
      <c r="D2606" s="63"/>
    </row>
    <row r="2607">
      <c r="B2607" s="63"/>
      <c r="C2607" s="63"/>
      <c r="D2607" s="63"/>
    </row>
    <row r="2608">
      <c r="B2608" s="63"/>
      <c r="C2608" s="63"/>
      <c r="D2608" s="63"/>
    </row>
    <row r="2609">
      <c r="B2609" s="63"/>
      <c r="C2609" s="63"/>
      <c r="D2609" s="63"/>
    </row>
    <row r="2610">
      <c r="B2610" s="63"/>
      <c r="C2610" s="63"/>
      <c r="D2610" s="63"/>
    </row>
    <row r="2611">
      <c r="B2611" s="63"/>
      <c r="C2611" s="63"/>
      <c r="D2611" s="63"/>
    </row>
    <row r="2612">
      <c r="B2612" s="63"/>
      <c r="C2612" s="63"/>
      <c r="D2612" s="63"/>
    </row>
    <row r="2613">
      <c r="B2613" s="63"/>
      <c r="C2613" s="63"/>
      <c r="D2613" s="63"/>
    </row>
    <row r="2614">
      <c r="B2614" s="63"/>
      <c r="C2614" s="63"/>
      <c r="D2614" s="63"/>
    </row>
    <row r="2615">
      <c r="B2615" s="63"/>
      <c r="C2615" s="63"/>
      <c r="D2615" s="63"/>
    </row>
    <row r="2616">
      <c r="B2616" s="63"/>
      <c r="C2616" s="63"/>
      <c r="D2616" s="63"/>
    </row>
    <row r="2617">
      <c r="B2617" s="63"/>
      <c r="C2617" s="63"/>
      <c r="D2617" s="63"/>
    </row>
    <row r="2618">
      <c r="B2618" s="63"/>
      <c r="C2618" s="63"/>
      <c r="D2618" s="63"/>
    </row>
    <row r="2619">
      <c r="B2619" s="63"/>
      <c r="C2619" s="63"/>
      <c r="D2619" s="63"/>
    </row>
    <row r="2620">
      <c r="B2620" s="63"/>
      <c r="C2620" s="63"/>
      <c r="D2620" s="63"/>
    </row>
    <row r="2621">
      <c r="B2621" s="63"/>
      <c r="C2621" s="63"/>
      <c r="D2621" s="63"/>
    </row>
    <row r="2622">
      <c r="B2622" s="63"/>
      <c r="C2622" s="63"/>
      <c r="D2622" s="63"/>
    </row>
    <row r="2623">
      <c r="B2623" s="63"/>
      <c r="C2623" s="63"/>
      <c r="D2623" s="63"/>
    </row>
    <row r="2624">
      <c r="B2624" s="63"/>
      <c r="C2624" s="63"/>
      <c r="D2624" s="63"/>
    </row>
    <row r="2625">
      <c r="B2625" s="63"/>
      <c r="C2625" s="63"/>
      <c r="D2625" s="63"/>
    </row>
    <row r="2626">
      <c r="B2626" s="63"/>
      <c r="C2626" s="63"/>
      <c r="D2626" s="63"/>
    </row>
    <row r="2627">
      <c r="B2627" s="63"/>
      <c r="C2627" s="63"/>
      <c r="D2627" s="63"/>
    </row>
    <row r="2628">
      <c r="B2628" s="63"/>
      <c r="C2628" s="63"/>
      <c r="D2628" s="63"/>
    </row>
    <row r="2629">
      <c r="B2629" s="63"/>
      <c r="C2629" s="63"/>
      <c r="D2629" s="63"/>
    </row>
    <row r="2630">
      <c r="B2630" s="63"/>
      <c r="C2630" s="63"/>
      <c r="D2630" s="63"/>
    </row>
    <row r="2631">
      <c r="B2631" s="63"/>
      <c r="C2631" s="63"/>
      <c r="D2631" s="63"/>
    </row>
    <row r="2632">
      <c r="B2632" s="63"/>
      <c r="C2632" s="63"/>
      <c r="D2632" s="63"/>
    </row>
    <row r="2633">
      <c r="B2633" s="63"/>
      <c r="C2633" s="63"/>
      <c r="D2633" s="63"/>
    </row>
    <row r="2634">
      <c r="B2634" s="63"/>
      <c r="C2634" s="63"/>
      <c r="D2634" s="63"/>
    </row>
    <row r="2635">
      <c r="B2635" s="63"/>
      <c r="C2635" s="63"/>
      <c r="D2635" s="63"/>
    </row>
    <row r="2636">
      <c r="B2636" s="63"/>
      <c r="C2636" s="63"/>
      <c r="D2636" s="63"/>
    </row>
    <row r="2637">
      <c r="B2637" s="63"/>
      <c r="C2637" s="63"/>
      <c r="D2637" s="63"/>
    </row>
    <row r="2638">
      <c r="B2638" s="63"/>
      <c r="C2638" s="63"/>
      <c r="D2638" s="63"/>
    </row>
    <row r="2639">
      <c r="B2639" s="63"/>
      <c r="C2639" s="63"/>
      <c r="D2639" s="63"/>
    </row>
    <row r="2640">
      <c r="B2640" s="63"/>
      <c r="C2640" s="63"/>
      <c r="D2640" s="63"/>
    </row>
    <row r="2641">
      <c r="B2641" s="63"/>
      <c r="C2641" s="63"/>
      <c r="D2641" s="63"/>
    </row>
    <row r="2642">
      <c r="B2642" s="63"/>
      <c r="C2642" s="63"/>
      <c r="D2642" s="63"/>
    </row>
    <row r="2643">
      <c r="B2643" s="63"/>
      <c r="C2643" s="63"/>
      <c r="D2643" s="63"/>
    </row>
    <row r="2644">
      <c r="B2644" s="63"/>
      <c r="C2644" s="63"/>
      <c r="D2644" s="63"/>
    </row>
    <row r="2645">
      <c r="B2645" s="63"/>
      <c r="C2645" s="63"/>
      <c r="D2645" s="63"/>
    </row>
    <row r="2646">
      <c r="B2646" s="63"/>
      <c r="C2646" s="63"/>
      <c r="D2646" s="63"/>
    </row>
    <row r="2647">
      <c r="B2647" s="63"/>
      <c r="C2647" s="63"/>
      <c r="D2647" s="63"/>
    </row>
    <row r="2648">
      <c r="B2648" s="63"/>
      <c r="C2648" s="63"/>
      <c r="D2648" s="63"/>
    </row>
    <row r="2649">
      <c r="B2649" s="63"/>
      <c r="C2649" s="63"/>
      <c r="D2649" s="63"/>
    </row>
    <row r="2650">
      <c r="B2650" s="63"/>
      <c r="C2650" s="63"/>
      <c r="D2650" s="63"/>
    </row>
    <row r="2651">
      <c r="B2651" s="63"/>
      <c r="C2651" s="63"/>
      <c r="D2651" s="63"/>
    </row>
    <row r="2652">
      <c r="B2652" s="63"/>
      <c r="C2652" s="63"/>
      <c r="D2652" s="63"/>
    </row>
    <row r="2653">
      <c r="B2653" s="63"/>
      <c r="C2653" s="63"/>
      <c r="D2653" s="63"/>
    </row>
    <row r="2654">
      <c r="B2654" s="63"/>
      <c r="C2654" s="63"/>
      <c r="D2654" s="63"/>
    </row>
    <row r="2655">
      <c r="B2655" s="63"/>
      <c r="C2655" s="63"/>
      <c r="D2655" s="63"/>
    </row>
    <row r="2656">
      <c r="B2656" s="63"/>
      <c r="C2656" s="63"/>
      <c r="D2656" s="63"/>
    </row>
    <row r="2657">
      <c r="B2657" s="63"/>
      <c r="C2657" s="63"/>
      <c r="D2657" s="63"/>
    </row>
    <row r="2658">
      <c r="B2658" s="63"/>
      <c r="C2658" s="63"/>
      <c r="D2658" s="63"/>
    </row>
    <row r="2659">
      <c r="B2659" s="63"/>
      <c r="C2659" s="63"/>
      <c r="D2659" s="63"/>
    </row>
    <row r="2660">
      <c r="B2660" s="63"/>
      <c r="C2660" s="63"/>
      <c r="D2660" s="63"/>
    </row>
    <row r="2661">
      <c r="B2661" s="63"/>
      <c r="C2661" s="63"/>
      <c r="D2661" s="63"/>
    </row>
    <row r="2662">
      <c r="B2662" s="63"/>
      <c r="C2662" s="63"/>
      <c r="D2662" s="63"/>
    </row>
    <row r="2663">
      <c r="B2663" s="63"/>
      <c r="C2663" s="63"/>
      <c r="D2663" s="63"/>
    </row>
    <row r="2664">
      <c r="B2664" s="63"/>
      <c r="C2664" s="63"/>
      <c r="D2664" s="63"/>
    </row>
    <row r="2665">
      <c r="B2665" s="63"/>
      <c r="C2665" s="63"/>
      <c r="D2665" s="63"/>
    </row>
    <row r="2666">
      <c r="B2666" s="63"/>
      <c r="C2666" s="63"/>
      <c r="D2666" s="63"/>
    </row>
    <row r="2667">
      <c r="B2667" s="63"/>
      <c r="C2667" s="63"/>
      <c r="D2667" s="63"/>
    </row>
    <row r="2668">
      <c r="B2668" s="63"/>
      <c r="C2668" s="63"/>
      <c r="D2668" s="63"/>
    </row>
    <row r="2669">
      <c r="B2669" s="63"/>
      <c r="C2669" s="63"/>
      <c r="D2669" s="63"/>
    </row>
    <row r="2670">
      <c r="B2670" s="63"/>
      <c r="C2670" s="63"/>
      <c r="D2670" s="63"/>
    </row>
    <row r="2671">
      <c r="B2671" s="63"/>
      <c r="C2671" s="63"/>
      <c r="D2671" s="63"/>
    </row>
    <row r="2672">
      <c r="B2672" s="63"/>
      <c r="C2672" s="63"/>
      <c r="D2672" s="63"/>
    </row>
    <row r="2673">
      <c r="B2673" s="63"/>
      <c r="C2673" s="63"/>
      <c r="D2673" s="63"/>
    </row>
    <row r="2674">
      <c r="B2674" s="63"/>
      <c r="C2674" s="63"/>
      <c r="D2674" s="63"/>
    </row>
    <row r="2675">
      <c r="B2675" s="63"/>
      <c r="C2675" s="63"/>
      <c r="D2675" s="63"/>
    </row>
    <row r="2676">
      <c r="B2676" s="63"/>
      <c r="C2676" s="63"/>
      <c r="D2676" s="63"/>
    </row>
    <row r="2677">
      <c r="B2677" s="63"/>
      <c r="C2677" s="63"/>
      <c r="D2677" s="63"/>
    </row>
    <row r="2678">
      <c r="B2678" s="63"/>
      <c r="C2678" s="63"/>
      <c r="D2678" s="63"/>
    </row>
    <row r="2679">
      <c r="B2679" s="63"/>
      <c r="C2679" s="63"/>
      <c r="D2679" s="63"/>
    </row>
    <row r="2680">
      <c r="B2680" s="63"/>
      <c r="C2680" s="63"/>
      <c r="D2680" s="63"/>
    </row>
    <row r="2681">
      <c r="B2681" s="63"/>
      <c r="C2681" s="63"/>
      <c r="D2681" s="63"/>
    </row>
    <row r="2682">
      <c r="B2682" s="63"/>
      <c r="C2682" s="63"/>
      <c r="D2682" s="63"/>
    </row>
    <row r="2683">
      <c r="B2683" s="63"/>
      <c r="C2683" s="63"/>
      <c r="D2683" s="63"/>
    </row>
    <row r="2684">
      <c r="B2684" s="63"/>
      <c r="C2684" s="63"/>
      <c r="D2684" s="63"/>
    </row>
    <row r="2685">
      <c r="B2685" s="63"/>
      <c r="C2685" s="63"/>
      <c r="D2685" s="63"/>
    </row>
    <row r="2686">
      <c r="B2686" s="63"/>
      <c r="C2686" s="63"/>
      <c r="D2686" s="63"/>
    </row>
    <row r="2687">
      <c r="B2687" s="63"/>
      <c r="C2687" s="63"/>
      <c r="D2687" s="63"/>
    </row>
    <row r="2688">
      <c r="B2688" s="63"/>
      <c r="C2688" s="63"/>
      <c r="D2688" s="63"/>
    </row>
    <row r="2689">
      <c r="B2689" s="63"/>
      <c r="C2689" s="63"/>
      <c r="D2689" s="63"/>
    </row>
    <row r="2690">
      <c r="B2690" s="63"/>
      <c r="C2690" s="63"/>
      <c r="D2690" s="63"/>
    </row>
    <row r="2691">
      <c r="B2691" s="63"/>
      <c r="C2691" s="63"/>
      <c r="D2691" s="63"/>
    </row>
    <row r="2692">
      <c r="B2692" s="63"/>
      <c r="C2692" s="63"/>
      <c r="D2692" s="63"/>
    </row>
    <row r="2693">
      <c r="B2693" s="63"/>
      <c r="C2693" s="63"/>
      <c r="D2693" s="63"/>
    </row>
    <row r="2694">
      <c r="B2694" s="63"/>
      <c r="C2694" s="63"/>
      <c r="D2694" s="63"/>
    </row>
    <row r="2695">
      <c r="B2695" s="63"/>
      <c r="C2695" s="63"/>
      <c r="D2695" s="63"/>
    </row>
    <row r="2696">
      <c r="B2696" s="63"/>
      <c r="C2696" s="63"/>
      <c r="D2696" s="63"/>
    </row>
    <row r="2697">
      <c r="B2697" s="63"/>
      <c r="C2697" s="63"/>
      <c r="D2697" s="63"/>
    </row>
    <row r="2698">
      <c r="B2698" s="63"/>
      <c r="C2698" s="63"/>
      <c r="D2698" s="63"/>
    </row>
    <row r="2699">
      <c r="B2699" s="63"/>
      <c r="C2699" s="63"/>
      <c r="D2699" s="63"/>
    </row>
    <row r="2700">
      <c r="B2700" s="63"/>
      <c r="C2700" s="63"/>
      <c r="D2700" s="63"/>
    </row>
    <row r="2701">
      <c r="B2701" s="63"/>
      <c r="C2701" s="63"/>
      <c r="D2701" s="63"/>
    </row>
    <row r="2702">
      <c r="B2702" s="63"/>
      <c r="C2702" s="63"/>
      <c r="D2702" s="63"/>
    </row>
    <row r="2703">
      <c r="B2703" s="63"/>
      <c r="C2703" s="63"/>
      <c r="D2703" s="63"/>
    </row>
    <row r="2704">
      <c r="B2704" s="63"/>
      <c r="C2704" s="63"/>
      <c r="D2704" s="63"/>
    </row>
    <row r="2705">
      <c r="B2705" s="63"/>
      <c r="C2705" s="63"/>
      <c r="D2705" s="63"/>
    </row>
    <row r="2706">
      <c r="B2706" s="63"/>
      <c r="C2706" s="63"/>
      <c r="D2706" s="63"/>
    </row>
    <row r="2707">
      <c r="B2707" s="63"/>
      <c r="C2707" s="63"/>
      <c r="D2707" s="63"/>
    </row>
    <row r="2708">
      <c r="B2708" s="63"/>
      <c r="C2708" s="63"/>
      <c r="D2708" s="63"/>
    </row>
    <row r="2709">
      <c r="B2709" s="63"/>
      <c r="C2709" s="63"/>
      <c r="D2709" s="63"/>
    </row>
    <row r="2710">
      <c r="B2710" s="63"/>
      <c r="C2710" s="63"/>
      <c r="D2710" s="63"/>
    </row>
    <row r="2711">
      <c r="B2711" s="63"/>
      <c r="C2711" s="63"/>
      <c r="D2711" s="63"/>
    </row>
    <row r="2712">
      <c r="B2712" s="63"/>
      <c r="C2712" s="63"/>
      <c r="D2712" s="63"/>
    </row>
    <row r="2713">
      <c r="B2713" s="63"/>
      <c r="C2713" s="63"/>
      <c r="D2713" s="63"/>
    </row>
    <row r="2714">
      <c r="B2714" s="63"/>
      <c r="C2714" s="63"/>
      <c r="D2714" s="63"/>
    </row>
    <row r="2715">
      <c r="B2715" s="63"/>
      <c r="C2715" s="63"/>
      <c r="D2715" s="63"/>
    </row>
    <row r="2716">
      <c r="B2716" s="63"/>
      <c r="C2716" s="63"/>
      <c r="D2716" s="63"/>
    </row>
    <row r="2717">
      <c r="B2717" s="63"/>
      <c r="C2717" s="63"/>
      <c r="D2717" s="63"/>
    </row>
    <row r="2718">
      <c r="B2718" s="63"/>
      <c r="C2718" s="63"/>
      <c r="D2718" s="63"/>
    </row>
    <row r="2719">
      <c r="B2719" s="63"/>
      <c r="C2719" s="63"/>
      <c r="D2719" s="63"/>
    </row>
    <row r="2720">
      <c r="B2720" s="63"/>
      <c r="C2720" s="63"/>
      <c r="D2720" s="63"/>
    </row>
    <row r="2721">
      <c r="B2721" s="63"/>
      <c r="C2721" s="63"/>
      <c r="D2721" s="63"/>
    </row>
    <row r="2722">
      <c r="B2722" s="63"/>
      <c r="C2722" s="63"/>
      <c r="D2722" s="63"/>
    </row>
    <row r="2723">
      <c r="B2723" s="63"/>
      <c r="C2723" s="63"/>
      <c r="D2723" s="63"/>
    </row>
    <row r="2724">
      <c r="B2724" s="63"/>
      <c r="C2724" s="63"/>
      <c r="D2724" s="63"/>
    </row>
    <row r="2725">
      <c r="B2725" s="63"/>
      <c r="C2725" s="63"/>
      <c r="D2725" s="63"/>
    </row>
    <row r="2726">
      <c r="B2726" s="63"/>
      <c r="C2726" s="63"/>
      <c r="D2726" s="63"/>
    </row>
    <row r="2727">
      <c r="B2727" s="63"/>
      <c r="C2727" s="63"/>
      <c r="D2727" s="63"/>
    </row>
    <row r="2728">
      <c r="B2728" s="63"/>
      <c r="C2728" s="63"/>
      <c r="D2728" s="63"/>
    </row>
    <row r="2729">
      <c r="B2729" s="63"/>
      <c r="C2729" s="63"/>
      <c r="D2729" s="63"/>
    </row>
    <row r="2730">
      <c r="B2730" s="63"/>
      <c r="C2730" s="63"/>
      <c r="D2730" s="63"/>
    </row>
    <row r="2731">
      <c r="B2731" s="63"/>
      <c r="C2731" s="63"/>
      <c r="D2731" s="63"/>
    </row>
    <row r="2732">
      <c r="B2732" s="63"/>
      <c r="C2732" s="63"/>
      <c r="D2732" s="63"/>
    </row>
    <row r="2733">
      <c r="B2733" s="63"/>
      <c r="C2733" s="63"/>
      <c r="D2733" s="63"/>
    </row>
    <row r="2734">
      <c r="B2734" s="63"/>
      <c r="C2734" s="63"/>
      <c r="D2734" s="63"/>
    </row>
    <row r="2735">
      <c r="B2735" s="63"/>
      <c r="C2735" s="63"/>
      <c r="D2735" s="63"/>
    </row>
    <row r="2736">
      <c r="B2736" s="63"/>
      <c r="C2736" s="63"/>
      <c r="D2736" s="63"/>
    </row>
    <row r="2737">
      <c r="B2737" s="63"/>
      <c r="C2737" s="63"/>
      <c r="D2737" s="63"/>
    </row>
    <row r="2738">
      <c r="B2738" s="63"/>
      <c r="C2738" s="63"/>
      <c r="D2738" s="63"/>
    </row>
    <row r="2739">
      <c r="B2739" s="63"/>
      <c r="C2739" s="63"/>
      <c r="D2739" s="63"/>
    </row>
    <row r="2740">
      <c r="B2740" s="63"/>
      <c r="C2740" s="63"/>
      <c r="D2740" s="63"/>
    </row>
    <row r="2741">
      <c r="B2741" s="63"/>
      <c r="C2741" s="63"/>
      <c r="D2741" s="63"/>
    </row>
    <row r="2742">
      <c r="B2742" s="63"/>
      <c r="C2742" s="63"/>
      <c r="D2742" s="63"/>
    </row>
    <row r="2743">
      <c r="B2743" s="63"/>
      <c r="C2743" s="63"/>
      <c r="D2743" s="63"/>
    </row>
    <row r="2744">
      <c r="B2744" s="63"/>
      <c r="C2744" s="63"/>
      <c r="D2744" s="63"/>
    </row>
    <row r="2745">
      <c r="B2745" s="63"/>
      <c r="C2745" s="63"/>
      <c r="D2745" s="63"/>
    </row>
    <row r="2746">
      <c r="B2746" s="63"/>
      <c r="C2746" s="63"/>
      <c r="D2746" s="63"/>
    </row>
    <row r="2747">
      <c r="B2747" s="63"/>
      <c r="C2747" s="63"/>
      <c r="D2747" s="63"/>
    </row>
    <row r="2748">
      <c r="B2748" s="63"/>
      <c r="C2748" s="63"/>
      <c r="D2748" s="63"/>
    </row>
    <row r="2749">
      <c r="B2749" s="63"/>
      <c r="C2749" s="63"/>
      <c r="D2749" s="63"/>
    </row>
    <row r="2750">
      <c r="B2750" s="63"/>
      <c r="C2750" s="63"/>
      <c r="D2750" s="63"/>
    </row>
    <row r="2751">
      <c r="B2751" s="63"/>
      <c r="C2751" s="63"/>
      <c r="D2751" s="63"/>
    </row>
    <row r="2752">
      <c r="B2752" s="63"/>
      <c r="C2752" s="63"/>
      <c r="D2752" s="63"/>
    </row>
    <row r="2753">
      <c r="B2753" s="63"/>
      <c r="C2753" s="63"/>
      <c r="D2753" s="63"/>
    </row>
    <row r="2754">
      <c r="B2754" s="63"/>
      <c r="C2754" s="63"/>
      <c r="D2754" s="63"/>
    </row>
    <row r="2755">
      <c r="B2755" s="63"/>
      <c r="C2755" s="63"/>
      <c r="D2755" s="63"/>
    </row>
    <row r="2756">
      <c r="B2756" s="63"/>
      <c r="C2756" s="63"/>
      <c r="D2756" s="63"/>
    </row>
    <row r="2757">
      <c r="B2757" s="63"/>
      <c r="C2757" s="63"/>
      <c r="D2757" s="63"/>
    </row>
    <row r="2758">
      <c r="B2758" s="63"/>
      <c r="C2758" s="63"/>
      <c r="D2758" s="63"/>
    </row>
    <row r="2759">
      <c r="B2759" s="63"/>
      <c r="C2759" s="63"/>
      <c r="D2759" s="63"/>
    </row>
    <row r="2760">
      <c r="B2760" s="63"/>
      <c r="C2760" s="63"/>
      <c r="D2760" s="63"/>
    </row>
    <row r="2761">
      <c r="B2761" s="63"/>
      <c r="C2761" s="63"/>
      <c r="D2761" s="63"/>
    </row>
    <row r="2762">
      <c r="B2762" s="63"/>
      <c r="C2762" s="63"/>
      <c r="D2762" s="63"/>
    </row>
    <row r="2763">
      <c r="B2763" s="63"/>
      <c r="C2763" s="63"/>
      <c r="D2763" s="63"/>
    </row>
    <row r="2764">
      <c r="B2764" s="63"/>
      <c r="C2764" s="63"/>
      <c r="D2764" s="63"/>
    </row>
    <row r="2765">
      <c r="B2765" s="63"/>
      <c r="C2765" s="63"/>
      <c r="D2765" s="63"/>
    </row>
    <row r="2766">
      <c r="B2766" s="63"/>
      <c r="C2766" s="63"/>
      <c r="D2766" s="63"/>
    </row>
    <row r="2767">
      <c r="B2767" s="63"/>
      <c r="C2767" s="63"/>
      <c r="D2767" s="63"/>
    </row>
    <row r="2768">
      <c r="B2768" s="63"/>
      <c r="C2768" s="63"/>
      <c r="D2768" s="63"/>
    </row>
    <row r="2769">
      <c r="B2769" s="63"/>
      <c r="C2769" s="63"/>
      <c r="D2769" s="63"/>
    </row>
    <row r="2770">
      <c r="B2770" s="63"/>
      <c r="C2770" s="63"/>
      <c r="D2770" s="63"/>
    </row>
    <row r="2771">
      <c r="B2771" s="63"/>
      <c r="C2771" s="63"/>
      <c r="D2771" s="63"/>
    </row>
    <row r="2772">
      <c r="B2772" s="63"/>
      <c r="C2772" s="63"/>
      <c r="D2772" s="63"/>
    </row>
    <row r="2773">
      <c r="B2773" s="63"/>
      <c r="C2773" s="63"/>
      <c r="D2773" s="63"/>
    </row>
    <row r="2774">
      <c r="B2774" s="63"/>
      <c r="C2774" s="63"/>
      <c r="D2774" s="63"/>
    </row>
    <row r="2775">
      <c r="B2775" s="63"/>
      <c r="C2775" s="63"/>
      <c r="D2775" s="63"/>
    </row>
    <row r="2776">
      <c r="B2776" s="63"/>
      <c r="C2776" s="63"/>
      <c r="D2776" s="63"/>
    </row>
    <row r="2777">
      <c r="B2777" s="63"/>
      <c r="C2777" s="63"/>
      <c r="D2777" s="63"/>
    </row>
    <row r="2778">
      <c r="B2778" s="63"/>
      <c r="C2778" s="63"/>
      <c r="D2778" s="63"/>
    </row>
    <row r="2779">
      <c r="B2779" s="63"/>
      <c r="C2779" s="63"/>
      <c r="D2779" s="63"/>
    </row>
    <row r="2780">
      <c r="B2780" s="63"/>
      <c r="C2780" s="63"/>
      <c r="D2780" s="63"/>
    </row>
    <row r="2781">
      <c r="B2781" s="63"/>
      <c r="C2781" s="63"/>
      <c r="D2781" s="63"/>
    </row>
    <row r="2782">
      <c r="B2782" s="63"/>
      <c r="C2782" s="63"/>
      <c r="D2782" s="63"/>
    </row>
    <row r="2783">
      <c r="B2783" s="63"/>
      <c r="C2783" s="63"/>
      <c r="D2783" s="63"/>
    </row>
    <row r="2784">
      <c r="B2784" s="63"/>
      <c r="C2784" s="63"/>
      <c r="D2784" s="63"/>
    </row>
    <row r="2785">
      <c r="B2785" s="63"/>
      <c r="C2785" s="63"/>
      <c r="D2785" s="63"/>
    </row>
    <row r="2786">
      <c r="B2786" s="63"/>
      <c r="C2786" s="63"/>
      <c r="D2786" s="63"/>
    </row>
    <row r="2787">
      <c r="B2787" s="63"/>
      <c r="C2787" s="63"/>
      <c r="D2787" s="63"/>
    </row>
    <row r="2788">
      <c r="B2788" s="63"/>
      <c r="C2788" s="63"/>
      <c r="D2788" s="63"/>
    </row>
    <row r="2789">
      <c r="B2789" s="63"/>
      <c r="C2789" s="63"/>
      <c r="D2789" s="63"/>
    </row>
    <row r="2790">
      <c r="B2790" s="63"/>
      <c r="C2790" s="63"/>
      <c r="D2790" s="63"/>
    </row>
    <row r="2791">
      <c r="B2791" s="63"/>
      <c r="C2791" s="63"/>
      <c r="D2791" s="63"/>
    </row>
    <row r="2792">
      <c r="B2792" s="63"/>
      <c r="C2792" s="63"/>
      <c r="D2792" s="63"/>
    </row>
    <row r="2793">
      <c r="B2793" s="63"/>
      <c r="C2793" s="63"/>
      <c r="D2793" s="63"/>
    </row>
    <row r="2794">
      <c r="B2794" s="63"/>
      <c r="C2794" s="63"/>
      <c r="D2794" s="63"/>
    </row>
    <row r="2795">
      <c r="B2795" s="63"/>
      <c r="C2795" s="63"/>
      <c r="D2795" s="63"/>
    </row>
    <row r="2796">
      <c r="B2796" s="63"/>
      <c r="C2796" s="63"/>
      <c r="D2796" s="63"/>
    </row>
    <row r="2797">
      <c r="B2797" s="63"/>
      <c r="C2797" s="63"/>
      <c r="D2797" s="63"/>
    </row>
    <row r="2798">
      <c r="B2798" s="63"/>
      <c r="C2798" s="63"/>
      <c r="D2798" s="63"/>
    </row>
    <row r="2799">
      <c r="B2799" s="63"/>
      <c r="C2799" s="63"/>
      <c r="D2799" s="63"/>
    </row>
    <row r="2800">
      <c r="B2800" s="63"/>
      <c r="C2800" s="63"/>
      <c r="D2800" s="63"/>
    </row>
    <row r="2801">
      <c r="B2801" s="63"/>
      <c r="C2801" s="63"/>
      <c r="D2801" s="63"/>
    </row>
    <row r="2802">
      <c r="B2802" s="63"/>
      <c r="C2802" s="63"/>
      <c r="D2802" s="63"/>
    </row>
    <row r="2803">
      <c r="B2803" s="63"/>
      <c r="C2803" s="63"/>
      <c r="D2803" s="63"/>
    </row>
    <row r="2804">
      <c r="B2804" s="63"/>
      <c r="C2804" s="63"/>
      <c r="D2804" s="63"/>
    </row>
    <row r="2805">
      <c r="B2805" s="63"/>
      <c r="C2805" s="63"/>
      <c r="D2805" s="63"/>
    </row>
    <row r="2806">
      <c r="B2806" s="63"/>
      <c r="C2806" s="63"/>
      <c r="D2806" s="63"/>
    </row>
    <row r="2807">
      <c r="B2807" s="63"/>
      <c r="C2807" s="63"/>
      <c r="D2807" s="63"/>
    </row>
    <row r="2808">
      <c r="B2808" s="63"/>
      <c r="C2808" s="63"/>
      <c r="D2808" s="63"/>
    </row>
    <row r="2809">
      <c r="B2809" s="63"/>
      <c r="C2809" s="63"/>
      <c r="D2809" s="63"/>
    </row>
    <row r="2810">
      <c r="B2810" s="63"/>
      <c r="C2810" s="63"/>
      <c r="D2810" s="63"/>
    </row>
    <row r="2811">
      <c r="B2811" s="63"/>
      <c r="C2811" s="63"/>
      <c r="D2811" s="63"/>
    </row>
    <row r="2812">
      <c r="B2812" s="63"/>
      <c r="C2812" s="63"/>
      <c r="D2812" s="63"/>
    </row>
    <row r="2813">
      <c r="B2813" s="63"/>
      <c r="C2813" s="63"/>
      <c r="D2813" s="63"/>
    </row>
    <row r="2814">
      <c r="B2814" s="63"/>
      <c r="C2814" s="63"/>
      <c r="D2814" s="63"/>
    </row>
    <row r="2815">
      <c r="B2815" s="63"/>
      <c r="C2815" s="63"/>
      <c r="D2815" s="63"/>
    </row>
    <row r="2816">
      <c r="B2816" s="63"/>
      <c r="C2816" s="63"/>
      <c r="D2816" s="63"/>
    </row>
    <row r="2817">
      <c r="B2817" s="63"/>
      <c r="C2817" s="63"/>
      <c r="D2817" s="63"/>
    </row>
    <row r="2818">
      <c r="B2818" s="63"/>
      <c r="C2818" s="63"/>
      <c r="D2818" s="63"/>
    </row>
    <row r="2819">
      <c r="B2819" s="63"/>
      <c r="C2819" s="63"/>
      <c r="D2819" s="63"/>
    </row>
    <row r="2820">
      <c r="B2820" s="63"/>
      <c r="C2820" s="63"/>
      <c r="D2820" s="63"/>
    </row>
    <row r="2821">
      <c r="B2821" s="63"/>
      <c r="C2821" s="63"/>
      <c r="D2821" s="63"/>
    </row>
    <row r="2822">
      <c r="B2822" s="63"/>
      <c r="C2822" s="63"/>
      <c r="D2822" s="63"/>
    </row>
    <row r="2823">
      <c r="B2823" s="63"/>
      <c r="C2823" s="63"/>
      <c r="D2823" s="63"/>
    </row>
    <row r="2824">
      <c r="B2824" s="63"/>
      <c r="C2824" s="63"/>
      <c r="D2824" s="63"/>
    </row>
    <row r="2825">
      <c r="B2825" s="63"/>
      <c r="C2825" s="63"/>
      <c r="D2825" s="63"/>
    </row>
    <row r="2826">
      <c r="B2826" s="63"/>
      <c r="C2826" s="63"/>
      <c r="D2826" s="63"/>
    </row>
    <row r="2827">
      <c r="B2827" s="63"/>
      <c r="C2827" s="63"/>
      <c r="D2827" s="63"/>
    </row>
    <row r="2828">
      <c r="B2828" s="63"/>
      <c r="C2828" s="63"/>
      <c r="D2828" s="63"/>
    </row>
    <row r="2829">
      <c r="B2829" s="63"/>
      <c r="C2829" s="63"/>
      <c r="D2829" s="63"/>
    </row>
    <row r="2830">
      <c r="B2830" s="63"/>
      <c r="C2830" s="63"/>
      <c r="D2830" s="63"/>
    </row>
    <row r="2831">
      <c r="B2831" s="63"/>
      <c r="C2831" s="63"/>
      <c r="D2831" s="63"/>
    </row>
    <row r="2832">
      <c r="B2832" s="63"/>
      <c r="C2832" s="63"/>
      <c r="D2832" s="63"/>
    </row>
    <row r="2833">
      <c r="B2833" s="63"/>
      <c r="C2833" s="63"/>
      <c r="D2833" s="63"/>
    </row>
    <row r="2834">
      <c r="B2834" s="63"/>
      <c r="C2834" s="63"/>
      <c r="D2834" s="63"/>
    </row>
    <row r="2835">
      <c r="B2835" s="63"/>
      <c r="C2835" s="63"/>
      <c r="D2835" s="63"/>
    </row>
    <row r="2836">
      <c r="B2836" s="63"/>
      <c r="C2836" s="63"/>
      <c r="D2836" s="63"/>
    </row>
    <row r="2837">
      <c r="B2837" s="63"/>
      <c r="C2837" s="63"/>
      <c r="D2837" s="63"/>
    </row>
    <row r="2838">
      <c r="B2838" s="63"/>
      <c r="C2838" s="63"/>
      <c r="D2838" s="63"/>
    </row>
    <row r="2839">
      <c r="B2839" s="63"/>
      <c r="C2839" s="63"/>
      <c r="D2839" s="63"/>
    </row>
    <row r="2840">
      <c r="B2840" s="63"/>
      <c r="C2840" s="63"/>
      <c r="D2840" s="63"/>
    </row>
    <row r="2841">
      <c r="B2841" s="63"/>
      <c r="C2841" s="63"/>
      <c r="D2841" s="63"/>
    </row>
    <row r="2842">
      <c r="B2842" s="63"/>
      <c r="C2842" s="63"/>
      <c r="D2842" s="63"/>
    </row>
    <row r="2843">
      <c r="B2843" s="63"/>
      <c r="C2843" s="63"/>
      <c r="D2843" s="63"/>
    </row>
    <row r="2844">
      <c r="B2844" s="63"/>
      <c r="C2844" s="63"/>
      <c r="D2844" s="63"/>
    </row>
    <row r="2845">
      <c r="B2845" s="63"/>
      <c r="C2845" s="63"/>
      <c r="D2845" s="63"/>
    </row>
    <row r="2846">
      <c r="B2846" s="63"/>
      <c r="C2846" s="63"/>
      <c r="D2846" s="63"/>
    </row>
    <row r="2847">
      <c r="B2847" s="63"/>
      <c r="C2847" s="63"/>
      <c r="D2847" s="63"/>
    </row>
    <row r="2848">
      <c r="B2848" s="63"/>
      <c r="C2848" s="63"/>
      <c r="D2848" s="63"/>
    </row>
    <row r="2849">
      <c r="B2849" s="63"/>
      <c r="C2849" s="63"/>
      <c r="D2849" s="63"/>
    </row>
    <row r="2850">
      <c r="B2850" s="63"/>
      <c r="C2850" s="63"/>
      <c r="D2850" s="63"/>
    </row>
    <row r="2851">
      <c r="B2851" s="63"/>
      <c r="C2851" s="63"/>
      <c r="D2851" s="63"/>
    </row>
    <row r="2852">
      <c r="B2852" s="63"/>
      <c r="C2852" s="63"/>
      <c r="D2852" s="63"/>
    </row>
    <row r="2853">
      <c r="B2853" s="63"/>
      <c r="C2853" s="63"/>
      <c r="D2853" s="63"/>
    </row>
    <row r="2854">
      <c r="B2854" s="63"/>
      <c r="C2854" s="63"/>
      <c r="D2854" s="63"/>
    </row>
    <row r="2855">
      <c r="B2855" s="63"/>
      <c r="C2855" s="63"/>
      <c r="D2855" s="63"/>
    </row>
    <row r="2856">
      <c r="B2856" s="63"/>
      <c r="C2856" s="63"/>
      <c r="D2856" s="63"/>
    </row>
    <row r="2857">
      <c r="B2857" s="63"/>
      <c r="C2857" s="63"/>
      <c r="D2857" s="63"/>
    </row>
    <row r="2858">
      <c r="B2858" s="63"/>
      <c r="C2858" s="63"/>
      <c r="D2858" s="63"/>
    </row>
    <row r="2859">
      <c r="B2859" s="63"/>
      <c r="C2859" s="63"/>
      <c r="D2859" s="63"/>
    </row>
    <row r="2860">
      <c r="B2860" s="63"/>
      <c r="C2860" s="63"/>
      <c r="D2860" s="63"/>
    </row>
    <row r="2861">
      <c r="B2861" s="63"/>
      <c r="C2861" s="63"/>
      <c r="D2861" s="63"/>
    </row>
    <row r="2862">
      <c r="B2862" s="63"/>
      <c r="C2862" s="63"/>
      <c r="D2862" s="63"/>
    </row>
    <row r="2863">
      <c r="B2863" s="63"/>
      <c r="C2863" s="63"/>
      <c r="D2863" s="63"/>
    </row>
    <row r="2864">
      <c r="B2864" s="63"/>
      <c r="C2864" s="63"/>
      <c r="D2864" s="63"/>
    </row>
    <row r="2865">
      <c r="B2865" s="63"/>
      <c r="C2865" s="63"/>
      <c r="D2865" s="63"/>
    </row>
    <row r="2866">
      <c r="B2866" s="63"/>
      <c r="C2866" s="63"/>
      <c r="D2866" s="63"/>
    </row>
    <row r="2867">
      <c r="B2867" s="63"/>
      <c r="C2867" s="63"/>
      <c r="D2867" s="63"/>
    </row>
    <row r="2868">
      <c r="B2868" s="63"/>
      <c r="C2868" s="63"/>
      <c r="D2868" s="63"/>
    </row>
    <row r="2869">
      <c r="B2869" s="63"/>
      <c r="C2869" s="63"/>
      <c r="D2869" s="63"/>
    </row>
    <row r="2870">
      <c r="B2870" s="63"/>
      <c r="C2870" s="63"/>
      <c r="D2870" s="63"/>
    </row>
    <row r="2871">
      <c r="B2871" s="63"/>
      <c r="C2871" s="63"/>
      <c r="D2871" s="63"/>
    </row>
    <row r="2872">
      <c r="B2872" s="63"/>
      <c r="C2872" s="63"/>
      <c r="D2872" s="63"/>
    </row>
    <row r="2873">
      <c r="B2873" s="63"/>
      <c r="C2873" s="63"/>
      <c r="D2873" s="63"/>
    </row>
    <row r="2874">
      <c r="B2874" s="63"/>
      <c r="C2874" s="63"/>
      <c r="D2874" s="63"/>
    </row>
    <row r="2875">
      <c r="B2875" s="63"/>
      <c r="C2875" s="63"/>
      <c r="D2875" s="63"/>
    </row>
    <row r="2876">
      <c r="B2876" s="63"/>
      <c r="C2876" s="63"/>
      <c r="D2876" s="63"/>
    </row>
    <row r="2877">
      <c r="B2877" s="63"/>
      <c r="C2877" s="63"/>
      <c r="D2877" s="63"/>
    </row>
    <row r="2878">
      <c r="B2878" s="63"/>
      <c r="C2878" s="63"/>
      <c r="D2878" s="63"/>
    </row>
    <row r="2879">
      <c r="B2879" s="63"/>
      <c r="C2879" s="63"/>
      <c r="D2879" s="63"/>
    </row>
    <row r="2880">
      <c r="B2880" s="63"/>
      <c r="C2880" s="63"/>
      <c r="D2880" s="63"/>
    </row>
    <row r="2881">
      <c r="B2881" s="63"/>
      <c r="C2881" s="63"/>
      <c r="D2881" s="63"/>
    </row>
    <row r="2882">
      <c r="B2882" s="63"/>
      <c r="C2882" s="63"/>
      <c r="D2882" s="63"/>
    </row>
    <row r="2883">
      <c r="B2883" s="63"/>
      <c r="C2883" s="63"/>
      <c r="D2883" s="63"/>
    </row>
    <row r="2884">
      <c r="B2884" s="63"/>
      <c r="C2884" s="63"/>
      <c r="D2884" s="63"/>
    </row>
    <row r="2885">
      <c r="B2885" s="63"/>
      <c r="C2885" s="63"/>
      <c r="D2885" s="63"/>
    </row>
    <row r="2886">
      <c r="B2886" s="63"/>
      <c r="C2886" s="63"/>
      <c r="D2886" s="63"/>
    </row>
    <row r="2887">
      <c r="B2887" s="63"/>
      <c r="C2887" s="63"/>
      <c r="D2887" s="63"/>
    </row>
    <row r="2888">
      <c r="B2888" s="63"/>
      <c r="C2888" s="63"/>
      <c r="D2888" s="63"/>
    </row>
    <row r="2889">
      <c r="B2889" s="63"/>
      <c r="C2889" s="63"/>
      <c r="D2889" s="63"/>
    </row>
    <row r="2890">
      <c r="B2890" s="63"/>
      <c r="C2890" s="63"/>
      <c r="D2890" s="63"/>
    </row>
    <row r="2891">
      <c r="B2891" s="63"/>
      <c r="C2891" s="63"/>
      <c r="D2891" s="63"/>
    </row>
    <row r="2892">
      <c r="B2892" s="63"/>
      <c r="C2892" s="63"/>
      <c r="D2892" s="63"/>
    </row>
    <row r="2893">
      <c r="B2893" s="63"/>
      <c r="C2893" s="63"/>
      <c r="D2893" s="63"/>
    </row>
    <row r="2894">
      <c r="B2894" s="63"/>
      <c r="C2894" s="63"/>
      <c r="D2894" s="63"/>
    </row>
    <row r="2895">
      <c r="B2895" s="63"/>
      <c r="C2895" s="63"/>
      <c r="D2895" s="63"/>
    </row>
    <row r="2896">
      <c r="B2896" s="63"/>
      <c r="C2896" s="63"/>
      <c r="D2896" s="63"/>
    </row>
    <row r="2897">
      <c r="B2897" s="63"/>
      <c r="C2897" s="63"/>
      <c r="D2897" s="63"/>
    </row>
    <row r="2898">
      <c r="B2898" s="63"/>
      <c r="C2898" s="63"/>
      <c r="D2898" s="63"/>
    </row>
    <row r="2899">
      <c r="B2899" s="63"/>
      <c r="C2899" s="63"/>
      <c r="D2899" s="63"/>
    </row>
    <row r="2900">
      <c r="B2900" s="63"/>
      <c r="C2900" s="63"/>
      <c r="D2900" s="63"/>
    </row>
    <row r="2901">
      <c r="B2901" s="63"/>
      <c r="C2901" s="63"/>
      <c r="D2901" s="63"/>
    </row>
    <row r="2902">
      <c r="B2902" s="63"/>
      <c r="C2902" s="63"/>
      <c r="D2902" s="63"/>
    </row>
    <row r="2903">
      <c r="B2903" s="63"/>
      <c r="C2903" s="63"/>
      <c r="D2903" s="63"/>
    </row>
    <row r="2904">
      <c r="B2904" s="63"/>
      <c r="C2904" s="63"/>
      <c r="D2904" s="63"/>
    </row>
    <row r="2905">
      <c r="B2905" s="63"/>
      <c r="C2905" s="63"/>
      <c r="D2905" s="63"/>
    </row>
    <row r="2906">
      <c r="B2906" s="63"/>
      <c r="C2906" s="63"/>
      <c r="D2906" s="63"/>
    </row>
    <row r="2907">
      <c r="B2907" s="63"/>
      <c r="C2907" s="63"/>
      <c r="D2907" s="63"/>
    </row>
    <row r="2908">
      <c r="B2908" s="63"/>
      <c r="C2908" s="63"/>
      <c r="D2908" s="63"/>
    </row>
    <row r="2909">
      <c r="B2909" s="63"/>
      <c r="C2909" s="63"/>
      <c r="D2909" s="63"/>
    </row>
    <row r="2910">
      <c r="B2910" s="63"/>
      <c r="C2910" s="63"/>
      <c r="D2910" s="63"/>
    </row>
    <row r="2911">
      <c r="B2911" s="63"/>
      <c r="C2911" s="63"/>
      <c r="D2911" s="63"/>
    </row>
    <row r="2912">
      <c r="B2912" s="63"/>
      <c r="C2912" s="63"/>
      <c r="D2912" s="63"/>
    </row>
    <row r="2913">
      <c r="B2913" s="63"/>
      <c r="C2913" s="63"/>
      <c r="D2913" s="63"/>
    </row>
    <row r="2914">
      <c r="B2914" s="63"/>
      <c r="C2914" s="63"/>
      <c r="D2914" s="63"/>
    </row>
    <row r="2915">
      <c r="B2915" s="63"/>
      <c r="C2915" s="63"/>
      <c r="D2915" s="63"/>
    </row>
    <row r="2916">
      <c r="B2916" s="63"/>
      <c r="C2916" s="63"/>
      <c r="D2916" s="63"/>
    </row>
    <row r="2917">
      <c r="B2917" s="63"/>
      <c r="C2917" s="63"/>
      <c r="D2917" s="63"/>
    </row>
    <row r="2918">
      <c r="B2918" s="63"/>
      <c r="C2918" s="63"/>
      <c r="D2918" s="63"/>
    </row>
    <row r="2919">
      <c r="B2919" s="63"/>
      <c r="C2919" s="63"/>
      <c r="D2919" s="63"/>
    </row>
    <row r="2920">
      <c r="B2920" s="63"/>
      <c r="C2920" s="63"/>
      <c r="D2920" s="63"/>
    </row>
    <row r="2921">
      <c r="B2921" s="63"/>
      <c r="C2921" s="63"/>
      <c r="D2921" s="63"/>
    </row>
    <row r="2922">
      <c r="B2922" s="63"/>
      <c r="C2922" s="63"/>
      <c r="D2922" s="63"/>
    </row>
    <row r="2923">
      <c r="B2923" s="63"/>
      <c r="C2923" s="63"/>
      <c r="D2923" s="63"/>
    </row>
    <row r="2924">
      <c r="B2924" s="63"/>
      <c r="C2924" s="63"/>
      <c r="D2924" s="63"/>
    </row>
    <row r="2925">
      <c r="B2925" s="63"/>
      <c r="C2925" s="63"/>
      <c r="D2925" s="63"/>
    </row>
    <row r="2926">
      <c r="B2926" s="63"/>
      <c r="C2926" s="63"/>
      <c r="D2926" s="63"/>
    </row>
    <row r="2927">
      <c r="B2927" s="63"/>
      <c r="C2927" s="63"/>
      <c r="D2927" s="63"/>
    </row>
    <row r="2928">
      <c r="B2928" s="63"/>
      <c r="C2928" s="63"/>
      <c r="D2928" s="63"/>
    </row>
    <row r="2929">
      <c r="B2929" s="63"/>
      <c r="C2929" s="63"/>
      <c r="D2929" s="63"/>
    </row>
    <row r="2930">
      <c r="B2930" s="63"/>
      <c r="C2930" s="63"/>
      <c r="D2930" s="63"/>
    </row>
    <row r="2931">
      <c r="B2931" s="63"/>
      <c r="C2931" s="63"/>
      <c r="D2931" s="63"/>
    </row>
    <row r="2932">
      <c r="B2932" s="63"/>
      <c r="C2932" s="63"/>
      <c r="D2932" s="63"/>
    </row>
    <row r="2933">
      <c r="B2933" s="63"/>
      <c r="C2933" s="63"/>
      <c r="D2933" s="63"/>
    </row>
    <row r="2934">
      <c r="B2934" s="63"/>
      <c r="C2934" s="63"/>
      <c r="D2934" s="63"/>
    </row>
    <row r="2935">
      <c r="B2935" s="63"/>
      <c r="C2935" s="63"/>
      <c r="D2935" s="63"/>
    </row>
    <row r="2936">
      <c r="B2936" s="63"/>
      <c r="C2936" s="63"/>
      <c r="D2936" s="63"/>
    </row>
    <row r="2937">
      <c r="B2937" s="63"/>
      <c r="C2937" s="63"/>
      <c r="D2937" s="63"/>
    </row>
    <row r="2938">
      <c r="B2938" s="63"/>
      <c r="C2938" s="63"/>
      <c r="D2938" s="63"/>
    </row>
    <row r="2939">
      <c r="B2939" s="63"/>
      <c r="C2939" s="63"/>
      <c r="D2939" s="63"/>
    </row>
    <row r="2940">
      <c r="B2940" s="63"/>
      <c r="C2940" s="63"/>
      <c r="D2940" s="63"/>
    </row>
    <row r="2941">
      <c r="B2941" s="63"/>
      <c r="C2941" s="63"/>
      <c r="D2941" s="63"/>
    </row>
    <row r="2942">
      <c r="B2942" s="63"/>
      <c r="C2942" s="63"/>
      <c r="D2942" s="63"/>
    </row>
    <row r="2943">
      <c r="B2943" s="63"/>
      <c r="C2943" s="63"/>
      <c r="D2943" s="63"/>
    </row>
    <row r="2944">
      <c r="B2944" s="63"/>
      <c r="C2944" s="63"/>
      <c r="D2944" s="63"/>
    </row>
    <row r="2945">
      <c r="B2945" s="63"/>
      <c r="C2945" s="63"/>
      <c r="D2945" s="63"/>
    </row>
    <row r="2946">
      <c r="B2946" s="63"/>
      <c r="C2946" s="63"/>
      <c r="D2946" s="63"/>
    </row>
    <row r="2947">
      <c r="B2947" s="63"/>
      <c r="C2947" s="63"/>
      <c r="D2947" s="63"/>
    </row>
    <row r="2948">
      <c r="B2948" s="63"/>
      <c r="C2948" s="63"/>
      <c r="D2948" s="63"/>
    </row>
    <row r="2949">
      <c r="B2949" s="63"/>
      <c r="C2949" s="63"/>
      <c r="D2949" s="63"/>
    </row>
    <row r="2950">
      <c r="B2950" s="63"/>
      <c r="C2950" s="63"/>
      <c r="D2950" s="63"/>
    </row>
    <row r="2951">
      <c r="B2951" s="63"/>
      <c r="C2951" s="63"/>
      <c r="D2951" s="63"/>
    </row>
    <row r="2952">
      <c r="B2952" s="63"/>
      <c r="C2952" s="63"/>
      <c r="D2952" s="63"/>
    </row>
    <row r="2953">
      <c r="B2953" s="63"/>
      <c r="C2953" s="63"/>
      <c r="D2953" s="63"/>
    </row>
    <row r="2954">
      <c r="B2954" s="63"/>
      <c r="C2954" s="63"/>
      <c r="D2954" s="63"/>
    </row>
    <row r="2955">
      <c r="B2955" s="63"/>
      <c r="C2955" s="63"/>
      <c r="D2955" s="63"/>
    </row>
    <row r="2956">
      <c r="B2956" s="63"/>
      <c r="C2956" s="63"/>
      <c r="D2956" s="63"/>
    </row>
    <row r="2957">
      <c r="B2957" s="63"/>
      <c r="C2957" s="63"/>
      <c r="D2957" s="63"/>
    </row>
    <row r="2958">
      <c r="B2958" s="63"/>
      <c r="C2958" s="63"/>
      <c r="D2958" s="63"/>
    </row>
    <row r="2959">
      <c r="B2959" s="63"/>
      <c r="C2959" s="63"/>
      <c r="D2959" s="63"/>
    </row>
    <row r="2960">
      <c r="B2960" s="63"/>
      <c r="C2960" s="63"/>
      <c r="D2960" s="63"/>
    </row>
    <row r="2961">
      <c r="B2961" s="63"/>
      <c r="C2961" s="63"/>
      <c r="D2961" s="63"/>
    </row>
    <row r="2962">
      <c r="B2962" s="63"/>
      <c r="C2962" s="63"/>
      <c r="D2962" s="63"/>
    </row>
    <row r="2963">
      <c r="B2963" s="63"/>
      <c r="C2963" s="63"/>
      <c r="D2963" s="63"/>
    </row>
    <row r="2964">
      <c r="B2964" s="63"/>
      <c r="C2964" s="63"/>
      <c r="D2964" s="63"/>
    </row>
    <row r="2965">
      <c r="B2965" s="63"/>
      <c r="C2965" s="63"/>
      <c r="D2965" s="63"/>
    </row>
    <row r="2966">
      <c r="B2966" s="63"/>
      <c r="C2966" s="63"/>
      <c r="D2966" s="63"/>
    </row>
    <row r="2967">
      <c r="B2967" s="63"/>
      <c r="C2967" s="63"/>
      <c r="D2967" s="63"/>
    </row>
    <row r="2968">
      <c r="B2968" s="63"/>
      <c r="C2968" s="63"/>
      <c r="D2968" s="63"/>
    </row>
    <row r="2969">
      <c r="B2969" s="63"/>
      <c r="C2969" s="63"/>
      <c r="D2969" s="63"/>
    </row>
    <row r="2970">
      <c r="B2970" s="63"/>
      <c r="C2970" s="63"/>
      <c r="D2970" s="63"/>
    </row>
    <row r="2971">
      <c r="B2971" s="63"/>
      <c r="C2971" s="63"/>
      <c r="D2971" s="63"/>
    </row>
    <row r="2972">
      <c r="B2972" s="63"/>
      <c r="C2972" s="63"/>
      <c r="D2972" s="63"/>
    </row>
    <row r="2973">
      <c r="B2973" s="63"/>
      <c r="C2973" s="63"/>
      <c r="D2973" s="63"/>
    </row>
    <row r="2974">
      <c r="B2974" s="63"/>
      <c r="C2974" s="63"/>
      <c r="D2974" s="63"/>
    </row>
    <row r="2975">
      <c r="B2975" s="63"/>
      <c r="C2975" s="63"/>
      <c r="D2975" s="63"/>
    </row>
    <row r="2976">
      <c r="B2976" s="63"/>
      <c r="C2976" s="63"/>
      <c r="D2976" s="63"/>
    </row>
    <row r="2977">
      <c r="B2977" s="63"/>
      <c r="C2977" s="63"/>
      <c r="D2977" s="63"/>
    </row>
    <row r="2978">
      <c r="B2978" s="63"/>
      <c r="C2978" s="63"/>
      <c r="D2978" s="63"/>
    </row>
    <row r="2979">
      <c r="B2979" s="63"/>
      <c r="C2979" s="63"/>
      <c r="D2979" s="63"/>
    </row>
    <row r="2980">
      <c r="B2980" s="63"/>
      <c r="C2980" s="63"/>
      <c r="D2980" s="63"/>
    </row>
    <row r="2981">
      <c r="B2981" s="63"/>
      <c r="C2981" s="63"/>
      <c r="D2981" s="63"/>
    </row>
    <row r="2982">
      <c r="B2982" s="63"/>
      <c r="C2982" s="63"/>
      <c r="D2982" s="63"/>
    </row>
    <row r="2983">
      <c r="B2983" s="63"/>
      <c r="C2983" s="63"/>
      <c r="D2983" s="63"/>
    </row>
    <row r="2984">
      <c r="B2984" s="63"/>
      <c r="C2984" s="63"/>
      <c r="D2984" s="63"/>
    </row>
    <row r="2985">
      <c r="B2985" s="63"/>
      <c r="C2985" s="63"/>
      <c r="D2985" s="63"/>
    </row>
    <row r="2986">
      <c r="B2986" s="63"/>
      <c r="C2986" s="63"/>
      <c r="D2986" s="63"/>
    </row>
    <row r="2987">
      <c r="B2987" s="63"/>
      <c r="C2987" s="63"/>
      <c r="D2987" s="63"/>
    </row>
    <row r="2988">
      <c r="B2988" s="63"/>
      <c r="C2988" s="63"/>
      <c r="D2988" s="63"/>
    </row>
    <row r="2989">
      <c r="B2989" s="63"/>
      <c r="C2989" s="63"/>
      <c r="D2989" s="63"/>
    </row>
    <row r="2990">
      <c r="B2990" s="63"/>
      <c r="C2990" s="63"/>
      <c r="D2990" s="63"/>
    </row>
    <row r="2991">
      <c r="B2991" s="63"/>
      <c r="C2991" s="63"/>
      <c r="D2991" s="63"/>
    </row>
    <row r="2992">
      <c r="B2992" s="63"/>
      <c r="C2992" s="63"/>
      <c r="D2992" s="63"/>
    </row>
    <row r="2993">
      <c r="B2993" s="63"/>
      <c r="C2993" s="63"/>
      <c r="D2993" s="63"/>
    </row>
    <row r="2994">
      <c r="B2994" s="63"/>
      <c r="C2994" s="63"/>
      <c r="D2994" s="63"/>
    </row>
    <row r="2995">
      <c r="B2995" s="63"/>
      <c r="C2995" s="63"/>
      <c r="D2995" s="63"/>
    </row>
    <row r="2996">
      <c r="B2996" s="63"/>
      <c r="C2996" s="63"/>
      <c r="D2996" s="63"/>
    </row>
    <row r="2997">
      <c r="B2997" s="63"/>
      <c r="C2997" s="63"/>
      <c r="D2997" s="63"/>
    </row>
    <row r="2998">
      <c r="B2998" s="63"/>
      <c r="C2998" s="63"/>
      <c r="D2998" s="63"/>
    </row>
    <row r="2999">
      <c r="B2999" s="63"/>
      <c r="C2999" s="63"/>
      <c r="D2999" s="63"/>
    </row>
    <row r="3000">
      <c r="B3000" s="63"/>
      <c r="C3000" s="63"/>
      <c r="D3000" s="63"/>
    </row>
    <row r="3001">
      <c r="B3001" s="63"/>
      <c r="C3001" s="63"/>
      <c r="D3001" s="63"/>
    </row>
    <row r="3002">
      <c r="B3002" s="63"/>
      <c r="C3002" s="63"/>
      <c r="D3002" s="63"/>
    </row>
    <row r="3003">
      <c r="B3003" s="63"/>
      <c r="C3003" s="63"/>
      <c r="D3003" s="63"/>
    </row>
    <row r="3004">
      <c r="B3004" s="63"/>
      <c r="C3004" s="63"/>
      <c r="D3004" s="63"/>
    </row>
    <row r="3005">
      <c r="B3005" s="63"/>
      <c r="C3005" s="63"/>
      <c r="D3005" s="63"/>
    </row>
    <row r="3006">
      <c r="B3006" s="63"/>
      <c r="C3006" s="63"/>
      <c r="D3006" s="63"/>
    </row>
    <row r="3007">
      <c r="B3007" s="63"/>
      <c r="C3007" s="63"/>
      <c r="D3007" s="63"/>
    </row>
    <row r="3008">
      <c r="B3008" s="63"/>
      <c r="C3008" s="63"/>
      <c r="D3008" s="63"/>
    </row>
    <row r="3009">
      <c r="B3009" s="63"/>
      <c r="C3009" s="63"/>
      <c r="D3009" s="63"/>
    </row>
    <row r="3010">
      <c r="B3010" s="63"/>
      <c r="C3010" s="63"/>
      <c r="D3010" s="63"/>
    </row>
    <row r="3011">
      <c r="B3011" s="63"/>
      <c r="C3011" s="63"/>
      <c r="D3011" s="63"/>
    </row>
    <row r="3012">
      <c r="B3012" s="63"/>
      <c r="C3012" s="63"/>
      <c r="D3012" s="63"/>
    </row>
    <row r="3013">
      <c r="B3013" s="63"/>
      <c r="C3013" s="63"/>
      <c r="D3013" s="63"/>
    </row>
    <row r="3014">
      <c r="B3014" s="63"/>
      <c r="C3014" s="63"/>
      <c r="D3014" s="63"/>
    </row>
    <row r="3015">
      <c r="B3015" s="63"/>
      <c r="C3015" s="63"/>
      <c r="D3015" s="63"/>
    </row>
    <row r="3016">
      <c r="B3016" s="63"/>
      <c r="C3016" s="63"/>
      <c r="D3016" s="63"/>
    </row>
    <row r="3017">
      <c r="B3017" s="63"/>
      <c r="C3017" s="63"/>
      <c r="D3017" s="63"/>
    </row>
    <row r="3018">
      <c r="B3018" s="63"/>
      <c r="C3018" s="63"/>
      <c r="D3018" s="63"/>
    </row>
    <row r="3019">
      <c r="B3019" s="63"/>
      <c r="C3019" s="63"/>
      <c r="D3019" s="63"/>
    </row>
    <row r="3020">
      <c r="B3020" s="63"/>
      <c r="C3020" s="63"/>
      <c r="D3020" s="63"/>
    </row>
    <row r="3021">
      <c r="B3021" s="63"/>
      <c r="C3021" s="63"/>
      <c r="D3021" s="63"/>
    </row>
    <row r="3022">
      <c r="B3022" s="63"/>
      <c r="C3022" s="63"/>
      <c r="D3022" s="63"/>
    </row>
    <row r="3023">
      <c r="B3023" s="63"/>
      <c r="C3023" s="63"/>
      <c r="D3023" s="63"/>
    </row>
    <row r="3024">
      <c r="B3024" s="63"/>
      <c r="C3024" s="63"/>
      <c r="D3024" s="63"/>
    </row>
    <row r="3025">
      <c r="B3025" s="63"/>
      <c r="C3025" s="63"/>
      <c r="D3025" s="63"/>
    </row>
    <row r="3026">
      <c r="B3026" s="63"/>
      <c r="C3026" s="63"/>
      <c r="D3026" s="63"/>
    </row>
    <row r="3027">
      <c r="B3027" s="63"/>
      <c r="C3027" s="63"/>
      <c r="D3027" s="63"/>
    </row>
    <row r="3028">
      <c r="B3028" s="63"/>
      <c r="C3028" s="63"/>
      <c r="D3028" s="63"/>
    </row>
    <row r="3029">
      <c r="B3029" s="63"/>
      <c r="C3029" s="63"/>
      <c r="D3029" s="63"/>
    </row>
    <row r="3030">
      <c r="B3030" s="63"/>
      <c r="C3030" s="63"/>
      <c r="D3030" s="63"/>
    </row>
    <row r="3031">
      <c r="B3031" s="63"/>
      <c r="C3031" s="63"/>
      <c r="D3031" s="63"/>
    </row>
    <row r="3032">
      <c r="B3032" s="63"/>
      <c r="C3032" s="63"/>
      <c r="D3032" s="63"/>
    </row>
    <row r="3033">
      <c r="B3033" s="63"/>
      <c r="C3033" s="63"/>
      <c r="D3033" s="63"/>
    </row>
    <row r="3034">
      <c r="B3034" s="63"/>
      <c r="C3034" s="63"/>
      <c r="D3034" s="63"/>
    </row>
    <row r="3035">
      <c r="B3035" s="63"/>
      <c r="C3035" s="63"/>
      <c r="D3035" s="63"/>
    </row>
    <row r="3036">
      <c r="B3036" s="63"/>
      <c r="C3036" s="63"/>
      <c r="D3036" s="63"/>
    </row>
    <row r="3037">
      <c r="B3037" s="63"/>
      <c r="C3037" s="63"/>
      <c r="D3037" s="63"/>
    </row>
    <row r="3038">
      <c r="B3038" s="63"/>
      <c r="C3038" s="63"/>
      <c r="D3038" s="63"/>
    </row>
    <row r="3039">
      <c r="B3039" s="63"/>
      <c r="C3039" s="63"/>
      <c r="D3039" s="63"/>
    </row>
    <row r="3040">
      <c r="B3040" s="63"/>
      <c r="C3040" s="63"/>
      <c r="D3040" s="63"/>
    </row>
    <row r="3041">
      <c r="B3041" s="63"/>
      <c r="C3041" s="63"/>
      <c r="D3041" s="63"/>
    </row>
    <row r="3042">
      <c r="B3042" s="63"/>
      <c r="C3042" s="63"/>
      <c r="D3042" s="63"/>
    </row>
    <row r="3043">
      <c r="B3043" s="63"/>
      <c r="C3043" s="63"/>
      <c r="D3043" s="63"/>
    </row>
    <row r="3044">
      <c r="B3044" s="63"/>
      <c r="C3044" s="63"/>
      <c r="D3044" s="63"/>
    </row>
    <row r="3045">
      <c r="B3045" s="63"/>
      <c r="C3045" s="63"/>
      <c r="D3045" s="63"/>
    </row>
    <row r="3046">
      <c r="B3046" s="63"/>
      <c r="C3046" s="63"/>
      <c r="D3046" s="63"/>
    </row>
    <row r="3047">
      <c r="B3047" s="63"/>
      <c r="C3047" s="63"/>
      <c r="D3047" s="63"/>
    </row>
    <row r="3048">
      <c r="B3048" s="63"/>
      <c r="C3048" s="63"/>
      <c r="D3048" s="63"/>
    </row>
    <row r="3049">
      <c r="B3049" s="63"/>
      <c r="C3049" s="63"/>
      <c r="D3049" s="63"/>
    </row>
    <row r="3050">
      <c r="B3050" s="63"/>
      <c r="C3050" s="63"/>
      <c r="D3050" s="63"/>
    </row>
    <row r="3051">
      <c r="B3051" s="63"/>
      <c r="C3051" s="63"/>
      <c r="D3051" s="63"/>
    </row>
    <row r="3052">
      <c r="B3052" s="63"/>
      <c r="C3052" s="63"/>
      <c r="D3052" s="63"/>
    </row>
    <row r="3053">
      <c r="B3053" s="63"/>
      <c r="C3053" s="63"/>
      <c r="D3053" s="63"/>
    </row>
    <row r="3054">
      <c r="B3054" s="63"/>
      <c r="C3054" s="63"/>
      <c r="D3054" s="63"/>
    </row>
    <row r="3055">
      <c r="B3055" s="63"/>
      <c r="C3055" s="63"/>
      <c r="D3055" s="63"/>
    </row>
    <row r="3056">
      <c r="B3056" s="63"/>
      <c r="C3056" s="63"/>
      <c r="D3056" s="63"/>
    </row>
    <row r="3057">
      <c r="B3057" s="63"/>
      <c r="C3057" s="63"/>
      <c r="D3057" s="63"/>
    </row>
    <row r="3058">
      <c r="B3058" s="63"/>
      <c r="C3058" s="63"/>
      <c r="D3058" s="63"/>
    </row>
    <row r="3059">
      <c r="B3059" s="63"/>
      <c r="C3059" s="63"/>
      <c r="D3059" s="63"/>
    </row>
    <row r="3060">
      <c r="B3060" s="63"/>
      <c r="C3060" s="63"/>
      <c r="D3060" s="63"/>
    </row>
    <row r="3061">
      <c r="B3061" s="63"/>
      <c r="C3061" s="63"/>
      <c r="D3061" s="63"/>
    </row>
    <row r="3062">
      <c r="B3062" s="63"/>
      <c r="C3062" s="63"/>
      <c r="D3062" s="63"/>
    </row>
    <row r="3063">
      <c r="B3063" s="63"/>
      <c r="C3063" s="63"/>
      <c r="D3063" s="63"/>
    </row>
    <row r="3064">
      <c r="B3064" s="63"/>
      <c r="C3064" s="63"/>
      <c r="D3064" s="63"/>
    </row>
    <row r="3065">
      <c r="B3065" s="63"/>
      <c r="C3065" s="63"/>
      <c r="D3065" s="63"/>
    </row>
    <row r="3066">
      <c r="B3066" s="63"/>
      <c r="C3066" s="63"/>
      <c r="D3066" s="63"/>
    </row>
    <row r="3067">
      <c r="B3067" s="63"/>
      <c r="C3067" s="63"/>
      <c r="D3067" s="63"/>
    </row>
    <row r="3068">
      <c r="B3068" s="63"/>
      <c r="C3068" s="63"/>
      <c r="D3068" s="63"/>
    </row>
    <row r="3069">
      <c r="B3069" s="63"/>
      <c r="C3069" s="63"/>
      <c r="D3069" s="63"/>
    </row>
    <row r="3070">
      <c r="B3070" s="63"/>
      <c r="C3070" s="63"/>
      <c r="D3070" s="63"/>
    </row>
    <row r="3071">
      <c r="B3071" s="63"/>
      <c r="C3071" s="63"/>
      <c r="D3071" s="63"/>
    </row>
    <row r="3072">
      <c r="B3072" s="63"/>
      <c r="C3072" s="63"/>
      <c r="D3072" s="63"/>
    </row>
    <row r="3073">
      <c r="B3073" s="63"/>
      <c r="C3073" s="63"/>
      <c r="D3073" s="63"/>
    </row>
    <row r="3074">
      <c r="B3074" s="63"/>
      <c r="C3074" s="63"/>
      <c r="D3074" s="63"/>
    </row>
    <row r="3075">
      <c r="B3075" s="63"/>
      <c r="C3075" s="63"/>
      <c r="D3075" s="63"/>
    </row>
    <row r="3076">
      <c r="B3076" s="63"/>
      <c r="C3076" s="63"/>
      <c r="D3076" s="63"/>
    </row>
    <row r="3077">
      <c r="B3077" s="63"/>
      <c r="C3077" s="63"/>
      <c r="D3077" s="63"/>
    </row>
    <row r="3078">
      <c r="B3078" s="63"/>
      <c r="C3078" s="63"/>
      <c r="D3078" s="63"/>
    </row>
    <row r="3079">
      <c r="B3079" s="63"/>
      <c r="C3079" s="63"/>
      <c r="D3079" s="63"/>
    </row>
    <row r="3080">
      <c r="B3080" s="63"/>
      <c r="C3080" s="63"/>
      <c r="D3080" s="63"/>
    </row>
    <row r="3081">
      <c r="B3081" s="63"/>
      <c r="C3081" s="63"/>
      <c r="D3081" s="63"/>
    </row>
    <row r="3082">
      <c r="B3082" s="63"/>
      <c r="C3082" s="63"/>
      <c r="D3082" s="63"/>
    </row>
    <row r="3083">
      <c r="B3083" s="63"/>
      <c r="C3083" s="63"/>
      <c r="D3083" s="63"/>
    </row>
    <row r="3084">
      <c r="B3084" s="63"/>
      <c r="C3084" s="63"/>
      <c r="D3084" s="63"/>
    </row>
    <row r="3085">
      <c r="B3085" s="63"/>
      <c r="C3085" s="63"/>
      <c r="D3085" s="63"/>
    </row>
    <row r="3086">
      <c r="B3086" s="63"/>
      <c r="C3086" s="63"/>
      <c r="D3086" s="63"/>
    </row>
    <row r="3087">
      <c r="B3087" s="63"/>
      <c r="C3087" s="63"/>
      <c r="D3087" s="63"/>
    </row>
    <row r="3088">
      <c r="B3088" s="63"/>
      <c r="C3088" s="63"/>
      <c r="D3088" s="63"/>
    </row>
    <row r="3089">
      <c r="B3089" s="63"/>
      <c r="C3089" s="63"/>
      <c r="D3089" s="63"/>
    </row>
    <row r="3090">
      <c r="B3090" s="63"/>
      <c r="C3090" s="63"/>
      <c r="D3090" s="63"/>
    </row>
    <row r="3091">
      <c r="B3091" s="63"/>
      <c r="C3091" s="63"/>
      <c r="D3091" s="63"/>
    </row>
    <row r="3092">
      <c r="B3092" s="63"/>
      <c r="C3092" s="63"/>
      <c r="D3092" s="63"/>
    </row>
    <row r="3093">
      <c r="B3093" s="63"/>
      <c r="C3093" s="63"/>
      <c r="D3093" s="63"/>
    </row>
    <row r="3094">
      <c r="B3094" s="63"/>
      <c r="C3094" s="63"/>
      <c r="D3094" s="63"/>
    </row>
    <row r="3095">
      <c r="B3095" s="63"/>
      <c r="C3095" s="63"/>
      <c r="D3095" s="63"/>
    </row>
    <row r="3096">
      <c r="B3096" s="63"/>
      <c r="C3096" s="63"/>
      <c r="D3096" s="63"/>
    </row>
    <row r="3097">
      <c r="B3097" s="63"/>
      <c r="C3097" s="63"/>
      <c r="D3097" s="63"/>
    </row>
    <row r="3098">
      <c r="B3098" s="63"/>
      <c r="C3098" s="63"/>
      <c r="D3098" s="63"/>
    </row>
    <row r="3099">
      <c r="B3099" s="63"/>
      <c r="C3099" s="63"/>
      <c r="D3099" s="63"/>
    </row>
    <row r="3100">
      <c r="B3100" s="63"/>
      <c r="C3100" s="63"/>
      <c r="D3100" s="63"/>
    </row>
    <row r="3101">
      <c r="B3101" s="63"/>
      <c r="C3101" s="63"/>
      <c r="D3101" s="63"/>
    </row>
    <row r="3102">
      <c r="B3102" s="63"/>
      <c r="C3102" s="63"/>
      <c r="D3102" s="63"/>
    </row>
    <row r="3103">
      <c r="B3103" s="63"/>
      <c r="C3103" s="63"/>
      <c r="D3103" s="63"/>
    </row>
    <row r="3104">
      <c r="B3104" s="63"/>
      <c r="C3104" s="63"/>
      <c r="D3104" s="63"/>
    </row>
    <row r="3105">
      <c r="B3105" s="63"/>
      <c r="C3105" s="63"/>
      <c r="D3105" s="63"/>
    </row>
    <row r="3106">
      <c r="B3106" s="63"/>
      <c r="C3106" s="63"/>
      <c r="D3106" s="63"/>
    </row>
    <row r="3107">
      <c r="B3107" s="63"/>
      <c r="C3107" s="63"/>
      <c r="D3107" s="63"/>
    </row>
    <row r="3108">
      <c r="B3108" s="63"/>
      <c r="C3108" s="63"/>
      <c r="D3108" s="63"/>
    </row>
    <row r="3109">
      <c r="B3109" s="63"/>
      <c r="C3109" s="63"/>
      <c r="D3109" s="63"/>
    </row>
    <row r="3110">
      <c r="B3110" s="63"/>
      <c r="C3110" s="63"/>
      <c r="D3110" s="63"/>
    </row>
    <row r="3111">
      <c r="B3111" s="63"/>
      <c r="C3111" s="63"/>
      <c r="D3111" s="63"/>
    </row>
    <row r="3112">
      <c r="B3112" s="63"/>
      <c r="C3112" s="63"/>
      <c r="D3112" s="63"/>
    </row>
    <row r="3113">
      <c r="B3113" s="63"/>
      <c r="C3113" s="63"/>
      <c r="D3113" s="63"/>
    </row>
    <row r="3114">
      <c r="B3114" s="63"/>
      <c r="C3114" s="63"/>
      <c r="D3114" s="63"/>
    </row>
    <row r="3115">
      <c r="B3115" s="63"/>
      <c r="C3115" s="63"/>
      <c r="D3115" s="63"/>
    </row>
    <row r="3116">
      <c r="B3116" s="63"/>
      <c r="C3116" s="63"/>
      <c r="D3116" s="63"/>
    </row>
    <row r="3117">
      <c r="B3117" s="63"/>
      <c r="C3117" s="63"/>
      <c r="D3117" s="63"/>
    </row>
    <row r="3118">
      <c r="B3118" s="63"/>
      <c r="C3118" s="63"/>
      <c r="D3118" s="63"/>
    </row>
    <row r="3119">
      <c r="B3119" s="63"/>
      <c r="C3119" s="63"/>
      <c r="D3119" s="63"/>
    </row>
    <row r="3120">
      <c r="B3120" s="63"/>
      <c r="C3120" s="63"/>
      <c r="D3120" s="63"/>
    </row>
    <row r="3121">
      <c r="B3121" s="63"/>
      <c r="C3121" s="63"/>
      <c r="D3121" s="63"/>
    </row>
    <row r="3122">
      <c r="B3122" s="63"/>
      <c r="C3122" s="63"/>
      <c r="D3122" s="63"/>
    </row>
    <row r="3123">
      <c r="B3123" s="63"/>
      <c r="C3123" s="63"/>
      <c r="D3123" s="63"/>
    </row>
    <row r="3124">
      <c r="B3124" s="63"/>
      <c r="C3124" s="63"/>
      <c r="D3124" s="63"/>
    </row>
    <row r="3125">
      <c r="B3125" s="63"/>
      <c r="C3125" s="63"/>
      <c r="D3125" s="63"/>
    </row>
    <row r="3126">
      <c r="B3126" s="63"/>
      <c r="C3126" s="63"/>
      <c r="D3126" s="63"/>
    </row>
    <row r="3127">
      <c r="B3127" s="63"/>
      <c r="C3127" s="63"/>
      <c r="D3127" s="63"/>
    </row>
    <row r="3128">
      <c r="B3128" s="63"/>
      <c r="C3128" s="63"/>
      <c r="D3128" s="63"/>
    </row>
    <row r="3129">
      <c r="B3129" s="63"/>
      <c r="C3129" s="63"/>
      <c r="D3129" s="63"/>
    </row>
    <row r="3130">
      <c r="B3130" s="63"/>
      <c r="C3130" s="63"/>
      <c r="D3130" s="63"/>
    </row>
    <row r="3131">
      <c r="B3131" s="63"/>
      <c r="C3131" s="63"/>
      <c r="D3131" s="63"/>
    </row>
    <row r="3132">
      <c r="B3132" s="63"/>
      <c r="C3132" s="63"/>
      <c r="D3132" s="63"/>
    </row>
    <row r="3133">
      <c r="B3133" s="63"/>
      <c r="C3133" s="63"/>
      <c r="D3133" s="63"/>
    </row>
    <row r="3134">
      <c r="B3134" s="63"/>
      <c r="C3134" s="63"/>
      <c r="D3134" s="63"/>
    </row>
    <row r="3135">
      <c r="B3135" s="63"/>
      <c r="C3135" s="63"/>
      <c r="D3135" s="63"/>
    </row>
    <row r="3136">
      <c r="B3136" s="63"/>
      <c r="C3136" s="63"/>
      <c r="D3136" s="63"/>
    </row>
    <row r="3137">
      <c r="B3137" s="63"/>
      <c r="C3137" s="63"/>
      <c r="D3137" s="63"/>
    </row>
    <row r="3138">
      <c r="B3138" s="63"/>
      <c r="C3138" s="63"/>
      <c r="D3138" s="63"/>
    </row>
    <row r="3139">
      <c r="B3139" s="63"/>
      <c r="C3139" s="63"/>
      <c r="D3139" s="63"/>
    </row>
    <row r="3140">
      <c r="B3140" s="63"/>
      <c r="C3140" s="63"/>
      <c r="D3140" s="63"/>
    </row>
    <row r="3141">
      <c r="B3141" s="63"/>
      <c r="C3141" s="63"/>
      <c r="D3141" s="63"/>
    </row>
    <row r="3142">
      <c r="B3142" s="63"/>
      <c r="C3142" s="63"/>
      <c r="D3142" s="63"/>
    </row>
    <row r="3143">
      <c r="B3143" s="63"/>
      <c r="C3143" s="63"/>
      <c r="D3143" s="63"/>
    </row>
    <row r="3144">
      <c r="B3144" s="63"/>
      <c r="C3144" s="63"/>
      <c r="D3144" s="63"/>
    </row>
    <row r="3145">
      <c r="B3145" s="63"/>
      <c r="C3145" s="63"/>
      <c r="D3145" s="63"/>
    </row>
    <row r="3146">
      <c r="B3146" s="63"/>
      <c r="C3146" s="63"/>
      <c r="D3146" s="63"/>
    </row>
    <row r="3147">
      <c r="B3147" s="63"/>
      <c r="C3147" s="63"/>
      <c r="D3147" s="63"/>
    </row>
    <row r="3148">
      <c r="B3148" s="63"/>
      <c r="C3148" s="63"/>
      <c r="D3148" s="63"/>
    </row>
    <row r="3149">
      <c r="B3149" s="63"/>
      <c r="C3149" s="63"/>
      <c r="D3149" s="63"/>
    </row>
    <row r="3150">
      <c r="B3150" s="63"/>
      <c r="C3150" s="63"/>
      <c r="D3150" s="63"/>
    </row>
    <row r="3151">
      <c r="B3151" s="63"/>
      <c r="C3151" s="63"/>
      <c r="D3151" s="63"/>
    </row>
    <row r="3152">
      <c r="B3152" s="63"/>
      <c r="C3152" s="63"/>
      <c r="D3152" s="63"/>
    </row>
    <row r="3153">
      <c r="B3153" s="63"/>
      <c r="C3153" s="63"/>
      <c r="D3153" s="63"/>
    </row>
    <row r="3154">
      <c r="B3154" s="63"/>
      <c r="C3154" s="63"/>
      <c r="D3154" s="63"/>
    </row>
    <row r="3155">
      <c r="B3155" s="63"/>
      <c r="C3155" s="63"/>
      <c r="D3155" s="63"/>
    </row>
    <row r="3156">
      <c r="B3156" s="63"/>
      <c r="C3156" s="63"/>
      <c r="D3156" s="63"/>
    </row>
    <row r="3157">
      <c r="B3157" s="63"/>
      <c r="C3157" s="63"/>
      <c r="D3157" s="63"/>
    </row>
    <row r="3158">
      <c r="B3158" s="63"/>
      <c r="C3158" s="63"/>
      <c r="D3158" s="63"/>
    </row>
    <row r="3159">
      <c r="B3159" s="63"/>
      <c r="C3159" s="63"/>
      <c r="D3159" s="63"/>
    </row>
    <row r="3160">
      <c r="B3160" s="63"/>
      <c r="C3160" s="63"/>
      <c r="D3160" s="63"/>
    </row>
    <row r="3161">
      <c r="B3161" s="63"/>
      <c r="C3161" s="63"/>
      <c r="D3161" s="63"/>
    </row>
    <row r="3162">
      <c r="B3162" s="63"/>
      <c r="C3162" s="63"/>
      <c r="D3162" s="63"/>
    </row>
    <row r="3163">
      <c r="B3163" s="63"/>
      <c r="C3163" s="63"/>
      <c r="D3163" s="63"/>
    </row>
    <row r="3164">
      <c r="B3164" s="63"/>
      <c r="C3164" s="63"/>
      <c r="D3164" s="63"/>
    </row>
    <row r="3165">
      <c r="B3165" s="63"/>
      <c r="C3165" s="63"/>
      <c r="D3165" s="63"/>
    </row>
    <row r="3166">
      <c r="B3166" s="63"/>
      <c r="C3166" s="63"/>
      <c r="D3166" s="63"/>
    </row>
    <row r="3167">
      <c r="B3167" s="63"/>
      <c r="C3167" s="63"/>
      <c r="D3167" s="63"/>
    </row>
    <row r="3168">
      <c r="B3168" s="63"/>
      <c r="C3168" s="63"/>
      <c r="D3168" s="63"/>
    </row>
    <row r="3169">
      <c r="B3169" s="63"/>
      <c r="C3169" s="63"/>
      <c r="D3169" s="63"/>
    </row>
    <row r="3170">
      <c r="B3170" s="63"/>
      <c r="C3170" s="63"/>
      <c r="D3170" s="63"/>
    </row>
    <row r="3171">
      <c r="B3171" s="63"/>
      <c r="C3171" s="63"/>
      <c r="D3171" s="63"/>
    </row>
    <row r="3172">
      <c r="B3172" s="63"/>
      <c r="C3172" s="63"/>
      <c r="D3172" s="63"/>
    </row>
    <row r="3173">
      <c r="B3173" s="63"/>
      <c r="C3173" s="63"/>
      <c r="D3173" s="63"/>
    </row>
    <row r="3174">
      <c r="B3174" s="63"/>
      <c r="C3174" s="63"/>
      <c r="D3174" s="63"/>
    </row>
    <row r="3175">
      <c r="B3175" s="63"/>
      <c r="C3175" s="63"/>
      <c r="D3175" s="63"/>
    </row>
    <row r="3176">
      <c r="B3176" s="63"/>
      <c r="C3176" s="63"/>
      <c r="D3176" s="63"/>
    </row>
    <row r="3177">
      <c r="B3177" s="63"/>
      <c r="C3177" s="63"/>
      <c r="D3177" s="63"/>
    </row>
    <row r="3178">
      <c r="B3178" s="63"/>
      <c r="C3178" s="63"/>
      <c r="D3178" s="63"/>
    </row>
    <row r="3179">
      <c r="B3179" s="63"/>
      <c r="C3179" s="63"/>
      <c r="D3179" s="63"/>
    </row>
    <row r="3180">
      <c r="B3180" s="63"/>
      <c r="C3180" s="63"/>
      <c r="D3180" s="63"/>
    </row>
    <row r="3181">
      <c r="B3181" s="63"/>
      <c r="C3181" s="63"/>
      <c r="D3181" s="63"/>
    </row>
    <row r="3182">
      <c r="B3182" s="63"/>
      <c r="C3182" s="63"/>
      <c r="D3182" s="63"/>
    </row>
    <row r="3183">
      <c r="B3183" s="63"/>
      <c r="C3183" s="63"/>
      <c r="D3183" s="63"/>
    </row>
    <row r="3184">
      <c r="B3184" s="63"/>
      <c r="C3184" s="63"/>
      <c r="D3184" s="63"/>
    </row>
    <row r="3185">
      <c r="B3185" s="63"/>
      <c r="C3185" s="63"/>
      <c r="D3185" s="63"/>
    </row>
    <row r="3186">
      <c r="B3186" s="63"/>
      <c r="C3186" s="63"/>
      <c r="D3186" s="63"/>
    </row>
    <row r="3187">
      <c r="B3187" s="63"/>
      <c r="C3187" s="63"/>
      <c r="D3187" s="63"/>
    </row>
    <row r="3188">
      <c r="B3188" s="63"/>
      <c r="C3188" s="63"/>
      <c r="D3188" s="63"/>
    </row>
    <row r="3189">
      <c r="B3189" s="63"/>
      <c r="C3189" s="63"/>
      <c r="D3189" s="63"/>
    </row>
    <row r="3190">
      <c r="B3190" s="63"/>
      <c r="C3190" s="63"/>
      <c r="D3190" s="63"/>
    </row>
    <row r="3191">
      <c r="B3191" s="63"/>
      <c r="C3191" s="63"/>
      <c r="D3191" s="63"/>
    </row>
    <row r="3192">
      <c r="B3192" s="63"/>
      <c r="C3192" s="63"/>
      <c r="D3192" s="63"/>
    </row>
    <row r="3193">
      <c r="B3193" s="63"/>
      <c r="C3193" s="63"/>
      <c r="D3193" s="63"/>
    </row>
    <row r="3194">
      <c r="B3194" s="63"/>
      <c r="C3194" s="63"/>
      <c r="D3194" s="63"/>
    </row>
    <row r="3195">
      <c r="B3195" s="63"/>
      <c r="C3195" s="63"/>
      <c r="D3195" s="63"/>
    </row>
    <row r="3196">
      <c r="B3196" s="63"/>
      <c r="C3196" s="63"/>
      <c r="D3196" s="63"/>
    </row>
    <row r="3197">
      <c r="B3197" s="63"/>
      <c r="C3197" s="63"/>
      <c r="D3197" s="63"/>
    </row>
    <row r="3198">
      <c r="B3198" s="63"/>
      <c r="C3198" s="63"/>
      <c r="D3198" s="63"/>
    </row>
    <row r="3199">
      <c r="B3199" s="63"/>
      <c r="C3199" s="63"/>
      <c r="D3199" s="63"/>
    </row>
    <row r="3200">
      <c r="B3200" s="63"/>
      <c r="C3200" s="63"/>
      <c r="D3200" s="63"/>
    </row>
    <row r="3201">
      <c r="B3201" s="63"/>
      <c r="C3201" s="63"/>
      <c r="D3201" s="63"/>
    </row>
    <row r="3202">
      <c r="B3202" s="63"/>
      <c r="C3202" s="63"/>
      <c r="D3202" s="63"/>
    </row>
    <row r="3203">
      <c r="B3203" s="63"/>
      <c r="C3203" s="63"/>
      <c r="D3203" s="63"/>
    </row>
    <row r="3204">
      <c r="B3204" s="63"/>
      <c r="C3204" s="63"/>
      <c r="D3204" s="63"/>
    </row>
    <row r="3205">
      <c r="B3205" s="63"/>
      <c r="C3205" s="63"/>
      <c r="D3205" s="63"/>
    </row>
    <row r="3206">
      <c r="B3206" s="63"/>
      <c r="C3206" s="63"/>
      <c r="D3206" s="63"/>
    </row>
    <row r="3207">
      <c r="B3207" s="63"/>
      <c r="C3207" s="63"/>
      <c r="D3207" s="63"/>
    </row>
    <row r="3208">
      <c r="B3208" s="63"/>
      <c r="C3208" s="63"/>
      <c r="D3208" s="63"/>
    </row>
    <row r="3209">
      <c r="B3209" s="63"/>
      <c r="C3209" s="63"/>
      <c r="D3209" s="63"/>
    </row>
    <row r="3210">
      <c r="B3210" s="63"/>
      <c r="C3210" s="63"/>
      <c r="D3210" s="63"/>
    </row>
    <row r="3211">
      <c r="B3211" s="63"/>
      <c r="C3211" s="63"/>
      <c r="D3211" s="63"/>
    </row>
    <row r="3212">
      <c r="B3212" s="63"/>
      <c r="C3212" s="63"/>
      <c r="D3212" s="63"/>
    </row>
    <row r="3213">
      <c r="B3213" s="63"/>
      <c r="C3213" s="63"/>
      <c r="D3213" s="63"/>
    </row>
    <row r="3214">
      <c r="B3214" s="63"/>
      <c r="C3214" s="63"/>
      <c r="D3214" s="63"/>
    </row>
    <row r="3215">
      <c r="B3215" s="63"/>
      <c r="C3215" s="63"/>
      <c r="D3215" s="63"/>
    </row>
    <row r="3216">
      <c r="B3216" s="63"/>
      <c r="C3216" s="63"/>
      <c r="D3216" s="63"/>
    </row>
    <row r="3217">
      <c r="B3217" s="63"/>
      <c r="C3217" s="63"/>
      <c r="D3217" s="63"/>
    </row>
    <row r="3218">
      <c r="B3218" s="63"/>
      <c r="C3218" s="63"/>
      <c r="D3218" s="63"/>
    </row>
    <row r="3219">
      <c r="B3219" s="63"/>
      <c r="C3219" s="63"/>
      <c r="D3219" s="63"/>
    </row>
    <row r="3220">
      <c r="B3220" s="63"/>
      <c r="C3220" s="63"/>
      <c r="D3220" s="63"/>
    </row>
    <row r="3221">
      <c r="B3221" s="63"/>
      <c r="C3221" s="63"/>
      <c r="D3221" s="63"/>
    </row>
    <row r="3222">
      <c r="B3222" s="63"/>
      <c r="C3222" s="63"/>
      <c r="D3222" s="63"/>
    </row>
    <row r="3223">
      <c r="B3223" s="63"/>
      <c r="C3223" s="63"/>
      <c r="D3223" s="63"/>
    </row>
    <row r="3224">
      <c r="B3224" s="63"/>
      <c r="C3224" s="63"/>
      <c r="D3224" s="63"/>
    </row>
    <row r="3225">
      <c r="B3225" s="63"/>
      <c r="C3225" s="63"/>
      <c r="D3225" s="63"/>
    </row>
    <row r="3226">
      <c r="B3226" s="63"/>
      <c r="C3226" s="63"/>
      <c r="D3226" s="63"/>
    </row>
    <row r="3227">
      <c r="B3227" s="63"/>
      <c r="C3227" s="63"/>
      <c r="D3227" s="63"/>
    </row>
    <row r="3228">
      <c r="B3228" s="63"/>
      <c r="C3228" s="63"/>
      <c r="D3228" s="63"/>
    </row>
    <row r="3229">
      <c r="B3229" s="63"/>
      <c r="C3229" s="63"/>
      <c r="D3229" s="63"/>
    </row>
    <row r="3230">
      <c r="B3230" s="63"/>
      <c r="C3230" s="63"/>
      <c r="D3230" s="63"/>
    </row>
    <row r="3231">
      <c r="B3231" s="63"/>
      <c r="C3231" s="63"/>
      <c r="D3231" s="63"/>
    </row>
    <row r="3232">
      <c r="B3232" s="63"/>
      <c r="C3232" s="63"/>
      <c r="D3232" s="63"/>
    </row>
    <row r="3233">
      <c r="B3233" s="63"/>
      <c r="C3233" s="63"/>
      <c r="D3233" s="63"/>
    </row>
    <row r="3234">
      <c r="B3234" s="63"/>
      <c r="C3234" s="63"/>
      <c r="D3234" s="63"/>
    </row>
    <row r="3235">
      <c r="B3235" s="63"/>
      <c r="C3235" s="63"/>
      <c r="D3235" s="63"/>
    </row>
    <row r="3236">
      <c r="B3236" s="63"/>
      <c r="C3236" s="63"/>
      <c r="D3236" s="63"/>
    </row>
    <row r="3237">
      <c r="B3237" s="63"/>
      <c r="C3237" s="63"/>
      <c r="D3237" s="63"/>
    </row>
    <row r="3238">
      <c r="B3238" s="63"/>
      <c r="C3238" s="63"/>
      <c r="D3238" s="63"/>
    </row>
    <row r="3239">
      <c r="B3239" s="63"/>
      <c r="C3239" s="63"/>
      <c r="D3239" s="63"/>
    </row>
    <row r="3240">
      <c r="B3240" s="63"/>
      <c r="C3240" s="63"/>
      <c r="D3240" s="63"/>
    </row>
    <row r="3241">
      <c r="B3241" s="63"/>
      <c r="C3241" s="63"/>
      <c r="D3241" s="63"/>
    </row>
    <row r="3242">
      <c r="B3242" s="63"/>
      <c r="C3242" s="63"/>
      <c r="D3242" s="63"/>
    </row>
    <row r="3243">
      <c r="B3243" s="63"/>
      <c r="C3243" s="63"/>
      <c r="D3243" s="63"/>
    </row>
    <row r="3244">
      <c r="B3244" s="63"/>
      <c r="C3244" s="63"/>
      <c r="D3244" s="63"/>
    </row>
    <row r="3245">
      <c r="B3245" s="63"/>
      <c r="C3245" s="63"/>
      <c r="D3245" s="63"/>
    </row>
    <row r="3246">
      <c r="B3246" s="63"/>
      <c r="C3246" s="63"/>
      <c r="D3246" s="63"/>
    </row>
    <row r="3247">
      <c r="B3247" s="63"/>
      <c r="C3247" s="63"/>
      <c r="D3247" s="63"/>
    </row>
    <row r="3248">
      <c r="B3248" s="63"/>
      <c r="C3248" s="63"/>
      <c r="D3248" s="63"/>
    </row>
    <row r="3249">
      <c r="B3249" s="63"/>
      <c r="C3249" s="63"/>
      <c r="D3249" s="63"/>
    </row>
    <row r="3250">
      <c r="B3250" s="63"/>
      <c r="C3250" s="63"/>
      <c r="D3250" s="63"/>
    </row>
    <row r="3251">
      <c r="B3251" s="63"/>
      <c r="C3251" s="63"/>
      <c r="D3251" s="63"/>
    </row>
    <row r="3252">
      <c r="B3252" s="63"/>
      <c r="C3252" s="63"/>
      <c r="D3252" s="63"/>
    </row>
    <row r="3253">
      <c r="B3253" s="63"/>
      <c r="C3253" s="63"/>
      <c r="D3253" s="63"/>
    </row>
    <row r="3254">
      <c r="B3254" s="63"/>
      <c r="C3254" s="63"/>
      <c r="D3254" s="63"/>
    </row>
    <row r="3255">
      <c r="B3255" s="63"/>
      <c r="C3255" s="63"/>
      <c r="D3255" s="63"/>
    </row>
    <row r="3256">
      <c r="B3256" s="63"/>
      <c r="C3256" s="63"/>
      <c r="D3256" s="63"/>
    </row>
    <row r="3257">
      <c r="B3257" s="63"/>
      <c r="C3257" s="63"/>
      <c r="D3257" s="63"/>
    </row>
    <row r="3258">
      <c r="B3258" s="63"/>
      <c r="C3258" s="63"/>
      <c r="D3258" s="63"/>
    </row>
    <row r="3259">
      <c r="B3259" s="63"/>
      <c r="C3259" s="63"/>
      <c r="D3259" s="63"/>
    </row>
    <row r="3260">
      <c r="B3260" s="63"/>
      <c r="C3260" s="63"/>
      <c r="D3260" s="63"/>
    </row>
    <row r="3261">
      <c r="B3261" s="63"/>
      <c r="C3261" s="63"/>
      <c r="D3261" s="63"/>
    </row>
    <row r="3262">
      <c r="B3262" s="63"/>
      <c r="C3262" s="63"/>
      <c r="D3262" s="63"/>
    </row>
    <row r="3263">
      <c r="B3263" s="63"/>
      <c r="C3263" s="63"/>
      <c r="D3263" s="63"/>
    </row>
    <row r="3264">
      <c r="B3264" s="63"/>
      <c r="C3264" s="63"/>
      <c r="D3264" s="63"/>
    </row>
    <row r="3265">
      <c r="B3265" s="63"/>
      <c r="C3265" s="63"/>
      <c r="D3265" s="63"/>
    </row>
    <row r="3266">
      <c r="B3266" s="63"/>
      <c r="C3266" s="63"/>
      <c r="D3266" s="63"/>
    </row>
    <row r="3267">
      <c r="B3267" s="63"/>
      <c r="C3267" s="63"/>
      <c r="D3267" s="63"/>
    </row>
    <row r="3268">
      <c r="B3268" s="63"/>
      <c r="C3268" s="63"/>
      <c r="D3268" s="63"/>
    </row>
    <row r="3269">
      <c r="B3269" s="63"/>
      <c r="C3269" s="63"/>
      <c r="D3269" s="63"/>
    </row>
    <row r="3270">
      <c r="B3270" s="63"/>
      <c r="C3270" s="63"/>
      <c r="D3270" s="63"/>
    </row>
    <row r="3271">
      <c r="B3271" s="63"/>
      <c r="C3271" s="63"/>
      <c r="D3271" s="63"/>
    </row>
    <row r="3272">
      <c r="B3272" s="63"/>
      <c r="C3272" s="63"/>
      <c r="D3272" s="63"/>
    </row>
    <row r="3273">
      <c r="B3273" s="63"/>
      <c r="C3273" s="63"/>
      <c r="D3273" s="63"/>
    </row>
    <row r="3274">
      <c r="B3274" s="63"/>
      <c r="C3274" s="63"/>
      <c r="D3274" s="63"/>
    </row>
    <row r="3275">
      <c r="B3275" s="63"/>
      <c r="C3275" s="63"/>
      <c r="D3275" s="63"/>
    </row>
    <row r="3276">
      <c r="B3276" s="63"/>
      <c r="C3276" s="63"/>
      <c r="D3276" s="63"/>
    </row>
    <row r="3277">
      <c r="B3277" s="63"/>
      <c r="C3277" s="63"/>
      <c r="D3277" s="63"/>
    </row>
    <row r="3278">
      <c r="B3278" s="63"/>
      <c r="C3278" s="63"/>
      <c r="D3278" s="63"/>
    </row>
    <row r="3279">
      <c r="B3279" s="63"/>
      <c r="C3279" s="63"/>
      <c r="D3279" s="63"/>
    </row>
    <row r="3280">
      <c r="B3280" s="63"/>
      <c r="C3280" s="63"/>
      <c r="D3280" s="63"/>
    </row>
    <row r="3281">
      <c r="B3281" s="63"/>
      <c r="C3281" s="63"/>
      <c r="D3281" s="63"/>
    </row>
    <row r="3282">
      <c r="B3282" s="63"/>
      <c r="C3282" s="63"/>
      <c r="D3282" s="63"/>
    </row>
    <row r="3283">
      <c r="B3283" s="63"/>
      <c r="C3283" s="63"/>
      <c r="D3283" s="63"/>
    </row>
    <row r="3284">
      <c r="B3284" s="63"/>
      <c r="C3284" s="63"/>
      <c r="D3284" s="63"/>
    </row>
    <row r="3285">
      <c r="B3285" s="63"/>
      <c r="C3285" s="63"/>
      <c r="D3285" s="63"/>
    </row>
    <row r="3286">
      <c r="B3286" s="63"/>
      <c r="C3286" s="63"/>
      <c r="D3286" s="63"/>
    </row>
    <row r="3287">
      <c r="B3287" s="63"/>
      <c r="C3287" s="63"/>
      <c r="D3287" s="63"/>
    </row>
    <row r="3288">
      <c r="B3288" s="63"/>
      <c r="C3288" s="63"/>
      <c r="D3288" s="63"/>
    </row>
    <row r="3289">
      <c r="B3289" s="63"/>
      <c r="C3289" s="63"/>
      <c r="D3289" s="63"/>
    </row>
    <row r="3290">
      <c r="B3290" s="63"/>
      <c r="C3290" s="63"/>
      <c r="D3290" s="63"/>
    </row>
    <row r="3291">
      <c r="B3291" s="63"/>
      <c r="C3291" s="63"/>
      <c r="D3291" s="63"/>
    </row>
    <row r="3292">
      <c r="B3292" s="63"/>
      <c r="C3292" s="63"/>
      <c r="D3292" s="63"/>
    </row>
    <row r="3293">
      <c r="B3293" s="63"/>
      <c r="C3293" s="63"/>
      <c r="D3293" s="63"/>
    </row>
    <row r="3294">
      <c r="B3294" s="63"/>
      <c r="C3294" s="63"/>
      <c r="D3294" s="63"/>
    </row>
    <row r="3295">
      <c r="B3295" s="63"/>
      <c r="C3295" s="63"/>
      <c r="D3295" s="63"/>
    </row>
    <row r="3296">
      <c r="B3296" s="63"/>
      <c r="C3296" s="63"/>
      <c r="D3296" s="63"/>
    </row>
    <row r="3297">
      <c r="B3297" s="63"/>
      <c r="C3297" s="63"/>
      <c r="D3297" s="63"/>
    </row>
    <row r="3298">
      <c r="B3298" s="63"/>
      <c r="C3298" s="63"/>
      <c r="D3298" s="63"/>
    </row>
    <row r="3299">
      <c r="B3299" s="63"/>
      <c r="C3299" s="63"/>
      <c r="D3299" s="63"/>
    </row>
    <row r="3300">
      <c r="B3300" s="63"/>
      <c r="C3300" s="63"/>
      <c r="D3300" s="63"/>
    </row>
    <row r="3301">
      <c r="B3301" s="63"/>
      <c r="C3301" s="63"/>
      <c r="D3301" s="63"/>
    </row>
    <row r="3302">
      <c r="B3302" s="63"/>
      <c r="C3302" s="63"/>
      <c r="D3302" s="63"/>
    </row>
    <row r="3303">
      <c r="B3303" s="63"/>
      <c r="C3303" s="63"/>
      <c r="D3303" s="63"/>
    </row>
    <row r="3304">
      <c r="B3304" s="63"/>
      <c r="C3304" s="63"/>
      <c r="D3304" s="63"/>
    </row>
    <row r="3305">
      <c r="B3305" s="63"/>
      <c r="C3305" s="63"/>
      <c r="D3305" s="63"/>
    </row>
    <row r="3306">
      <c r="B3306" s="63"/>
      <c r="C3306" s="63"/>
      <c r="D3306" s="63"/>
    </row>
    <row r="3307">
      <c r="B3307" s="63"/>
      <c r="C3307" s="63"/>
      <c r="D3307" s="63"/>
    </row>
    <row r="3308">
      <c r="B3308" s="63"/>
      <c r="C3308" s="63"/>
      <c r="D3308" s="63"/>
    </row>
    <row r="3309">
      <c r="B3309" s="63"/>
      <c r="C3309" s="63"/>
      <c r="D3309" s="63"/>
    </row>
    <row r="3310">
      <c r="B3310" s="63"/>
      <c r="C3310" s="63"/>
      <c r="D3310" s="63"/>
    </row>
    <row r="3311">
      <c r="B3311" s="63"/>
      <c r="C3311" s="63"/>
      <c r="D3311" s="63"/>
    </row>
    <row r="3312">
      <c r="B3312" s="63"/>
      <c r="C3312" s="63"/>
      <c r="D3312" s="63"/>
    </row>
    <row r="3313">
      <c r="B3313" s="63"/>
      <c r="C3313" s="63"/>
      <c r="D3313" s="63"/>
    </row>
    <row r="3314">
      <c r="B3314" s="63"/>
      <c r="C3314" s="63"/>
      <c r="D3314" s="63"/>
    </row>
    <row r="3315">
      <c r="B3315" s="63"/>
      <c r="C3315" s="63"/>
      <c r="D3315" s="63"/>
    </row>
    <row r="3316">
      <c r="B3316" s="63"/>
      <c r="C3316" s="63"/>
      <c r="D3316" s="63"/>
    </row>
    <row r="3317">
      <c r="B3317" s="63"/>
      <c r="C3317" s="63"/>
      <c r="D3317" s="63"/>
    </row>
    <row r="3318">
      <c r="B3318" s="63"/>
      <c r="C3318" s="63"/>
      <c r="D3318" s="63"/>
    </row>
    <row r="3319">
      <c r="B3319" s="63"/>
      <c r="C3319" s="63"/>
      <c r="D3319" s="63"/>
    </row>
    <row r="3320">
      <c r="B3320" s="63"/>
      <c r="C3320" s="63"/>
      <c r="D3320" s="63"/>
    </row>
    <row r="3321">
      <c r="B3321" s="63"/>
      <c r="C3321" s="63"/>
      <c r="D3321" s="63"/>
    </row>
    <row r="3322">
      <c r="B3322" s="63"/>
      <c r="C3322" s="63"/>
      <c r="D3322" s="63"/>
    </row>
    <row r="3323">
      <c r="B3323" s="63"/>
      <c r="C3323" s="63"/>
      <c r="D3323" s="63"/>
    </row>
    <row r="3324">
      <c r="B3324" s="63"/>
      <c r="C3324" s="63"/>
      <c r="D3324" s="63"/>
    </row>
    <row r="3325">
      <c r="B3325" s="63"/>
      <c r="C3325" s="63"/>
      <c r="D3325" s="63"/>
    </row>
    <row r="3326">
      <c r="B3326" s="63"/>
      <c r="C3326" s="63"/>
      <c r="D3326" s="63"/>
    </row>
    <row r="3327">
      <c r="B3327" s="63"/>
      <c r="C3327" s="63"/>
      <c r="D3327" s="63"/>
    </row>
    <row r="3328">
      <c r="B3328" s="63"/>
      <c r="C3328" s="63"/>
      <c r="D3328" s="63"/>
    </row>
    <row r="3329">
      <c r="B3329" s="63"/>
      <c r="C3329" s="63"/>
      <c r="D3329" s="63"/>
    </row>
    <row r="3330">
      <c r="B3330" s="63"/>
      <c r="C3330" s="63"/>
      <c r="D3330" s="63"/>
    </row>
    <row r="3331">
      <c r="B3331" s="63"/>
      <c r="C3331" s="63"/>
      <c r="D3331" s="63"/>
    </row>
    <row r="3332">
      <c r="B3332" s="63"/>
      <c r="C3332" s="63"/>
      <c r="D3332" s="63"/>
    </row>
    <row r="3333">
      <c r="B3333" s="63"/>
      <c r="C3333" s="63"/>
      <c r="D3333" s="63"/>
    </row>
    <row r="3334">
      <c r="B3334" s="63"/>
      <c r="C3334" s="63"/>
      <c r="D3334" s="63"/>
    </row>
    <row r="3335">
      <c r="B3335" s="63"/>
      <c r="C3335" s="63"/>
      <c r="D3335" s="63"/>
    </row>
    <row r="3336">
      <c r="B3336" s="63"/>
      <c r="C3336" s="63"/>
      <c r="D3336" s="63"/>
    </row>
    <row r="3337">
      <c r="B3337" s="63"/>
      <c r="C3337" s="63"/>
      <c r="D3337" s="63"/>
    </row>
    <row r="3338">
      <c r="B3338" s="63"/>
      <c r="C3338" s="63"/>
      <c r="D3338" s="63"/>
    </row>
    <row r="3339">
      <c r="B3339" s="63"/>
      <c r="C3339" s="63"/>
      <c r="D3339" s="63"/>
    </row>
    <row r="3340">
      <c r="B3340" s="63"/>
      <c r="C3340" s="63"/>
      <c r="D3340" s="63"/>
    </row>
    <row r="3341">
      <c r="B3341" s="63"/>
      <c r="C3341" s="63"/>
      <c r="D3341" s="63"/>
    </row>
    <row r="3342">
      <c r="B3342" s="63"/>
      <c r="C3342" s="63"/>
      <c r="D3342" s="63"/>
    </row>
    <row r="3343">
      <c r="B3343" s="63"/>
      <c r="C3343" s="63"/>
      <c r="D3343" s="63"/>
    </row>
    <row r="3344">
      <c r="B3344" s="63"/>
      <c r="C3344" s="63"/>
      <c r="D3344" s="63"/>
    </row>
    <row r="3345">
      <c r="B3345" s="63"/>
      <c r="C3345" s="63"/>
      <c r="D3345" s="63"/>
    </row>
    <row r="3346">
      <c r="B3346" s="63"/>
      <c r="C3346" s="63"/>
      <c r="D3346" s="63"/>
    </row>
    <row r="3347">
      <c r="B3347" s="63"/>
      <c r="C3347" s="63"/>
      <c r="D3347" s="63"/>
    </row>
    <row r="3348">
      <c r="B3348" s="63"/>
      <c r="C3348" s="63"/>
      <c r="D3348" s="63"/>
    </row>
    <row r="3349">
      <c r="B3349" s="63"/>
      <c r="C3349" s="63"/>
      <c r="D3349" s="63"/>
    </row>
    <row r="3350">
      <c r="B3350" s="63"/>
      <c r="C3350" s="63"/>
      <c r="D3350" s="63"/>
    </row>
    <row r="3351">
      <c r="B3351" s="63"/>
      <c r="C3351" s="63"/>
      <c r="D3351" s="63"/>
    </row>
    <row r="3352">
      <c r="B3352" s="63"/>
      <c r="C3352" s="63"/>
      <c r="D3352" s="63"/>
    </row>
    <row r="3353">
      <c r="B3353" s="63"/>
      <c r="C3353" s="63"/>
      <c r="D3353" s="63"/>
    </row>
    <row r="3354">
      <c r="B3354" s="63"/>
      <c r="C3354" s="63"/>
      <c r="D3354" s="63"/>
    </row>
    <row r="3355">
      <c r="B3355" s="63"/>
      <c r="C3355" s="63"/>
      <c r="D3355" s="63"/>
    </row>
    <row r="3356">
      <c r="B3356" s="63"/>
      <c r="C3356" s="63"/>
      <c r="D3356" s="63"/>
    </row>
    <row r="3357">
      <c r="B3357" s="63"/>
      <c r="C3357" s="63"/>
      <c r="D3357" s="63"/>
    </row>
    <row r="3358">
      <c r="B3358" s="63"/>
      <c r="C3358" s="63"/>
      <c r="D3358" s="63"/>
    </row>
    <row r="3359">
      <c r="B3359" s="63"/>
      <c r="C3359" s="63"/>
      <c r="D3359" s="63"/>
    </row>
    <row r="3360">
      <c r="B3360" s="63"/>
      <c r="C3360" s="63"/>
      <c r="D3360" s="63"/>
    </row>
    <row r="3361">
      <c r="B3361" s="63"/>
      <c r="C3361" s="63"/>
      <c r="D3361" s="63"/>
    </row>
    <row r="3362">
      <c r="B3362" s="63"/>
      <c r="C3362" s="63"/>
      <c r="D3362" s="63"/>
    </row>
    <row r="3363">
      <c r="B3363" s="63"/>
      <c r="C3363" s="63"/>
      <c r="D3363" s="63"/>
    </row>
    <row r="3364">
      <c r="B3364" s="63"/>
      <c r="C3364" s="63"/>
      <c r="D3364" s="63"/>
    </row>
    <row r="3365">
      <c r="B3365" s="63"/>
      <c r="C3365" s="63"/>
      <c r="D3365" s="63"/>
    </row>
    <row r="3366">
      <c r="B3366" s="63"/>
      <c r="C3366" s="63"/>
      <c r="D3366" s="63"/>
    </row>
    <row r="3367">
      <c r="B3367" s="63"/>
      <c r="C3367" s="63"/>
      <c r="D3367" s="63"/>
    </row>
    <row r="3368">
      <c r="B3368" s="63"/>
      <c r="C3368" s="63"/>
      <c r="D3368" s="63"/>
    </row>
    <row r="3369">
      <c r="B3369" s="63"/>
      <c r="C3369" s="63"/>
      <c r="D3369" s="63"/>
    </row>
    <row r="3370">
      <c r="B3370" s="63"/>
      <c r="C3370" s="63"/>
      <c r="D3370" s="63"/>
    </row>
    <row r="3371">
      <c r="B3371" s="63"/>
      <c r="C3371" s="63"/>
      <c r="D3371" s="63"/>
    </row>
    <row r="3372">
      <c r="B3372" s="63"/>
      <c r="C3372" s="63"/>
      <c r="D3372" s="63"/>
    </row>
    <row r="3373">
      <c r="B3373" s="63"/>
      <c r="C3373" s="63"/>
      <c r="D3373" s="63"/>
    </row>
    <row r="3374">
      <c r="B3374" s="63"/>
      <c r="C3374" s="63"/>
      <c r="D3374" s="63"/>
    </row>
    <row r="3375">
      <c r="B3375" s="63"/>
      <c r="C3375" s="63"/>
      <c r="D3375" s="63"/>
    </row>
    <row r="3376">
      <c r="B3376" s="63"/>
      <c r="C3376" s="63"/>
      <c r="D3376" s="63"/>
    </row>
    <row r="3377">
      <c r="B3377" s="63"/>
      <c r="C3377" s="63"/>
      <c r="D3377" s="63"/>
    </row>
    <row r="3378">
      <c r="B3378" s="63"/>
      <c r="C3378" s="63"/>
      <c r="D3378" s="63"/>
    </row>
    <row r="3379">
      <c r="B3379" s="63"/>
      <c r="C3379" s="63"/>
      <c r="D3379" s="63"/>
    </row>
    <row r="3380">
      <c r="B3380" s="63"/>
      <c r="C3380" s="63"/>
      <c r="D3380" s="63"/>
    </row>
    <row r="3381">
      <c r="B3381" s="63"/>
      <c r="C3381" s="63"/>
      <c r="D3381" s="63"/>
    </row>
    <row r="3382">
      <c r="B3382" s="63"/>
      <c r="C3382" s="63"/>
      <c r="D3382" s="63"/>
    </row>
    <row r="3383">
      <c r="B3383" s="63"/>
      <c r="C3383" s="63"/>
      <c r="D3383" s="63"/>
    </row>
    <row r="3384">
      <c r="B3384" s="63"/>
      <c r="C3384" s="63"/>
      <c r="D3384" s="63"/>
    </row>
    <row r="3385">
      <c r="B3385" s="63"/>
      <c r="C3385" s="63"/>
      <c r="D3385" s="63"/>
    </row>
    <row r="3386">
      <c r="B3386" s="63"/>
      <c r="C3386" s="63"/>
      <c r="D3386" s="63"/>
    </row>
    <row r="3387">
      <c r="B3387" s="63"/>
      <c r="C3387" s="63"/>
      <c r="D3387" s="63"/>
    </row>
    <row r="3388">
      <c r="B3388" s="63"/>
      <c r="C3388" s="63"/>
      <c r="D3388" s="63"/>
    </row>
    <row r="3389">
      <c r="B3389" s="63"/>
      <c r="C3389" s="63"/>
      <c r="D3389" s="63"/>
    </row>
    <row r="3390">
      <c r="B3390" s="63"/>
      <c r="C3390" s="63"/>
      <c r="D3390" s="63"/>
    </row>
    <row r="3391">
      <c r="B3391" s="63"/>
      <c r="C3391" s="63"/>
      <c r="D3391" s="63"/>
    </row>
    <row r="3392">
      <c r="B3392" s="63"/>
      <c r="C3392" s="63"/>
      <c r="D3392" s="63"/>
    </row>
    <row r="3393">
      <c r="B3393" s="63"/>
      <c r="C3393" s="63"/>
      <c r="D3393" s="63"/>
    </row>
    <row r="3394">
      <c r="B3394" s="63"/>
      <c r="C3394" s="63"/>
      <c r="D3394" s="63"/>
    </row>
    <row r="3395">
      <c r="B3395" s="63"/>
      <c r="C3395" s="63"/>
      <c r="D3395" s="63"/>
    </row>
    <row r="3396">
      <c r="B3396" s="63"/>
      <c r="C3396" s="63"/>
      <c r="D3396" s="63"/>
    </row>
    <row r="3397">
      <c r="B3397" s="63"/>
      <c r="C3397" s="63"/>
      <c r="D3397" s="63"/>
    </row>
    <row r="3398">
      <c r="B3398" s="63"/>
      <c r="C3398" s="63"/>
      <c r="D3398" s="63"/>
    </row>
    <row r="3399">
      <c r="B3399" s="63"/>
      <c r="C3399" s="63"/>
      <c r="D3399" s="63"/>
    </row>
    <row r="3400">
      <c r="B3400" s="63"/>
      <c r="C3400" s="63"/>
      <c r="D3400" s="63"/>
    </row>
    <row r="3401">
      <c r="B3401" s="63"/>
      <c r="C3401" s="63"/>
      <c r="D3401" s="63"/>
    </row>
    <row r="3402">
      <c r="B3402" s="63"/>
      <c r="C3402" s="63"/>
      <c r="D3402" s="63"/>
    </row>
    <row r="3403">
      <c r="B3403" s="63"/>
      <c r="C3403" s="63"/>
      <c r="D3403" s="63"/>
    </row>
    <row r="3404">
      <c r="B3404" s="63"/>
      <c r="C3404" s="63"/>
      <c r="D3404" s="63"/>
    </row>
    <row r="3405">
      <c r="B3405" s="63"/>
      <c r="C3405" s="63"/>
      <c r="D3405" s="63"/>
    </row>
    <row r="3406">
      <c r="B3406" s="63"/>
      <c r="C3406" s="63"/>
      <c r="D3406" s="63"/>
    </row>
    <row r="3407">
      <c r="B3407" s="63"/>
      <c r="C3407" s="63"/>
      <c r="D3407" s="63"/>
    </row>
    <row r="3408">
      <c r="B3408" s="63"/>
      <c r="C3408" s="63"/>
      <c r="D3408" s="63"/>
    </row>
    <row r="3409">
      <c r="B3409" s="63"/>
      <c r="C3409" s="63"/>
      <c r="D3409" s="63"/>
    </row>
    <row r="3410">
      <c r="B3410" s="63"/>
      <c r="C3410" s="63"/>
      <c r="D3410" s="63"/>
    </row>
    <row r="3411">
      <c r="B3411" s="63"/>
      <c r="C3411" s="63"/>
      <c r="D3411" s="63"/>
    </row>
    <row r="3412">
      <c r="B3412" s="63"/>
      <c r="C3412" s="63"/>
      <c r="D3412" s="63"/>
    </row>
    <row r="3413">
      <c r="B3413" s="63"/>
      <c r="C3413" s="63"/>
      <c r="D3413" s="63"/>
    </row>
    <row r="3414">
      <c r="B3414" s="63"/>
      <c r="C3414" s="63"/>
      <c r="D3414" s="63"/>
    </row>
    <row r="3415">
      <c r="B3415" s="63"/>
      <c r="C3415" s="63"/>
      <c r="D3415" s="63"/>
    </row>
    <row r="3416">
      <c r="B3416" s="63"/>
      <c r="C3416" s="63"/>
      <c r="D3416" s="63"/>
    </row>
    <row r="3417">
      <c r="B3417" s="63"/>
      <c r="C3417" s="63"/>
      <c r="D3417" s="63"/>
    </row>
    <row r="3418">
      <c r="B3418" s="63"/>
      <c r="C3418" s="63"/>
      <c r="D3418" s="63"/>
    </row>
    <row r="3419">
      <c r="B3419" s="63"/>
      <c r="C3419" s="63"/>
      <c r="D3419" s="63"/>
    </row>
    <row r="3420">
      <c r="B3420" s="63"/>
      <c r="C3420" s="63"/>
      <c r="D3420" s="63"/>
    </row>
    <row r="3421">
      <c r="B3421" s="63"/>
      <c r="C3421" s="63"/>
      <c r="D3421" s="63"/>
    </row>
    <row r="3422">
      <c r="B3422" s="63"/>
      <c r="C3422" s="63"/>
      <c r="D3422" s="63"/>
    </row>
    <row r="3423">
      <c r="B3423" s="63"/>
      <c r="C3423" s="63"/>
      <c r="D3423" s="63"/>
    </row>
    <row r="3424">
      <c r="B3424" s="63"/>
      <c r="C3424" s="63"/>
      <c r="D3424" s="63"/>
    </row>
    <row r="3425">
      <c r="B3425" s="63"/>
      <c r="C3425" s="63"/>
      <c r="D3425" s="63"/>
    </row>
    <row r="3426">
      <c r="B3426" s="63"/>
      <c r="C3426" s="63"/>
      <c r="D3426" s="63"/>
    </row>
    <row r="3427">
      <c r="B3427" s="63"/>
      <c r="C3427" s="63"/>
      <c r="D3427" s="63"/>
    </row>
    <row r="3428">
      <c r="B3428" s="63"/>
      <c r="C3428" s="63"/>
      <c r="D3428" s="63"/>
    </row>
    <row r="3429">
      <c r="B3429" s="63"/>
      <c r="C3429" s="63"/>
      <c r="D3429" s="63"/>
    </row>
    <row r="3430">
      <c r="B3430" s="63"/>
      <c r="C3430" s="63"/>
      <c r="D3430" s="63"/>
    </row>
    <row r="3431">
      <c r="B3431" s="63"/>
      <c r="C3431" s="63"/>
      <c r="D3431" s="63"/>
    </row>
    <row r="3432">
      <c r="B3432" s="63"/>
      <c r="C3432" s="63"/>
      <c r="D3432" s="63"/>
    </row>
    <row r="3433">
      <c r="B3433" s="63"/>
      <c r="C3433" s="63"/>
      <c r="D3433" s="63"/>
    </row>
    <row r="3434">
      <c r="B3434" s="63"/>
      <c r="C3434" s="63"/>
      <c r="D3434" s="63"/>
    </row>
    <row r="3435">
      <c r="B3435" s="63"/>
      <c r="C3435" s="63"/>
      <c r="D3435" s="63"/>
    </row>
    <row r="3436">
      <c r="B3436" s="63"/>
      <c r="C3436" s="63"/>
      <c r="D3436" s="63"/>
    </row>
    <row r="3437">
      <c r="B3437" s="63"/>
      <c r="C3437" s="63"/>
      <c r="D3437" s="63"/>
    </row>
    <row r="3438">
      <c r="B3438" s="63"/>
      <c r="C3438" s="63"/>
      <c r="D3438" s="63"/>
    </row>
    <row r="3439">
      <c r="B3439" s="63"/>
      <c r="C3439" s="63"/>
      <c r="D3439" s="63"/>
    </row>
    <row r="3440">
      <c r="B3440" s="63"/>
      <c r="C3440" s="63"/>
      <c r="D3440" s="63"/>
    </row>
    <row r="3441">
      <c r="B3441" s="63"/>
      <c r="C3441" s="63"/>
      <c r="D3441" s="63"/>
    </row>
    <row r="3442">
      <c r="B3442" s="63"/>
      <c r="C3442" s="63"/>
      <c r="D3442" s="63"/>
    </row>
    <row r="3443">
      <c r="B3443" s="63"/>
      <c r="C3443" s="63"/>
      <c r="D3443" s="63"/>
    </row>
    <row r="3444">
      <c r="B3444" s="63"/>
      <c r="C3444" s="63"/>
      <c r="D3444" s="63"/>
    </row>
    <row r="3445">
      <c r="B3445" s="63"/>
      <c r="C3445" s="63"/>
      <c r="D3445" s="63"/>
    </row>
    <row r="3446">
      <c r="B3446" s="63"/>
      <c r="C3446" s="63"/>
      <c r="D3446" s="63"/>
    </row>
    <row r="3447">
      <c r="B3447" s="63"/>
      <c r="C3447" s="63"/>
      <c r="D3447" s="63"/>
    </row>
    <row r="3448">
      <c r="B3448" s="63"/>
      <c r="C3448" s="63"/>
      <c r="D3448" s="63"/>
    </row>
    <row r="3449">
      <c r="B3449" s="63"/>
      <c r="C3449" s="63"/>
      <c r="D3449" s="63"/>
    </row>
    <row r="3450">
      <c r="B3450" s="63"/>
      <c r="C3450" s="63"/>
      <c r="D3450" s="63"/>
    </row>
    <row r="3451">
      <c r="B3451" s="63"/>
      <c r="C3451" s="63"/>
      <c r="D3451" s="63"/>
    </row>
    <row r="3452">
      <c r="B3452" s="63"/>
      <c r="C3452" s="63"/>
      <c r="D3452" s="63"/>
    </row>
    <row r="3453">
      <c r="B3453" s="63"/>
      <c r="C3453" s="63"/>
      <c r="D3453" s="63"/>
    </row>
    <row r="3454">
      <c r="B3454" s="63"/>
      <c r="C3454" s="63"/>
      <c r="D3454" s="63"/>
    </row>
    <row r="3455">
      <c r="B3455" s="63"/>
      <c r="C3455" s="63"/>
      <c r="D3455" s="63"/>
    </row>
    <row r="3456">
      <c r="B3456" s="63"/>
      <c r="C3456" s="63"/>
      <c r="D3456" s="63"/>
    </row>
    <row r="3457">
      <c r="B3457" s="63"/>
      <c r="C3457" s="63"/>
      <c r="D3457" s="63"/>
    </row>
    <row r="3458">
      <c r="B3458" s="63"/>
      <c r="C3458" s="63"/>
      <c r="D3458" s="63"/>
    </row>
    <row r="3459">
      <c r="B3459" s="63"/>
      <c r="C3459" s="63"/>
      <c r="D3459" s="63"/>
    </row>
    <row r="3460">
      <c r="B3460" s="63"/>
      <c r="C3460" s="63"/>
      <c r="D3460" s="63"/>
    </row>
    <row r="3461">
      <c r="B3461" s="63"/>
      <c r="C3461" s="63"/>
      <c r="D3461" s="63"/>
    </row>
    <row r="3462">
      <c r="B3462" s="63"/>
      <c r="C3462" s="63"/>
      <c r="D3462" s="63"/>
    </row>
    <row r="3463">
      <c r="B3463" s="63"/>
      <c r="C3463" s="63"/>
      <c r="D3463" s="63"/>
    </row>
    <row r="3464">
      <c r="B3464" s="63"/>
      <c r="C3464" s="63"/>
      <c r="D3464" s="63"/>
    </row>
    <row r="3465">
      <c r="B3465" s="63"/>
      <c r="C3465" s="63"/>
      <c r="D3465" s="63"/>
    </row>
    <row r="3466">
      <c r="B3466" s="63"/>
      <c r="C3466" s="63"/>
      <c r="D3466" s="63"/>
    </row>
    <row r="3467">
      <c r="B3467" s="63"/>
      <c r="C3467" s="63"/>
      <c r="D3467" s="63"/>
    </row>
    <row r="3468">
      <c r="B3468" s="63"/>
      <c r="C3468" s="63"/>
      <c r="D3468" s="63"/>
    </row>
    <row r="3469">
      <c r="B3469" s="63"/>
      <c r="C3469" s="63"/>
      <c r="D3469" s="63"/>
    </row>
    <row r="3470">
      <c r="B3470" s="63"/>
      <c r="C3470" s="63"/>
      <c r="D3470" s="63"/>
    </row>
    <row r="3471">
      <c r="B3471" s="63"/>
      <c r="C3471" s="63"/>
      <c r="D3471" s="63"/>
    </row>
    <row r="3472">
      <c r="B3472" s="63"/>
      <c r="C3472" s="63"/>
      <c r="D3472" s="63"/>
    </row>
    <row r="3473">
      <c r="B3473" s="63"/>
      <c r="C3473" s="63"/>
      <c r="D3473" s="63"/>
    </row>
    <row r="3474">
      <c r="B3474" s="63"/>
      <c r="C3474" s="63"/>
      <c r="D3474" s="63"/>
    </row>
    <row r="3475">
      <c r="B3475" s="63"/>
      <c r="C3475" s="63"/>
      <c r="D3475" s="63"/>
    </row>
    <row r="3476">
      <c r="B3476" s="63"/>
      <c r="C3476" s="63"/>
      <c r="D3476" s="63"/>
    </row>
    <row r="3477">
      <c r="B3477" s="63"/>
      <c r="C3477" s="63"/>
      <c r="D3477" s="63"/>
    </row>
    <row r="3478">
      <c r="B3478" s="63"/>
      <c r="C3478" s="63"/>
      <c r="D3478" s="63"/>
    </row>
    <row r="3479">
      <c r="B3479" s="63"/>
      <c r="C3479" s="63"/>
      <c r="D3479" s="63"/>
    </row>
    <row r="3480">
      <c r="B3480" s="63"/>
      <c r="C3480" s="63"/>
      <c r="D3480" s="63"/>
    </row>
    <row r="3481">
      <c r="B3481" s="63"/>
      <c r="C3481" s="63"/>
      <c r="D3481" s="63"/>
    </row>
    <row r="3482">
      <c r="B3482" s="63"/>
      <c r="C3482" s="63"/>
      <c r="D3482" s="63"/>
    </row>
    <row r="3483">
      <c r="B3483" s="63"/>
      <c r="C3483" s="63"/>
      <c r="D3483" s="63"/>
    </row>
    <row r="3484">
      <c r="B3484" s="63"/>
      <c r="C3484" s="63"/>
      <c r="D3484" s="63"/>
    </row>
    <row r="3485">
      <c r="B3485" s="63"/>
      <c r="C3485" s="63"/>
      <c r="D3485" s="63"/>
    </row>
    <row r="3486">
      <c r="B3486" s="63"/>
      <c r="C3486" s="63"/>
      <c r="D3486" s="63"/>
    </row>
    <row r="3487">
      <c r="B3487" s="63"/>
      <c r="C3487" s="63"/>
      <c r="D3487" s="63"/>
    </row>
    <row r="3488">
      <c r="B3488" s="63"/>
      <c r="C3488" s="63"/>
      <c r="D3488" s="63"/>
    </row>
    <row r="3489">
      <c r="B3489" s="63"/>
      <c r="C3489" s="63"/>
      <c r="D3489" s="63"/>
    </row>
    <row r="3490">
      <c r="B3490" s="63"/>
      <c r="C3490" s="63"/>
      <c r="D3490" s="63"/>
    </row>
    <row r="3491">
      <c r="B3491" s="63"/>
      <c r="C3491" s="63"/>
      <c r="D3491" s="63"/>
    </row>
    <row r="3492">
      <c r="B3492" s="63"/>
      <c r="C3492" s="63"/>
      <c r="D3492" s="63"/>
    </row>
    <row r="3493">
      <c r="B3493" s="63"/>
      <c r="C3493" s="63"/>
      <c r="D3493" s="63"/>
    </row>
    <row r="3494">
      <c r="B3494" s="63"/>
      <c r="C3494" s="63"/>
      <c r="D3494" s="63"/>
    </row>
    <row r="3495">
      <c r="B3495" s="63"/>
      <c r="C3495" s="63"/>
      <c r="D3495" s="63"/>
    </row>
    <row r="3496">
      <c r="B3496" s="63"/>
      <c r="C3496" s="63"/>
      <c r="D3496" s="63"/>
    </row>
    <row r="3497">
      <c r="B3497" s="63"/>
      <c r="C3497" s="63"/>
      <c r="D3497" s="63"/>
    </row>
    <row r="3498">
      <c r="B3498" s="63"/>
      <c r="C3498" s="63"/>
      <c r="D3498" s="63"/>
    </row>
    <row r="3499">
      <c r="B3499" s="63"/>
      <c r="C3499" s="63"/>
      <c r="D3499" s="63"/>
    </row>
    <row r="3500">
      <c r="B3500" s="63"/>
      <c r="C3500" s="63"/>
      <c r="D3500" s="63"/>
    </row>
    <row r="3501">
      <c r="B3501" s="63"/>
      <c r="C3501" s="63"/>
      <c r="D3501" s="63"/>
    </row>
    <row r="3502">
      <c r="B3502" s="63"/>
      <c r="C3502" s="63"/>
      <c r="D3502" s="63"/>
    </row>
    <row r="3503">
      <c r="B3503" s="63"/>
      <c r="C3503" s="63"/>
      <c r="D3503" s="63"/>
    </row>
    <row r="3504">
      <c r="B3504" s="63"/>
      <c r="C3504" s="63"/>
      <c r="D3504" s="63"/>
    </row>
    <row r="3505">
      <c r="B3505" s="63"/>
      <c r="C3505" s="63"/>
      <c r="D3505" s="63"/>
    </row>
    <row r="3506">
      <c r="B3506" s="63"/>
      <c r="C3506" s="63"/>
      <c r="D3506" s="63"/>
    </row>
    <row r="3507">
      <c r="B3507" s="63"/>
      <c r="C3507" s="63"/>
      <c r="D3507" s="63"/>
    </row>
    <row r="3508">
      <c r="B3508" s="63"/>
      <c r="C3508" s="63"/>
      <c r="D3508" s="63"/>
    </row>
    <row r="3509">
      <c r="B3509" s="63"/>
      <c r="C3509" s="63"/>
      <c r="D3509" s="63"/>
    </row>
    <row r="3510">
      <c r="B3510" s="63"/>
      <c r="C3510" s="63"/>
      <c r="D3510" s="63"/>
    </row>
    <row r="3511">
      <c r="B3511" s="63"/>
      <c r="C3511" s="63"/>
      <c r="D3511" s="63"/>
    </row>
    <row r="3512">
      <c r="B3512" s="63"/>
      <c r="C3512" s="63"/>
      <c r="D3512" s="63"/>
    </row>
    <row r="3513">
      <c r="B3513" s="63"/>
      <c r="C3513" s="63"/>
      <c r="D3513" s="63"/>
    </row>
    <row r="3514">
      <c r="B3514" s="63"/>
      <c r="C3514" s="63"/>
      <c r="D3514" s="63"/>
    </row>
    <row r="3515">
      <c r="B3515" s="63"/>
      <c r="C3515" s="63"/>
      <c r="D3515" s="63"/>
    </row>
    <row r="3516">
      <c r="B3516" s="63"/>
      <c r="C3516" s="63"/>
      <c r="D3516" s="63"/>
    </row>
    <row r="3517">
      <c r="B3517" s="63"/>
      <c r="C3517" s="63"/>
      <c r="D3517" s="63"/>
    </row>
    <row r="3518">
      <c r="B3518" s="63"/>
      <c r="C3518" s="63"/>
      <c r="D3518" s="63"/>
    </row>
    <row r="3519">
      <c r="B3519" s="63"/>
      <c r="C3519" s="63"/>
      <c r="D3519" s="63"/>
    </row>
    <row r="3520">
      <c r="B3520" s="63"/>
      <c r="C3520" s="63"/>
      <c r="D3520" s="63"/>
    </row>
    <row r="3521">
      <c r="B3521" s="63"/>
      <c r="C3521" s="63"/>
      <c r="D3521" s="63"/>
    </row>
    <row r="3522">
      <c r="B3522" s="63"/>
      <c r="C3522" s="63"/>
      <c r="D3522" s="63"/>
    </row>
    <row r="3523">
      <c r="B3523" s="63"/>
      <c r="C3523" s="63"/>
      <c r="D3523" s="63"/>
    </row>
    <row r="3524">
      <c r="B3524" s="63"/>
      <c r="C3524" s="63"/>
      <c r="D3524" s="63"/>
    </row>
    <row r="3525">
      <c r="B3525" s="63"/>
      <c r="C3525" s="63"/>
      <c r="D3525" s="63"/>
    </row>
    <row r="3526">
      <c r="B3526" s="63"/>
      <c r="C3526" s="63"/>
      <c r="D3526" s="63"/>
    </row>
    <row r="3527">
      <c r="B3527" s="63"/>
      <c r="C3527" s="63"/>
      <c r="D3527" s="63"/>
    </row>
    <row r="3528">
      <c r="B3528" s="63"/>
      <c r="C3528" s="63"/>
      <c r="D3528" s="63"/>
    </row>
    <row r="3529">
      <c r="B3529" s="63"/>
      <c r="C3529" s="63"/>
      <c r="D3529" s="63"/>
    </row>
    <row r="3530">
      <c r="B3530" s="63"/>
      <c r="C3530" s="63"/>
      <c r="D3530" s="63"/>
    </row>
    <row r="3531">
      <c r="B3531" s="63"/>
      <c r="C3531" s="63"/>
      <c r="D3531" s="63"/>
    </row>
    <row r="3532">
      <c r="B3532" s="63"/>
      <c r="C3532" s="63"/>
      <c r="D3532" s="63"/>
    </row>
    <row r="3533">
      <c r="B3533" s="63"/>
      <c r="C3533" s="63"/>
      <c r="D3533" s="63"/>
    </row>
    <row r="3534">
      <c r="B3534" s="63"/>
      <c r="C3534" s="63"/>
      <c r="D3534" s="63"/>
    </row>
    <row r="3535">
      <c r="B3535" s="63"/>
      <c r="C3535" s="63"/>
      <c r="D3535" s="63"/>
    </row>
    <row r="3536">
      <c r="B3536" s="63"/>
      <c r="C3536" s="63"/>
      <c r="D3536" s="63"/>
    </row>
    <row r="3537">
      <c r="B3537" s="63"/>
      <c r="C3537" s="63"/>
      <c r="D3537" s="63"/>
    </row>
    <row r="3538">
      <c r="B3538" s="63"/>
      <c r="C3538" s="63"/>
      <c r="D3538" s="63"/>
    </row>
    <row r="3539">
      <c r="B3539" s="63"/>
      <c r="C3539" s="63"/>
      <c r="D3539" s="63"/>
    </row>
    <row r="3540">
      <c r="B3540" s="63"/>
      <c r="C3540" s="63"/>
      <c r="D3540" s="63"/>
    </row>
    <row r="3541">
      <c r="B3541" s="63"/>
      <c r="C3541" s="63"/>
      <c r="D3541" s="63"/>
    </row>
    <row r="3542">
      <c r="B3542" s="63"/>
      <c r="C3542" s="63"/>
      <c r="D3542" s="63"/>
    </row>
    <row r="3543">
      <c r="B3543" s="63"/>
      <c r="C3543" s="63"/>
      <c r="D3543" s="63"/>
    </row>
    <row r="3544">
      <c r="B3544" s="63"/>
      <c r="C3544" s="63"/>
      <c r="D3544" s="63"/>
    </row>
    <row r="3545">
      <c r="B3545" s="63"/>
      <c r="C3545" s="63"/>
      <c r="D3545" s="63"/>
    </row>
    <row r="3546">
      <c r="B3546" s="63"/>
      <c r="C3546" s="63"/>
      <c r="D3546" s="63"/>
    </row>
    <row r="3547">
      <c r="B3547" s="63"/>
      <c r="C3547" s="63"/>
      <c r="D3547" s="63"/>
    </row>
    <row r="3548">
      <c r="B3548" s="63"/>
      <c r="C3548" s="63"/>
      <c r="D3548" s="63"/>
    </row>
    <row r="3549">
      <c r="B3549" s="63"/>
      <c r="C3549" s="63"/>
      <c r="D3549" s="63"/>
    </row>
    <row r="3550">
      <c r="B3550" s="63"/>
      <c r="C3550" s="63"/>
      <c r="D3550" s="63"/>
    </row>
    <row r="3551">
      <c r="B3551" s="63"/>
      <c r="C3551" s="63"/>
      <c r="D3551" s="63"/>
    </row>
    <row r="3552">
      <c r="B3552" s="63"/>
      <c r="C3552" s="63"/>
      <c r="D3552" s="63"/>
    </row>
    <row r="3553">
      <c r="B3553" s="63"/>
      <c r="C3553" s="63"/>
      <c r="D3553" s="63"/>
    </row>
    <row r="3554">
      <c r="B3554" s="63"/>
      <c r="C3554" s="63"/>
      <c r="D3554" s="63"/>
    </row>
    <row r="3555">
      <c r="B3555" s="63"/>
      <c r="C3555" s="63"/>
      <c r="D3555" s="63"/>
    </row>
    <row r="3556">
      <c r="B3556" s="63"/>
      <c r="C3556" s="63"/>
      <c r="D3556" s="63"/>
    </row>
    <row r="3557">
      <c r="B3557" s="63"/>
      <c r="C3557" s="63"/>
      <c r="D3557" s="63"/>
    </row>
    <row r="3558">
      <c r="B3558" s="63"/>
      <c r="C3558" s="63"/>
      <c r="D3558" s="63"/>
    </row>
    <row r="3559">
      <c r="B3559" s="63"/>
      <c r="C3559" s="63"/>
      <c r="D3559" s="63"/>
    </row>
    <row r="3560">
      <c r="B3560" s="63"/>
      <c r="C3560" s="63"/>
      <c r="D3560" s="63"/>
    </row>
    <row r="3561">
      <c r="B3561" s="63"/>
      <c r="C3561" s="63"/>
      <c r="D3561" s="63"/>
    </row>
    <row r="3562">
      <c r="B3562" s="63"/>
      <c r="C3562" s="63"/>
      <c r="D3562" s="63"/>
    </row>
    <row r="3563">
      <c r="B3563" s="63"/>
      <c r="C3563" s="63"/>
      <c r="D3563" s="63"/>
    </row>
    <row r="3564">
      <c r="B3564" s="63"/>
      <c r="C3564" s="63"/>
      <c r="D3564" s="63"/>
    </row>
    <row r="3565">
      <c r="B3565" s="63"/>
      <c r="C3565" s="63"/>
      <c r="D3565" s="63"/>
    </row>
    <row r="3566">
      <c r="B3566" s="63"/>
      <c r="C3566" s="63"/>
      <c r="D3566" s="63"/>
    </row>
    <row r="3567">
      <c r="B3567" s="63"/>
      <c r="C3567" s="63"/>
      <c r="D3567" s="63"/>
    </row>
    <row r="3568">
      <c r="B3568" s="63"/>
      <c r="C3568" s="63"/>
      <c r="D3568" s="63"/>
    </row>
    <row r="3569">
      <c r="B3569" s="63"/>
      <c r="C3569" s="63"/>
      <c r="D3569" s="63"/>
    </row>
    <row r="3570">
      <c r="B3570" s="63"/>
      <c r="C3570" s="63"/>
      <c r="D3570" s="63"/>
    </row>
    <row r="3571">
      <c r="B3571" s="63"/>
      <c r="C3571" s="63"/>
      <c r="D3571" s="63"/>
    </row>
    <row r="3572">
      <c r="B3572" s="63"/>
      <c r="C3572" s="63"/>
      <c r="D3572" s="63"/>
    </row>
    <row r="3573">
      <c r="B3573" s="63"/>
      <c r="C3573" s="63"/>
      <c r="D3573" s="63"/>
    </row>
    <row r="3574">
      <c r="B3574" s="63"/>
      <c r="C3574" s="63"/>
      <c r="D3574" s="63"/>
    </row>
    <row r="3575">
      <c r="B3575" s="63"/>
      <c r="C3575" s="63"/>
      <c r="D3575" s="63"/>
    </row>
    <row r="3576">
      <c r="B3576" s="63"/>
      <c r="C3576" s="63"/>
      <c r="D3576" s="63"/>
    </row>
    <row r="3577">
      <c r="B3577" s="63"/>
      <c r="C3577" s="63"/>
      <c r="D3577" s="63"/>
    </row>
    <row r="3578">
      <c r="B3578" s="63"/>
      <c r="C3578" s="63"/>
      <c r="D3578" s="63"/>
    </row>
    <row r="3579">
      <c r="B3579" s="63"/>
      <c r="C3579" s="63"/>
      <c r="D3579" s="63"/>
    </row>
    <row r="3580">
      <c r="B3580" s="63"/>
      <c r="C3580" s="63"/>
      <c r="D3580" s="63"/>
    </row>
    <row r="3581">
      <c r="B3581" s="63"/>
      <c r="C3581" s="63"/>
      <c r="D3581" s="63"/>
    </row>
    <row r="3582">
      <c r="B3582" s="63"/>
      <c r="C3582" s="63"/>
      <c r="D3582" s="63"/>
    </row>
    <row r="3583">
      <c r="B3583" s="63"/>
      <c r="C3583" s="63"/>
      <c r="D3583" s="63"/>
    </row>
    <row r="3584">
      <c r="B3584" s="63"/>
      <c r="C3584" s="63"/>
      <c r="D3584" s="63"/>
    </row>
    <row r="3585">
      <c r="B3585" s="63"/>
      <c r="C3585" s="63"/>
      <c r="D3585" s="63"/>
    </row>
    <row r="3586">
      <c r="B3586" s="63"/>
      <c r="C3586" s="63"/>
      <c r="D3586" s="63"/>
    </row>
    <row r="3587">
      <c r="B3587" s="63"/>
      <c r="C3587" s="63"/>
      <c r="D3587" s="63"/>
    </row>
    <row r="3588">
      <c r="B3588" s="63"/>
      <c r="C3588" s="63"/>
      <c r="D3588" s="63"/>
    </row>
    <row r="3589">
      <c r="B3589" s="63"/>
      <c r="C3589" s="63"/>
      <c r="D3589" s="63"/>
    </row>
    <row r="3590">
      <c r="B3590" s="63"/>
      <c r="C3590" s="63"/>
      <c r="D3590" s="63"/>
    </row>
    <row r="3591">
      <c r="B3591" s="63"/>
      <c r="C3591" s="63"/>
      <c r="D3591" s="63"/>
    </row>
    <row r="3592">
      <c r="B3592" s="63"/>
      <c r="C3592" s="63"/>
      <c r="D3592" s="63"/>
    </row>
    <row r="3593">
      <c r="B3593" s="63"/>
      <c r="C3593" s="63"/>
      <c r="D3593" s="63"/>
    </row>
    <row r="3594">
      <c r="B3594" s="63"/>
      <c r="C3594" s="63"/>
      <c r="D3594" s="63"/>
    </row>
    <row r="3595">
      <c r="B3595" s="63"/>
      <c r="C3595" s="63"/>
      <c r="D3595" s="63"/>
    </row>
    <row r="3596">
      <c r="B3596" s="63"/>
      <c r="C3596" s="63"/>
      <c r="D3596" s="63"/>
    </row>
    <row r="3597">
      <c r="B3597" s="63"/>
      <c r="C3597" s="63"/>
      <c r="D3597" s="63"/>
    </row>
    <row r="3598">
      <c r="B3598" s="63"/>
      <c r="C3598" s="63"/>
      <c r="D3598" s="63"/>
    </row>
    <row r="3599">
      <c r="B3599" s="63"/>
      <c r="C3599" s="63"/>
      <c r="D3599" s="63"/>
    </row>
    <row r="3600">
      <c r="B3600" s="63"/>
      <c r="C3600" s="63"/>
      <c r="D3600" s="63"/>
    </row>
    <row r="3601">
      <c r="B3601" s="63"/>
      <c r="C3601" s="63"/>
      <c r="D3601" s="63"/>
    </row>
    <row r="3602">
      <c r="B3602" s="63"/>
      <c r="C3602" s="63"/>
      <c r="D3602" s="63"/>
    </row>
    <row r="3603">
      <c r="B3603" s="63"/>
      <c r="C3603" s="63"/>
      <c r="D3603" s="63"/>
    </row>
    <row r="3604">
      <c r="B3604" s="63"/>
      <c r="C3604" s="63"/>
      <c r="D3604" s="63"/>
    </row>
    <row r="3605">
      <c r="B3605" s="63"/>
      <c r="C3605" s="63"/>
      <c r="D3605" s="63"/>
    </row>
    <row r="3606">
      <c r="B3606" s="63"/>
      <c r="C3606" s="63"/>
      <c r="D3606" s="63"/>
    </row>
    <row r="3607">
      <c r="B3607" s="63"/>
      <c r="C3607" s="63"/>
      <c r="D3607" s="63"/>
    </row>
    <row r="3608">
      <c r="B3608" s="63"/>
      <c r="C3608" s="63"/>
      <c r="D3608" s="63"/>
    </row>
    <row r="3609">
      <c r="B3609" s="63"/>
      <c r="C3609" s="63"/>
      <c r="D3609" s="63"/>
    </row>
    <row r="3610">
      <c r="B3610" s="63"/>
      <c r="C3610" s="63"/>
      <c r="D3610" s="63"/>
    </row>
    <row r="3611">
      <c r="B3611" s="63"/>
      <c r="C3611" s="63"/>
      <c r="D3611" s="63"/>
    </row>
    <row r="3612">
      <c r="B3612" s="63"/>
      <c r="C3612" s="63"/>
      <c r="D3612" s="63"/>
    </row>
    <row r="3613">
      <c r="B3613" s="63"/>
      <c r="C3613" s="63"/>
      <c r="D3613" s="63"/>
    </row>
    <row r="3614">
      <c r="B3614" s="63"/>
      <c r="C3614" s="63"/>
      <c r="D3614" s="63"/>
    </row>
    <row r="3615">
      <c r="B3615" s="63"/>
      <c r="C3615" s="63"/>
      <c r="D3615" s="63"/>
    </row>
    <row r="3616">
      <c r="B3616" s="63"/>
      <c r="C3616" s="63"/>
      <c r="D3616" s="63"/>
    </row>
    <row r="3617">
      <c r="B3617" s="63"/>
      <c r="C3617" s="63"/>
      <c r="D3617" s="63"/>
    </row>
    <row r="3618">
      <c r="B3618" s="63"/>
      <c r="C3618" s="63"/>
      <c r="D3618" s="63"/>
    </row>
    <row r="3619">
      <c r="B3619" s="63"/>
      <c r="C3619" s="63"/>
      <c r="D3619" s="63"/>
    </row>
    <row r="3620">
      <c r="B3620" s="63"/>
      <c r="C3620" s="63"/>
      <c r="D3620" s="63"/>
    </row>
    <row r="3621">
      <c r="B3621" s="63"/>
      <c r="C3621" s="63"/>
      <c r="D3621" s="63"/>
    </row>
    <row r="3622">
      <c r="B3622" s="63"/>
      <c r="C3622" s="63"/>
      <c r="D3622" s="63"/>
    </row>
    <row r="3623">
      <c r="B3623" s="63"/>
      <c r="C3623" s="63"/>
      <c r="D3623" s="63"/>
    </row>
    <row r="3624">
      <c r="B3624" s="63"/>
      <c r="C3624" s="63"/>
      <c r="D3624" s="63"/>
    </row>
    <row r="3625">
      <c r="B3625" s="63"/>
      <c r="C3625" s="63"/>
      <c r="D3625" s="63"/>
    </row>
    <row r="3626">
      <c r="B3626" s="63"/>
      <c r="C3626" s="63"/>
      <c r="D3626" s="63"/>
    </row>
    <row r="3627">
      <c r="B3627" s="63"/>
      <c r="C3627" s="63"/>
      <c r="D3627" s="63"/>
    </row>
    <row r="3628">
      <c r="B3628" s="63"/>
      <c r="C3628" s="63"/>
      <c r="D3628" s="63"/>
    </row>
    <row r="3629">
      <c r="B3629" s="63"/>
      <c r="C3629" s="63"/>
      <c r="D3629" s="63"/>
    </row>
    <row r="3630">
      <c r="B3630" s="63"/>
      <c r="C3630" s="63"/>
      <c r="D3630" s="63"/>
    </row>
    <row r="3631">
      <c r="B3631" s="63"/>
      <c r="C3631" s="63"/>
      <c r="D3631" s="63"/>
    </row>
    <row r="3632">
      <c r="B3632" s="63"/>
      <c r="C3632" s="63"/>
      <c r="D3632" s="63"/>
    </row>
    <row r="3633">
      <c r="B3633" s="63"/>
      <c r="C3633" s="63"/>
      <c r="D3633" s="63"/>
    </row>
    <row r="3634">
      <c r="B3634" s="63"/>
      <c r="C3634" s="63"/>
      <c r="D3634" s="63"/>
    </row>
    <row r="3635">
      <c r="B3635" s="63"/>
      <c r="C3635" s="63"/>
      <c r="D3635" s="63"/>
    </row>
    <row r="3636">
      <c r="B3636" s="63"/>
      <c r="C3636" s="63"/>
      <c r="D3636" s="63"/>
    </row>
    <row r="3637">
      <c r="B3637" s="63"/>
      <c r="C3637" s="63"/>
      <c r="D3637" s="63"/>
    </row>
    <row r="3638">
      <c r="B3638" s="63"/>
      <c r="C3638" s="63"/>
      <c r="D3638" s="63"/>
    </row>
    <row r="3639">
      <c r="B3639" s="63"/>
      <c r="C3639" s="63"/>
      <c r="D3639" s="63"/>
    </row>
    <row r="3640">
      <c r="B3640" s="63"/>
      <c r="C3640" s="63"/>
      <c r="D3640" s="63"/>
    </row>
    <row r="3641">
      <c r="B3641" s="63"/>
      <c r="C3641" s="63"/>
      <c r="D3641" s="63"/>
    </row>
    <row r="3642">
      <c r="B3642" s="63"/>
      <c r="C3642" s="63"/>
      <c r="D3642" s="63"/>
    </row>
    <row r="3643">
      <c r="B3643" s="63"/>
      <c r="C3643" s="63"/>
      <c r="D3643" s="63"/>
    </row>
    <row r="3644">
      <c r="B3644" s="63"/>
      <c r="C3644" s="63"/>
      <c r="D3644" s="63"/>
    </row>
    <row r="3645">
      <c r="B3645" s="63"/>
      <c r="C3645" s="63"/>
      <c r="D3645" s="63"/>
    </row>
    <row r="3646">
      <c r="B3646" s="63"/>
      <c r="C3646" s="63"/>
      <c r="D3646" s="63"/>
    </row>
    <row r="3647">
      <c r="B3647" s="63"/>
      <c r="C3647" s="63"/>
      <c r="D3647" s="63"/>
    </row>
    <row r="3648">
      <c r="B3648" s="63"/>
      <c r="C3648" s="63"/>
      <c r="D3648" s="63"/>
    </row>
    <row r="3649">
      <c r="B3649" s="63"/>
      <c r="C3649" s="63"/>
      <c r="D3649" s="63"/>
    </row>
    <row r="3650">
      <c r="B3650" s="63"/>
      <c r="C3650" s="63"/>
      <c r="D3650" s="63"/>
    </row>
    <row r="3651">
      <c r="B3651" s="63"/>
      <c r="C3651" s="63"/>
      <c r="D3651" s="63"/>
    </row>
    <row r="3652">
      <c r="B3652" s="63"/>
      <c r="C3652" s="63"/>
      <c r="D3652" s="63"/>
    </row>
    <row r="3653">
      <c r="B3653" s="63"/>
      <c r="C3653" s="63"/>
      <c r="D3653" s="63"/>
    </row>
    <row r="3654">
      <c r="B3654" s="63"/>
      <c r="C3654" s="63"/>
      <c r="D3654" s="63"/>
    </row>
    <row r="3655">
      <c r="B3655" s="63"/>
      <c r="C3655" s="63"/>
      <c r="D3655" s="63"/>
    </row>
    <row r="3656">
      <c r="B3656" s="63"/>
      <c r="C3656" s="63"/>
      <c r="D3656" s="63"/>
    </row>
    <row r="3657">
      <c r="B3657" s="63"/>
      <c r="C3657" s="63"/>
      <c r="D3657" s="63"/>
    </row>
    <row r="3658">
      <c r="B3658" s="63"/>
      <c r="C3658" s="63"/>
      <c r="D3658" s="63"/>
    </row>
    <row r="3659">
      <c r="B3659" s="63"/>
      <c r="C3659" s="63"/>
      <c r="D3659" s="63"/>
    </row>
    <row r="3660">
      <c r="B3660" s="63"/>
      <c r="C3660" s="63"/>
      <c r="D3660" s="63"/>
    </row>
    <row r="3661">
      <c r="B3661" s="63"/>
      <c r="C3661" s="63"/>
      <c r="D3661" s="63"/>
    </row>
    <row r="3662">
      <c r="B3662" s="63"/>
      <c r="C3662" s="63"/>
      <c r="D3662" s="63"/>
    </row>
    <row r="3663">
      <c r="B3663" s="63"/>
      <c r="C3663" s="63"/>
      <c r="D3663" s="63"/>
    </row>
    <row r="3664">
      <c r="B3664" s="63"/>
      <c r="C3664" s="63"/>
      <c r="D3664" s="63"/>
    </row>
    <row r="3665">
      <c r="B3665" s="63"/>
      <c r="C3665" s="63"/>
      <c r="D3665" s="63"/>
    </row>
    <row r="3666">
      <c r="B3666" s="63"/>
      <c r="C3666" s="63"/>
      <c r="D3666" s="63"/>
    </row>
    <row r="3667">
      <c r="B3667" s="63"/>
      <c r="C3667" s="63"/>
      <c r="D3667" s="63"/>
    </row>
    <row r="3668">
      <c r="B3668" s="63"/>
      <c r="C3668" s="63"/>
      <c r="D3668" s="63"/>
    </row>
    <row r="3669">
      <c r="B3669" s="63"/>
      <c r="C3669" s="63"/>
      <c r="D3669" s="63"/>
    </row>
    <row r="3670">
      <c r="B3670" s="63"/>
      <c r="C3670" s="63"/>
      <c r="D3670" s="63"/>
    </row>
    <row r="3671">
      <c r="B3671" s="63"/>
      <c r="C3671" s="63"/>
      <c r="D3671" s="63"/>
    </row>
    <row r="3672">
      <c r="B3672" s="63"/>
      <c r="C3672" s="63"/>
      <c r="D3672" s="63"/>
    </row>
    <row r="3673">
      <c r="B3673" s="63"/>
      <c r="C3673" s="63"/>
      <c r="D3673" s="63"/>
    </row>
    <row r="3674">
      <c r="B3674" s="63"/>
      <c r="C3674" s="63"/>
      <c r="D3674" s="63"/>
    </row>
    <row r="3675">
      <c r="B3675" s="63"/>
      <c r="C3675" s="63"/>
      <c r="D3675" s="63"/>
    </row>
    <row r="3676">
      <c r="B3676" s="63"/>
      <c r="C3676" s="63"/>
      <c r="D3676" s="63"/>
    </row>
    <row r="3677">
      <c r="B3677" s="63"/>
      <c r="C3677" s="63"/>
      <c r="D3677" s="63"/>
    </row>
    <row r="3678">
      <c r="B3678" s="63"/>
      <c r="C3678" s="63"/>
      <c r="D3678" s="63"/>
    </row>
    <row r="3679">
      <c r="B3679" s="63"/>
      <c r="C3679" s="63"/>
      <c r="D3679" s="63"/>
    </row>
    <row r="3680">
      <c r="B3680" s="63"/>
      <c r="C3680" s="63"/>
      <c r="D3680" s="63"/>
    </row>
    <row r="3681">
      <c r="B3681" s="63"/>
      <c r="C3681" s="63"/>
      <c r="D3681" s="63"/>
    </row>
    <row r="3682">
      <c r="B3682" s="63"/>
      <c r="C3682" s="63"/>
      <c r="D3682" s="63"/>
    </row>
    <row r="3683">
      <c r="B3683" s="63"/>
      <c r="C3683" s="63"/>
      <c r="D3683" s="63"/>
    </row>
    <row r="3684">
      <c r="B3684" s="63"/>
      <c r="C3684" s="63"/>
      <c r="D3684" s="63"/>
    </row>
    <row r="3685">
      <c r="B3685" s="63"/>
      <c r="C3685" s="63"/>
      <c r="D3685" s="63"/>
    </row>
    <row r="3686">
      <c r="B3686" s="63"/>
      <c r="C3686" s="63"/>
      <c r="D3686" s="63"/>
    </row>
    <row r="3687">
      <c r="B3687" s="63"/>
      <c r="C3687" s="63"/>
      <c r="D3687" s="63"/>
    </row>
    <row r="3688">
      <c r="B3688" s="63"/>
      <c r="C3688" s="63"/>
      <c r="D3688" s="63"/>
    </row>
    <row r="3689">
      <c r="B3689" s="63"/>
      <c r="C3689" s="63"/>
      <c r="D3689" s="63"/>
    </row>
    <row r="3690">
      <c r="B3690" s="63"/>
      <c r="C3690" s="63"/>
      <c r="D3690" s="63"/>
    </row>
    <row r="3691">
      <c r="B3691" s="63"/>
      <c r="C3691" s="63"/>
      <c r="D3691" s="63"/>
    </row>
    <row r="3692">
      <c r="B3692" s="63"/>
      <c r="C3692" s="63"/>
      <c r="D3692" s="63"/>
    </row>
    <row r="3693">
      <c r="B3693" s="63"/>
      <c r="C3693" s="63"/>
      <c r="D3693" s="63"/>
    </row>
    <row r="3694">
      <c r="B3694" s="63"/>
      <c r="C3694" s="63"/>
      <c r="D3694" s="63"/>
    </row>
    <row r="3695">
      <c r="B3695" s="63"/>
      <c r="C3695" s="63"/>
      <c r="D3695" s="63"/>
    </row>
    <row r="3696">
      <c r="B3696" s="63"/>
      <c r="C3696" s="63"/>
      <c r="D3696" s="63"/>
    </row>
    <row r="3697">
      <c r="B3697" s="63"/>
      <c r="C3697" s="63"/>
      <c r="D3697" s="63"/>
    </row>
    <row r="3698">
      <c r="B3698" s="63"/>
      <c r="C3698" s="63"/>
      <c r="D3698" s="63"/>
    </row>
    <row r="3699">
      <c r="B3699" s="63"/>
      <c r="C3699" s="63"/>
      <c r="D3699" s="63"/>
    </row>
    <row r="3700">
      <c r="B3700" s="63"/>
      <c r="C3700" s="63"/>
      <c r="D3700" s="63"/>
    </row>
    <row r="3701">
      <c r="B3701" s="63"/>
      <c r="C3701" s="63"/>
      <c r="D3701" s="63"/>
    </row>
    <row r="3702">
      <c r="B3702" s="63"/>
      <c r="C3702" s="63"/>
      <c r="D3702" s="63"/>
    </row>
    <row r="3703">
      <c r="B3703" s="63"/>
      <c r="C3703" s="63"/>
      <c r="D3703" s="63"/>
    </row>
    <row r="3704">
      <c r="B3704" s="63"/>
      <c r="C3704" s="63"/>
      <c r="D3704" s="63"/>
    </row>
    <row r="3705">
      <c r="B3705" s="63"/>
      <c r="C3705" s="63"/>
      <c r="D3705" s="63"/>
    </row>
    <row r="3706">
      <c r="B3706" s="63"/>
      <c r="C3706" s="63"/>
      <c r="D3706" s="63"/>
    </row>
    <row r="3707">
      <c r="B3707" s="63"/>
      <c r="C3707" s="63"/>
      <c r="D3707" s="63"/>
    </row>
    <row r="3708">
      <c r="B3708" s="63"/>
      <c r="C3708" s="63"/>
      <c r="D3708" s="63"/>
    </row>
    <row r="3709">
      <c r="B3709" s="63"/>
      <c r="C3709" s="63"/>
      <c r="D3709" s="63"/>
    </row>
    <row r="3710">
      <c r="B3710" s="63"/>
      <c r="C3710" s="63"/>
      <c r="D3710" s="63"/>
    </row>
    <row r="3711">
      <c r="B3711" s="63"/>
      <c r="C3711" s="63"/>
      <c r="D3711" s="63"/>
    </row>
    <row r="3712">
      <c r="B3712" s="63"/>
      <c r="C3712" s="63"/>
      <c r="D3712" s="63"/>
    </row>
    <row r="3713">
      <c r="B3713" s="63"/>
      <c r="C3713" s="63"/>
      <c r="D3713" s="63"/>
    </row>
    <row r="3714">
      <c r="B3714" s="63"/>
      <c r="C3714" s="63"/>
      <c r="D3714" s="63"/>
    </row>
    <row r="3715">
      <c r="B3715" s="63"/>
      <c r="C3715" s="63"/>
      <c r="D3715" s="63"/>
    </row>
    <row r="3716">
      <c r="B3716" s="63"/>
      <c r="C3716" s="63"/>
      <c r="D3716" s="63"/>
    </row>
    <row r="3717">
      <c r="B3717" s="63"/>
      <c r="C3717" s="63"/>
      <c r="D3717" s="63"/>
    </row>
    <row r="3718">
      <c r="B3718" s="63"/>
      <c r="C3718" s="63"/>
      <c r="D3718" s="63"/>
    </row>
    <row r="3719">
      <c r="B3719" s="63"/>
      <c r="C3719" s="63"/>
      <c r="D3719" s="63"/>
    </row>
    <row r="3720">
      <c r="B3720" s="63"/>
      <c r="C3720" s="63"/>
      <c r="D3720" s="63"/>
    </row>
    <row r="3721">
      <c r="B3721" s="63"/>
      <c r="C3721" s="63"/>
      <c r="D3721" s="63"/>
    </row>
    <row r="3722">
      <c r="B3722" s="63"/>
      <c r="C3722" s="63"/>
      <c r="D3722" s="63"/>
    </row>
    <row r="3723">
      <c r="B3723" s="63"/>
      <c r="C3723" s="63"/>
      <c r="D3723" s="63"/>
    </row>
    <row r="3724">
      <c r="B3724" s="63"/>
      <c r="C3724" s="63"/>
      <c r="D3724" s="63"/>
    </row>
    <row r="3725">
      <c r="B3725" s="63"/>
      <c r="C3725" s="63"/>
      <c r="D3725" s="63"/>
    </row>
    <row r="3726">
      <c r="B3726" s="63"/>
      <c r="C3726" s="63"/>
      <c r="D3726" s="63"/>
    </row>
    <row r="3727">
      <c r="B3727" s="63"/>
      <c r="C3727" s="63"/>
      <c r="D3727" s="63"/>
    </row>
    <row r="3728">
      <c r="B3728" s="63"/>
      <c r="C3728" s="63"/>
      <c r="D3728" s="63"/>
    </row>
    <row r="3729">
      <c r="B3729" s="63"/>
      <c r="C3729" s="63"/>
      <c r="D3729" s="63"/>
    </row>
    <row r="3730">
      <c r="B3730" s="63"/>
      <c r="C3730" s="63"/>
      <c r="D3730" s="63"/>
    </row>
    <row r="3731">
      <c r="B3731" s="63"/>
      <c r="C3731" s="63"/>
      <c r="D3731" s="63"/>
    </row>
    <row r="3732">
      <c r="B3732" s="63"/>
      <c r="C3732" s="63"/>
      <c r="D3732" s="63"/>
    </row>
    <row r="3733">
      <c r="B3733" s="63"/>
      <c r="C3733" s="63"/>
      <c r="D3733" s="63"/>
    </row>
    <row r="3734">
      <c r="B3734" s="63"/>
      <c r="C3734" s="63"/>
      <c r="D3734" s="63"/>
    </row>
    <row r="3735">
      <c r="B3735" s="63"/>
      <c r="C3735" s="63"/>
      <c r="D3735" s="63"/>
    </row>
    <row r="3736">
      <c r="B3736" s="63"/>
      <c r="C3736" s="63"/>
      <c r="D3736" s="63"/>
    </row>
    <row r="3737">
      <c r="B3737" s="63"/>
      <c r="C3737" s="63"/>
      <c r="D3737" s="63"/>
    </row>
    <row r="3738">
      <c r="B3738" s="63"/>
      <c r="C3738" s="63"/>
      <c r="D3738" s="63"/>
    </row>
    <row r="3739">
      <c r="B3739" s="63"/>
      <c r="C3739" s="63"/>
      <c r="D3739" s="63"/>
    </row>
    <row r="3740">
      <c r="B3740" s="63"/>
      <c r="C3740" s="63"/>
      <c r="D3740" s="63"/>
    </row>
    <row r="3741">
      <c r="B3741" s="63"/>
      <c r="C3741" s="63"/>
      <c r="D3741" s="63"/>
    </row>
    <row r="3742">
      <c r="B3742" s="63"/>
      <c r="C3742" s="63"/>
      <c r="D3742" s="63"/>
    </row>
    <row r="3743">
      <c r="B3743" s="63"/>
      <c r="C3743" s="63"/>
      <c r="D3743" s="63"/>
    </row>
    <row r="3744">
      <c r="B3744" s="63"/>
      <c r="C3744" s="63"/>
      <c r="D3744" s="63"/>
    </row>
    <row r="3745">
      <c r="B3745" s="63"/>
      <c r="C3745" s="63"/>
      <c r="D3745" s="63"/>
    </row>
    <row r="3746">
      <c r="B3746" s="63"/>
      <c r="C3746" s="63"/>
      <c r="D3746" s="63"/>
    </row>
    <row r="3747">
      <c r="B3747" s="63"/>
      <c r="C3747" s="63"/>
      <c r="D3747" s="63"/>
    </row>
    <row r="3748">
      <c r="B3748" s="63"/>
      <c r="C3748" s="63"/>
      <c r="D3748" s="63"/>
    </row>
    <row r="3749">
      <c r="B3749" s="63"/>
      <c r="C3749" s="63"/>
      <c r="D3749" s="63"/>
    </row>
    <row r="3750">
      <c r="B3750" s="63"/>
      <c r="C3750" s="63"/>
      <c r="D3750" s="63"/>
    </row>
    <row r="3751">
      <c r="B3751" s="63"/>
      <c r="C3751" s="63"/>
      <c r="D3751" s="63"/>
    </row>
    <row r="3752">
      <c r="B3752" s="63"/>
      <c r="C3752" s="63"/>
      <c r="D3752" s="63"/>
    </row>
    <row r="3753">
      <c r="B3753" s="63"/>
      <c r="C3753" s="63"/>
      <c r="D3753" s="63"/>
    </row>
    <row r="3754">
      <c r="B3754" s="63"/>
      <c r="C3754" s="63"/>
      <c r="D3754" s="63"/>
    </row>
    <row r="3755">
      <c r="B3755" s="63"/>
      <c r="C3755" s="63"/>
      <c r="D3755" s="63"/>
    </row>
    <row r="3756">
      <c r="B3756" s="63"/>
      <c r="C3756" s="63"/>
      <c r="D3756" s="63"/>
    </row>
    <row r="3757">
      <c r="B3757" s="63"/>
      <c r="C3757" s="63"/>
      <c r="D3757" s="63"/>
    </row>
    <row r="3758">
      <c r="B3758" s="63"/>
      <c r="C3758" s="63"/>
      <c r="D3758" s="63"/>
    </row>
    <row r="3759">
      <c r="B3759" s="63"/>
      <c r="C3759" s="63"/>
      <c r="D3759" s="63"/>
    </row>
    <row r="3760">
      <c r="B3760" s="63"/>
      <c r="C3760" s="63"/>
      <c r="D3760" s="63"/>
    </row>
    <row r="3761">
      <c r="B3761" s="63"/>
      <c r="C3761" s="63"/>
      <c r="D3761" s="63"/>
    </row>
    <row r="3762">
      <c r="B3762" s="63"/>
      <c r="C3762" s="63"/>
      <c r="D3762" s="63"/>
    </row>
    <row r="3763">
      <c r="B3763" s="63"/>
      <c r="C3763" s="63"/>
      <c r="D3763" s="63"/>
    </row>
    <row r="3764">
      <c r="B3764" s="63"/>
      <c r="C3764" s="63"/>
      <c r="D3764" s="63"/>
    </row>
    <row r="3765">
      <c r="B3765" s="63"/>
      <c r="C3765" s="63"/>
      <c r="D3765" s="63"/>
    </row>
    <row r="3766">
      <c r="B3766" s="63"/>
      <c r="C3766" s="63"/>
      <c r="D3766" s="63"/>
    </row>
    <row r="3767">
      <c r="B3767" s="63"/>
      <c r="C3767" s="63"/>
      <c r="D3767" s="63"/>
    </row>
    <row r="3768">
      <c r="B3768" s="63"/>
      <c r="C3768" s="63"/>
      <c r="D3768" s="63"/>
    </row>
    <row r="3769">
      <c r="B3769" s="63"/>
      <c r="C3769" s="63"/>
      <c r="D3769" s="63"/>
    </row>
    <row r="3770">
      <c r="B3770" s="63"/>
      <c r="C3770" s="63"/>
      <c r="D3770" s="63"/>
    </row>
    <row r="3771">
      <c r="B3771" s="63"/>
      <c r="C3771" s="63"/>
      <c r="D3771" s="63"/>
    </row>
    <row r="3772">
      <c r="B3772" s="63"/>
      <c r="C3772" s="63"/>
      <c r="D3772" s="63"/>
    </row>
    <row r="3773">
      <c r="B3773" s="63"/>
      <c r="C3773" s="63"/>
      <c r="D3773" s="63"/>
    </row>
    <row r="3774">
      <c r="B3774" s="63"/>
      <c r="C3774" s="63"/>
      <c r="D3774" s="63"/>
    </row>
    <row r="3775">
      <c r="B3775" s="63"/>
      <c r="C3775" s="63"/>
      <c r="D3775" s="63"/>
    </row>
    <row r="3776">
      <c r="B3776" s="63"/>
      <c r="C3776" s="63"/>
      <c r="D3776" s="63"/>
    </row>
    <row r="3777">
      <c r="B3777" s="63"/>
      <c r="C3777" s="63"/>
      <c r="D3777" s="63"/>
    </row>
    <row r="3778">
      <c r="B3778" s="63"/>
      <c r="C3778" s="63"/>
      <c r="D3778" s="63"/>
    </row>
    <row r="3779">
      <c r="B3779" s="63"/>
      <c r="C3779" s="63"/>
      <c r="D3779" s="63"/>
    </row>
    <row r="3780">
      <c r="B3780" s="63"/>
      <c r="C3780" s="63"/>
      <c r="D3780" s="63"/>
    </row>
    <row r="3781">
      <c r="B3781" s="63"/>
      <c r="C3781" s="63"/>
      <c r="D3781" s="63"/>
    </row>
    <row r="3782">
      <c r="B3782" s="63"/>
      <c r="C3782" s="63"/>
      <c r="D3782" s="63"/>
    </row>
    <row r="3783">
      <c r="B3783" s="63"/>
      <c r="C3783" s="63"/>
      <c r="D3783" s="63"/>
    </row>
    <row r="3784">
      <c r="B3784" s="63"/>
      <c r="C3784" s="63"/>
      <c r="D3784" s="63"/>
    </row>
    <row r="3785">
      <c r="B3785" s="63"/>
      <c r="C3785" s="63"/>
      <c r="D3785" s="63"/>
    </row>
    <row r="3786">
      <c r="B3786" s="63"/>
      <c r="C3786" s="63"/>
      <c r="D3786" s="63"/>
    </row>
    <row r="3787">
      <c r="B3787" s="63"/>
      <c r="C3787" s="63"/>
      <c r="D3787" s="63"/>
    </row>
    <row r="3788">
      <c r="B3788" s="63"/>
      <c r="C3788" s="63"/>
      <c r="D3788" s="63"/>
    </row>
    <row r="3789">
      <c r="B3789" s="63"/>
      <c r="C3789" s="63"/>
      <c r="D3789" s="63"/>
    </row>
    <row r="3790">
      <c r="B3790" s="63"/>
      <c r="C3790" s="63"/>
      <c r="D3790" s="63"/>
    </row>
    <row r="3791">
      <c r="B3791" s="63"/>
      <c r="C3791" s="63"/>
      <c r="D3791" s="63"/>
    </row>
    <row r="3792">
      <c r="B3792" s="63"/>
      <c r="C3792" s="63"/>
      <c r="D3792" s="63"/>
    </row>
    <row r="3793">
      <c r="B3793" s="63"/>
      <c r="C3793" s="63"/>
      <c r="D3793" s="63"/>
    </row>
    <row r="3794">
      <c r="B3794" s="63"/>
      <c r="C3794" s="63"/>
      <c r="D3794" s="63"/>
    </row>
    <row r="3795">
      <c r="B3795" s="63"/>
      <c r="C3795" s="63"/>
      <c r="D3795" s="63"/>
    </row>
    <row r="3796">
      <c r="B3796" s="63"/>
      <c r="C3796" s="63"/>
      <c r="D3796" s="63"/>
    </row>
    <row r="3797">
      <c r="B3797" s="63"/>
      <c r="C3797" s="63"/>
      <c r="D3797" s="63"/>
    </row>
    <row r="3798">
      <c r="B3798" s="63"/>
      <c r="C3798" s="63"/>
      <c r="D3798" s="63"/>
    </row>
    <row r="3799">
      <c r="B3799" s="63"/>
      <c r="C3799" s="63"/>
      <c r="D3799" s="63"/>
    </row>
    <row r="3800">
      <c r="B3800" s="63"/>
      <c r="C3800" s="63"/>
      <c r="D3800" s="63"/>
    </row>
    <row r="3801">
      <c r="B3801" s="63"/>
      <c r="C3801" s="63"/>
      <c r="D3801" s="63"/>
    </row>
    <row r="3802">
      <c r="B3802" s="63"/>
      <c r="C3802" s="63"/>
      <c r="D3802" s="63"/>
    </row>
    <row r="3803">
      <c r="B3803" s="63"/>
      <c r="C3803" s="63"/>
      <c r="D3803" s="63"/>
    </row>
    <row r="3804">
      <c r="B3804" s="63"/>
      <c r="C3804" s="63"/>
      <c r="D3804" s="63"/>
    </row>
    <row r="3805">
      <c r="B3805" s="63"/>
      <c r="C3805" s="63"/>
      <c r="D3805" s="63"/>
    </row>
    <row r="3806">
      <c r="B3806" s="63"/>
      <c r="C3806" s="63"/>
      <c r="D3806" s="63"/>
    </row>
    <row r="3807">
      <c r="B3807" s="63"/>
      <c r="C3807" s="63"/>
      <c r="D3807" s="63"/>
    </row>
    <row r="3808">
      <c r="B3808" s="63"/>
      <c r="C3808" s="63"/>
      <c r="D3808" s="63"/>
    </row>
    <row r="3809">
      <c r="B3809" s="63"/>
      <c r="C3809" s="63"/>
      <c r="D3809" s="63"/>
    </row>
    <row r="3810">
      <c r="B3810" s="63"/>
      <c r="C3810" s="63"/>
      <c r="D3810" s="63"/>
    </row>
    <row r="3811">
      <c r="B3811" s="63"/>
      <c r="C3811" s="63"/>
      <c r="D3811" s="63"/>
    </row>
    <row r="3812">
      <c r="B3812" s="63"/>
      <c r="C3812" s="63"/>
      <c r="D3812" s="63"/>
    </row>
    <row r="3813">
      <c r="B3813" s="63"/>
      <c r="C3813" s="63"/>
      <c r="D3813" s="63"/>
    </row>
    <row r="3814">
      <c r="B3814" s="63"/>
      <c r="C3814" s="63"/>
      <c r="D3814" s="63"/>
    </row>
    <row r="3815">
      <c r="B3815" s="63"/>
      <c r="C3815" s="63"/>
      <c r="D3815" s="63"/>
    </row>
    <row r="3816">
      <c r="B3816" s="63"/>
      <c r="C3816" s="63"/>
      <c r="D3816" s="63"/>
    </row>
    <row r="3817">
      <c r="B3817" s="63"/>
      <c r="C3817" s="63"/>
      <c r="D3817" s="63"/>
    </row>
    <row r="3818">
      <c r="B3818" s="63"/>
      <c r="C3818" s="63"/>
      <c r="D3818" s="63"/>
    </row>
    <row r="3819">
      <c r="B3819" s="63"/>
      <c r="C3819" s="63"/>
      <c r="D3819" s="63"/>
    </row>
    <row r="3820">
      <c r="B3820" s="63"/>
      <c r="C3820" s="63"/>
      <c r="D3820" s="63"/>
    </row>
    <row r="3821">
      <c r="B3821" s="63"/>
      <c r="C3821" s="63"/>
      <c r="D3821" s="63"/>
    </row>
    <row r="3822">
      <c r="B3822" s="63"/>
      <c r="C3822" s="63"/>
      <c r="D3822" s="63"/>
    </row>
    <row r="3823">
      <c r="B3823" s="63"/>
      <c r="C3823" s="63"/>
      <c r="D3823" s="63"/>
    </row>
    <row r="3824">
      <c r="B3824" s="63"/>
      <c r="C3824" s="63"/>
      <c r="D3824" s="63"/>
    </row>
    <row r="3825">
      <c r="B3825" s="63"/>
      <c r="C3825" s="63"/>
      <c r="D3825" s="63"/>
    </row>
    <row r="3826">
      <c r="B3826" s="63"/>
      <c r="C3826" s="63"/>
      <c r="D3826" s="63"/>
    </row>
    <row r="3827">
      <c r="B3827" s="63"/>
      <c r="C3827" s="63"/>
      <c r="D3827" s="63"/>
    </row>
    <row r="3828">
      <c r="B3828" s="63"/>
      <c r="C3828" s="63"/>
      <c r="D3828" s="63"/>
    </row>
    <row r="3829">
      <c r="B3829" s="63"/>
      <c r="C3829" s="63"/>
      <c r="D3829" s="63"/>
    </row>
    <row r="3830">
      <c r="B3830" s="63"/>
      <c r="C3830" s="63"/>
      <c r="D3830" s="63"/>
    </row>
    <row r="3831">
      <c r="B3831" s="63"/>
      <c r="C3831" s="63"/>
      <c r="D3831" s="63"/>
    </row>
    <row r="3832">
      <c r="B3832" s="63"/>
      <c r="C3832" s="63"/>
      <c r="D3832" s="63"/>
    </row>
    <row r="3833">
      <c r="B3833" s="63"/>
      <c r="C3833" s="63"/>
      <c r="D3833" s="63"/>
    </row>
    <row r="3834">
      <c r="B3834" s="63"/>
      <c r="C3834" s="63"/>
      <c r="D3834" s="63"/>
    </row>
    <row r="3835">
      <c r="B3835" s="63"/>
      <c r="C3835" s="63"/>
      <c r="D3835" s="63"/>
    </row>
    <row r="3836">
      <c r="B3836" s="63"/>
      <c r="C3836" s="63"/>
      <c r="D3836" s="63"/>
    </row>
    <row r="3837">
      <c r="B3837" s="63"/>
      <c r="C3837" s="63"/>
      <c r="D3837" s="63"/>
    </row>
    <row r="3838">
      <c r="B3838" s="63"/>
      <c r="C3838" s="63"/>
      <c r="D3838" s="63"/>
    </row>
    <row r="3839">
      <c r="B3839" s="63"/>
      <c r="C3839" s="63"/>
      <c r="D3839" s="63"/>
    </row>
    <row r="3840">
      <c r="B3840" s="63"/>
      <c r="C3840" s="63"/>
      <c r="D3840" s="63"/>
    </row>
    <row r="3841">
      <c r="B3841" s="63"/>
      <c r="C3841" s="63"/>
      <c r="D3841" s="63"/>
    </row>
    <row r="3842">
      <c r="B3842" s="63"/>
      <c r="C3842" s="63"/>
      <c r="D3842" s="63"/>
    </row>
    <row r="3843">
      <c r="B3843" s="63"/>
      <c r="C3843" s="63"/>
      <c r="D3843" s="63"/>
    </row>
    <row r="3844">
      <c r="B3844" s="63"/>
      <c r="C3844" s="63"/>
      <c r="D3844" s="63"/>
    </row>
    <row r="3845">
      <c r="B3845" s="63"/>
      <c r="C3845" s="63"/>
      <c r="D3845" s="63"/>
    </row>
    <row r="3846">
      <c r="B3846" s="63"/>
      <c r="C3846" s="63"/>
      <c r="D3846" s="63"/>
    </row>
    <row r="3847">
      <c r="B3847" s="63"/>
      <c r="C3847" s="63"/>
      <c r="D3847" s="63"/>
    </row>
    <row r="3848">
      <c r="B3848" s="63"/>
      <c r="C3848" s="63"/>
      <c r="D3848" s="63"/>
    </row>
    <row r="3849">
      <c r="B3849" s="63"/>
      <c r="C3849" s="63"/>
      <c r="D3849" s="63"/>
    </row>
    <row r="3850">
      <c r="B3850" s="63"/>
      <c r="C3850" s="63"/>
      <c r="D3850" s="63"/>
    </row>
    <row r="3851">
      <c r="B3851" s="63"/>
      <c r="C3851" s="63"/>
      <c r="D3851" s="63"/>
    </row>
    <row r="3852">
      <c r="B3852" s="63"/>
      <c r="C3852" s="63"/>
      <c r="D3852" s="63"/>
    </row>
    <row r="3853">
      <c r="B3853" s="63"/>
      <c r="C3853" s="63"/>
      <c r="D3853" s="63"/>
    </row>
    <row r="3854">
      <c r="B3854" s="63"/>
      <c r="C3854" s="63"/>
      <c r="D3854" s="63"/>
    </row>
    <row r="3855">
      <c r="B3855" s="63"/>
      <c r="C3855" s="63"/>
      <c r="D3855" s="63"/>
    </row>
    <row r="3856">
      <c r="B3856" s="63"/>
      <c r="C3856" s="63"/>
      <c r="D3856" s="63"/>
    </row>
    <row r="3857">
      <c r="B3857" s="63"/>
      <c r="C3857" s="63"/>
      <c r="D3857" s="63"/>
    </row>
    <row r="3858">
      <c r="B3858" s="63"/>
      <c r="C3858" s="63"/>
      <c r="D3858" s="63"/>
    </row>
    <row r="3859">
      <c r="B3859" s="63"/>
      <c r="C3859" s="63"/>
      <c r="D3859" s="63"/>
    </row>
    <row r="3860">
      <c r="B3860" s="63"/>
      <c r="C3860" s="63"/>
      <c r="D3860" s="63"/>
    </row>
    <row r="3861">
      <c r="B3861" s="63"/>
      <c r="C3861" s="63"/>
      <c r="D3861" s="63"/>
    </row>
    <row r="3862">
      <c r="B3862" s="63"/>
      <c r="C3862" s="63"/>
      <c r="D3862" s="63"/>
    </row>
    <row r="3863">
      <c r="B3863" s="63"/>
      <c r="C3863" s="63"/>
      <c r="D3863" s="63"/>
    </row>
    <row r="3864">
      <c r="B3864" s="63"/>
      <c r="C3864" s="63"/>
      <c r="D3864" s="63"/>
    </row>
    <row r="3865">
      <c r="B3865" s="63"/>
      <c r="C3865" s="63"/>
      <c r="D3865" s="63"/>
    </row>
    <row r="3866">
      <c r="B3866" s="63"/>
      <c r="C3866" s="63"/>
      <c r="D3866" s="63"/>
    </row>
    <row r="3867">
      <c r="B3867" s="63"/>
      <c r="C3867" s="63"/>
      <c r="D3867" s="63"/>
    </row>
    <row r="3868">
      <c r="B3868" s="63"/>
      <c r="C3868" s="63"/>
      <c r="D3868" s="63"/>
    </row>
    <row r="3869">
      <c r="B3869" s="63"/>
      <c r="C3869" s="63"/>
      <c r="D3869" s="63"/>
    </row>
    <row r="3870">
      <c r="B3870" s="63"/>
      <c r="C3870" s="63"/>
      <c r="D3870" s="63"/>
    </row>
    <row r="3871">
      <c r="B3871" s="63"/>
      <c r="C3871" s="63"/>
      <c r="D3871" s="63"/>
    </row>
    <row r="3872">
      <c r="B3872" s="63"/>
      <c r="C3872" s="63"/>
      <c r="D3872" s="63"/>
    </row>
    <row r="3873">
      <c r="B3873" s="63"/>
      <c r="C3873" s="63"/>
      <c r="D3873" s="63"/>
    </row>
    <row r="3874">
      <c r="B3874" s="63"/>
      <c r="C3874" s="63"/>
      <c r="D3874" s="63"/>
    </row>
    <row r="3875">
      <c r="B3875" s="63"/>
      <c r="C3875" s="63"/>
      <c r="D3875" s="63"/>
    </row>
    <row r="3876">
      <c r="B3876" s="63"/>
      <c r="C3876" s="63"/>
      <c r="D3876" s="63"/>
    </row>
    <row r="3877">
      <c r="B3877" s="63"/>
      <c r="C3877" s="63"/>
      <c r="D3877" s="63"/>
    </row>
    <row r="3878">
      <c r="B3878" s="63"/>
      <c r="C3878" s="63"/>
      <c r="D3878" s="63"/>
    </row>
    <row r="3879">
      <c r="B3879" s="63"/>
      <c r="C3879" s="63"/>
      <c r="D3879" s="63"/>
    </row>
    <row r="3880">
      <c r="B3880" s="63"/>
      <c r="C3880" s="63"/>
      <c r="D3880" s="63"/>
    </row>
    <row r="3881">
      <c r="B3881" s="63"/>
      <c r="C3881" s="63"/>
      <c r="D3881" s="63"/>
    </row>
    <row r="3882">
      <c r="B3882" s="63"/>
      <c r="C3882" s="63"/>
      <c r="D3882" s="63"/>
    </row>
    <row r="3883">
      <c r="B3883" s="63"/>
      <c r="C3883" s="63"/>
      <c r="D3883" s="63"/>
    </row>
    <row r="3884">
      <c r="B3884" s="63"/>
      <c r="C3884" s="63"/>
      <c r="D3884" s="63"/>
    </row>
    <row r="3885">
      <c r="B3885" s="63"/>
      <c r="C3885" s="63"/>
      <c r="D3885" s="63"/>
    </row>
    <row r="3886">
      <c r="B3886" s="63"/>
      <c r="C3886" s="63"/>
      <c r="D3886" s="63"/>
    </row>
    <row r="3887">
      <c r="B3887" s="63"/>
      <c r="C3887" s="63"/>
      <c r="D3887" s="63"/>
    </row>
    <row r="3888">
      <c r="B3888" s="63"/>
      <c r="C3888" s="63"/>
      <c r="D3888" s="63"/>
    </row>
    <row r="3889">
      <c r="B3889" s="63"/>
      <c r="C3889" s="63"/>
      <c r="D3889" s="63"/>
    </row>
    <row r="3890">
      <c r="B3890" s="63"/>
      <c r="C3890" s="63"/>
      <c r="D3890" s="63"/>
    </row>
    <row r="3891">
      <c r="B3891" s="63"/>
      <c r="C3891" s="63"/>
      <c r="D3891" s="63"/>
    </row>
    <row r="3892">
      <c r="B3892" s="63"/>
      <c r="C3892" s="63"/>
      <c r="D3892" s="63"/>
    </row>
    <row r="3893">
      <c r="B3893" s="63"/>
      <c r="C3893" s="63"/>
      <c r="D3893" s="63"/>
    </row>
    <row r="3894">
      <c r="B3894" s="63"/>
      <c r="C3894" s="63"/>
      <c r="D3894" s="63"/>
    </row>
    <row r="3895">
      <c r="B3895" s="63"/>
      <c r="C3895" s="63"/>
      <c r="D3895" s="63"/>
    </row>
    <row r="3896">
      <c r="B3896" s="63"/>
      <c r="C3896" s="63"/>
      <c r="D3896" s="63"/>
    </row>
    <row r="3897">
      <c r="B3897" s="63"/>
      <c r="C3897" s="63"/>
      <c r="D3897" s="63"/>
    </row>
    <row r="3898">
      <c r="B3898" s="63"/>
      <c r="C3898" s="63"/>
      <c r="D3898" s="63"/>
    </row>
    <row r="3899">
      <c r="B3899" s="63"/>
      <c r="C3899" s="63"/>
      <c r="D3899" s="63"/>
    </row>
    <row r="3900">
      <c r="B3900" s="63"/>
      <c r="C3900" s="63"/>
      <c r="D3900" s="63"/>
    </row>
    <row r="3901">
      <c r="B3901" s="63"/>
      <c r="C3901" s="63"/>
      <c r="D3901" s="63"/>
    </row>
    <row r="3902">
      <c r="B3902" s="63"/>
      <c r="C3902" s="63"/>
      <c r="D3902" s="63"/>
    </row>
    <row r="3903">
      <c r="B3903" s="63"/>
      <c r="C3903" s="63"/>
      <c r="D3903" s="63"/>
    </row>
    <row r="3904">
      <c r="B3904" s="63"/>
      <c r="C3904" s="63"/>
      <c r="D3904" s="63"/>
    </row>
    <row r="3905">
      <c r="B3905" s="63"/>
      <c r="C3905" s="63"/>
      <c r="D3905" s="63"/>
    </row>
    <row r="3906">
      <c r="B3906" s="63"/>
      <c r="C3906" s="63"/>
      <c r="D3906" s="63"/>
    </row>
    <row r="3907">
      <c r="B3907" s="63"/>
      <c r="C3907" s="63"/>
      <c r="D3907" s="63"/>
    </row>
    <row r="3908">
      <c r="B3908" s="63"/>
      <c r="C3908" s="63"/>
      <c r="D3908" s="63"/>
    </row>
    <row r="3909">
      <c r="B3909" s="63"/>
      <c r="C3909" s="63"/>
      <c r="D3909" s="63"/>
    </row>
    <row r="3910">
      <c r="B3910" s="63"/>
      <c r="C3910" s="63"/>
      <c r="D3910" s="63"/>
    </row>
    <row r="3911">
      <c r="B3911" s="63"/>
      <c r="C3911" s="63"/>
      <c r="D3911" s="63"/>
    </row>
    <row r="3912">
      <c r="B3912" s="63"/>
      <c r="C3912" s="63"/>
      <c r="D3912" s="63"/>
    </row>
    <row r="3913">
      <c r="B3913" s="63"/>
      <c r="C3913" s="63"/>
      <c r="D3913" s="63"/>
    </row>
    <row r="3914">
      <c r="B3914" s="63"/>
      <c r="C3914" s="63"/>
      <c r="D3914" s="63"/>
    </row>
    <row r="3915">
      <c r="B3915" s="63"/>
      <c r="C3915" s="63"/>
      <c r="D3915" s="63"/>
    </row>
    <row r="3916">
      <c r="B3916" s="63"/>
      <c r="C3916" s="63"/>
      <c r="D3916" s="63"/>
    </row>
    <row r="3917">
      <c r="B3917" s="63"/>
      <c r="C3917" s="63"/>
      <c r="D3917" s="63"/>
    </row>
    <row r="3918">
      <c r="B3918" s="63"/>
      <c r="C3918" s="63"/>
      <c r="D3918" s="63"/>
    </row>
    <row r="3919">
      <c r="B3919" s="63"/>
      <c r="C3919" s="63"/>
      <c r="D3919" s="63"/>
    </row>
    <row r="3920">
      <c r="B3920" s="63"/>
      <c r="C3920" s="63"/>
      <c r="D3920" s="63"/>
    </row>
    <row r="3921">
      <c r="B3921" s="63"/>
      <c r="C3921" s="63"/>
      <c r="D3921" s="63"/>
    </row>
    <row r="3922">
      <c r="B3922" s="63"/>
      <c r="C3922" s="63"/>
      <c r="D3922" s="63"/>
    </row>
    <row r="3923">
      <c r="B3923" s="63"/>
      <c r="C3923" s="63"/>
      <c r="D3923" s="63"/>
    </row>
    <row r="3924">
      <c r="B3924" s="63"/>
      <c r="C3924" s="63"/>
      <c r="D3924" s="63"/>
    </row>
    <row r="3925">
      <c r="B3925" s="63"/>
      <c r="C3925" s="63"/>
      <c r="D3925" s="63"/>
    </row>
    <row r="3926">
      <c r="B3926" s="63"/>
      <c r="C3926" s="63"/>
      <c r="D3926" s="63"/>
    </row>
    <row r="3927">
      <c r="B3927" s="63"/>
      <c r="C3927" s="63"/>
      <c r="D3927" s="63"/>
    </row>
    <row r="3928">
      <c r="B3928" s="63"/>
      <c r="C3928" s="63"/>
      <c r="D3928" s="63"/>
    </row>
    <row r="3929">
      <c r="B3929" s="63"/>
      <c r="C3929" s="63"/>
      <c r="D3929" s="63"/>
    </row>
    <row r="3930">
      <c r="B3930" s="63"/>
      <c r="C3930" s="63"/>
      <c r="D3930" s="63"/>
    </row>
    <row r="3931">
      <c r="B3931" s="63"/>
      <c r="C3931" s="63"/>
      <c r="D3931" s="63"/>
    </row>
    <row r="3932">
      <c r="B3932" s="63"/>
      <c r="C3932" s="63"/>
      <c r="D3932" s="63"/>
    </row>
    <row r="3933">
      <c r="B3933" s="63"/>
      <c r="C3933" s="63"/>
      <c r="D3933" s="63"/>
    </row>
    <row r="3934">
      <c r="B3934" s="63"/>
      <c r="C3934" s="63"/>
      <c r="D3934" s="63"/>
    </row>
    <row r="3935">
      <c r="B3935" s="63"/>
      <c r="C3935" s="63"/>
      <c r="D3935" s="63"/>
    </row>
    <row r="3936">
      <c r="B3936" s="63"/>
      <c r="C3936" s="63"/>
      <c r="D3936" s="63"/>
    </row>
    <row r="3937">
      <c r="B3937" s="63"/>
      <c r="C3937" s="63"/>
      <c r="D3937" s="63"/>
    </row>
    <row r="3938">
      <c r="B3938" s="63"/>
      <c r="C3938" s="63"/>
      <c r="D3938" s="63"/>
    </row>
    <row r="3939">
      <c r="B3939" s="63"/>
      <c r="C3939" s="63"/>
      <c r="D3939" s="63"/>
    </row>
    <row r="3940">
      <c r="B3940" s="63"/>
      <c r="C3940" s="63"/>
      <c r="D3940" s="63"/>
    </row>
    <row r="3941">
      <c r="B3941" s="63"/>
      <c r="C3941" s="63"/>
      <c r="D3941" s="63"/>
    </row>
    <row r="3942">
      <c r="B3942" s="63"/>
      <c r="C3942" s="63"/>
      <c r="D3942" s="63"/>
    </row>
    <row r="3943">
      <c r="B3943" s="63"/>
      <c r="C3943" s="63"/>
      <c r="D3943" s="63"/>
    </row>
    <row r="3944">
      <c r="B3944" s="63"/>
      <c r="C3944" s="63"/>
      <c r="D3944" s="63"/>
    </row>
    <row r="3945">
      <c r="B3945" s="63"/>
      <c r="C3945" s="63"/>
      <c r="D3945" s="63"/>
    </row>
    <row r="3946">
      <c r="B3946" s="63"/>
      <c r="C3946" s="63"/>
      <c r="D3946" s="63"/>
    </row>
    <row r="3947">
      <c r="B3947" s="63"/>
      <c r="C3947" s="63"/>
      <c r="D3947" s="63"/>
    </row>
    <row r="3948">
      <c r="B3948" s="63"/>
      <c r="C3948" s="63"/>
      <c r="D3948" s="63"/>
    </row>
    <row r="3949">
      <c r="B3949" s="63"/>
      <c r="C3949" s="63"/>
      <c r="D3949" s="63"/>
    </row>
    <row r="3950">
      <c r="B3950" s="63"/>
      <c r="C3950" s="63"/>
      <c r="D3950" s="63"/>
    </row>
    <row r="3951">
      <c r="B3951" s="63"/>
      <c r="C3951" s="63"/>
      <c r="D3951" s="63"/>
    </row>
    <row r="3952">
      <c r="B3952" s="63"/>
      <c r="C3952" s="63"/>
      <c r="D3952" s="63"/>
    </row>
    <row r="3953">
      <c r="B3953" s="63"/>
      <c r="C3953" s="63"/>
      <c r="D3953" s="63"/>
    </row>
    <row r="3954">
      <c r="B3954" s="63"/>
      <c r="C3954" s="63"/>
      <c r="D3954" s="63"/>
    </row>
    <row r="3955">
      <c r="B3955" s="63"/>
      <c r="C3955" s="63"/>
      <c r="D3955" s="63"/>
    </row>
    <row r="3956">
      <c r="B3956" s="63"/>
      <c r="C3956" s="63"/>
      <c r="D3956" s="63"/>
    </row>
    <row r="3957">
      <c r="B3957" s="63"/>
      <c r="C3957" s="63"/>
      <c r="D3957" s="63"/>
    </row>
    <row r="3958">
      <c r="B3958" s="63"/>
      <c r="C3958" s="63"/>
      <c r="D3958" s="63"/>
    </row>
    <row r="3959">
      <c r="B3959" s="63"/>
      <c r="C3959" s="63"/>
      <c r="D3959" s="63"/>
    </row>
    <row r="3960">
      <c r="B3960" s="63"/>
      <c r="C3960" s="63"/>
      <c r="D3960" s="63"/>
    </row>
    <row r="3961">
      <c r="B3961" s="63"/>
      <c r="C3961" s="63"/>
      <c r="D3961" s="63"/>
    </row>
    <row r="3962">
      <c r="B3962" s="63"/>
      <c r="C3962" s="63"/>
      <c r="D3962" s="63"/>
    </row>
    <row r="3963">
      <c r="A3963" s="1"/>
      <c r="B3963" s="63"/>
      <c r="D3963" s="1"/>
      <c r="E3963" s="1"/>
    </row>
    <row r="3964">
      <c r="A3964" s="1"/>
      <c r="B3964" s="63"/>
      <c r="D3964" s="1"/>
      <c r="E3964" s="1"/>
    </row>
    <row r="3965">
      <c r="A3965" s="1"/>
      <c r="B3965" s="63"/>
      <c r="D3965" s="1"/>
      <c r="E3965" s="1"/>
    </row>
    <row r="3966">
      <c r="A3966" s="1"/>
      <c r="B3966" s="63"/>
      <c r="D3966" s="1"/>
      <c r="E3966" s="1"/>
    </row>
    <row r="3967">
      <c r="A3967" s="1"/>
      <c r="B3967" s="63"/>
      <c r="D3967" s="1"/>
      <c r="E3967" s="1"/>
    </row>
    <row r="3968">
      <c r="A3968" s="1"/>
      <c r="B3968" s="63"/>
      <c r="D3968" s="1"/>
      <c r="E3968" s="1"/>
    </row>
    <row r="3969">
      <c r="A3969" s="1"/>
      <c r="B3969" s="63"/>
      <c r="D3969" s="1"/>
      <c r="E3969" s="1"/>
    </row>
    <row r="3970">
      <c r="A3970" s="1"/>
      <c r="B3970" s="63"/>
      <c r="D3970" s="1"/>
      <c r="E3970" s="1"/>
    </row>
    <row r="3971">
      <c r="A3971" s="1"/>
      <c r="B3971" s="63"/>
      <c r="D3971" s="1"/>
      <c r="E3971" s="1"/>
    </row>
    <row r="3972">
      <c r="A3972" s="1"/>
      <c r="B3972" s="63"/>
      <c r="D3972" s="1"/>
      <c r="E3972" s="1"/>
    </row>
    <row r="3973">
      <c r="A3973" s="1"/>
      <c r="B3973" s="63"/>
      <c r="D3973" s="1"/>
      <c r="E3973" s="1"/>
    </row>
    <row r="3974">
      <c r="A3974" s="1"/>
      <c r="B3974" s="63"/>
      <c r="D3974" s="1"/>
      <c r="E3974" s="1"/>
    </row>
    <row r="3975">
      <c r="A3975" s="1"/>
      <c r="B3975" s="63"/>
      <c r="D3975" s="1"/>
      <c r="E3975" s="1"/>
    </row>
    <row r="3976">
      <c r="A3976" s="1"/>
      <c r="B3976" s="63"/>
      <c r="D3976" s="1"/>
      <c r="E3976" s="1"/>
    </row>
    <row r="3977">
      <c r="A3977" s="1"/>
      <c r="B3977" s="63"/>
      <c r="D3977" s="1"/>
      <c r="E3977" s="1"/>
    </row>
    <row r="3978">
      <c r="A3978" s="1"/>
      <c r="B3978" s="63"/>
      <c r="D3978" s="1"/>
      <c r="E3978" s="1"/>
    </row>
    <row r="3979">
      <c r="A3979" s="1"/>
      <c r="B3979" s="63"/>
      <c r="D3979" s="1"/>
      <c r="E3979" s="1"/>
    </row>
    <row r="3980">
      <c r="A3980" s="1"/>
      <c r="B3980" s="63"/>
      <c r="D3980" s="1"/>
      <c r="E3980" s="1"/>
    </row>
    <row r="3981">
      <c r="A3981" s="1"/>
      <c r="B3981" s="63"/>
      <c r="D3981" s="1"/>
      <c r="E3981" s="1"/>
    </row>
    <row r="3982">
      <c r="A3982" s="1"/>
      <c r="B3982" s="63"/>
      <c r="D3982" s="1"/>
      <c r="E3982" s="1"/>
    </row>
    <row r="3983">
      <c r="A3983" s="1"/>
      <c r="B3983" s="63"/>
      <c r="D3983" s="1"/>
      <c r="E3983" s="1"/>
    </row>
    <row r="3984">
      <c r="A3984" s="1"/>
      <c r="B3984" s="63"/>
      <c r="D3984" s="1"/>
      <c r="E3984" s="1"/>
    </row>
    <row r="3985">
      <c r="A3985" s="1"/>
      <c r="B3985" s="63"/>
      <c r="D3985" s="1"/>
      <c r="E3985" s="1"/>
    </row>
    <row r="3986">
      <c r="A3986" s="1"/>
      <c r="B3986" s="63"/>
      <c r="D3986" s="1"/>
      <c r="E3986" s="1"/>
    </row>
    <row r="3987">
      <c r="A3987" s="1"/>
      <c r="B3987" s="63"/>
      <c r="D3987" s="1"/>
      <c r="E3987" s="1"/>
    </row>
    <row r="3988">
      <c r="A3988" s="1"/>
      <c r="B3988" s="63"/>
      <c r="D3988" s="1"/>
      <c r="E3988" s="1"/>
    </row>
    <row r="3989">
      <c r="A3989" s="1"/>
      <c r="B3989" s="63"/>
      <c r="D3989" s="1"/>
      <c r="E3989" s="1"/>
    </row>
    <row r="3990">
      <c r="A3990" s="1"/>
      <c r="B3990" s="63"/>
      <c r="D3990" s="1"/>
      <c r="E3990" s="1"/>
    </row>
    <row r="3991">
      <c r="A3991" s="1"/>
      <c r="B3991" s="63"/>
      <c r="D3991" s="1"/>
      <c r="E3991" s="1"/>
    </row>
    <row r="3992">
      <c r="A3992" s="1"/>
      <c r="B3992" s="63"/>
      <c r="D3992" s="1"/>
      <c r="E3992" s="1"/>
    </row>
    <row r="3993">
      <c r="A3993" s="1"/>
      <c r="B3993" s="63"/>
      <c r="D3993" s="1"/>
      <c r="E3993" s="1"/>
    </row>
    <row r="3994">
      <c r="A3994" s="1"/>
      <c r="B3994" s="63"/>
      <c r="D3994" s="1"/>
      <c r="E3994" s="1"/>
    </row>
    <row r="3995">
      <c r="A3995" s="1"/>
      <c r="B3995" s="63"/>
      <c r="D3995" s="1"/>
      <c r="E3995" s="1"/>
    </row>
    <row r="3996">
      <c r="A3996" s="1"/>
      <c r="B3996" s="63"/>
      <c r="D3996" s="1"/>
      <c r="E3996" s="1"/>
    </row>
    <row r="3997">
      <c r="A3997" s="1"/>
      <c r="B3997" s="63"/>
      <c r="D3997" s="1"/>
      <c r="E3997" s="1"/>
    </row>
    <row r="3998">
      <c r="A3998" s="1"/>
      <c r="B3998" s="63"/>
      <c r="D3998" s="1"/>
      <c r="E3998" s="1"/>
    </row>
    <row r="3999">
      <c r="A3999" s="1"/>
      <c r="B3999" s="63"/>
      <c r="D3999" s="1"/>
      <c r="E3999" s="1"/>
    </row>
    <row r="4000">
      <c r="A4000" s="1"/>
      <c r="B4000" s="63"/>
      <c r="D4000" s="1"/>
      <c r="E4000" s="1"/>
    </row>
    <row r="4001">
      <c r="A4001" s="1"/>
      <c r="B4001" s="63"/>
      <c r="D4001" s="1"/>
      <c r="E4001" s="1"/>
    </row>
    <row r="4002">
      <c r="A4002" s="1"/>
      <c r="B4002" s="63"/>
      <c r="D4002" s="1"/>
      <c r="E4002" s="1"/>
    </row>
    <row r="4003">
      <c r="A4003" s="1"/>
      <c r="B4003" s="63"/>
      <c r="D4003" s="1"/>
      <c r="E4003" s="1"/>
    </row>
    <row r="4004">
      <c r="A4004" s="1"/>
      <c r="B4004" s="63"/>
      <c r="D4004" s="1"/>
      <c r="E4004" s="1"/>
    </row>
    <row r="4005">
      <c r="A4005" s="1"/>
      <c r="B4005" s="63"/>
      <c r="D4005" s="1"/>
      <c r="E4005" s="1"/>
    </row>
    <row r="4006">
      <c r="A4006" s="1"/>
      <c r="B4006" s="63"/>
      <c r="D4006" s="1"/>
      <c r="E4006" s="1"/>
    </row>
    <row r="4007">
      <c r="A4007" s="1"/>
      <c r="B4007" s="63"/>
      <c r="D4007" s="1"/>
      <c r="E4007" s="1"/>
    </row>
    <row r="4008">
      <c r="A4008" s="1"/>
      <c r="B4008" s="63"/>
      <c r="D4008" s="1"/>
      <c r="E4008" s="1"/>
    </row>
    <row r="4009">
      <c r="A4009" s="1"/>
      <c r="B4009" s="63"/>
      <c r="D4009" s="1"/>
      <c r="E4009" s="1"/>
    </row>
    <row r="4010">
      <c r="A4010" s="1"/>
      <c r="B4010" s="63"/>
      <c r="D4010" s="1"/>
      <c r="E4010" s="1"/>
    </row>
    <row r="4011">
      <c r="A4011" s="1"/>
      <c r="B4011" s="63"/>
      <c r="D4011" s="1"/>
      <c r="E4011" s="1"/>
    </row>
    <row r="4012">
      <c r="A4012" s="1"/>
      <c r="B4012" s="63"/>
      <c r="D4012" s="1"/>
      <c r="E4012" s="1"/>
    </row>
    <row r="4013">
      <c r="A4013" s="1"/>
      <c r="B4013" s="63"/>
      <c r="D4013" s="1"/>
      <c r="E4013" s="1"/>
    </row>
    <row r="4014">
      <c r="A4014" s="1"/>
      <c r="B4014" s="63"/>
      <c r="D4014" s="1"/>
      <c r="E4014" s="1"/>
    </row>
    <row r="4015">
      <c r="A4015" s="1"/>
      <c r="B4015" s="63"/>
      <c r="D4015" s="1"/>
      <c r="E4015" s="1"/>
    </row>
    <row r="4016">
      <c r="A4016" s="1"/>
      <c r="B4016" s="63"/>
      <c r="D4016" s="1"/>
      <c r="E4016" s="1"/>
    </row>
    <row r="4017">
      <c r="A4017" s="1"/>
      <c r="B4017" s="63"/>
      <c r="D4017" s="1"/>
      <c r="E4017" s="1"/>
    </row>
    <row r="4018">
      <c r="A4018" s="1"/>
      <c r="B4018" s="63"/>
      <c r="D4018" s="1"/>
      <c r="E4018" s="1"/>
    </row>
    <row r="4019">
      <c r="A4019" s="1"/>
      <c r="B4019" s="63"/>
      <c r="D4019" s="1"/>
      <c r="E4019" s="1"/>
    </row>
    <row r="4020">
      <c r="A4020" s="1"/>
      <c r="B4020" s="63"/>
      <c r="D4020" s="1"/>
      <c r="E4020" s="1"/>
    </row>
    <row r="4021">
      <c r="A4021" s="1"/>
      <c r="B4021" s="63"/>
      <c r="D4021" s="1"/>
      <c r="E4021" s="1"/>
    </row>
    <row r="4022">
      <c r="A4022" s="1"/>
      <c r="B4022" s="63"/>
      <c r="D4022" s="1"/>
      <c r="E4022" s="1"/>
    </row>
    <row r="4023">
      <c r="A4023" s="1"/>
      <c r="B4023" s="63"/>
      <c r="D4023" s="1"/>
      <c r="E4023" s="1"/>
    </row>
    <row r="4024">
      <c r="A4024" s="1"/>
      <c r="B4024" s="63"/>
      <c r="D4024" s="1"/>
      <c r="E4024" s="1"/>
    </row>
    <row r="4025">
      <c r="A4025" s="1"/>
      <c r="B4025" s="63"/>
      <c r="D4025" s="1"/>
      <c r="E4025" s="1"/>
    </row>
    <row r="4026">
      <c r="A4026" s="1"/>
      <c r="B4026" s="63"/>
      <c r="D4026" s="1"/>
      <c r="E4026" s="1"/>
    </row>
    <row r="4027">
      <c r="A4027" s="1"/>
      <c r="B4027" s="63"/>
      <c r="D4027" s="1"/>
      <c r="E4027" s="1"/>
    </row>
    <row r="4028">
      <c r="A4028" s="1"/>
      <c r="B4028" s="63"/>
      <c r="D4028" s="1"/>
      <c r="E4028" s="1"/>
    </row>
    <row r="4029">
      <c r="A4029" s="1"/>
      <c r="B4029" s="63"/>
      <c r="D4029" s="1"/>
      <c r="E4029" s="1"/>
    </row>
    <row r="4030">
      <c r="A4030" s="1"/>
      <c r="B4030" s="63"/>
      <c r="D4030" s="1"/>
      <c r="E4030" s="1"/>
    </row>
    <row r="4031">
      <c r="A4031" s="1"/>
      <c r="B4031" s="63"/>
      <c r="D4031" s="1"/>
      <c r="E4031" s="1"/>
    </row>
    <row r="4032">
      <c r="A4032" s="1"/>
      <c r="B4032" s="63"/>
      <c r="D4032" s="1"/>
      <c r="E4032" s="1"/>
    </row>
    <row r="4033">
      <c r="A4033" s="1"/>
      <c r="B4033" s="63"/>
      <c r="D4033" s="1"/>
      <c r="E4033" s="1"/>
    </row>
    <row r="4034">
      <c r="A4034" s="1"/>
      <c r="B4034" s="63"/>
      <c r="D4034" s="1"/>
      <c r="E4034" s="1"/>
    </row>
    <row r="4035">
      <c r="A4035" s="1"/>
      <c r="B4035" s="63"/>
      <c r="D4035" s="1"/>
      <c r="E4035" s="1"/>
    </row>
    <row r="4036">
      <c r="A4036" s="1"/>
      <c r="B4036" s="63"/>
      <c r="D4036" s="1"/>
      <c r="E4036" s="1"/>
    </row>
    <row r="4037">
      <c r="A4037" s="1"/>
      <c r="B4037" s="63"/>
      <c r="D4037" s="1"/>
      <c r="E4037" s="1"/>
    </row>
    <row r="4038">
      <c r="A4038" s="1"/>
      <c r="B4038" s="63"/>
      <c r="D4038" s="1"/>
      <c r="E4038" s="1"/>
    </row>
    <row r="4039">
      <c r="A4039" s="1"/>
      <c r="B4039" s="63"/>
      <c r="D4039" s="1"/>
      <c r="E4039" s="1"/>
    </row>
    <row r="4040">
      <c r="A4040" s="1"/>
      <c r="B4040" s="63"/>
      <c r="D4040" s="1"/>
      <c r="E4040" s="1"/>
    </row>
    <row r="4041">
      <c r="A4041" s="1"/>
      <c r="B4041" s="63"/>
      <c r="D4041" s="1"/>
      <c r="E4041" s="1"/>
    </row>
    <row r="4042">
      <c r="A4042" s="1"/>
      <c r="B4042" s="63"/>
      <c r="D4042" s="1"/>
      <c r="E4042" s="1"/>
    </row>
    <row r="4043">
      <c r="A4043" s="1"/>
      <c r="B4043" s="63"/>
      <c r="D4043" s="1"/>
      <c r="E4043" s="1"/>
    </row>
    <row r="4044">
      <c r="A4044" s="1"/>
      <c r="B4044" s="63"/>
      <c r="D4044" s="1"/>
      <c r="E4044" s="1"/>
    </row>
    <row r="4045">
      <c r="A4045" s="1"/>
      <c r="B4045" s="63"/>
      <c r="D4045" s="1"/>
      <c r="E4045" s="1"/>
    </row>
    <row r="4046">
      <c r="A4046" s="1"/>
      <c r="B4046" s="63"/>
      <c r="D4046" s="1"/>
      <c r="E4046" s="1"/>
    </row>
    <row r="4047">
      <c r="A4047" s="1"/>
      <c r="B4047" s="63"/>
      <c r="D4047" s="1"/>
      <c r="E4047" s="1"/>
    </row>
    <row r="4048">
      <c r="A4048" s="1"/>
      <c r="B4048" s="63"/>
      <c r="D4048" s="1"/>
      <c r="E4048" s="1"/>
    </row>
    <row r="4049">
      <c r="A4049" s="1"/>
      <c r="B4049" s="63"/>
      <c r="D4049" s="1"/>
      <c r="E4049" s="1"/>
    </row>
    <row r="4050">
      <c r="A4050" s="1"/>
      <c r="B4050" s="63"/>
      <c r="D4050" s="1"/>
      <c r="E4050" s="1"/>
    </row>
    <row r="4051">
      <c r="A4051" s="1"/>
      <c r="B4051" s="63"/>
      <c r="D4051" s="1"/>
      <c r="E4051" s="1"/>
    </row>
    <row r="4052">
      <c r="A4052" s="1"/>
      <c r="B4052" s="63"/>
      <c r="D4052" s="1"/>
      <c r="E4052" s="1"/>
    </row>
    <row r="4053">
      <c r="A4053" s="1"/>
      <c r="B4053" s="63"/>
      <c r="D4053" s="1"/>
      <c r="E4053" s="1"/>
    </row>
    <row r="4054">
      <c r="A4054" s="1"/>
      <c r="B4054" s="63"/>
      <c r="D4054" s="1"/>
      <c r="E4054" s="1"/>
    </row>
    <row r="4055">
      <c r="A4055" s="1"/>
      <c r="B4055" s="63"/>
      <c r="D4055" s="1"/>
      <c r="E4055" s="1"/>
    </row>
    <row r="4056">
      <c r="A4056" s="1"/>
      <c r="B4056" s="63"/>
      <c r="D4056" s="1"/>
      <c r="E4056" s="1"/>
    </row>
    <row r="4057">
      <c r="A4057" s="1"/>
      <c r="B4057" s="63"/>
      <c r="D4057" s="1"/>
      <c r="E4057" s="1"/>
    </row>
    <row r="4058">
      <c r="A4058" s="1"/>
      <c r="B4058" s="63"/>
      <c r="D4058" s="1"/>
      <c r="E4058" s="1"/>
    </row>
    <row r="4059">
      <c r="A4059" s="1"/>
      <c r="B4059" s="63"/>
      <c r="D4059" s="1"/>
      <c r="E4059" s="1"/>
    </row>
    <row r="4060">
      <c r="A4060" s="1"/>
      <c r="B4060" s="63"/>
      <c r="D4060" s="1"/>
      <c r="E4060" s="1"/>
    </row>
    <row r="4061">
      <c r="A4061" s="1"/>
      <c r="B4061" s="63"/>
      <c r="D4061" s="1"/>
      <c r="E4061" s="1"/>
    </row>
    <row r="4062">
      <c r="A4062" s="1"/>
      <c r="B4062" s="63"/>
      <c r="D4062" s="1"/>
      <c r="E4062" s="1"/>
    </row>
    <row r="4063">
      <c r="A4063" s="1"/>
      <c r="B4063" s="63"/>
      <c r="D4063" s="1"/>
      <c r="E4063" s="1"/>
    </row>
    <row r="4064">
      <c r="A4064" s="1"/>
      <c r="B4064" s="63"/>
      <c r="D4064" s="1"/>
      <c r="E4064" s="1"/>
    </row>
    <row r="4065">
      <c r="A4065" s="1"/>
      <c r="B4065" s="63"/>
      <c r="D4065" s="1"/>
      <c r="E4065" s="1"/>
    </row>
    <row r="4066">
      <c r="A4066" s="1"/>
      <c r="B4066" s="63"/>
      <c r="D4066" s="1"/>
      <c r="E4066" s="1"/>
    </row>
    <row r="4067">
      <c r="A4067" s="1"/>
      <c r="B4067" s="63"/>
      <c r="D4067" s="1"/>
      <c r="E4067" s="1"/>
    </row>
    <row r="4068">
      <c r="A4068" s="1"/>
      <c r="B4068" s="63"/>
      <c r="D4068" s="1"/>
      <c r="E4068" s="1"/>
    </row>
    <row r="4069">
      <c r="A4069" s="1"/>
      <c r="B4069" s="63"/>
      <c r="D4069" s="1"/>
      <c r="E4069" s="1"/>
    </row>
    <row r="4070">
      <c r="A4070" s="1"/>
      <c r="B4070" s="63"/>
      <c r="D4070" s="1"/>
      <c r="E4070" s="1"/>
    </row>
    <row r="4071">
      <c r="A4071" s="1"/>
      <c r="B4071" s="63"/>
      <c r="D4071" s="1"/>
      <c r="E4071" s="1"/>
    </row>
    <row r="4072">
      <c r="A4072" s="1"/>
      <c r="B4072" s="63"/>
      <c r="D4072" s="1"/>
      <c r="E4072" s="1"/>
    </row>
    <row r="4073">
      <c r="A4073" s="1"/>
      <c r="B4073" s="63"/>
      <c r="D4073" s="1"/>
      <c r="E4073" s="1"/>
    </row>
    <row r="4074">
      <c r="A4074" s="1"/>
      <c r="B4074" s="63"/>
      <c r="D4074" s="1"/>
      <c r="E4074" s="1"/>
    </row>
    <row r="4075">
      <c r="A4075" s="1"/>
      <c r="B4075" s="63"/>
      <c r="D4075" s="1"/>
      <c r="E4075" s="1"/>
    </row>
    <row r="4076">
      <c r="A4076" s="1"/>
      <c r="B4076" s="63"/>
      <c r="D4076" s="1"/>
      <c r="E4076" s="1"/>
    </row>
    <row r="4077">
      <c r="A4077" s="1"/>
      <c r="B4077" s="63"/>
      <c r="D4077" s="1"/>
      <c r="E4077" s="1"/>
    </row>
    <row r="4078">
      <c r="A4078" s="1"/>
      <c r="B4078" s="63"/>
      <c r="D4078" s="1"/>
      <c r="E4078" s="1"/>
    </row>
    <row r="4079">
      <c r="A4079" s="1"/>
      <c r="B4079" s="63"/>
      <c r="D4079" s="1"/>
      <c r="E4079" s="1"/>
    </row>
    <row r="4080">
      <c r="A4080" s="1"/>
      <c r="B4080" s="63"/>
      <c r="D4080" s="1"/>
      <c r="E4080" s="1"/>
    </row>
    <row r="4081">
      <c r="A4081" s="1"/>
      <c r="B4081" s="63"/>
      <c r="D4081" s="1"/>
      <c r="E4081" s="1"/>
    </row>
    <row r="4082">
      <c r="A4082" s="1"/>
      <c r="B4082" s="63"/>
      <c r="D4082" s="1"/>
      <c r="E4082" s="1"/>
    </row>
    <row r="4083">
      <c r="A4083" s="1"/>
      <c r="B4083" s="63"/>
      <c r="D4083" s="1"/>
      <c r="E4083" s="1"/>
    </row>
    <row r="4084">
      <c r="A4084" s="1"/>
      <c r="B4084" s="63"/>
      <c r="D4084" s="1"/>
      <c r="E4084" s="1"/>
    </row>
    <row r="4085">
      <c r="A4085" s="1"/>
      <c r="B4085" s="63"/>
      <c r="D4085" s="1"/>
      <c r="E4085" s="1"/>
    </row>
    <row r="4086">
      <c r="A4086" s="1"/>
      <c r="B4086" s="63"/>
      <c r="D4086" s="1"/>
      <c r="E4086" s="1"/>
    </row>
    <row r="4087">
      <c r="A4087" s="1"/>
      <c r="B4087" s="63"/>
      <c r="D4087" s="1"/>
      <c r="E4087" s="1"/>
    </row>
    <row r="4088">
      <c r="A4088" s="1"/>
      <c r="B4088" s="63"/>
      <c r="D4088" s="1"/>
      <c r="E4088" s="1"/>
    </row>
    <row r="4089">
      <c r="A4089" s="1"/>
      <c r="B4089" s="63"/>
      <c r="D4089" s="1"/>
      <c r="E4089" s="1"/>
    </row>
    <row r="4090">
      <c r="A4090" s="1"/>
      <c r="B4090" s="63"/>
      <c r="D4090" s="1"/>
      <c r="E4090" s="1"/>
    </row>
    <row r="4091">
      <c r="A4091" s="1"/>
      <c r="B4091" s="63"/>
      <c r="D4091" s="1"/>
      <c r="E4091" s="1"/>
    </row>
    <row r="4092">
      <c r="A4092" s="1"/>
      <c r="B4092" s="63"/>
      <c r="D4092" s="1"/>
      <c r="E4092" s="1"/>
    </row>
    <row r="4093">
      <c r="A4093" s="1"/>
      <c r="B4093" s="63"/>
      <c r="D4093" s="1"/>
      <c r="E4093" s="1"/>
    </row>
    <row r="4094">
      <c r="A4094" s="1"/>
      <c r="B4094" s="63"/>
      <c r="D4094" s="1"/>
      <c r="E4094" s="1"/>
    </row>
    <row r="4095">
      <c r="A4095" s="1"/>
      <c r="B4095" s="63"/>
      <c r="D4095" s="1"/>
      <c r="E4095" s="1"/>
    </row>
    <row r="4096">
      <c r="A4096" s="1"/>
      <c r="B4096" s="63"/>
      <c r="D4096" s="1"/>
      <c r="E4096" s="1"/>
    </row>
    <row r="4097">
      <c r="A4097" s="1"/>
      <c r="B4097" s="63"/>
      <c r="D4097" s="1"/>
      <c r="E4097" s="1"/>
    </row>
    <row r="4098">
      <c r="A4098" s="1"/>
      <c r="B4098" s="63"/>
      <c r="D4098" s="1"/>
      <c r="E4098" s="1"/>
    </row>
    <row r="4099">
      <c r="A4099" s="1"/>
      <c r="B4099" s="63"/>
      <c r="D4099" s="1"/>
      <c r="E4099" s="1"/>
    </row>
    <row r="4100">
      <c r="A4100" s="1"/>
      <c r="B4100" s="63"/>
      <c r="D4100" s="1"/>
      <c r="E4100" s="1"/>
    </row>
    <row r="4101">
      <c r="A4101" s="1"/>
      <c r="B4101" s="63"/>
      <c r="D4101" s="1"/>
      <c r="E4101" s="1"/>
    </row>
    <row r="4102">
      <c r="A4102" s="1"/>
      <c r="B4102" s="63"/>
      <c r="D4102" s="1"/>
      <c r="E4102" s="1"/>
    </row>
    <row r="4103">
      <c r="A4103" s="1"/>
      <c r="B4103" s="63"/>
      <c r="D4103" s="1"/>
      <c r="E4103" s="1"/>
    </row>
    <row r="4104">
      <c r="A4104" s="1"/>
      <c r="B4104" s="63"/>
      <c r="D4104" s="1"/>
      <c r="E4104" s="1"/>
    </row>
    <row r="4105">
      <c r="A4105" s="1"/>
      <c r="B4105" s="63"/>
      <c r="D4105" s="1"/>
      <c r="E4105" s="1"/>
    </row>
    <row r="4106">
      <c r="A4106" s="1"/>
      <c r="B4106" s="63"/>
      <c r="D4106" s="1"/>
      <c r="E4106" s="1"/>
    </row>
    <row r="4107">
      <c r="A4107" s="1"/>
      <c r="B4107" s="63"/>
      <c r="D4107" s="1"/>
      <c r="E4107" s="1"/>
    </row>
    <row r="4108">
      <c r="A4108" s="1"/>
      <c r="B4108" s="63"/>
      <c r="D4108" s="1"/>
      <c r="E4108" s="1"/>
    </row>
    <row r="4109">
      <c r="A4109" s="1"/>
      <c r="B4109" s="63"/>
      <c r="D4109" s="1"/>
      <c r="E4109" s="1"/>
    </row>
    <row r="4110">
      <c r="A4110" s="1"/>
      <c r="B4110" s="63"/>
      <c r="D4110" s="1"/>
      <c r="E4110" s="1"/>
    </row>
    <row r="4111">
      <c r="A4111" s="1"/>
      <c r="B4111" s="63"/>
      <c r="D4111" s="1"/>
      <c r="E4111" s="1"/>
    </row>
    <row r="4112">
      <c r="A4112" s="1"/>
      <c r="B4112" s="63"/>
      <c r="D4112" s="1"/>
      <c r="E4112" s="1"/>
    </row>
    <row r="4113">
      <c r="A4113" s="1"/>
      <c r="B4113" s="63"/>
      <c r="D4113" s="1"/>
      <c r="E4113" s="1"/>
    </row>
    <row r="4114">
      <c r="A4114" s="1"/>
      <c r="B4114" s="63"/>
      <c r="D4114" s="1"/>
      <c r="E4114" s="1"/>
    </row>
    <row r="4115">
      <c r="A4115" s="1"/>
      <c r="B4115" s="63"/>
      <c r="D4115" s="1"/>
      <c r="E4115" s="1"/>
    </row>
    <row r="4116">
      <c r="A4116" s="1"/>
      <c r="B4116" s="63"/>
      <c r="D4116" s="1"/>
      <c r="E4116" s="1"/>
    </row>
    <row r="4117">
      <c r="A4117" s="1"/>
      <c r="B4117" s="63"/>
      <c r="D4117" s="1"/>
      <c r="E4117" s="1"/>
    </row>
    <row r="4118">
      <c r="A4118" s="1"/>
      <c r="B4118" s="63"/>
      <c r="D4118" s="1"/>
      <c r="E4118" s="1"/>
    </row>
    <row r="4119">
      <c r="A4119" s="1"/>
      <c r="B4119" s="63"/>
      <c r="D4119" s="1"/>
      <c r="E4119" s="1"/>
    </row>
    <row r="4120">
      <c r="A4120" s="1"/>
      <c r="B4120" s="63"/>
      <c r="D4120" s="1"/>
      <c r="E4120" s="1"/>
    </row>
    <row r="4121">
      <c r="A4121" s="1"/>
      <c r="B4121" s="63"/>
      <c r="D4121" s="1"/>
      <c r="E4121" s="1"/>
    </row>
    <row r="4122">
      <c r="A4122" s="1"/>
      <c r="B4122" s="63"/>
      <c r="D4122" s="1"/>
      <c r="E4122" s="1"/>
    </row>
    <row r="4123">
      <c r="A4123" s="1"/>
      <c r="B4123" s="63"/>
      <c r="D4123" s="1"/>
      <c r="E4123" s="1"/>
    </row>
    <row r="4124">
      <c r="A4124" s="1"/>
      <c r="B4124" s="63"/>
      <c r="D4124" s="1"/>
      <c r="E4124" s="1"/>
    </row>
    <row r="4125">
      <c r="A4125" s="1"/>
      <c r="B4125" s="63"/>
      <c r="D4125" s="1"/>
      <c r="E4125" s="1"/>
    </row>
    <row r="4126">
      <c r="A4126" s="1"/>
      <c r="B4126" s="63"/>
      <c r="D4126" s="1"/>
      <c r="E4126" s="1"/>
    </row>
    <row r="4127">
      <c r="A4127" s="1"/>
      <c r="B4127" s="63"/>
      <c r="D4127" s="1"/>
      <c r="E4127" s="1"/>
    </row>
    <row r="4128">
      <c r="A4128" s="1"/>
      <c r="B4128" s="63"/>
      <c r="D4128" s="1"/>
      <c r="E4128" s="1"/>
    </row>
    <row r="4129">
      <c r="A4129" s="1"/>
      <c r="B4129" s="63"/>
      <c r="D4129" s="1"/>
      <c r="E4129" s="1"/>
    </row>
    <row r="4130">
      <c r="A4130" s="1"/>
      <c r="B4130" s="63"/>
      <c r="D4130" s="1"/>
      <c r="E4130" s="1"/>
    </row>
    <row r="4131">
      <c r="A4131" s="1"/>
      <c r="B4131" s="63"/>
      <c r="D4131" s="1"/>
      <c r="E4131" s="1"/>
    </row>
    <row r="4132">
      <c r="A4132" s="1"/>
      <c r="B4132" s="63"/>
      <c r="D4132" s="1"/>
      <c r="E4132" s="1"/>
    </row>
    <row r="4133">
      <c r="A4133" s="1"/>
      <c r="B4133" s="63"/>
      <c r="D4133" s="1"/>
      <c r="E4133" s="1"/>
    </row>
    <row r="4134">
      <c r="A4134" s="1"/>
      <c r="B4134" s="63"/>
      <c r="D4134" s="1"/>
      <c r="E4134" s="1"/>
    </row>
    <row r="4135">
      <c r="A4135" s="1"/>
      <c r="B4135" s="63"/>
      <c r="D4135" s="1"/>
      <c r="E4135" s="1"/>
    </row>
    <row r="4136">
      <c r="A4136" s="1"/>
      <c r="B4136" s="63"/>
      <c r="D4136" s="1"/>
      <c r="E4136" s="1"/>
    </row>
    <row r="4137">
      <c r="A4137" s="1"/>
      <c r="B4137" s="63"/>
      <c r="D4137" s="1"/>
      <c r="E4137" s="1"/>
    </row>
    <row r="4138">
      <c r="A4138" s="1"/>
      <c r="B4138" s="63"/>
      <c r="D4138" s="1"/>
      <c r="E4138" s="1"/>
    </row>
    <row r="4139">
      <c r="A4139" s="1"/>
      <c r="B4139" s="63"/>
      <c r="D4139" s="1"/>
      <c r="E4139" s="1"/>
    </row>
    <row r="4140">
      <c r="A4140" s="1"/>
      <c r="B4140" s="63"/>
      <c r="D4140" s="1"/>
      <c r="E4140" s="1"/>
    </row>
    <row r="4141">
      <c r="A4141" s="1"/>
      <c r="B4141" s="63"/>
      <c r="D4141" s="1"/>
      <c r="E4141" s="1"/>
    </row>
    <row r="4142">
      <c r="A4142" s="1"/>
      <c r="B4142" s="63"/>
      <c r="D4142" s="1"/>
      <c r="E4142" s="1"/>
    </row>
    <row r="4143">
      <c r="A4143" s="1"/>
      <c r="B4143" s="63"/>
      <c r="D4143" s="1"/>
      <c r="E4143" s="1"/>
    </row>
    <row r="4144">
      <c r="A4144" s="1"/>
      <c r="B4144" s="63"/>
      <c r="D4144" s="1"/>
      <c r="E4144" s="1"/>
    </row>
    <row r="4145">
      <c r="A4145" s="1"/>
      <c r="B4145" s="63"/>
      <c r="D4145" s="1"/>
      <c r="E4145" s="1"/>
    </row>
    <row r="4146">
      <c r="A4146" s="1"/>
      <c r="B4146" s="63"/>
      <c r="D4146" s="1"/>
      <c r="E4146" s="1"/>
    </row>
    <row r="4147">
      <c r="A4147" s="1"/>
      <c r="B4147" s="63"/>
      <c r="D4147" s="1"/>
      <c r="E4147" s="1"/>
    </row>
    <row r="4148">
      <c r="A4148" s="1"/>
      <c r="B4148" s="63"/>
      <c r="D4148" s="1"/>
      <c r="E4148" s="1"/>
    </row>
    <row r="4149">
      <c r="A4149" s="1"/>
      <c r="B4149" s="63"/>
      <c r="D4149" s="1"/>
      <c r="E4149" s="1"/>
    </row>
    <row r="4150">
      <c r="A4150" s="1"/>
      <c r="B4150" s="63"/>
      <c r="D4150" s="1"/>
      <c r="E4150" s="1"/>
    </row>
    <row r="4151">
      <c r="A4151" s="1"/>
      <c r="B4151" s="63"/>
      <c r="D4151" s="1"/>
      <c r="E4151" s="1"/>
    </row>
    <row r="4152">
      <c r="A4152" s="1"/>
      <c r="B4152" s="63"/>
      <c r="D4152" s="1"/>
      <c r="E4152" s="1"/>
    </row>
    <row r="4153">
      <c r="A4153" s="1"/>
      <c r="B4153" s="63"/>
      <c r="D4153" s="1"/>
      <c r="E4153" s="1"/>
    </row>
    <row r="4154">
      <c r="A4154" s="1"/>
      <c r="B4154" s="63"/>
      <c r="D4154" s="1"/>
      <c r="E4154" s="1"/>
    </row>
    <row r="4155">
      <c r="A4155" s="1"/>
      <c r="B4155" s="63"/>
      <c r="D4155" s="1"/>
      <c r="E4155" s="1"/>
    </row>
    <row r="4156">
      <c r="A4156" s="1"/>
      <c r="B4156" s="63"/>
      <c r="D4156" s="1"/>
      <c r="E4156" s="1"/>
    </row>
    <row r="4157">
      <c r="A4157" s="1"/>
      <c r="B4157" s="63"/>
      <c r="D4157" s="1"/>
      <c r="E4157" s="1"/>
    </row>
    <row r="4158">
      <c r="A4158" s="1"/>
      <c r="B4158" s="63"/>
      <c r="D4158" s="1"/>
      <c r="E4158" s="1"/>
    </row>
    <row r="4159">
      <c r="A4159" s="1"/>
      <c r="B4159" s="63"/>
      <c r="D4159" s="1"/>
      <c r="E4159" s="1"/>
    </row>
    <row r="4160">
      <c r="A4160" s="1"/>
      <c r="B4160" s="63"/>
      <c r="D4160" s="1"/>
      <c r="E4160" s="1"/>
    </row>
    <row r="4161">
      <c r="A4161" s="1"/>
      <c r="B4161" s="63"/>
      <c r="D4161" s="1"/>
      <c r="E4161" s="1"/>
    </row>
    <row r="4162">
      <c r="A4162" s="1"/>
      <c r="B4162" s="63"/>
      <c r="D4162" s="1"/>
      <c r="E4162" s="1"/>
    </row>
    <row r="4163">
      <c r="A4163" s="1"/>
      <c r="B4163" s="63"/>
      <c r="D4163" s="1"/>
      <c r="E4163" s="1"/>
    </row>
    <row r="4164">
      <c r="A4164" s="1"/>
      <c r="B4164" s="63"/>
      <c r="D4164" s="1"/>
      <c r="E4164" s="1"/>
    </row>
    <row r="4165">
      <c r="A4165" s="1"/>
      <c r="B4165" s="63"/>
      <c r="D4165" s="1"/>
      <c r="E4165" s="1"/>
    </row>
    <row r="4166">
      <c r="A4166" s="1"/>
      <c r="B4166" s="63"/>
      <c r="D4166" s="1"/>
      <c r="E4166" s="1"/>
    </row>
    <row r="4167">
      <c r="A4167" s="1"/>
      <c r="B4167" s="63"/>
      <c r="D4167" s="1"/>
      <c r="E4167" s="1"/>
    </row>
    <row r="4168">
      <c r="A4168" s="1"/>
      <c r="B4168" s="63"/>
      <c r="D4168" s="1"/>
      <c r="E4168" s="1"/>
    </row>
    <row r="4169">
      <c r="A4169" s="1"/>
      <c r="B4169" s="63"/>
      <c r="D4169" s="1"/>
      <c r="E4169" s="1"/>
    </row>
    <row r="4170">
      <c r="A4170" s="1"/>
      <c r="B4170" s="63"/>
      <c r="D4170" s="1"/>
      <c r="E4170" s="1"/>
    </row>
    <row r="4171">
      <c r="A4171" s="1"/>
      <c r="B4171" s="63"/>
      <c r="D4171" s="1"/>
      <c r="E4171" s="1"/>
    </row>
    <row r="4172">
      <c r="A4172" s="1"/>
      <c r="B4172" s="63"/>
      <c r="D4172" s="1"/>
      <c r="E4172" s="1"/>
    </row>
    <row r="4173">
      <c r="A4173" s="1"/>
      <c r="B4173" s="63"/>
      <c r="D4173" s="1"/>
      <c r="E4173" s="1"/>
    </row>
    <row r="4174">
      <c r="A4174" s="1"/>
      <c r="B4174" s="63"/>
      <c r="D4174" s="1"/>
      <c r="E4174" s="1"/>
    </row>
    <row r="4175">
      <c r="A4175" s="1"/>
      <c r="B4175" s="63"/>
      <c r="D4175" s="1"/>
      <c r="E4175" s="1"/>
    </row>
    <row r="4176">
      <c r="A4176" s="1"/>
      <c r="B4176" s="63"/>
      <c r="D4176" s="1"/>
      <c r="E4176" s="1"/>
    </row>
    <row r="4177">
      <c r="A4177" s="1"/>
      <c r="B4177" s="63"/>
      <c r="D4177" s="1"/>
      <c r="E4177" s="1"/>
    </row>
    <row r="4178">
      <c r="A4178" s="1"/>
      <c r="B4178" s="63"/>
      <c r="D4178" s="1"/>
      <c r="E4178" s="1"/>
    </row>
    <row r="4179">
      <c r="A4179" s="1"/>
      <c r="B4179" s="63"/>
      <c r="D4179" s="1"/>
      <c r="E4179" s="1"/>
    </row>
    <row r="4180">
      <c r="A4180" s="1"/>
      <c r="B4180" s="63"/>
      <c r="D4180" s="1"/>
      <c r="E4180" s="1"/>
    </row>
    <row r="4181">
      <c r="A4181" s="1"/>
      <c r="B4181" s="63"/>
      <c r="D4181" s="1"/>
      <c r="E4181" s="1"/>
    </row>
    <row r="4182">
      <c r="A4182" s="1"/>
      <c r="B4182" s="63"/>
      <c r="D4182" s="1"/>
      <c r="E4182" s="1"/>
    </row>
    <row r="4183">
      <c r="A4183" s="1"/>
      <c r="B4183" s="63"/>
      <c r="D4183" s="1"/>
      <c r="E4183" s="1"/>
    </row>
    <row r="4184">
      <c r="A4184" s="1"/>
      <c r="B4184" s="63"/>
      <c r="D4184" s="1"/>
      <c r="E4184" s="1"/>
    </row>
    <row r="4185">
      <c r="A4185" s="1"/>
      <c r="B4185" s="63"/>
      <c r="D4185" s="1"/>
      <c r="E4185" s="1"/>
    </row>
    <row r="4186">
      <c r="A4186" s="1"/>
      <c r="B4186" s="63"/>
      <c r="D4186" s="1"/>
      <c r="E4186" s="1"/>
    </row>
    <row r="4187">
      <c r="A4187" s="1"/>
      <c r="B4187" s="63"/>
      <c r="D4187" s="1"/>
      <c r="E4187" s="1"/>
    </row>
    <row r="4188">
      <c r="A4188" s="1"/>
      <c r="B4188" s="63"/>
      <c r="D4188" s="1"/>
      <c r="E4188" s="1"/>
    </row>
    <row r="4189">
      <c r="A4189" s="1"/>
      <c r="B4189" s="63"/>
      <c r="D4189" s="1"/>
      <c r="E4189" s="1"/>
    </row>
    <row r="4190">
      <c r="A4190" s="1"/>
      <c r="B4190" s="63"/>
      <c r="D4190" s="1"/>
      <c r="E4190" s="1"/>
    </row>
    <row r="4191">
      <c r="A4191" s="1"/>
      <c r="B4191" s="63"/>
      <c r="D4191" s="1"/>
      <c r="E4191" s="1"/>
    </row>
    <row r="4192">
      <c r="A4192" s="1"/>
      <c r="B4192" s="63"/>
      <c r="D4192" s="1"/>
      <c r="E4192" s="1"/>
    </row>
    <row r="4193">
      <c r="A4193" s="1"/>
      <c r="B4193" s="63"/>
      <c r="D4193" s="1"/>
      <c r="E4193" s="1"/>
    </row>
    <row r="4194">
      <c r="A4194" s="1"/>
      <c r="B4194" s="63"/>
      <c r="D4194" s="1"/>
      <c r="E4194" s="1"/>
    </row>
    <row r="4195">
      <c r="A4195" s="1"/>
      <c r="B4195" s="63"/>
      <c r="D4195" s="1"/>
      <c r="E4195" s="1"/>
    </row>
    <row r="4196">
      <c r="A4196" s="1"/>
      <c r="B4196" s="63"/>
      <c r="D4196" s="1"/>
      <c r="E4196" s="1"/>
    </row>
    <row r="4197">
      <c r="A4197" s="1"/>
      <c r="B4197" s="63"/>
      <c r="D4197" s="1"/>
      <c r="E4197" s="1"/>
    </row>
    <row r="4198">
      <c r="A4198" s="1"/>
      <c r="B4198" s="63"/>
      <c r="D4198" s="1"/>
      <c r="E4198" s="1"/>
    </row>
    <row r="4199">
      <c r="A4199" s="1"/>
      <c r="B4199" s="63"/>
      <c r="D4199" s="1"/>
      <c r="E4199" s="1"/>
    </row>
    <row r="4200">
      <c r="A4200" s="1"/>
      <c r="B4200" s="63"/>
      <c r="D4200" s="1"/>
      <c r="E4200" s="1"/>
    </row>
    <row r="4201">
      <c r="A4201" s="1"/>
      <c r="B4201" s="63"/>
      <c r="D4201" s="1"/>
      <c r="E4201" s="1"/>
    </row>
    <row r="4202">
      <c r="A4202" s="1"/>
      <c r="B4202" s="63"/>
      <c r="D4202" s="1"/>
      <c r="E4202" s="1"/>
    </row>
    <row r="4203">
      <c r="A4203" s="1"/>
      <c r="B4203" s="63"/>
      <c r="D4203" s="1"/>
      <c r="E4203" s="1"/>
    </row>
    <row r="4204">
      <c r="A4204" s="1"/>
      <c r="B4204" s="63"/>
      <c r="D4204" s="1"/>
      <c r="E4204" s="1"/>
    </row>
    <row r="4205">
      <c r="A4205" s="1"/>
      <c r="B4205" s="63"/>
      <c r="D4205" s="1"/>
      <c r="E4205" s="1"/>
    </row>
    <row r="4206">
      <c r="A4206" s="1"/>
      <c r="B4206" s="63"/>
      <c r="D4206" s="1"/>
      <c r="E4206" s="1"/>
    </row>
    <row r="4207">
      <c r="A4207" s="1"/>
      <c r="B4207" s="63"/>
      <c r="D4207" s="1"/>
      <c r="E4207" s="1"/>
    </row>
    <row r="4208">
      <c r="A4208" s="1"/>
      <c r="B4208" s="63"/>
      <c r="D4208" s="1"/>
      <c r="E4208" s="1"/>
    </row>
    <row r="4209">
      <c r="A4209" s="1"/>
      <c r="B4209" s="63"/>
      <c r="D4209" s="1"/>
      <c r="E4209" s="1"/>
    </row>
    <row r="4210">
      <c r="A4210" s="1"/>
      <c r="B4210" s="63"/>
      <c r="D4210" s="1"/>
      <c r="E4210" s="1"/>
    </row>
    <row r="4211">
      <c r="A4211" s="1"/>
      <c r="B4211" s="63"/>
      <c r="D4211" s="1"/>
      <c r="E4211" s="1"/>
    </row>
    <row r="4212">
      <c r="A4212" s="1"/>
      <c r="B4212" s="63"/>
      <c r="D4212" s="1"/>
      <c r="E4212" s="1"/>
    </row>
    <row r="4213">
      <c r="A4213" s="1"/>
      <c r="B4213" s="63"/>
      <c r="D4213" s="1"/>
      <c r="E4213" s="1"/>
    </row>
    <row r="4214">
      <c r="A4214" s="1"/>
      <c r="B4214" s="63"/>
      <c r="D4214" s="1"/>
      <c r="E4214" s="1"/>
    </row>
    <row r="4215">
      <c r="A4215" s="1"/>
      <c r="B4215" s="63"/>
      <c r="D4215" s="1"/>
      <c r="E4215" s="1"/>
    </row>
    <row r="4216">
      <c r="A4216" s="1"/>
      <c r="B4216" s="63"/>
      <c r="D4216" s="1"/>
      <c r="E4216" s="1"/>
    </row>
    <row r="4217">
      <c r="A4217" s="1"/>
      <c r="B4217" s="63"/>
      <c r="D4217" s="1"/>
      <c r="E4217" s="1"/>
    </row>
    <row r="4218">
      <c r="A4218" s="1"/>
      <c r="B4218" s="63"/>
      <c r="D4218" s="1"/>
      <c r="E4218" s="1"/>
    </row>
    <row r="4219">
      <c r="A4219" s="1"/>
      <c r="B4219" s="63"/>
      <c r="D4219" s="1"/>
      <c r="E4219" s="1"/>
    </row>
    <row r="4220">
      <c r="A4220" s="1"/>
      <c r="B4220" s="63"/>
      <c r="D4220" s="1"/>
      <c r="E4220" s="1"/>
    </row>
    <row r="4221">
      <c r="A4221" s="1"/>
      <c r="B4221" s="63"/>
      <c r="D4221" s="1"/>
      <c r="E4221" s="1"/>
    </row>
    <row r="4222">
      <c r="A4222" s="1"/>
      <c r="B4222" s="63"/>
      <c r="D4222" s="1"/>
      <c r="E4222" s="1"/>
    </row>
    <row r="4223">
      <c r="A4223" s="1"/>
      <c r="B4223" s="63"/>
      <c r="D4223" s="1"/>
      <c r="E4223" s="1"/>
    </row>
    <row r="4224">
      <c r="A4224" s="1"/>
      <c r="B4224" s="63"/>
      <c r="D4224" s="1"/>
      <c r="E4224" s="1"/>
    </row>
    <row r="4225">
      <c r="A4225" s="1"/>
      <c r="B4225" s="63"/>
      <c r="D4225" s="1"/>
      <c r="E4225" s="1"/>
    </row>
    <row r="4226">
      <c r="A4226" s="1"/>
      <c r="B4226" s="63"/>
      <c r="D4226" s="1"/>
      <c r="E4226" s="1"/>
    </row>
    <row r="4227">
      <c r="A4227" s="1"/>
      <c r="B4227" s="63"/>
      <c r="D4227" s="1"/>
      <c r="E4227" s="1"/>
    </row>
    <row r="4228">
      <c r="A4228" s="1"/>
      <c r="B4228" s="63"/>
      <c r="D4228" s="1"/>
      <c r="E4228" s="1"/>
    </row>
    <row r="4229">
      <c r="A4229" s="1"/>
      <c r="B4229" s="63"/>
      <c r="D4229" s="1"/>
      <c r="E4229" s="1"/>
    </row>
    <row r="4230">
      <c r="A4230" s="1"/>
      <c r="B4230" s="63"/>
      <c r="D4230" s="1"/>
      <c r="E4230" s="1"/>
    </row>
    <row r="4231">
      <c r="A4231" s="1"/>
      <c r="B4231" s="63"/>
      <c r="D4231" s="1"/>
      <c r="E4231" s="1"/>
    </row>
    <row r="4232">
      <c r="A4232" s="1"/>
      <c r="B4232" s="63"/>
      <c r="D4232" s="1"/>
      <c r="E4232" s="1"/>
    </row>
    <row r="4233">
      <c r="A4233" s="1"/>
      <c r="B4233" s="63"/>
      <c r="D4233" s="1"/>
      <c r="E4233" s="1"/>
    </row>
    <row r="4234">
      <c r="A4234" s="1"/>
      <c r="B4234" s="63"/>
      <c r="D4234" s="1"/>
      <c r="E4234" s="1"/>
    </row>
    <row r="4235">
      <c r="A4235" s="1"/>
      <c r="B4235" s="63"/>
      <c r="D4235" s="1"/>
      <c r="E4235" s="1"/>
    </row>
    <row r="4236">
      <c r="A4236" s="1"/>
      <c r="B4236" s="63"/>
      <c r="D4236" s="1"/>
      <c r="E4236" s="1"/>
    </row>
    <row r="4237">
      <c r="A4237" s="1"/>
      <c r="B4237" s="63"/>
      <c r="D4237" s="1"/>
      <c r="E4237" s="1"/>
    </row>
    <row r="4238">
      <c r="A4238" s="1"/>
      <c r="B4238" s="63"/>
      <c r="D4238" s="1"/>
      <c r="E4238" s="1"/>
    </row>
    <row r="4239">
      <c r="A4239" s="1"/>
      <c r="B4239" s="63"/>
      <c r="D4239" s="1"/>
      <c r="E4239" s="1"/>
    </row>
    <row r="4240">
      <c r="A4240" s="1"/>
      <c r="B4240" s="63"/>
      <c r="D4240" s="1"/>
      <c r="E4240" s="1"/>
    </row>
    <row r="4241">
      <c r="A4241" s="1"/>
      <c r="B4241" s="63"/>
      <c r="D4241" s="1"/>
      <c r="E4241" s="1"/>
    </row>
    <row r="4242">
      <c r="A4242" s="1"/>
      <c r="B4242" s="63"/>
      <c r="D4242" s="1"/>
      <c r="E4242" s="1"/>
    </row>
    <row r="4243">
      <c r="A4243" s="1"/>
      <c r="B4243" s="63"/>
      <c r="D4243" s="1"/>
      <c r="E4243" s="1"/>
    </row>
    <row r="4244">
      <c r="A4244" s="1"/>
      <c r="B4244" s="63"/>
      <c r="D4244" s="1"/>
      <c r="E4244" s="1"/>
    </row>
    <row r="4245">
      <c r="A4245" s="1"/>
      <c r="B4245" s="63"/>
      <c r="D4245" s="1"/>
      <c r="E4245" s="1"/>
    </row>
    <row r="4246">
      <c r="A4246" s="1"/>
      <c r="B4246" s="63"/>
      <c r="D4246" s="1"/>
      <c r="E4246" s="1"/>
    </row>
    <row r="4247">
      <c r="A4247" s="1"/>
      <c r="B4247" s="63"/>
      <c r="D4247" s="1"/>
      <c r="E4247" s="1"/>
    </row>
    <row r="4248">
      <c r="A4248" s="1"/>
      <c r="B4248" s="63"/>
      <c r="D4248" s="1"/>
      <c r="E4248" s="1"/>
    </row>
    <row r="4249">
      <c r="A4249" s="1"/>
      <c r="B4249" s="63"/>
      <c r="D4249" s="1"/>
      <c r="E4249" s="1"/>
    </row>
    <row r="4250">
      <c r="A4250" s="1"/>
      <c r="B4250" s="63"/>
      <c r="D4250" s="1"/>
      <c r="E4250" s="1"/>
    </row>
    <row r="4251">
      <c r="A4251" s="1"/>
      <c r="B4251" s="63"/>
      <c r="D4251" s="1"/>
      <c r="E4251" s="1"/>
    </row>
    <row r="4252">
      <c r="A4252" s="1"/>
      <c r="B4252" s="63"/>
      <c r="D4252" s="1"/>
      <c r="E4252" s="1"/>
    </row>
    <row r="4253">
      <c r="A4253" s="1"/>
      <c r="B4253" s="63"/>
      <c r="D4253" s="1"/>
      <c r="E4253" s="1"/>
    </row>
    <row r="4254">
      <c r="A4254" s="1"/>
      <c r="B4254" s="63"/>
      <c r="D4254" s="1"/>
      <c r="E4254" s="1"/>
    </row>
    <row r="4255">
      <c r="A4255" s="1"/>
      <c r="B4255" s="63"/>
      <c r="D4255" s="1"/>
      <c r="E4255" s="1"/>
    </row>
    <row r="4256">
      <c r="A4256" s="1"/>
      <c r="B4256" s="63"/>
      <c r="D4256" s="1"/>
      <c r="E4256" s="1"/>
    </row>
    <row r="4257">
      <c r="A4257" s="1"/>
      <c r="B4257" s="63"/>
      <c r="D4257" s="1"/>
      <c r="E4257" s="1"/>
    </row>
    <row r="4258">
      <c r="A4258" s="1"/>
      <c r="B4258" s="63"/>
      <c r="D4258" s="1"/>
      <c r="E4258" s="1"/>
    </row>
    <row r="4259">
      <c r="A4259" s="1"/>
      <c r="B4259" s="63"/>
      <c r="D4259" s="1"/>
      <c r="E4259" s="1"/>
    </row>
    <row r="4260">
      <c r="A4260" s="1"/>
      <c r="B4260" s="63"/>
      <c r="D4260" s="1"/>
      <c r="E4260" s="1"/>
    </row>
    <row r="4261">
      <c r="A4261" s="1"/>
      <c r="B4261" s="63"/>
      <c r="D4261" s="1"/>
      <c r="E4261" s="1"/>
    </row>
    <row r="4262">
      <c r="A4262" s="1"/>
      <c r="B4262" s="63"/>
      <c r="D4262" s="1"/>
      <c r="E4262" s="1"/>
    </row>
    <row r="4263">
      <c r="A4263" s="1"/>
      <c r="B4263" s="63"/>
      <c r="D4263" s="1"/>
      <c r="E4263" s="1"/>
    </row>
    <row r="4264">
      <c r="A4264" s="1"/>
      <c r="B4264" s="63"/>
      <c r="D4264" s="1"/>
      <c r="E4264" s="1"/>
    </row>
    <row r="4265">
      <c r="A4265" s="1"/>
      <c r="B4265" s="63"/>
      <c r="D4265" s="1"/>
      <c r="E4265" s="1"/>
    </row>
    <row r="4266">
      <c r="A4266" s="1"/>
      <c r="B4266" s="63"/>
      <c r="D4266" s="1"/>
      <c r="E4266" s="1"/>
    </row>
    <row r="4267">
      <c r="A4267" s="1"/>
      <c r="B4267" s="63"/>
      <c r="D4267" s="1"/>
      <c r="E4267" s="1"/>
    </row>
    <row r="4268">
      <c r="A4268" s="1"/>
      <c r="B4268" s="63"/>
      <c r="D4268" s="1"/>
      <c r="E4268" s="1"/>
    </row>
    <row r="4269">
      <c r="A4269" s="1"/>
      <c r="B4269" s="63"/>
      <c r="D4269" s="1"/>
      <c r="E4269" s="1"/>
    </row>
    <row r="4270">
      <c r="A4270" s="1"/>
      <c r="B4270" s="63"/>
      <c r="D4270" s="1"/>
      <c r="E4270" s="1"/>
    </row>
    <row r="4271">
      <c r="A4271" s="1"/>
      <c r="B4271" s="63"/>
      <c r="D4271" s="1"/>
      <c r="E4271" s="1"/>
    </row>
    <row r="4272">
      <c r="A4272" s="1"/>
      <c r="B4272" s="63"/>
      <c r="D4272" s="1"/>
      <c r="E4272" s="1"/>
    </row>
    <row r="4273">
      <c r="A4273" s="1"/>
      <c r="B4273" s="63"/>
      <c r="D4273" s="1"/>
      <c r="E4273" s="1"/>
    </row>
    <row r="4274">
      <c r="A4274" s="1"/>
      <c r="B4274" s="63"/>
      <c r="D4274" s="1"/>
      <c r="E4274" s="1"/>
    </row>
    <row r="4275">
      <c r="A4275" s="1"/>
      <c r="B4275" s="63"/>
      <c r="D4275" s="1"/>
      <c r="E4275" s="1"/>
    </row>
    <row r="4276">
      <c r="A4276" s="1"/>
      <c r="B4276" s="63"/>
      <c r="D4276" s="1"/>
      <c r="E4276" s="1"/>
    </row>
    <row r="4277">
      <c r="A4277" s="1"/>
      <c r="B4277" s="63"/>
      <c r="D4277" s="1"/>
      <c r="E4277" s="1"/>
    </row>
    <row r="4278">
      <c r="A4278" s="1"/>
      <c r="B4278" s="63"/>
      <c r="D4278" s="1"/>
      <c r="E4278" s="1"/>
    </row>
    <row r="4279">
      <c r="A4279" s="1"/>
      <c r="B4279" s="63"/>
      <c r="D4279" s="1"/>
      <c r="E4279" s="1"/>
    </row>
    <row r="4280">
      <c r="A4280" s="1"/>
      <c r="B4280" s="63"/>
      <c r="D4280" s="1"/>
      <c r="E4280" s="1"/>
    </row>
    <row r="4281">
      <c r="A4281" s="1"/>
      <c r="B4281" s="63"/>
      <c r="D4281" s="1"/>
      <c r="E4281" s="1"/>
    </row>
    <row r="4282">
      <c r="A4282" s="1"/>
      <c r="B4282" s="63"/>
      <c r="D4282" s="1"/>
      <c r="E4282" s="1"/>
    </row>
    <row r="4283">
      <c r="A4283" s="1"/>
      <c r="B4283" s="63"/>
      <c r="D4283" s="1"/>
      <c r="E4283" s="1"/>
    </row>
    <row r="4284">
      <c r="A4284" s="1"/>
      <c r="B4284" s="63"/>
      <c r="D4284" s="1"/>
      <c r="E4284" s="1"/>
    </row>
    <row r="4285">
      <c r="A4285" s="1"/>
      <c r="B4285" s="63"/>
      <c r="D4285" s="1"/>
      <c r="E4285" s="1"/>
    </row>
    <row r="4286">
      <c r="A4286" s="1"/>
      <c r="B4286" s="63"/>
      <c r="D4286" s="1"/>
      <c r="E4286" s="1"/>
    </row>
    <row r="4287">
      <c r="A4287" s="1"/>
      <c r="B4287" s="63"/>
      <c r="D4287" s="1"/>
      <c r="E4287" s="1"/>
    </row>
    <row r="4288">
      <c r="A4288" s="1"/>
      <c r="B4288" s="63"/>
      <c r="D4288" s="1"/>
      <c r="E4288" s="1"/>
    </row>
    <row r="4289">
      <c r="A4289" s="1"/>
      <c r="B4289" s="63"/>
      <c r="D4289" s="1"/>
      <c r="E4289" s="1"/>
    </row>
    <row r="4290">
      <c r="A4290" s="1"/>
      <c r="B4290" s="63"/>
      <c r="D4290" s="1"/>
      <c r="E4290" s="1"/>
    </row>
    <row r="4291">
      <c r="A4291" s="1"/>
      <c r="B4291" s="63"/>
      <c r="D4291" s="1"/>
      <c r="E4291" s="1"/>
    </row>
    <row r="4292">
      <c r="A4292" s="1"/>
      <c r="B4292" s="63"/>
      <c r="D4292" s="1"/>
      <c r="E4292" s="1"/>
    </row>
    <row r="4293">
      <c r="A4293" s="1"/>
      <c r="B4293" s="63"/>
      <c r="D4293" s="1"/>
      <c r="E4293" s="1"/>
    </row>
    <row r="4294">
      <c r="A4294" s="1"/>
      <c r="B4294" s="63"/>
      <c r="D4294" s="1"/>
      <c r="E4294" s="1"/>
    </row>
    <row r="4295">
      <c r="A4295" s="1"/>
      <c r="B4295" s="63"/>
      <c r="D4295" s="1"/>
      <c r="E4295" s="1"/>
    </row>
    <row r="4296">
      <c r="A4296" s="1"/>
      <c r="B4296" s="63"/>
      <c r="D4296" s="1"/>
      <c r="E4296" s="1"/>
    </row>
    <row r="4297">
      <c r="A4297" s="1"/>
      <c r="B4297" s="63"/>
      <c r="D4297" s="1"/>
      <c r="E4297" s="1"/>
    </row>
    <row r="4298">
      <c r="A4298" s="1"/>
      <c r="B4298" s="63"/>
      <c r="D4298" s="1"/>
      <c r="E4298" s="1"/>
    </row>
    <row r="4299">
      <c r="A4299" s="1"/>
      <c r="B4299" s="63"/>
      <c r="D4299" s="1"/>
      <c r="E4299" s="1"/>
    </row>
    <row r="4300">
      <c r="A4300" s="1"/>
      <c r="B4300" s="63"/>
      <c r="D4300" s="1"/>
      <c r="E4300" s="1"/>
    </row>
    <row r="4301">
      <c r="A4301" s="1"/>
      <c r="B4301" s="63"/>
      <c r="D4301" s="1"/>
      <c r="E4301" s="1"/>
    </row>
    <row r="4302">
      <c r="A4302" s="1"/>
      <c r="B4302" s="63"/>
      <c r="D4302" s="1"/>
      <c r="E4302" s="1"/>
    </row>
    <row r="4303">
      <c r="A4303" s="1"/>
      <c r="B4303" s="63"/>
      <c r="D4303" s="1"/>
      <c r="E4303" s="1"/>
    </row>
    <row r="4304">
      <c r="A4304" s="1"/>
      <c r="B4304" s="63"/>
      <c r="D4304" s="1"/>
      <c r="E4304" s="1"/>
    </row>
    <row r="4305">
      <c r="A4305" s="1"/>
      <c r="B4305" s="63"/>
      <c r="D4305" s="1"/>
      <c r="E4305" s="1"/>
    </row>
    <row r="4306">
      <c r="A4306" s="1"/>
      <c r="B4306" s="63"/>
      <c r="D4306" s="1"/>
      <c r="E4306" s="1"/>
    </row>
    <row r="4307">
      <c r="A4307" s="1"/>
      <c r="B4307" s="63"/>
      <c r="D4307" s="1"/>
      <c r="E4307" s="1"/>
    </row>
    <row r="4308">
      <c r="A4308" s="1"/>
      <c r="B4308" s="63"/>
      <c r="D4308" s="1"/>
      <c r="E4308" s="1"/>
    </row>
    <row r="4309">
      <c r="A4309" s="1"/>
      <c r="B4309" s="63"/>
      <c r="D4309" s="1"/>
      <c r="E4309" s="1"/>
    </row>
    <row r="4310">
      <c r="A4310" s="1"/>
      <c r="B4310" s="63"/>
      <c r="D4310" s="1"/>
      <c r="E4310" s="1"/>
    </row>
    <row r="4311">
      <c r="A4311" s="1"/>
      <c r="B4311" s="63"/>
      <c r="D4311" s="1"/>
      <c r="E4311" s="1"/>
    </row>
    <row r="4312">
      <c r="A4312" s="1"/>
      <c r="B4312" s="63"/>
      <c r="D4312" s="1"/>
      <c r="E4312" s="1"/>
    </row>
    <row r="4313">
      <c r="A4313" s="1"/>
      <c r="B4313" s="63"/>
      <c r="D4313" s="1"/>
      <c r="E4313" s="1"/>
    </row>
    <row r="4314">
      <c r="A4314" s="1"/>
      <c r="B4314" s="63"/>
      <c r="D4314" s="1"/>
      <c r="E4314" s="1"/>
    </row>
    <row r="4315">
      <c r="A4315" s="1"/>
      <c r="B4315" s="63"/>
      <c r="D4315" s="1"/>
      <c r="E4315" s="1"/>
    </row>
    <row r="4316">
      <c r="A4316" s="1"/>
      <c r="B4316" s="63"/>
      <c r="D4316" s="1"/>
      <c r="E4316" s="1"/>
    </row>
    <row r="4317">
      <c r="A4317" s="1"/>
      <c r="B4317" s="63"/>
      <c r="D4317" s="1"/>
      <c r="E4317" s="1"/>
    </row>
    <row r="4318">
      <c r="A4318" s="1"/>
      <c r="B4318" s="63"/>
      <c r="D4318" s="1"/>
      <c r="E4318" s="1"/>
    </row>
    <row r="4319">
      <c r="A4319" s="1"/>
      <c r="B4319" s="63"/>
      <c r="D4319" s="1"/>
      <c r="E4319" s="1"/>
    </row>
    <row r="4320">
      <c r="A4320" s="1"/>
      <c r="B4320" s="63"/>
      <c r="D4320" s="1"/>
      <c r="E4320" s="1"/>
    </row>
    <row r="4321">
      <c r="A4321" s="1"/>
      <c r="B4321" s="63"/>
      <c r="D4321" s="1"/>
      <c r="E4321" s="1"/>
    </row>
    <row r="4322">
      <c r="A4322" s="1"/>
      <c r="B4322" s="63"/>
      <c r="D4322" s="1"/>
      <c r="E4322" s="1"/>
    </row>
    <row r="4323">
      <c r="A4323" s="1"/>
      <c r="B4323" s="63"/>
      <c r="D4323" s="1"/>
      <c r="E4323" s="1"/>
    </row>
    <row r="4324">
      <c r="A4324" s="1"/>
      <c r="B4324" s="63"/>
      <c r="D4324" s="1"/>
      <c r="E4324" s="1"/>
    </row>
    <row r="4325">
      <c r="A4325" s="1"/>
      <c r="B4325" s="63"/>
      <c r="D4325" s="1"/>
      <c r="E4325" s="1"/>
    </row>
    <row r="4326">
      <c r="A4326" s="1"/>
      <c r="B4326" s="63"/>
      <c r="D4326" s="1"/>
      <c r="E4326" s="1"/>
    </row>
    <row r="4327">
      <c r="A4327" s="1"/>
      <c r="B4327" s="63"/>
      <c r="D4327" s="1"/>
      <c r="E4327" s="1"/>
    </row>
    <row r="4328">
      <c r="A4328" s="1"/>
      <c r="B4328" s="63"/>
      <c r="D4328" s="1"/>
      <c r="E4328" s="1"/>
    </row>
    <row r="4329">
      <c r="A4329" s="1"/>
      <c r="B4329" s="63"/>
      <c r="D4329" s="1"/>
      <c r="E4329" s="1"/>
    </row>
    <row r="4330">
      <c r="A4330" s="1"/>
      <c r="B4330" s="63"/>
      <c r="D4330" s="1"/>
      <c r="E4330" s="1"/>
    </row>
    <row r="4331">
      <c r="A4331" s="1"/>
      <c r="B4331" s="63"/>
      <c r="D4331" s="1"/>
      <c r="E4331" s="1"/>
    </row>
    <row r="4332">
      <c r="A4332" s="1"/>
      <c r="B4332" s="63"/>
      <c r="D4332" s="1"/>
      <c r="E4332" s="1"/>
    </row>
    <row r="4333">
      <c r="A4333" s="1"/>
      <c r="B4333" s="63"/>
      <c r="D4333" s="1"/>
      <c r="E4333" s="1"/>
    </row>
    <row r="4334">
      <c r="A4334" s="1"/>
      <c r="B4334" s="63"/>
      <c r="D4334" s="1"/>
      <c r="E4334" s="1"/>
    </row>
    <row r="4335">
      <c r="A4335" s="1"/>
      <c r="B4335" s="63"/>
      <c r="D4335" s="1"/>
      <c r="E4335" s="1"/>
    </row>
    <row r="4336">
      <c r="A4336" s="1"/>
      <c r="B4336" s="63"/>
      <c r="D4336" s="1"/>
      <c r="E4336" s="1"/>
    </row>
    <row r="4337">
      <c r="A4337" s="1"/>
      <c r="B4337" s="63"/>
      <c r="D4337" s="1"/>
      <c r="E4337" s="1"/>
    </row>
    <row r="4338">
      <c r="A4338" s="1"/>
      <c r="B4338" s="63"/>
      <c r="D4338" s="1"/>
      <c r="E4338" s="1"/>
    </row>
    <row r="4339">
      <c r="A4339" s="1"/>
      <c r="B4339" s="63"/>
      <c r="D4339" s="1"/>
      <c r="E4339" s="1"/>
    </row>
    <row r="4340">
      <c r="A4340" s="1"/>
      <c r="B4340" s="63"/>
      <c r="D4340" s="1"/>
      <c r="E4340" s="1"/>
    </row>
    <row r="4341">
      <c r="A4341" s="1"/>
      <c r="B4341" s="63"/>
      <c r="D4341" s="1"/>
      <c r="E4341" s="1"/>
    </row>
    <row r="4342">
      <c r="A4342" s="1"/>
      <c r="B4342" s="63"/>
      <c r="D4342" s="1"/>
      <c r="E4342" s="1"/>
    </row>
    <row r="4343">
      <c r="A4343" s="1"/>
      <c r="B4343" s="63"/>
      <c r="D4343" s="1"/>
      <c r="E4343" s="1"/>
    </row>
    <row r="4344">
      <c r="A4344" s="1"/>
      <c r="B4344" s="63"/>
      <c r="D4344" s="1"/>
      <c r="E4344" s="1"/>
    </row>
    <row r="4345">
      <c r="A4345" s="1"/>
      <c r="B4345" s="63"/>
      <c r="D4345" s="1"/>
      <c r="E4345" s="1"/>
    </row>
    <row r="4346">
      <c r="A4346" s="1"/>
      <c r="B4346" s="63"/>
      <c r="D4346" s="1"/>
      <c r="E4346" s="1"/>
    </row>
    <row r="4347">
      <c r="A4347" s="1"/>
      <c r="B4347" s="63"/>
      <c r="D4347" s="1"/>
      <c r="E4347" s="1"/>
    </row>
    <row r="4348">
      <c r="A4348" s="1"/>
      <c r="B4348" s="63"/>
      <c r="D4348" s="1"/>
      <c r="E4348" s="1"/>
    </row>
    <row r="4349">
      <c r="A4349" s="1"/>
      <c r="B4349" s="63"/>
      <c r="D4349" s="1"/>
      <c r="E4349" s="1"/>
    </row>
    <row r="4350">
      <c r="A4350" s="1"/>
      <c r="B4350" s="63"/>
      <c r="D4350" s="1"/>
      <c r="E4350" s="1"/>
    </row>
    <row r="4351">
      <c r="A4351" s="1"/>
      <c r="B4351" s="63"/>
      <c r="D4351" s="1"/>
      <c r="E4351" s="1"/>
    </row>
    <row r="4352">
      <c r="A4352" s="1"/>
      <c r="B4352" s="63"/>
      <c r="D4352" s="1"/>
      <c r="E4352" s="1"/>
    </row>
    <row r="4353">
      <c r="A4353" s="1"/>
      <c r="B4353" s="63"/>
      <c r="D4353" s="1"/>
      <c r="E4353" s="1"/>
    </row>
    <row r="4354">
      <c r="A4354" s="1"/>
      <c r="B4354" s="63"/>
      <c r="D4354" s="1"/>
      <c r="E4354" s="1"/>
    </row>
    <row r="4355">
      <c r="A4355" s="1"/>
      <c r="B4355" s="63"/>
      <c r="D4355" s="1"/>
      <c r="E4355" s="1"/>
    </row>
    <row r="4356">
      <c r="A4356" s="1"/>
      <c r="B4356" s="63"/>
      <c r="D4356" s="1"/>
      <c r="E4356" s="1"/>
    </row>
    <row r="4357">
      <c r="A4357" s="1"/>
      <c r="B4357" s="63"/>
      <c r="D4357" s="1"/>
      <c r="E4357" s="1"/>
    </row>
    <row r="4358">
      <c r="A4358" s="1"/>
      <c r="B4358" s="63"/>
      <c r="D4358" s="1"/>
      <c r="E4358" s="1"/>
    </row>
    <row r="4359">
      <c r="A4359" s="1"/>
      <c r="B4359" s="63"/>
      <c r="D4359" s="1"/>
      <c r="E4359" s="1"/>
    </row>
    <row r="4360">
      <c r="A4360" s="1"/>
      <c r="B4360" s="63"/>
      <c r="D4360" s="1"/>
      <c r="E4360" s="1"/>
    </row>
    <row r="4361">
      <c r="A4361" s="1"/>
      <c r="B4361" s="63"/>
      <c r="D4361" s="1"/>
      <c r="E4361" s="1"/>
    </row>
    <row r="4362">
      <c r="A4362" s="1"/>
      <c r="B4362" s="63"/>
      <c r="D4362" s="1"/>
      <c r="E4362" s="1"/>
    </row>
    <row r="4363">
      <c r="A4363" s="1"/>
      <c r="B4363" s="63"/>
      <c r="D4363" s="1"/>
      <c r="E4363" s="1"/>
    </row>
    <row r="4364">
      <c r="A4364" s="1"/>
      <c r="B4364" s="63"/>
      <c r="D4364" s="1"/>
      <c r="E4364" s="1"/>
    </row>
    <row r="4365">
      <c r="A4365" s="1"/>
      <c r="B4365" s="63"/>
      <c r="D4365" s="1"/>
      <c r="E4365" s="1"/>
    </row>
    <row r="4366">
      <c r="A4366" s="1"/>
      <c r="B4366" s="63"/>
      <c r="D4366" s="1"/>
      <c r="E4366" s="1"/>
    </row>
    <row r="4367">
      <c r="A4367" s="1"/>
      <c r="B4367" s="63"/>
      <c r="D4367" s="1"/>
      <c r="E4367" s="1"/>
    </row>
    <row r="4368">
      <c r="A4368" s="1"/>
      <c r="B4368" s="63"/>
      <c r="D4368" s="1"/>
      <c r="E4368" s="1"/>
    </row>
    <row r="4369">
      <c r="A4369" s="1"/>
      <c r="B4369" s="63"/>
      <c r="D4369" s="1"/>
      <c r="E4369" s="1"/>
    </row>
    <row r="4370">
      <c r="A4370" s="1"/>
      <c r="B4370" s="63"/>
      <c r="D4370" s="1"/>
      <c r="E4370" s="1"/>
    </row>
    <row r="4371">
      <c r="A4371" s="1"/>
      <c r="B4371" s="63"/>
      <c r="D4371" s="1"/>
      <c r="E4371" s="1"/>
    </row>
    <row r="4372">
      <c r="A4372" s="1"/>
      <c r="B4372" s="63"/>
      <c r="D4372" s="1"/>
      <c r="E4372" s="1"/>
    </row>
    <row r="4373">
      <c r="A4373" s="1"/>
      <c r="B4373" s="63"/>
      <c r="D4373" s="1"/>
      <c r="E4373" s="1"/>
    </row>
    <row r="4374">
      <c r="A4374" s="1"/>
      <c r="B4374" s="63"/>
      <c r="D4374" s="1"/>
      <c r="E4374" s="1"/>
    </row>
    <row r="4375">
      <c r="A4375" s="1"/>
      <c r="B4375" s="63"/>
      <c r="D4375" s="1"/>
      <c r="E4375" s="1"/>
    </row>
    <row r="4376">
      <c r="A4376" s="1"/>
      <c r="B4376" s="63"/>
      <c r="D4376" s="1"/>
      <c r="E4376" s="1"/>
    </row>
    <row r="4377">
      <c r="A4377" s="1"/>
      <c r="B4377" s="63"/>
      <c r="D4377" s="1"/>
      <c r="E4377" s="1"/>
    </row>
    <row r="4378">
      <c r="A4378" s="1"/>
      <c r="B4378" s="63"/>
      <c r="D4378" s="1"/>
      <c r="E4378" s="1"/>
    </row>
    <row r="4379">
      <c r="A4379" s="1"/>
      <c r="B4379" s="63"/>
      <c r="D4379" s="1"/>
      <c r="E4379" s="1"/>
    </row>
    <row r="4380">
      <c r="A4380" s="1"/>
      <c r="B4380" s="63"/>
      <c r="D4380" s="1"/>
      <c r="E4380" s="1"/>
    </row>
    <row r="4381">
      <c r="A4381" s="1"/>
      <c r="B4381" s="63"/>
      <c r="D4381" s="1"/>
      <c r="E4381" s="1"/>
    </row>
    <row r="4382">
      <c r="A4382" s="1"/>
      <c r="B4382" s="63"/>
      <c r="D4382" s="1"/>
      <c r="E4382" s="1"/>
    </row>
    <row r="4383">
      <c r="A4383" s="1"/>
      <c r="B4383" s="63"/>
      <c r="D4383" s="1"/>
      <c r="E4383" s="1"/>
    </row>
    <row r="4384">
      <c r="A4384" s="1"/>
      <c r="B4384" s="63"/>
      <c r="D4384" s="1"/>
      <c r="E4384" s="1"/>
    </row>
    <row r="4385">
      <c r="A4385" s="1"/>
      <c r="B4385" s="63"/>
      <c r="D4385" s="1"/>
      <c r="E4385" s="1"/>
    </row>
    <row r="4386">
      <c r="A4386" s="1"/>
      <c r="B4386" s="63"/>
      <c r="D4386" s="1"/>
      <c r="E4386" s="1"/>
    </row>
    <row r="4387">
      <c r="A4387" s="1"/>
      <c r="B4387" s="63"/>
      <c r="D4387" s="1"/>
      <c r="E4387" s="1"/>
    </row>
    <row r="4388">
      <c r="A4388" s="1"/>
      <c r="B4388" s="63"/>
      <c r="D4388" s="1"/>
      <c r="E4388" s="1"/>
    </row>
    <row r="4389">
      <c r="A4389" s="1"/>
      <c r="B4389" s="63"/>
      <c r="D4389" s="1"/>
      <c r="E4389" s="1"/>
    </row>
    <row r="4390">
      <c r="A4390" s="1"/>
      <c r="B4390" s="63"/>
      <c r="D4390" s="1"/>
      <c r="E4390" s="1"/>
    </row>
    <row r="4391">
      <c r="A4391" s="1"/>
      <c r="B4391" s="63"/>
      <c r="D4391" s="1"/>
      <c r="E4391" s="1"/>
    </row>
    <row r="4392">
      <c r="A4392" s="1"/>
      <c r="B4392" s="63"/>
      <c r="D4392" s="1"/>
      <c r="E4392" s="1"/>
    </row>
    <row r="4393">
      <c r="A4393" s="1"/>
      <c r="B4393" s="63"/>
      <c r="D4393" s="1"/>
      <c r="E4393" s="1"/>
    </row>
    <row r="4394">
      <c r="A4394" s="1"/>
      <c r="B4394" s="63"/>
      <c r="D4394" s="1"/>
      <c r="E4394" s="1"/>
    </row>
    <row r="4395">
      <c r="A4395" s="1"/>
      <c r="B4395" s="63"/>
      <c r="D4395" s="1"/>
      <c r="E4395" s="1"/>
    </row>
    <row r="4396">
      <c r="A4396" s="1"/>
      <c r="B4396" s="63"/>
      <c r="D4396" s="1"/>
      <c r="E4396" s="1"/>
    </row>
    <row r="4397">
      <c r="A4397" s="1"/>
      <c r="B4397" s="63"/>
      <c r="D4397" s="1"/>
      <c r="E4397" s="1"/>
    </row>
    <row r="4398">
      <c r="A4398" s="1"/>
      <c r="B4398" s="63"/>
      <c r="D4398" s="1"/>
      <c r="E4398" s="1"/>
    </row>
    <row r="4399">
      <c r="A4399" s="1"/>
      <c r="B4399" s="63"/>
      <c r="D4399" s="1"/>
      <c r="E4399" s="1"/>
    </row>
    <row r="4400">
      <c r="A4400" s="1"/>
      <c r="B4400" s="63"/>
      <c r="D4400" s="1"/>
      <c r="E4400" s="1"/>
    </row>
  </sheetData>
  <autoFilter ref="$A$1:$E$396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B1" s="65" t="s">
        <v>80</v>
      </c>
      <c r="C1" s="1"/>
      <c r="D1" s="1"/>
    </row>
    <row r="2">
      <c r="A2" s="63">
        <v>43254.0</v>
      </c>
      <c r="B2" s="65">
        <v>32.7870517928287</v>
      </c>
      <c r="C2" s="63"/>
      <c r="D2" s="1"/>
    </row>
    <row r="3">
      <c r="A3" s="63">
        <v>43261.0</v>
      </c>
      <c r="B3" s="65">
        <v>32.8171191907345</v>
      </c>
      <c r="C3" s="63"/>
      <c r="D3" s="1"/>
    </row>
    <row r="4">
      <c r="A4" s="63">
        <v>43268.0</v>
      </c>
      <c r="B4" s="65">
        <v>33.9939301359091</v>
      </c>
      <c r="C4" s="63"/>
      <c r="D4" s="1"/>
    </row>
    <row r="5">
      <c r="A5" s="63">
        <v>43275.0</v>
      </c>
      <c r="B5" s="65">
        <v>33.8220135052179</v>
      </c>
      <c r="C5" s="63"/>
      <c r="D5" s="1"/>
    </row>
    <row r="6">
      <c r="A6" s="63">
        <v>43282.0</v>
      </c>
      <c r="B6" s="65">
        <v>33.2718816</v>
      </c>
      <c r="C6" s="63"/>
      <c r="D6" s="1"/>
    </row>
    <row r="7">
      <c r="A7" s="63">
        <v>43289.0</v>
      </c>
      <c r="B7" s="65">
        <v>34.0410717765509</v>
      </c>
      <c r="C7" s="63"/>
      <c r="D7" s="1"/>
    </row>
    <row r="8">
      <c r="A8" s="63">
        <v>43296.0</v>
      </c>
      <c r="B8" s="65">
        <v>34.3123743685191</v>
      </c>
      <c r="C8" s="63"/>
      <c r="D8" s="1"/>
    </row>
    <row r="9">
      <c r="A9" s="63">
        <v>43303.0</v>
      </c>
      <c r="B9" s="65">
        <v>34.7308560650028</v>
      </c>
      <c r="C9" s="63"/>
      <c r="D9" s="1"/>
    </row>
    <row r="10">
      <c r="A10" s="63">
        <v>43310.0</v>
      </c>
      <c r="B10" s="65">
        <v>33.3594935622319</v>
      </c>
      <c r="C10" s="63"/>
      <c r="D10" s="1"/>
    </row>
    <row r="11">
      <c r="A11" s="63">
        <v>43317.0</v>
      </c>
      <c r="B11" s="65">
        <v>38.4092697119581</v>
      </c>
      <c r="C11" s="63"/>
      <c r="D11" s="1"/>
    </row>
    <row r="12">
      <c r="A12" s="63">
        <v>43324.0</v>
      </c>
      <c r="B12" s="65">
        <v>43.9717850892545</v>
      </c>
      <c r="C12" s="63"/>
      <c r="D12" s="1"/>
    </row>
    <row r="13">
      <c r="A13" s="63">
        <v>43331.0</v>
      </c>
      <c r="B13" s="65">
        <v>44.3986920370963</v>
      </c>
      <c r="C13" s="63"/>
      <c r="D13" s="1"/>
    </row>
    <row r="14">
      <c r="A14" s="63">
        <v>43338.0</v>
      </c>
      <c r="B14" s="65">
        <v>45.4050277143788</v>
      </c>
      <c r="C14" s="63"/>
      <c r="D14" s="1"/>
    </row>
    <row r="15">
      <c r="A15" s="63">
        <v>43345.0</v>
      </c>
      <c r="B15" s="65">
        <v>43.0972619926199</v>
      </c>
      <c r="C15" s="63"/>
      <c r="D15" s="1"/>
    </row>
    <row r="16">
      <c r="A16" s="63">
        <v>43352.0</v>
      </c>
      <c r="B16" s="65">
        <v>41.9088701646879</v>
      </c>
      <c r="C16" s="63"/>
      <c r="D16" s="1"/>
    </row>
    <row r="17">
      <c r="A17" s="63">
        <v>43359.0</v>
      </c>
      <c r="B17" s="65">
        <v>43.2023175416132</v>
      </c>
      <c r="C17" s="63"/>
      <c r="D17" s="1"/>
    </row>
    <row r="18">
      <c r="A18" s="63">
        <v>43366.0</v>
      </c>
      <c r="B18" s="65">
        <v>40.8984017278617</v>
      </c>
      <c r="C18" s="63"/>
      <c r="D18" s="1"/>
    </row>
    <row r="19">
      <c r="A19" s="63">
        <v>43373.0</v>
      </c>
      <c r="B19" s="65">
        <v>40.6198418674698</v>
      </c>
      <c r="C19" s="63"/>
      <c r="D19" s="1"/>
    </row>
    <row r="20">
      <c r="A20" s="63">
        <v>43380.0</v>
      </c>
      <c r="B20" s="65">
        <v>41.9498835041938</v>
      </c>
      <c r="C20" s="63"/>
      <c r="D20" s="1"/>
    </row>
    <row r="21">
      <c r="A21" s="63">
        <v>43387.0</v>
      </c>
      <c r="B21" s="65">
        <v>45.1306220322887</v>
      </c>
      <c r="C21" s="63"/>
      <c r="D21" s="1"/>
    </row>
    <row r="22">
      <c r="A22" s="63">
        <v>43394.0</v>
      </c>
      <c r="B22" s="65">
        <v>43.8971448339483</v>
      </c>
      <c r="C22" s="63"/>
      <c r="D22" s="1"/>
    </row>
    <row r="23">
      <c r="A23" s="63">
        <v>43401.0</v>
      </c>
      <c r="B23" s="65">
        <v>44.2288649155722</v>
      </c>
      <c r="C23" s="63"/>
      <c r="D23" s="1"/>
    </row>
    <row r="24">
      <c r="A24" s="63">
        <v>43408.0</v>
      </c>
      <c r="B24" s="65">
        <v>44.8498675496688</v>
      </c>
      <c r="C24" s="63"/>
      <c r="D24" s="1"/>
    </row>
    <row r="25">
      <c r="A25" s="1"/>
      <c r="B25" s="65"/>
      <c r="C25" s="63"/>
      <c r="D25" s="1"/>
    </row>
    <row r="26">
      <c r="A26" s="1"/>
      <c r="B26" s="65"/>
      <c r="C26" s="63"/>
      <c r="D26" s="1"/>
    </row>
    <row r="27">
      <c r="A27" s="1"/>
      <c r="B27" s="65"/>
      <c r="C27" s="63"/>
      <c r="D27" s="1"/>
    </row>
    <row r="28">
      <c r="A28" s="1"/>
      <c r="B28" s="65"/>
      <c r="C28" s="63"/>
      <c r="D28" s="1"/>
    </row>
    <row r="29">
      <c r="A29" s="1"/>
      <c r="B29" s="65"/>
      <c r="C29" s="63"/>
      <c r="D29" s="1"/>
    </row>
    <row r="30">
      <c r="A30" s="1"/>
      <c r="B30" s="65"/>
      <c r="C30" s="63"/>
      <c r="D30" s="1"/>
    </row>
    <row r="31">
      <c r="A31" s="1"/>
      <c r="B31" s="65"/>
      <c r="C31" s="63"/>
      <c r="D31" s="1"/>
    </row>
    <row r="32">
      <c r="A32" s="1"/>
      <c r="B32" s="65"/>
      <c r="C32" s="63"/>
      <c r="D32" s="1"/>
    </row>
    <row r="33">
      <c r="A33" s="1"/>
      <c r="B33" s="65"/>
      <c r="C33" s="63"/>
      <c r="D33" s="1"/>
    </row>
    <row r="34">
      <c r="A34" s="1"/>
      <c r="B34" s="65"/>
      <c r="C34" s="63"/>
      <c r="D34" s="1"/>
    </row>
    <row r="35">
      <c r="A35" s="1"/>
      <c r="B35" s="65"/>
      <c r="C35" s="63"/>
      <c r="D35" s="1"/>
    </row>
    <row r="36">
      <c r="A36" s="1"/>
      <c r="B36" s="65"/>
      <c r="C36" s="63"/>
      <c r="D36" s="1"/>
    </row>
    <row r="37">
      <c r="A37" s="1"/>
      <c r="B37" s="65"/>
      <c r="C37" s="63"/>
      <c r="D37" s="1"/>
    </row>
    <row r="38">
      <c r="A38" s="1"/>
      <c r="B38" s="65"/>
      <c r="C38" s="63"/>
      <c r="D38" s="1"/>
    </row>
    <row r="39">
      <c r="A39" s="1"/>
      <c r="B39" s="65"/>
      <c r="C39" s="63"/>
      <c r="D39" s="1"/>
    </row>
    <row r="40">
      <c r="A40" s="1"/>
      <c r="B40" s="65"/>
      <c r="C40" s="63"/>
      <c r="D40" s="1"/>
    </row>
    <row r="41">
      <c r="A41" s="1"/>
      <c r="B41" s="65"/>
      <c r="C41" s="63"/>
      <c r="D41" s="1"/>
    </row>
    <row r="42">
      <c r="A42" s="1"/>
      <c r="B42" s="65"/>
      <c r="C42" s="63"/>
      <c r="D42" s="1"/>
    </row>
    <row r="43">
      <c r="A43" s="1"/>
      <c r="B43" s="65"/>
      <c r="C43" s="63"/>
      <c r="D43" s="1"/>
    </row>
    <row r="44">
      <c r="A44" s="1"/>
      <c r="B44" s="65"/>
      <c r="C44" s="63"/>
      <c r="D44" s="1"/>
    </row>
    <row r="45">
      <c r="A45" s="1"/>
      <c r="B45" s="65"/>
      <c r="C45" s="63"/>
      <c r="D45" s="1"/>
    </row>
    <row r="46">
      <c r="A46" s="1"/>
      <c r="B46" s="65"/>
      <c r="C46" s="63"/>
      <c r="D46" s="1"/>
    </row>
    <row r="47">
      <c r="A47" s="1"/>
      <c r="B47" s="65"/>
      <c r="C47" s="63"/>
      <c r="D47" s="1"/>
    </row>
    <row r="48">
      <c r="A48" s="1"/>
      <c r="B48" s="65"/>
      <c r="C48" s="63"/>
      <c r="D48" s="1"/>
    </row>
    <row r="49">
      <c r="A49" s="1"/>
      <c r="B49" s="65"/>
      <c r="C49" s="63"/>
      <c r="D49" s="1"/>
    </row>
    <row r="50">
      <c r="A50" s="1"/>
      <c r="B50" s="65"/>
      <c r="C50" s="63"/>
      <c r="D50" s="1"/>
    </row>
    <row r="51">
      <c r="A51" s="1"/>
      <c r="B51" s="65"/>
      <c r="C51" s="63"/>
      <c r="D51" s="1"/>
    </row>
    <row r="52">
      <c r="A52" s="1"/>
      <c r="B52" s="65"/>
      <c r="C52" s="63"/>
      <c r="D52" s="1"/>
    </row>
    <row r="53">
      <c r="A53" s="1"/>
      <c r="B53" s="65"/>
      <c r="C53" s="63"/>
      <c r="D53" s="1"/>
    </row>
    <row r="54">
      <c r="A54" s="1"/>
      <c r="B54" s="65"/>
      <c r="C54" s="63"/>
      <c r="D54" s="1"/>
    </row>
    <row r="55">
      <c r="A55" s="1"/>
      <c r="B55" s="65"/>
      <c r="C55" s="63"/>
      <c r="D55" s="1"/>
    </row>
    <row r="56">
      <c r="A56" s="1"/>
      <c r="B56" s="65"/>
      <c r="C56" s="63"/>
      <c r="D56" s="1"/>
    </row>
    <row r="57">
      <c r="A57" s="1"/>
      <c r="B57" s="65"/>
      <c r="C57" s="63"/>
      <c r="D57" s="1"/>
    </row>
    <row r="58">
      <c r="A58" s="1"/>
      <c r="B58" s="65"/>
      <c r="C58" s="63"/>
      <c r="D58" s="1"/>
    </row>
    <row r="59">
      <c r="A59" s="1"/>
      <c r="B59" s="65"/>
      <c r="C59" s="63"/>
      <c r="D59" s="1"/>
    </row>
    <row r="60">
      <c r="A60" s="1"/>
      <c r="B60" s="65"/>
      <c r="C60" s="63"/>
      <c r="D60" s="1"/>
    </row>
    <row r="61">
      <c r="A61" s="1"/>
      <c r="B61" s="65"/>
      <c r="C61" s="63"/>
      <c r="D61" s="1"/>
    </row>
    <row r="62">
      <c r="A62" s="1"/>
      <c r="B62" s="65"/>
      <c r="C62" s="63"/>
      <c r="D62" s="1"/>
    </row>
    <row r="63">
      <c r="A63" s="1"/>
      <c r="B63" s="65"/>
      <c r="C63" s="63"/>
      <c r="D63" s="1"/>
    </row>
    <row r="64">
      <c r="A64" s="1"/>
      <c r="B64" s="65"/>
      <c r="C64" s="63"/>
      <c r="D64" s="1"/>
    </row>
    <row r="65">
      <c r="A65" s="1"/>
      <c r="B65" s="65"/>
      <c r="C65" s="63"/>
      <c r="D65" s="1"/>
    </row>
    <row r="66">
      <c r="A66" s="1"/>
      <c r="B66" s="65"/>
      <c r="C66" s="63"/>
      <c r="D66" s="1"/>
    </row>
    <row r="67">
      <c r="A67" s="1"/>
      <c r="B67" s="65"/>
      <c r="C67" s="63"/>
      <c r="D67" s="1"/>
    </row>
    <row r="68">
      <c r="A68" s="1"/>
      <c r="B68" s="65"/>
      <c r="C68" s="63"/>
      <c r="D68" s="1"/>
    </row>
    <row r="69">
      <c r="A69" s="1"/>
      <c r="B69" s="65"/>
      <c r="C69" s="63"/>
      <c r="D69" s="1"/>
    </row>
    <row r="70">
      <c r="A70" s="1"/>
      <c r="B70" s="65"/>
      <c r="C70" s="63"/>
      <c r="D70" s="1"/>
    </row>
    <row r="71">
      <c r="A71" s="1"/>
      <c r="B71" s="65"/>
      <c r="C71" s="63"/>
      <c r="D71" s="1"/>
    </row>
    <row r="72">
      <c r="A72" s="1"/>
      <c r="B72" s="65"/>
      <c r="C72" s="63"/>
      <c r="D72" s="1"/>
    </row>
    <row r="73">
      <c r="A73" s="1"/>
      <c r="B73" s="65"/>
      <c r="C73" s="63"/>
      <c r="D73" s="1"/>
    </row>
    <row r="74">
      <c r="A74" s="1"/>
      <c r="B74" s="65"/>
      <c r="C74" s="63"/>
      <c r="D74" s="1"/>
    </row>
    <row r="75">
      <c r="A75" s="1"/>
      <c r="B75" s="65"/>
      <c r="C75" s="63"/>
      <c r="D75" s="1"/>
    </row>
    <row r="76">
      <c r="A76" s="1"/>
      <c r="B76" s="65"/>
      <c r="C76" s="63"/>
      <c r="D76" s="1"/>
    </row>
    <row r="77">
      <c r="A77" s="1"/>
      <c r="B77" s="65"/>
      <c r="C77" s="63"/>
      <c r="D77" s="1"/>
    </row>
    <row r="78">
      <c r="A78" s="1"/>
      <c r="B78" s="65"/>
      <c r="C78" s="63"/>
      <c r="D78" s="1"/>
    </row>
    <row r="79">
      <c r="A79" s="1"/>
      <c r="B79" s="65"/>
      <c r="C79" s="63"/>
      <c r="D79" s="1"/>
    </row>
    <row r="80">
      <c r="A80" s="1"/>
      <c r="B80" s="65"/>
      <c r="C80" s="63"/>
      <c r="D80" s="1"/>
    </row>
    <row r="81">
      <c r="A81" s="1"/>
      <c r="B81" s="65"/>
      <c r="C81" s="63"/>
      <c r="D81" s="1"/>
    </row>
    <row r="82">
      <c r="A82" s="1"/>
      <c r="B82" s="65"/>
      <c r="C82" s="63"/>
      <c r="D82" s="1"/>
    </row>
    <row r="83">
      <c r="A83" s="1"/>
      <c r="B83" s="65"/>
      <c r="C83" s="63"/>
      <c r="D83" s="1"/>
    </row>
    <row r="84">
      <c r="A84" s="1"/>
      <c r="B84" s="65"/>
      <c r="C84" s="63"/>
      <c r="D84" s="1"/>
    </row>
    <row r="85">
      <c r="A85" s="1"/>
      <c r="B85" s="65"/>
      <c r="C85" s="63"/>
      <c r="D85" s="1"/>
    </row>
    <row r="86">
      <c r="A86" s="1"/>
      <c r="B86" s="65"/>
      <c r="C86" s="63"/>
      <c r="D86" s="1"/>
    </row>
    <row r="87">
      <c r="A87" s="1"/>
      <c r="B87" s="65"/>
      <c r="C87" s="63"/>
      <c r="D87" s="1"/>
    </row>
    <row r="88">
      <c r="A88" s="1"/>
      <c r="B88" s="65"/>
      <c r="C88" s="63"/>
      <c r="D88" s="1"/>
    </row>
    <row r="89">
      <c r="A89" s="1"/>
      <c r="B89" s="65"/>
      <c r="C89" s="63"/>
      <c r="D89" s="1"/>
    </row>
    <row r="90">
      <c r="A90" s="1"/>
      <c r="B90" s="65"/>
      <c r="C90" s="63"/>
      <c r="D90" s="1"/>
    </row>
    <row r="91">
      <c r="A91" s="1"/>
      <c r="B91" s="65"/>
      <c r="C91" s="63"/>
      <c r="D91" s="1"/>
    </row>
    <row r="92">
      <c r="A92" s="1"/>
      <c r="B92" s="65"/>
      <c r="C92" s="63"/>
      <c r="D92" s="1"/>
    </row>
    <row r="93">
      <c r="A93" s="1"/>
      <c r="B93" s="65"/>
      <c r="C93" s="63"/>
      <c r="D93" s="1"/>
    </row>
    <row r="94">
      <c r="A94" s="1"/>
      <c r="B94" s="65"/>
      <c r="C94" s="63"/>
      <c r="D94" s="1"/>
    </row>
    <row r="95">
      <c r="A95" s="1"/>
      <c r="B95" s="65"/>
      <c r="C95" s="63"/>
      <c r="D95" s="1"/>
    </row>
    <row r="96">
      <c r="A96" s="1"/>
      <c r="B96" s="65"/>
      <c r="C96" s="63"/>
      <c r="D96" s="1"/>
    </row>
    <row r="97">
      <c r="A97" s="1"/>
      <c r="B97" s="65"/>
      <c r="C97" s="63"/>
      <c r="D97" s="1"/>
    </row>
    <row r="98">
      <c r="A98" s="1"/>
      <c r="B98" s="65"/>
      <c r="C98" s="63"/>
      <c r="D98" s="1"/>
    </row>
    <row r="99">
      <c r="A99" s="1"/>
      <c r="B99" s="65"/>
      <c r="C99" s="63"/>
      <c r="D99" s="1"/>
    </row>
    <row r="100">
      <c r="A100" s="1"/>
      <c r="B100" s="65"/>
      <c r="C100" s="63"/>
      <c r="D100" s="1"/>
    </row>
    <row r="101">
      <c r="A101" s="1"/>
      <c r="B101" s="65"/>
      <c r="C101" s="63"/>
      <c r="D101" s="1"/>
    </row>
    <row r="102">
      <c r="A102" s="1"/>
      <c r="B102" s="65"/>
      <c r="C102" s="63"/>
      <c r="D102" s="1"/>
    </row>
    <row r="103">
      <c r="A103" s="1"/>
      <c r="B103" s="65"/>
      <c r="C103" s="63"/>
      <c r="D103" s="1"/>
    </row>
    <row r="104">
      <c r="A104" s="1"/>
      <c r="B104" s="65"/>
      <c r="C104" s="63"/>
      <c r="D104" s="1"/>
    </row>
    <row r="105">
      <c r="A105" s="1"/>
      <c r="B105" s="65"/>
      <c r="C105" s="63"/>
      <c r="D105" s="1"/>
    </row>
    <row r="106">
      <c r="A106" s="1"/>
      <c r="B106" s="65"/>
      <c r="C106" s="63"/>
      <c r="D106" s="1"/>
    </row>
    <row r="107">
      <c r="A107" s="1"/>
      <c r="B107" s="65"/>
      <c r="C107" s="63"/>
      <c r="D107" s="1"/>
    </row>
    <row r="108">
      <c r="A108" s="1"/>
      <c r="B108" s="65"/>
      <c r="C108" s="63"/>
      <c r="D108" s="1"/>
    </row>
    <row r="109">
      <c r="A109" s="1"/>
      <c r="B109" s="65"/>
      <c r="C109" s="63"/>
      <c r="D109" s="1"/>
    </row>
    <row r="110">
      <c r="A110" s="1"/>
      <c r="B110" s="65"/>
      <c r="C110" s="63"/>
      <c r="D110" s="1"/>
    </row>
    <row r="111">
      <c r="A111" s="1"/>
      <c r="B111" s="65"/>
      <c r="C111" s="63"/>
      <c r="D111" s="1"/>
    </row>
    <row r="112">
      <c r="A112" s="1"/>
      <c r="B112" s="65"/>
      <c r="C112" s="63"/>
      <c r="D112" s="1"/>
    </row>
    <row r="113">
      <c r="A113" s="1"/>
      <c r="B113" s="65"/>
      <c r="C113" s="63"/>
      <c r="D113" s="1"/>
    </row>
    <row r="114">
      <c r="A114" s="1"/>
      <c r="B114" s="65"/>
      <c r="C114" s="63"/>
      <c r="D114" s="1"/>
    </row>
    <row r="115">
      <c r="A115" s="1"/>
      <c r="B115" s="65"/>
      <c r="C115" s="63"/>
      <c r="D115" s="1"/>
    </row>
    <row r="116">
      <c r="A116" s="1"/>
      <c r="B116" s="65"/>
      <c r="C116" s="63"/>
      <c r="D116" s="1"/>
    </row>
    <row r="117">
      <c r="A117" s="1"/>
      <c r="B117" s="65"/>
      <c r="C117" s="63"/>
      <c r="D117" s="1"/>
    </row>
    <row r="118">
      <c r="A118" s="1"/>
      <c r="B118" s="65"/>
      <c r="C118" s="63"/>
      <c r="D118" s="1"/>
    </row>
    <row r="119">
      <c r="A119" s="1"/>
      <c r="B119" s="65"/>
      <c r="C119" s="63"/>
      <c r="D119" s="1"/>
    </row>
    <row r="120">
      <c r="A120" s="1"/>
      <c r="B120" s="65"/>
      <c r="C120" s="63"/>
      <c r="D120" s="1"/>
    </row>
    <row r="121">
      <c r="A121" s="1"/>
      <c r="B121" s="65"/>
      <c r="C121" s="63"/>
      <c r="D121" s="1"/>
    </row>
    <row r="122">
      <c r="A122" s="1"/>
      <c r="B122" s="65"/>
      <c r="C122" s="63"/>
      <c r="D122" s="1"/>
    </row>
    <row r="123">
      <c r="A123" s="1"/>
      <c r="B123" s="65"/>
      <c r="C123" s="63"/>
      <c r="D123" s="1"/>
    </row>
    <row r="124">
      <c r="A124" s="1"/>
      <c r="B124" s="65"/>
      <c r="C124" s="63"/>
      <c r="D124" s="1"/>
    </row>
    <row r="125">
      <c r="A125" s="1"/>
      <c r="B125" s="65"/>
      <c r="C125" s="63"/>
      <c r="D125" s="1"/>
    </row>
    <row r="126">
      <c r="A126" s="1"/>
      <c r="B126" s="65"/>
      <c r="C126" s="63"/>
      <c r="D126" s="1"/>
    </row>
    <row r="127">
      <c r="A127" s="1"/>
      <c r="B127" s="65"/>
      <c r="C127" s="63"/>
      <c r="D127" s="1"/>
    </row>
    <row r="128">
      <c r="A128" s="1"/>
      <c r="B128" s="65"/>
      <c r="C128" s="63"/>
      <c r="D128" s="1"/>
    </row>
    <row r="129">
      <c r="A129" s="1"/>
      <c r="B129" s="65"/>
      <c r="C129" s="63"/>
      <c r="D129" s="1"/>
    </row>
    <row r="130">
      <c r="A130" s="1"/>
      <c r="B130" s="65"/>
      <c r="C130" s="63"/>
      <c r="D130" s="1"/>
    </row>
    <row r="131">
      <c r="A131" s="1"/>
      <c r="B131" s="65"/>
      <c r="C131" s="63"/>
      <c r="D131" s="1"/>
    </row>
    <row r="132">
      <c r="A132" s="1"/>
      <c r="B132" s="65"/>
      <c r="C132" s="63"/>
      <c r="D132" s="1"/>
    </row>
    <row r="133">
      <c r="A133" s="1"/>
      <c r="B133" s="65"/>
      <c r="C133" s="63"/>
      <c r="D133" s="1"/>
    </row>
    <row r="134">
      <c r="A134" s="1"/>
      <c r="B134" s="65"/>
      <c r="C134" s="63"/>
      <c r="D134" s="1"/>
    </row>
    <row r="135">
      <c r="A135" s="1"/>
      <c r="B135" s="65"/>
      <c r="C135" s="63"/>
      <c r="D135" s="1"/>
    </row>
    <row r="136">
      <c r="A136" s="1"/>
      <c r="B136" s="65"/>
      <c r="C136" s="63"/>
      <c r="D136" s="1"/>
    </row>
    <row r="137">
      <c r="A137" s="1"/>
      <c r="B137" s="65"/>
      <c r="C137" s="63"/>
      <c r="D137" s="1"/>
    </row>
    <row r="138">
      <c r="A138" s="1"/>
      <c r="B138" s="65"/>
      <c r="C138" s="63"/>
      <c r="D138" s="1"/>
    </row>
    <row r="139">
      <c r="A139" s="1"/>
      <c r="B139" s="65"/>
      <c r="C139" s="63"/>
      <c r="D139" s="1"/>
    </row>
    <row r="140">
      <c r="A140" s="1"/>
      <c r="B140" s="65"/>
      <c r="C140" s="63"/>
      <c r="D140" s="1"/>
    </row>
    <row r="141">
      <c r="A141" s="1"/>
      <c r="B141" s="65"/>
      <c r="C141" s="63"/>
      <c r="D141" s="1"/>
    </row>
    <row r="142">
      <c r="A142" s="1"/>
      <c r="B142" s="65"/>
      <c r="C142" s="63"/>
      <c r="D142" s="1"/>
    </row>
    <row r="143">
      <c r="A143" s="1"/>
      <c r="B143" s="65"/>
      <c r="C143" s="63"/>
      <c r="D143" s="1"/>
    </row>
    <row r="144">
      <c r="A144" s="1"/>
      <c r="B144" s="65"/>
      <c r="C144" s="63"/>
      <c r="D144" s="1"/>
    </row>
    <row r="145">
      <c r="A145" s="1"/>
      <c r="B145" s="65"/>
      <c r="C145" s="63"/>
      <c r="D145" s="1"/>
    </row>
    <row r="146">
      <c r="A146" s="1"/>
      <c r="B146" s="65"/>
      <c r="C146" s="63"/>
      <c r="D146" s="1"/>
    </row>
    <row r="147">
      <c r="A147" s="1"/>
      <c r="B147" s="65"/>
      <c r="C147" s="63"/>
      <c r="D147" s="1"/>
    </row>
    <row r="148">
      <c r="A148" s="1"/>
      <c r="B148" s="65"/>
      <c r="C148" s="63"/>
      <c r="D148" s="1"/>
    </row>
    <row r="149">
      <c r="A149" s="1"/>
      <c r="B149" s="65"/>
      <c r="C149" s="63"/>
      <c r="D149" s="1"/>
    </row>
    <row r="150">
      <c r="A150" s="1"/>
      <c r="B150" s="65"/>
      <c r="C150" s="63"/>
      <c r="D150" s="1"/>
    </row>
    <row r="151">
      <c r="A151" s="1"/>
      <c r="B151" s="65"/>
      <c r="C151" s="63"/>
      <c r="D151" s="1"/>
    </row>
    <row r="152">
      <c r="A152" s="1"/>
      <c r="B152" s="65"/>
      <c r="C152" s="63"/>
      <c r="D152" s="1"/>
    </row>
    <row r="153">
      <c r="A153" s="1"/>
      <c r="B153" s="65"/>
      <c r="C153" s="63"/>
      <c r="D153" s="1"/>
    </row>
    <row r="154">
      <c r="A154" s="1"/>
      <c r="B154" s="65"/>
      <c r="C154" s="63"/>
      <c r="D154" s="1"/>
    </row>
    <row r="155">
      <c r="A155" s="1"/>
      <c r="B155" s="65"/>
      <c r="C155" s="63"/>
      <c r="D155" s="1"/>
    </row>
    <row r="156">
      <c r="A156" s="1"/>
      <c r="B156" s="65"/>
      <c r="C156" s="63"/>
      <c r="D156" s="1"/>
    </row>
    <row r="157">
      <c r="A157" s="1"/>
      <c r="B157" s="65"/>
      <c r="C157" s="63"/>
      <c r="D157" s="1"/>
    </row>
    <row r="158">
      <c r="A158" s="1"/>
      <c r="B158" s="65"/>
      <c r="C158" s="63"/>
      <c r="D158" s="1"/>
    </row>
    <row r="159">
      <c r="A159" s="1"/>
      <c r="B159" s="65"/>
      <c r="C159" s="63"/>
      <c r="D159" s="1"/>
    </row>
    <row r="160">
      <c r="A160" s="1"/>
      <c r="B160" s="65"/>
      <c r="C160" s="63"/>
      <c r="D160" s="1"/>
    </row>
    <row r="161">
      <c r="A161" s="1"/>
      <c r="B161" s="65"/>
      <c r="C161" s="63"/>
      <c r="D161" s="1"/>
    </row>
    <row r="162">
      <c r="A162" s="1"/>
      <c r="B162" s="65"/>
      <c r="C162" s="63"/>
      <c r="D162" s="1"/>
    </row>
    <row r="163">
      <c r="A163" s="1"/>
      <c r="B163" s="65"/>
      <c r="C163" s="63"/>
      <c r="D163" s="1"/>
    </row>
    <row r="164">
      <c r="A164" s="1"/>
      <c r="B164" s="65"/>
      <c r="C164" s="63"/>
      <c r="D164" s="1"/>
    </row>
    <row r="165">
      <c r="A165" s="1"/>
      <c r="B165" s="65"/>
      <c r="C165" s="63"/>
      <c r="D165" s="1"/>
    </row>
    <row r="166">
      <c r="A166" s="1"/>
      <c r="B166" s="65"/>
      <c r="C166" s="63"/>
      <c r="D166" s="1"/>
    </row>
    <row r="167">
      <c r="A167" s="1"/>
      <c r="B167" s="65"/>
      <c r="C167" s="63"/>
      <c r="D167" s="1"/>
    </row>
    <row r="168">
      <c r="A168" s="1"/>
      <c r="B168" s="65"/>
      <c r="C168" s="63"/>
      <c r="D168" s="1"/>
    </row>
    <row r="169">
      <c r="A169" s="1"/>
      <c r="B169" s="65"/>
      <c r="C169" s="63"/>
      <c r="D169" s="1"/>
    </row>
    <row r="170">
      <c r="A170" s="1"/>
      <c r="B170" s="65"/>
      <c r="C170" s="63"/>
      <c r="D170" s="1"/>
    </row>
    <row r="171">
      <c r="A171" s="1"/>
      <c r="B171" s="65"/>
      <c r="C171" s="63"/>
      <c r="D171" s="1"/>
    </row>
    <row r="172">
      <c r="A172" s="1"/>
      <c r="B172" s="65"/>
      <c r="C172" s="63"/>
      <c r="D172" s="1"/>
    </row>
    <row r="173">
      <c r="A173" s="1"/>
      <c r="B173" s="65"/>
      <c r="C173" s="63"/>
      <c r="D173" s="1"/>
    </row>
    <row r="174">
      <c r="A174" s="1"/>
      <c r="B174" s="65"/>
      <c r="C174" s="63"/>
      <c r="D174" s="1"/>
    </row>
    <row r="175">
      <c r="A175" s="1"/>
      <c r="B175" s="65"/>
      <c r="C175" s="63"/>
      <c r="D175" s="1"/>
    </row>
    <row r="176">
      <c r="A176" s="1"/>
      <c r="B176" s="65"/>
      <c r="C176" s="63"/>
      <c r="D176" s="1"/>
    </row>
    <row r="177">
      <c r="A177" s="1"/>
      <c r="B177" s="65"/>
      <c r="C177" s="63"/>
      <c r="D177" s="1"/>
    </row>
    <row r="178">
      <c r="A178" s="1"/>
      <c r="B178" s="65"/>
      <c r="C178" s="63"/>
      <c r="D178" s="1"/>
    </row>
    <row r="179">
      <c r="A179" s="1"/>
      <c r="B179" s="65"/>
      <c r="C179" s="63"/>
      <c r="D179" s="1"/>
    </row>
    <row r="180">
      <c r="A180" s="1"/>
      <c r="B180" s="65"/>
      <c r="C180" s="63"/>
      <c r="D180" s="1"/>
    </row>
    <row r="181">
      <c r="A181" s="1"/>
      <c r="B181" s="65"/>
      <c r="C181" s="63"/>
      <c r="D181" s="1"/>
    </row>
    <row r="182">
      <c r="A182" s="1"/>
      <c r="B182" s="65"/>
      <c r="C182" s="63"/>
      <c r="D182" s="1"/>
    </row>
    <row r="183">
      <c r="A183" s="1"/>
      <c r="B183" s="65"/>
      <c r="C183" s="63"/>
      <c r="D183" s="1"/>
    </row>
    <row r="184">
      <c r="A184" s="1"/>
      <c r="B184" s="65"/>
      <c r="C184" s="63"/>
      <c r="D184" s="1"/>
    </row>
    <row r="185">
      <c r="A185" s="1"/>
      <c r="B185" s="65"/>
      <c r="C185" s="63"/>
      <c r="D185" s="1"/>
    </row>
    <row r="186">
      <c r="A186" s="1"/>
      <c r="B186" s="65"/>
      <c r="C186" s="63"/>
      <c r="D186" s="1"/>
    </row>
    <row r="187">
      <c r="A187" s="1"/>
      <c r="B187" s="65"/>
      <c r="C187" s="63"/>
      <c r="D187" s="1"/>
    </row>
    <row r="188">
      <c r="A188" s="1"/>
      <c r="B188" s="65"/>
      <c r="C188" s="63"/>
      <c r="D188" s="1"/>
    </row>
    <row r="189">
      <c r="A189" s="1"/>
      <c r="B189" s="65"/>
      <c r="C189" s="63"/>
      <c r="D189" s="1"/>
    </row>
    <row r="190">
      <c r="A190" s="1"/>
      <c r="B190" s="65"/>
      <c r="C190" s="63"/>
      <c r="D190" s="1"/>
    </row>
    <row r="191">
      <c r="A191" s="1"/>
      <c r="B191" s="65"/>
      <c r="C191" s="63"/>
      <c r="D191" s="1"/>
    </row>
    <row r="192">
      <c r="A192" s="1"/>
      <c r="B192" s="65"/>
      <c r="C192" s="63"/>
      <c r="D192" s="1"/>
    </row>
    <row r="193">
      <c r="A193" s="1"/>
      <c r="B193" s="65"/>
      <c r="C193" s="63"/>
      <c r="D193" s="1"/>
    </row>
    <row r="194">
      <c r="A194" s="1"/>
      <c r="B194" s="65"/>
      <c r="C194" s="63"/>
      <c r="D194" s="1"/>
    </row>
    <row r="195">
      <c r="A195" s="1"/>
      <c r="B195" s="65"/>
      <c r="C195" s="63"/>
      <c r="D195" s="1"/>
    </row>
    <row r="196">
      <c r="A196" s="1"/>
      <c r="B196" s="65"/>
      <c r="C196" s="63"/>
      <c r="D196" s="1"/>
    </row>
    <row r="197">
      <c r="A197" s="1"/>
      <c r="B197" s="65"/>
      <c r="C197" s="63"/>
      <c r="D197" s="1"/>
    </row>
    <row r="198">
      <c r="A198" s="1"/>
      <c r="B198" s="65"/>
      <c r="C198" s="63"/>
      <c r="D198" s="1"/>
    </row>
    <row r="199">
      <c r="A199" s="1"/>
      <c r="B199" s="65"/>
      <c r="C199" s="63"/>
      <c r="D199" s="1"/>
    </row>
    <row r="200">
      <c r="A200" s="1"/>
      <c r="B200" s="65"/>
      <c r="C200" s="63"/>
      <c r="D200" s="1"/>
    </row>
    <row r="201">
      <c r="A201" s="1"/>
      <c r="B201" s="65"/>
      <c r="C201" s="63"/>
      <c r="D201" s="1"/>
    </row>
    <row r="202">
      <c r="A202" s="1"/>
      <c r="B202" s="65"/>
      <c r="C202" s="63"/>
      <c r="D202" s="1"/>
    </row>
    <row r="203">
      <c r="A203" s="1"/>
      <c r="B203" s="65"/>
      <c r="C203" s="63"/>
      <c r="D203" s="1"/>
    </row>
    <row r="204">
      <c r="A204" s="1"/>
      <c r="B204" s="65"/>
      <c r="C204" s="63"/>
      <c r="D204" s="1"/>
    </row>
    <row r="205">
      <c r="A205" s="1"/>
      <c r="B205" s="65"/>
      <c r="C205" s="63"/>
      <c r="D205" s="1"/>
    </row>
    <row r="206">
      <c r="A206" s="1"/>
      <c r="B206" s="65"/>
      <c r="C206" s="63"/>
      <c r="D206" s="1"/>
    </row>
    <row r="207">
      <c r="A207" s="1"/>
      <c r="B207" s="65"/>
      <c r="C207" s="63"/>
      <c r="D207" s="1"/>
    </row>
    <row r="208">
      <c r="A208" s="1"/>
      <c r="B208" s="65"/>
      <c r="C208" s="63"/>
      <c r="D208" s="1"/>
    </row>
    <row r="209">
      <c r="A209" s="1"/>
      <c r="B209" s="65"/>
      <c r="C209" s="63"/>
      <c r="D209" s="1"/>
    </row>
    <row r="210">
      <c r="A210" s="1"/>
      <c r="B210" s="65"/>
      <c r="C210" s="63"/>
      <c r="D210" s="1"/>
    </row>
    <row r="211">
      <c r="A211" s="1"/>
      <c r="B211" s="65"/>
      <c r="C211" s="63"/>
      <c r="D211" s="1"/>
    </row>
    <row r="212">
      <c r="A212" s="1"/>
      <c r="B212" s="65"/>
      <c r="C212" s="63"/>
      <c r="D212" s="1"/>
    </row>
    <row r="213">
      <c r="A213" s="1"/>
      <c r="B213" s="65"/>
      <c r="C213" s="63"/>
      <c r="D213" s="1"/>
    </row>
    <row r="214">
      <c r="A214" s="1"/>
      <c r="B214" s="65"/>
      <c r="C214" s="63"/>
      <c r="D214" s="1"/>
    </row>
    <row r="215">
      <c r="A215" s="1"/>
      <c r="B215" s="65"/>
      <c r="C215" s="63"/>
      <c r="D215" s="1"/>
    </row>
    <row r="216">
      <c r="A216" s="1"/>
      <c r="B216" s="65"/>
      <c r="C216" s="63"/>
      <c r="D216" s="1"/>
    </row>
    <row r="217">
      <c r="A217" s="1"/>
      <c r="B217" s="65"/>
      <c r="C217" s="63"/>
      <c r="D217" s="1"/>
    </row>
    <row r="218">
      <c r="A218" s="1"/>
      <c r="B218" s="65"/>
      <c r="C218" s="63"/>
      <c r="D218" s="1"/>
    </row>
    <row r="219">
      <c r="A219" s="1"/>
      <c r="B219" s="65"/>
      <c r="C219" s="63"/>
      <c r="D219" s="1"/>
    </row>
    <row r="220">
      <c r="A220" s="1"/>
      <c r="B220" s="65"/>
      <c r="C220" s="63"/>
      <c r="D220" s="1"/>
    </row>
    <row r="221">
      <c r="A221" s="1"/>
      <c r="B221" s="65"/>
      <c r="C221" s="63"/>
      <c r="D221" s="1"/>
    </row>
    <row r="222">
      <c r="A222" s="1"/>
      <c r="B222" s="65"/>
      <c r="C222" s="63"/>
      <c r="D222" s="1"/>
    </row>
    <row r="223">
      <c r="A223" s="1"/>
      <c r="B223" s="65"/>
      <c r="C223" s="63"/>
      <c r="D223" s="1"/>
    </row>
    <row r="224">
      <c r="A224" s="1"/>
      <c r="B224" s="65"/>
      <c r="C224" s="63"/>
      <c r="D224" s="1"/>
    </row>
    <row r="225">
      <c r="A225" s="1"/>
      <c r="B225" s="65"/>
      <c r="C225" s="63"/>
      <c r="D225" s="1"/>
    </row>
    <row r="226">
      <c r="A226" s="1"/>
      <c r="B226" s="65"/>
      <c r="C226" s="63"/>
      <c r="D226" s="1"/>
    </row>
    <row r="227">
      <c r="A227" s="1"/>
      <c r="B227" s="65"/>
      <c r="C227" s="63"/>
      <c r="D227" s="1"/>
    </row>
    <row r="228">
      <c r="A228" s="1"/>
      <c r="B228" s="65"/>
      <c r="C228" s="63"/>
      <c r="D228" s="1"/>
    </row>
    <row r="229">
      <c r="A229" s="1"/>
      <c r="B229" s="65"/>
      <c r="C229" s="63"/>
      <c r="D229" s="1"/>
    </row>
    <row r="230">
      <c r="A230" s="1"/>
      <c r="B230" s="65"/>
      <c r="C230" s="63"/>
      <c r="D230" s="1"/>
    </row>
    <row r="231">
      <c r="A231" s="1"/>
      <c r="B231" s="65"/>
      <c r="C231" s="63"/>
      <c r="D231" s="1"/>
    </row>
    <row r="232">
      <c r="A232" s="1"/>
      <c r="B232" s="65"/>
      <c r="C232" s="63"/>
      <c r="D232" s="1"/>
    </row>
    <row r="233">
      <c r="A233" s="1"/>
      <c r="B233" s="65"/>
      <c r="C233" s="63"/>
      <c r="D233" s="1"/>
    </row>
    <row r="234">
      <c r="A234" s="1"/>
      <c r="B234" s="65"/>
      <c r="C234" s="63"/>
      <c r="D234" s="1"/>
    </row>
    <row r="235">
      <c r="A235" s="1"/>
      <c r="B235" s="65"/>
      <c r="C235" s="63"/>
      <c r="D235" s="1"/>
    </row>
    <row r="236">
      <c r="A236" s="1"/>
      <c r="B236" s="65"/>
      <c r="C236" s="63"/>
      <c r="D236" s="1"/>
    </row>
    <row r="237">
      <c r="A237" s="1"/>
      <c r="B237" s="65"/>
      <c r="C237" s="63"/>
      <c r="D237" s="1"/>
    </row>
    <row r="238">
      <c r="A238" s="1"/>
      <c r="B238" s="65"/>
      <c r="C238" s="63"/>
      <c r="D238" s="1"/>
    </row>
    <row r="239">
      <c r="A239" s="1"/>
      <c r="B239" s="65"/>
      <c r="C239" s="63"/>
      <c r="D239" s="1"/>
    </row>
    <row r="240">
      <c r="A240" s="1"/>
      <c r="B240" s="65"/>
      <c r="C240" s="63"/>
      <c r="D240" s="1"/>
    </row>
    <row r="241">
      <c r="A241" s="1"/>
      <c r="B241" s="65"/>
      <c r="C241" s="63"/>
      <c r="D241" s="1"/>
    </row>
    <row r="242">
      <c r="A242" s="1"/>
      <c r="B242" s="65"/>
      <c r="C242" s="63"/>
      <c r="D242" s="1"/>
    </row>
    <row r="243">
      <c r="A243" s="1"/>
      <c r="B243" s="65"/>
      <c r="C243" s="63"/>
      <c r="D243" s="1"/>
    </row>
    <row r="244">
      <c r="A244" s="1"/>
      <c r="B244" s="65"/>
      <c r="C244" s="63"/>
      <c r="D244" s="1"/>
    </row>
    <row r="245">
      <c r="A245" s="1"/>
      <c r="B245" s="65"/>
      <c r="C245" s="63"/>
      <c r="D245" s="1"/>
    </row>
    <row r="246">
      <c r="A246" s="1"/>
      <c r="B246" s="65"/>
      <c r="C246" s="63"/>
      <c r="D246" s="1"/>
    </row>
    <row r="247">
      <c r="A247" s="1"/>
      <c r="B247" s="65"/>
      <c r="C247" s="63"/>
      <c r="D247" s="1"/>
    </row>
    <row r="248">
      <c r="A248" s="1"/>
      <c r="B248" s="65"/>
      <c r="C248" s="63"/>
      <c r="D248" s="1"/>
    </row>
    <row r="249">
      <c r="A249" s="1"/>
      <c r="B249" s="65"/>
      <c r="C249" s="63"/>
      <c r="D249" s="1"/>
    </row>
    <row r="250">
      <c r="A250" s="1"/>
      <c r="B250" s="65"/>
      <c r="C250" s="63"/>
      <c r="D250" s="1"/>
    </row>
    <row r="251">
      <c r="A251" s="1"/>
      <c r="B251" s="65"/>
      <c r="C251" s="63"/>
      <c r="D251" s="1"/>
    </row>
    <row r="252">
      <c r="A252" s="1"/>
      <c r="B252" s="65"/>
      <c r="C252" s="63"/>
      <c r="D252" s="1"/>
    </row>
    <row r="253">
      <c r="A253" s="1"/>
      <c r="B253" s="65"/>
      <c r="C253" s="63"/>
      <c r="D253" s="1"/>
    </row>
    <row r="254">
      <c r="A254" s="1"/>
      <c r="B254" s="65"/>
      <c r="C254" s="63"/>
      <c r="D254" s="1"/>
    </row>
    <row r="255">
      <c r="A255" s="1"/>
      <c r="B255" s="65"/>
      <c r="C255" s="63"/>
      <c r="D255" s="1"/>
    </row>
    <row r="256">
      <c r="A256" s="1"/>
      <c r="B256" s="65"/>
      <c r="C256" s="63"/>
      <c r="D256" s="1"/>
    </row>
    <row r="257">
      <c r="A257" s="1"/>
      <c r="B257" s="65"/>
      <c r="C257" s="63"/>
      <c r="D257" s="1"/>
    </row>
    <row r="258">
      <c r="A258" s="1"/>
      <c r="B258" s="65"/>
      <c r="C258" s="63"/>
      <c r="D258" s="1"/>
    </row>
    <row r="259">
      <c r="A259" s="1"/>
      <c r="B259" s="65"/>
      <c r="C259" s="63"/>
      <c r="D259" s="1"/>
    </row>
    <row r="260">
      <c r="A260" s="1"/>
      <c r="B260" s="65"/>
      <c r="C260" s="63"/>
      <c r="D260" s="1"/>
    </row>
    <row r="261">
      <c r="A261" s="1"/>
      <c r="B261" s="65"/>
      <c r="C261" s="63"/>
      <c r="D261" s="1"/>
    </row>
    <row r="262">
      <c r="A262" s="1"/>
      <c r="B262" s="65"/>
      <c r="C262" s="63"/>
      <c r="D262" s="1"/>
    </row>
    <row r="263">
      <c r="A263" s="1"/>
      <c r="B263" s="65"/>
      <c r="C263" s="63"/>
      <c r="D263" s="1"/>
    </row>
    <row r="264">
      <c r="A264" s="1"/>
      <c r="B264" s="65"/>
      <c r="C264" s="63"/>
      <c r="D264" s="1"/>
    </row>
    <row r="265">
      <c r="A265" s="1"/>
      <c r="B265" s="65"/>
      <c r="C265" s="63"/>
      <c r="D265" s="1"/>
    </row>
    <row r="266">
      <c r="A266" s="1"/>
      <c r="B266" s="65"/>
      <c r="C266" s="63"/>
      <c r="D266" s="1"/>
    </row>
    <row r="267">
      <c r="A267" s="1"/>
      <c r="B267" s="65"/>
      <c r="C267" s="63"/>
      <c r="D267" s="1"/>
    </row>
    <row r="268">
      <c r="A268" s="1"/>
      <c r="B268" s="65"/>
      <c r="C268" s="63"/>
      <c r="D268" s="1"/>
    </row>
    <row r="269">
      <c r="A269" s="1"/>
      <c r="B269" s="65"/>
      <c r="C269" s="63"/>
      <c r="D269" s="1"/>
    </row>
    <row r="270">
      <c r="A270" s="1"/>
      <c r="B270" s="65"/>
      <c r="C270" s="63"/>
      <c r="D270" s="1"/>
    </row>
    <row r="271">
      <c r="A271" s="1"/>
      <c r="B271" s="65"/>
      <c r="C271" s="63"/>
      <c r="D271" s="1"/>
    </row>
    <row r="272">
      <c r="A272" s="1"/>
      <c r="B272" s="65"/>
      <c r="C272" s="63"/>
      <c r="D272" s="1"/>
    </row>
    <row r="273">
      <c r="A273" s="1"/>
      <c r="B273" s="65"/>
      <c r="C273" s="63"/>
      <c r="D273" s="1"/>
    </row>
    <row r="274">
      <c r="A274" s="1"/>
      <c r="B274" s="65"/>
      <c r="C274" s="63"/>
      <c r="D274" s="1"/>
    </row>
    <row r="275">
      <c r="A275" s="1"/>
      <c r="B275" s="65"/>
      <c r="C275" s="63"/>
      <c r="D275" s="1"/>
    </row>
    <row r="276">
      <c r="A276" s="1"/>
      <c r="B276" s="65"/>
      <c r="C276" s="63"/>
      <c r="D276" s="1"/>
    </row>
    <row r="277">
      <c r="A277" s="1"/>
      <c r="B277" s="65"/>
      <c r="C277" s="63"/>
      <c r="D277" s="1"/>
    </row>
    <row r="278">
      <c r="A278" s="1"/>
      <c r="B278" s="65"/>
      <c r="C278" s="63"/>
      <c r="D278" s="1"/>
    </row>
    <row r="279">
      <c r="A279" s="1"/>
      <c r="B279" s="65"/>
      <c r="C279" s="63"/>
      <c r="D279" s="1"/>
    </row>
    <row r="280">
      <c r="A280" s="1"/>
      <c r="B280" s="65"/>
      <c r="C280" s="63"/>
      <c r="D280" s="1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  <row r="999">
      <c r="B999" s="66"/>
    </row>
    <row r="1000">
      <c r="B1000" s="66"/>
    </row>
  </sheetData>
  <autoFilter ref="$A$1:$B$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3.57"/>
    <col customWidth="1" min="3" max="3" width="62.71"/>
  </cols>
  <sheetData>
    <row r="1">
      <c r="A1" s="15" t="s">
        <v>24</v>
      </c>
    </row>
    <row r="2">
      <c r="A2" s="1" t="s">
        <v>25</v>
      </c>
      <c r="C2" s="1" t="s">
        <v>26</v>
      </c>
    </row>
    <row r="3">
      <c r="A3" s="16" t="s">
        <v>27</v>
      </c>
      <c r="C3" s="17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9.57"/>
  </cols>
  <sheetData>
    <row r="1">
      <c r="A1" s="1">
        <v>0.0</v>
      </c>
      <c r="C1" s="1">
        <v>0.0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</row>
    <row r="2">
      <c r="A2" s="24"/>
      <c r="B2" s="25" t="s">
        <v>31</v>
      </c>
      <c r="C2" s="24">
        <v>1.0</v>
      </c>
      <c r="D2" s="26">
        <f>IFERROR(__xludf.DUMMYFUNCTION("IFERROR(SUM(FILTER('RAW DATA'!$D:$D,'RAW DATA'!$C:$C=D$1)) / SUM($A$4:$A$8))"),0.017553129036045556)</f>
        <v>0.01755312904</v>
      </c>
      <c r="E2" s="26">
        <f>IFERROR(__xludf.DUMMYFUNCTION("IFERROR(SUM(FILTER('RAW DATA'!$D:$D,'RAW DATA'!$C:$C=E$1)) / SUM($A$4:$A$8))"),0.019813314547375838)</f>
        <v>0.01981331455</v>
      </c>
      <c r="F2" s="26">
        <f>IFERROR(__xludf.DUMMYFUNCTION("IFERROR(SUM(FILTER('RAW DATA'!$D:$D,'RAW DATA'!$C:$C=F$1)) / SUM($A$4:$A$8))"),0.052072325936362567)</f>
        <v>0.05207232594</v>
      </c>
      <c r="G2" s="26">
        <f>IFERROR(__xludf.DUMMYFUNCTION("IFERROR(SUM(FILTER('RAW DATA'!$D:$D,'RAW DATA'!$C:$C=G$1)) / SUM($A$4:$A$8))"),0.21777034166960196)</f>
        <v>0.2177703417</v>
      </c>
      <c r="H2" s="26">
        <f>IFERROR(__xludf.DUMMYFUNCTION("IFERROR(SUM(FILTER('RAW DATA'!$D:$D,'RAW DATA'!$C:$C=H$1)) / SUM($A$4:$A$8))"),0.13675589996477633)</f>
        <v>0.1367559</v>
      </c>
      <c r="I2" s="26">
        <f>IFERROR(__xludf.DUMMYFUNCTION("IFERROR(SUM(FILTER('RAW DATA'!$D:$D,'RAW DATA'!$C:$C=I$1)) / SUM($A$4:$A$8))"),0.037454502759187505)</f>
        <v>0.03745450276</v>
      </c>
      <c r="J2" s="26">
        <f>IFERROR(__xludf.DUMMYFUNCTION("IFERROR(SUM(FILTER('RAW DATA'!$D:$D,'RAW DATA'!$C:$C=J$1)) / SUM($A$4:$A$8))"),0.04643653868733122)</f>
        <v>0.04643653869</v>
      </c>
      <c r="K2" s="26">
        <f>IFERROR(__xludf.DUMMYFUNCTION("IFERROR(SUM(FILTER('RAW DATA'!$D:$D,'RAW DATA'!$C:$C=K$1)) / SUM($A$4:$A$8))"),0.12903604555594694)</f>
        <v>0.1290360456</v>
      </c>
      <c r="L2" s="26">
        <f>IFERROR(__xludf.DUMMYFUNCTION("IFERROR(SUM(FILTER('RAW DATA'!$D:$D,'RAW DATA'!$C:$C=L$1)) / SUM($A$4:$A$8))"),0.14063050369848537)</f>
        <v>0.1406305037</v>
      </c>
      <c r="M2" s="26">
        <f>IFERROR(__xludf.DUMMYFUNCTION("IFERROR(SUM(FILTER('RAW DATA'!$D:$D,'RAW DATA'!$C:$C=M$1)) / SUM($A$4:$A$8))"),0.054714101209346014)</f>
        <v>0.05471410121</v>
      </c>
      <c r="N2" s="26">
        <f>IFERROR(__xludf.DUMMYFUNCTION("IFERROR(SUM(FILTER('RAW DATA'!$D:$D,'RAW DATA'!$C:$C=N$1)) / SUM($A$4:$A$8))"),0.05136785253023365)</f>
        <v>0.05136785253</v>
      </c>
      <c r="O2" s="26">
        <f>IFERROR(__xludf.DUMMYFUNCTION("IFERROR(SUM(FILTER('RAW DATA'!$D:$D,'RAW DATA'!$C:$C=O$1)) / SUM($A$4:$A$8))"),0.05850064576728895)</f>
        <v>0.05850064577</v>
      </c>
      <c r="P2" s="26">
        <f>IFERROR(__xludf.DUMMYFUNCTION("IFERROR(SUM(FILTER('RAW DATA'!$D:$D,'RAW DATA'!$C:$C=P$1)) / SUM($A$4:$A$8))"),0.1181754138781261)</f>
        <v>0.1181754139</v>
      </c>
      <c r="Q2" s="26">
        <f>IFERROR(__xludf.DUMMYFUNCTION("IFERROR(SUM(FILTER('RAW DATA'!$D:$D,'RAW DATA'!$C:$C=Q$1)) / SUM($A$4:$A$8))"),0.05897029470470823)</f>
        <v>0.0589702947</v>
      </c>
      <c r="R2" s="26">
        <f>IFERROR(__xludf.DUMMYFUNCTION("IFERROR(SUM(FILTER('RAW DATA'!$D:$D,'RAW DATA'!$C:$C=R$1)) / SUM($A$4:$A$8))"),0.0415345779030175)</f>
        <v>0.0415345779</v>
      </c>
      <c r="S2" s="26">
        <f>IFERROR(__xludf.DUMMYFUNCTION("IFERROR(SUM(FILTER('RAW DATA'!$D:$D,'RAW DATA'!$C:$C=S$1)) / SUM($A$4:$A$8))"),0.05072208524128214)</f>
        <v>0.05072208524</v>
      </c>
      <c r="T2" s="26">
        <f>IFERROR(__xludf.DUMMYFUNCTION("IFERROR(SUM(FILTER('RAW DATA'!$D:$D,'RAW DATA'!$C:$C=T$1)) / SUM($A$4:$A$8))"),0.08891041446518727)</f>
        <v>0.08891041447</v>
      </c>
      <c r="U2" s="26">
        <f>IFERROR(__xludf.DUMMYFUNCTION("IFERROR(SUM(FILTER('RAW DATA'!$D:$D,'RAW DATA'!$C:$C=U$1)) / SUM($A$4:$A$8))"),0.0653105553598685)</f>
        <v>0.06531055536</v>
      </c>
      <c r="V2" s="26">
        <f>IFERROR(__xludf.DUMMYFUNCTION("IFERROR(SUM(FILTER('RAW DATA'!$D:$D,'RAW DATA'!$C:$C=V$1)) / SUM($A$4:$A$8))"),0.02583069155806035)</f>
        <v>0.02583069156</v>
      </c>
      <c r="W2" s="26">
        <f>IFERROR(__xludf.DUMMYFUNCTION("IFERROR(SUM(FILTER('RAW DATA'!$D:$D,'RAW DATA'!$C:$C=W$1)) / SUM($A$4:$A$8))"),0.015821298579311964)</f>
        <v>0.01582129858</v>
      </c>
      <c r="X2" s="26">
        <f>IFERROR(__xludf.DUMMYFUNCTION("IFERROR(SUM(FILTER('RAW DATA'!$D:$D,'RAW DATA'!$C:$C=X$1)) / SUM($A$4:$A$8))"),0.006457672889515088)</f>
        <v>0.00645767289</v>
      </c>
      <c r="Y2" s="26"/>
      <c r="Z2" s="26"/>
      <c r="AA2" s="26"/>
    </row>
    <row r="3">
      <c r="A3" s="1" t="s">
        <v>32</v>
      </c>
      <c r="B3" s="1" t="s">
        <v>30</v>
      </c>
      <c r="C3" t="str">
        <f t="shared" ref="C3:X3" si="1">"Week "&amp;C1</f>
        <v>Week 0</v>
      </c>
      <c r="D3" t="str">
        <f t="shared" si="1"/>
        <v>Week 1</v>
      </c>
      <c r="E3" t="str">
        <f t="shared" si="1"/>
        <v>Week 2</v>
      </c>
      <c r="F3" t="str">
        <f t="shared" si="1"/>
        <v>Week 3</v>
      </c>
      <c r="G3" t="str">
        <f t="shared" si="1"/>
        <v>Week 4</v>
      </c>
      <c r="H3" t="str">
        <f t="shared" si="1"/>
        <v>Week 5</v>
      </c>
      <c r="I3" t="str">
        <f t="shared" si="1"/>
        <v>Week 6</v>
      </c>
      <c r="J3" t="str">
        <f t="shared" si="1"/>
        <v>Week 7</v>
      </c>
      <c r="K3" t="str">
        <f t="shared" si="1"/>
        <v>Week 8</v>
      </c>
      <c r="L3" t="str">
        <f t="shared" si="1"/>
        <v>Week 9</v>
      </c>
      <c r="M3" t="str">
        <f t="shared" si="1"/>
        <v>Week 10</v>
      </c>
      <c r="N3" t="str">
        <f t="shared" si="1"/>
        <v>Week 11</v>
      </c>
      <c r="O3" t="str">
        <f t="shared" si="1"/>
        <v>Week 12</v>
      </c>
      <c r="P3" t="str">
        <f t="shared" si="1"/>
        <v>Week 13</v>
      </c>
      <c r="Q3" t="str">
        <f t="shared" si="1"/>
        <v>Week 14</v>
      </c>
      <c r="R3" t="str">
        <f t="shared" si="1"/>
        <v>Week 15</v>
      </c>
      <c r="S3" t="str">
        <f t="shared" si="1"/>
        <v>Week 16</v>
      </c>
      <c r="T3" t="str">
        <f t="shared" si="1"/>
        <v>Week 17</v>
      </c>
      <c r="U3" t="str">
        <f t="shared" si="1"/>
        <v>Week 18</v>
      </c>
      <c r="V3" t="str">
        <f t="shared" si="1"/>
        <v>Week 19</v>
      </c>
      <c r="W3" t="str">
        <f t="shared" si="1"/>
        <v>Week 20</v>
      </c>
      <c r="X3" t="str">
        <f t="shared" si="1"/>
        <v>Week 21</v>
      </c>
      <c r="Y3" s="1" t="s">
        <v>34</v>
      </c>
    </row>
    <row r="4">
      <c r="A4" s="29">
        <f>IFERROR(__xludf.DUMMYFUNCTION("SUM(FILTER('RAW DATA'!$D:$D,'RAW DATA'!$A:$A=$B4,'RAW DATA'!$C:$C=A$1))"),2488.0)</f>
        <v>2488</v>
      </c>
      <c r="B4" s="30">
        <v>43254.0</v>
      </c>
      <c r="C4" s="31">
        <f>IFERROR(__xludf.DUMMYFUNCTION("IFERROR(SUM(FILTER('RAW DATA'!$D:$D,'RAW DATA'!$A:$A=$B4,'RAW DATA'!$C:$C=C$1)) / $A4)"),1.0)</f>
        <v>1</v>
      </c>
      <c r="D4" s="31">
        <f>IFERROR(__xludf.DUMMYFUNCTION("IFERROR(SUM(FILTER('RAW DATA'!$D:$D,'RAW DATA'!$A:$A=$B4,'RAW DATA'!$C:$C=D$1)) / $A4)"),0.02009646302250804)</f>
        <v>0.02009646302</v>
      </c>
      <c r="E4" s="31">
        <f>IFERROR(__xludf.DUMMYFUNCTION("IFERROR(SUM(FILTER('RAW DATA'!$D:$D,'RAW DATA'!$A:$A=$B4,'RAW DATA'!$C:$C=E$1)) / $A4)"),0.018890675241157555)</f>
        <v>0.01889067524</v>
      </c>
      <c r="F4" s="31">
        <f>IFERROR(__xludf.DUMMYFUNCTION("IFERROR(SUM(FILTER('RAW DATA'!$D:$D,'RAW DATA'!$A:$A=$B4,'RAW DATA'!$C:$C=F$1)) / $A4)"),0.03737942122186495)</f>
        <v>0.03737942122</v>
      </c>
      <c r="G4" s="31">
        <f>IFERROR(__xludf.DUMMYFUNCTION("IFERROR(SUM(FILTER('RAW DATA'!$D:$D,'RAW DATA'!$A:$A=$B4,'RAW DATA'!$C:$C=G$1)) / $A4)"),0.06109324758842444)</f>
        <v>0.06109324759</v>
      </c>
      <c r="H4" s="31">
        <f>IFERROR(__xludf.DUMMYFUNCTION("IFERROR(SUM(FILTER('RAW DATA'!$D:$D,'RAW DATA'!$A:$A=$B4,'RAW DATA'!$C:$C=H$1)) / $A4)"),0.29059485530546625)</f>
        <v>0.2905948553</v>
      </c>
      <c r="I4" s="31">
        <f>IFERROR(__xludf.DUMMYFUNCTION("IFERROR(SUM(FILTER('RAW DATA'!$D:$D,'RAW DATA'!$A:$A=$B4,'RAW DATA'!$C:$C=I$1)) / $A4)"),0.04501607717041801)</f>
        <v>0.04501607717</v>
      </c>
      <c r="J4" s="31">
        <f>IFERROR(__xludf.DUMMYFUNCTION("IFERROR(SUM(FILTER('RAW DATA'!$D:$D,'RAW DATA'!$A:$A=$B4,'RAW DATA'!$C:$C=J$1)) / $A4)"),0.0409967845659164)</f>
        <v>0.04099678457</v>
      </c>
      <c r="K4" s="31">
        <f>IFERROR(__xludf.DUMMYFUNCTION("IFERROR(SUM(FILTER('RAW DATA'!$D:$D,'RAW DATA'!$A:$A=$B4,'RAW DATA'!$C:$C=K$1)) / $A4)"),0.05908360128617363)</f>
        <v>0.05908360129</v>
      </c>
      <c r="L4" s="31">
        <f>IFERROR(__xludf.DUMMYFUNCTION("IFERROR(SUM(FILTER('RAW DATA'!$D:$D,'RAW DATA'!$A:$A=$B4,'RAW DATA'!$C:$C=L$1)) / $A4)"),0.21141479099678456)</f>
        <v>0.211414791</v>
      </c>
      <c r="M4" s="31">
        <f>IFERROR(__xludf.DUMMYFUNCTION("IFERROR(SUM(FILTER('RAW DATA'!$D:$D,'RAW DATA'!$A:$A=$B4,'RAW DATA'!$C:$C=M$1)) / $A4)"),0.04903536977491962)</f>
        <v>0.04903536977</v>
      </c>
      <c r="N4" s="31">
        <f>IFERROR(__xludf.DUMMYFUNCTION("IFERROR(SUM(FILTER('RAW DATA'!$D:$D,'RAW DATA'!$A:$A=$B4,'RAW DATA'!$C:$C=N$1)) / $A4)"),0.04501607717041801)</f>
        <v>0.04501607717</v>
      </c>
      <c r="O4" s="31">
        <f>IFERROR(__xludf.DUMMYFUNCTION("IFERROR(SUM(FILTER('RAW DATA'!$D:$D,'RAW DATA'!$A:$A=$B4,'RAW DATA'!$C:$C=O$1)) / $A4)"),0.05345659163987138)</f>
        <v>0.05345659164</v>
      </c>
      <c r="P4" s="31">
        <f>IFERROR(__xludf.DUMMYFUNCTION("IFERROR(SUM(FILTER('RAW DATA'!$D:$D,'RAW DATA'!$A:$A=$B4,'RAW DATA'!$C:$C=P$1)) / $A4)"),0.09445337620578778)</f>
        <v>0.09445337621</v>
      </c>
      <c r="Q4" s="31">
        <f>IFERROR(__xludf.DUMMYFUNCTION("IFERROR(SUM(FILTER('RAW DATA'!$D:$D,'RAW DATA'!$A:$A=$B4,'RAW DATA'!$C:$C=Q$1)) / $A4)"),0.09204180064308681)</f>
        <v>0.09204180064</v>
      </c>
      <c r="R4" s="31">
        <f>IFERROR(__xludf.DUMMYFUNCTION("IFERROR(SUM(FILTER('RAW DATA'!$D:$D,'RAW DATA'!$A:$A=$B4,'RAW DATA'!$C:$C=R$1)) / $A4)"),0.04180064308681672)</f>
        <v>0.04180064309</v>
      </c>
      <c r="S4" s="31">
        <f>IFERROR(__xludf.DUMMYFUNCTION("IFERROR(SUM(FILTER('RAW DATA'!$D:$D,'RAW DATA'!$A:$A=$B4,'RAW DATA'!$C:$C=S$1)) / $A4)"),0.0409967845659164)</f>
        <v>0.04099678457</v>
      </c>
      <c r="T4" s="31">
        <f>IFERROR(__xludf.DUMMYFUNCTION("IFERROR(SUM(FILTER('RAW DATA'!$D:$D,'RAW DATA'!$A:$A=$B4,'RAW DATA'!$C:$C=T$1)) / $A4)"),0.05747588424437299)</f>
        <v>0.05747588424</v>
      </c>
      <c r="U4" s="31">
        <f>IFERROR(__xludf.DUMMYFUNCTION("IFERROR(SUM(FILTER('RAW DATA'!$D:$D,'RAW DATA'!$A:$A=$B4,'RAW DATA'!$C:$C=U$1)) / $A4)"),0.10932475884244373)</f>
        <v>0.1093247588</v>
      </c>
      <c r="V4" s="31">
        <f>IFERROR(__xludf.DUMMYFUNCTION("IFERROR(SUM(FILTER('RAW DATA'!$D:$D,'RAW DATA'!$A:$A=$B4,'RAW DATA'!$C:$C=V$1)) / $A4)"),0.0430064308681672)</f>
        <v>0.04300643087</v>
      </c>
      <c r="W4" s="31">
        <f>IFERROR(__xludf.DUMMYFUNCTION("IFERROR(SUM(FILTER('RAW DATA'!$D:$D,'RAW DATA'!$A:$A=$B4,'RAW DATA'!$C:$C=W$1)) / $A4)"),0.04180064308681672)</f>
        <v>0.04180064309</v>
      </c>
      <c r="X4" s="31">
        <f>IFERROR(__xludf.DUMMYFUNCTION("IFERROR(SUM(FILTER('RAW DATA'!$D:$D,'RAW DATA'!$A:$A=$B4,'RAW DATA'!$C:$C=X$1)) / $A4)"),0.05305466237942122)</f>
        <v>0.05305466238</v>
      </c>
      <c r="Y4" s="14">
        <f t="shared" ref="Y4:Y8" si="2">AVERAGE(D4:T4)</f>
        <v>0.07404955551</v>
      </c>
    </row>
    <row r="5">
      <c r="A5" s="29">
        <f>IFERROR(__xludf.DUMMYFUNCTION("SUM(FILTER('RAW DATA'!$D:$D,'RAW DATA'!$A:$A=$B5,'RAW DATA'!$C:$C=A$1))"),6704.0)</f>
        <v>6704</v>
      </c>
      <c r="B5" s="30">
        <v>43261.0</v>
      </c>
      <c r="C5" s="31">
        <f>IFERROR(__xludf.DUMMYFUNCTION("IFERROR(SUM(FILTER('RAW DATA'!$D:$D,'RAW DATA'!$A:$A=$B5,'RAW DATA'!$C:$C=C$1)) / $A5)"),1.0)</f>
        <v>1</v>
      </c>
      <c r="D5" s="31">
        <f>IFERROR(__xludf.DUMMYFUNCTION("IFERROR(SUM(FILTER('RAW DATA'!$D:$D,'RAW DATA'!$A:$A=$B5,'RAW DATA'!$C:$C=D$1)) / $A5)"),0.01804892601431981)</f>
        <v>0.01804892601</v>
      </c>
      <c r="E5" s="31">
        <f>IFERROR(__xludf.DUMMYFUNCTION("IFERROR(SUM(FILTER('RAW DATA'!$D:$D,'RAW DATA'!$A:$A=$B5,'RAW DATA'!$C:$C=E$1)) / $A5)"),0.019689737470167064)</f>
        <v>0.01968973747</v>
      </c>
      <c r="F5" s="31">
        <f>IFERROR(__xludf.DUMMYFUNCTION("IFERROR(SUM(FILTER('RAW DATA'!$D:$D,'RAW DATA'!$A:$A=$B5,'RAW DATA'!$C:$C=F$1)) / $A5)"),0.04668854415274463)</f>
        <v>0.04668854415</v>
      </c>
      <c r="G5" s="31">
        <f>IFERROR(__xludf.DUMMYFUNCTION("IFERROR(SUM(FILTER('RAW DATA'!$D:$D,'RAW DATA'!$A:$A=$B5,'RAW DATA'!$C:$C=G$1)) / $A5)"),0.24075178997613364)</f>
        <v>0.24075179</v>
      </c>
      <c r="H5" s="31">
        <f>IFERROR(__xludf.DUMMYFUNCTION("IFERROR(SUM(FILTER('RAW DATA'!$D:$D,'RAW DATA'!$A:$A=$B5,'RAW DATA'!$C:$C=H$1)) / $A5)"),0.12440334128878282)</f>
        <v>0.1244033413</v>
      </c>
      <c r="I5" s="31">
        <f>IFERROR(__xludf.DUMMYFUNCTION("IFERROR(SUM(FILTER('RAW DATA'!$D:$D,'RAW DATA'!$A:$A=$B5,'RAW DATA'!$C:$C=I$1)) / $A5)"),0.0329653937947494)</f>
        <v>0.03296539379</v>
      </c>
      <c r="J5" s="31">
        <f>IFERROR(__xludf.DUMMYFUNCTION("IFERROR(SUM(FILTER('RAW DATA'!$D:$D,'RAW DATA'!$A:$A=$B5,'RAW DATA'!$C:$C=J$1)) / $A5)"),0.041616945107398565)</f>
        <v>0.04161694511</v>
      </c>
      <c r="K5" s="31">
        <f>IFERROR(__xludf.DUMMYFUNCTION("IFERROR(SUM(FILTER('RAW DATA'!$D:$D,'RAW DATA'!$A:$A=$B5,'RAW DATA'!$C:$C=K$1)) / $A5)"),0.1291766109785203)</f>
        <v>0.129176611</v>
      </c>
      <c r="L5" s="31">
        <f>IFERROR(__xludf.DUMMYFUNCTION("IFERROR(SUM(FILTER('RAW DATA'!$D:$D,'RAW DATA'!$A:$A=$B5,'RAW DATA'!$C:$C=L$1)) / $A5)"),0.1515513126491647)</f>
        <v>0.1515513126</v>
      </c>
      <c r="M5" s="31">
        <f>IFERROR(__xludf.DUMMYFUNCTION("IFERROR(SUM(FILTER('RAW DATA'!$D:$D,'RAW DATA'!$A:$A=$B5,'RAW DATA'!$C:$C=M$1)) / $A5)"),0.05086515513126492)</f>
        <v>0.05086515513</v>
      </c>
      <c r="N5" s="31">
        <f>IFERROR(__xludf.DUMMYFUNCTION("IFERROR(SUM(FILTER('RAW DATA'!$D:$D,'RAW DATA'!$A:$A=$B5,'RAW DATA'!$C:$C=N$1)) / $A5)"),0.052804295942720764)</f>
        <v>0.05280429594</v>
      </c>
      <c r="O5" s="31">
        <f>IFERROR(__xludf.DUMMYFUNCTION("IFERROR(SUM(FILTER('RAW DATA'!$D:$D,'RAW DATA'!$A:$A=$B5,'RAW DATA'!$C:$C=O$1)) / $A5)"),0.06339498806682578)</f>
        <v>0.06339498807</v>
      </c>
      <c r="P5" s="31">
        <f>IFERROR(__xludf.DUMMYFUNCTION("IFERROR(SUM(FILTER('RAW DATA'!$D:$D,'RAW DATA'!$A:$A=$B5,'RAW DATA'!$C:$C=P$1)) / $A5)"),0.12932577565632458)</f>
        <v>0.1293257757</v>
      </c>
      <c r="Q5" s="31">
        <f>IFERROR(__xludf.DUMMYFUNCTION("IFERROR(SUM(FILTER('RAW DATA'!$D:$D,'RAW DATA'!$A:$A=$B5,'RAW DATA'!$C:$C=Q$1)) / $A5)"),0.05921837708830549)</f>
        <v>0.05921837709</v>
      </c>
      <c r="R5" s="31">
        <f>IFERROR(__xludf.DUMMYFUNCTION("IFERROR(SUM(FILTER('RAW DATA'!$D:$D,'RAW DATA'!$A:$A=$B5,'RAW DATA'!$C:$C=R$1)) / $A5)"),0.03415871121718377)</f>
        <v>0.03415871122</v>
      </c>
      <c r="S5" s="31">
        <f>IFERROR(__xludf.DUMMYFUNCTION("IFERROR(SUM(FILTER('RAW DATA'!$D:$D,'RAW DATA'!$A:$A=$B5,'RAW DATA'!$C:$C=S$1)) / $A5)"),0.053251789976133654)</f>
        <v>0.05325178998</v>
      </c>
      <c r="T5" s="31">
        <f>IFERROR(__xludf.DUMMYFUNCTION("IFERROR(SUM(FILTER('RAW DATA'!$D:$D,'RAW DATA'!$A:$A=$B5,'RAW DATA'!$C:$C=T$1)) / $A5)"),0.08845465393794749)</f>
        <v>0.08845465394</v>
      </c>
      <c r="U5" s="31">
        <f>IFERROR(__xludf.DUMMYFUNCTION("IFERROR(SUM(FILTER('RAW DATA'!$D:$D,'RAW DATA'!$A:$A=$B5,'RAW DATA'!$C:$C=U$1)) / $A5)"),0.08204057279236276)</f>
        <v>0.08204057279</v>
      </c>
      <c r="V5" s="31">
        <f>IFERROR(__xludf.DUMMYFUNCTION("IFERROR(SUM(FILTER('RAW DATA'!$D:$D,'RAW DATA'!$A:$A=$B5,'RAW DATA'!$C:$C=V$1)) / $A5)"),0.042213603818615754)</f>
        <v>0.04221360382</v>
      </c>
      <c r="W5" s="31">
        <f>IFERROR(__xludf.DUMMYFUNCTION("IFERROR(SUM(FILTER('RAW DATA'!$D:$D,'RAW DATA'!$A:$A=$B5,'RAW DATA'!$C:$C=W$1)) / $A5)"),0.04698687350835322)</f>
        <v>0.04698687351</v>
      </c>
      <c r="X5" s="31">
        <f>IFERROR(__xludf.DUMMYFUNCTION("IFERROR(SUM(FILTER('RAW DATA'!$D:$D,'RAW DATA'!$A:$A=$B5,'RAW DATA'!$C:$C=X$1)) / $A5)"),0.013126491646778043)</f>
        <v>0.01312649165</v>
      </c>
      <c r="Y5" s="14">
        <f t="shared" si="2"/>
        <v>0.0786097852</v>
      </c>
    </row>
    <row r="6">
      <c r="A6" s="29">
        <f>IFERROR(__xludf.DUMMYFUNCTION("SUM(FILTER('RAW DATA'!$D:$D,'RAW DATA'!$A:$A=$B6,'RAW DATA'!$C:$C=A$1))"),8675.0)</f>
        <v>8675</v>
      </c>
      <c r="B6" s="30">
        <v>43268.0</v>
      </c>
      <c r="C6" s="31">
        <f>IFERROR(__xludf.DUMMYFUNCTION("IFERROR(SUM(FILTER('RAW DATA'!$D:$D,'RAW DATA'!$A:$A=$B6,'RAW DATA'!$C:$C=C$1)) / $A6)"),1.0)</f>
        <v>1</v>
      </c>
      <c r="D6" s="31">
        <f>IFERROR(__xludf.DUMMYFUNCTION("IFERROR(SUM(FILTER('RAW DATA'!$D:$D,'RAW DATA'!$A:$A=$B6,'RAW DATA'!$C:$C=D$1)) / $A6)"),0.016714697406340056)</f>
        <v>0.01671469741</v>
      </c>
      <c r="E6" s="31">
        <f>IFERROR(__xludf.DUMMYFUNCTION("IFERROR(SUM(FILTER('RAW DATA'!$D:$D,'RAW DATA'!$A:$A=$B6,'RAW DATA'!$C:$C=E$1)) / $A6)"),0.019020172910662825)</f>
        <v>0.01902017291</v>
      </c>
      <c r="F6" s="31">
        <f>IFERROR(__xludf.DUMMYFUNCTION("IFERROR(SUM(FILTER('RAW DATA'!$D:$D,'RAW DATA'!$A:$A=$B6,'RAW DATA'!$C:$C=F$1)) / $A6)"),0.051527377521613835)</f>
        <v>0.05152737752</v>
      </c>
      <c r="G6" s="31">
        <f>IFERROR(__xludf.DUMMYFUNCTION("IFERROR(SUM(FILTER('RAW DATA'!$D:$D,'RAW DATA'!$A:$A=$B6,'RAW DATA'!$C:$C=G$1)) / $A6)"),0.2502593659942363)</f>
        <v>0.250259366</v>
      </c>
      <c r="H6" s="31">
        <f>IFERROR(__xludf.DUMMYFUNCTION("IFERROR(SUM(FILTER('RAW DATA'!$D:$D,'RAW DATA'!$A:$A=$B6,'RAW DATA'!$C:$C=H$1)) / $A6)"),0.10812680115273775)</f>
        <v>0.1081268012</v>
      </c>
      <c r="I6" s="31">
        <f>IFERROR(__xludf.DUMMYFUNCTION("IFERROR(SUM(FILTER('RAW DATA'!$D:$D,'RAW DATA'!$A:$A=$B6,'RAW DATA'!$C:$C=I$1)) / $A6)"),0.04092219020172911)</f>
        <v>0.0409221902</v>
      </c>
      <c r="J6" s="31">
        <f>IFERROR(__xludf.DUMMYFUNCTION("IFERROR(SUM(FILTER('RAW DATA'!$D:$D,'RAW DATA'!$A:$A=$B6,'RAW DATA'!$C:$C=J$1)) / $A6)"),0.05821325648414986)</f>
        <v>0.05821325648</v>
      </c>
      <c r="K6" s="31">
        <f>IFERROR(__xludf.DUMMYFUNCTION("IFERROR(SUM(FILTER('RAW DATA'!$D:$D,'RAW DATA'!$A:$A=$B6,'RAW DATA'!$C:$C=K$1)) / $A6)"),0.12645533141210374)</f>
        <v>0.1264553314</v>
      </c>
      <c r="L6" s="31">
        <f>IFERROR(__xludf.DUMMYFUNCTION("IFERROR(SUM(FILTER('RAW DATA'!$D:$D,'RAW DATA'!$A:$A=$B6,'RAW DATA'!$C:$C=L$1)) / $A6)"),0.13533141210374638)</f>
        <v>0.1353314121</v>
      </c>
      <c r="M6" s="31">
        <f>IFERROR(__xludf.DUMMYFUNCTION("IFERROR(SUM(FILTER('RAW DATA'!$D:$D,'RAW DATA'!$A:$A=$B6,'RAW DATA'!$C:$C=M$1)) / $A6)"),0.056945244956772334)</f>
        <v>0.05694524496</v>
      </c>
      <c r="N6" s="31">
        <f>IFERROR(__xludf.DUMMYFUNCTION("IFERROR(SUM(FILTER('RAW DATA'!$D:$D,'RAW DATA'!$A:$A=$B6,'RAW DATA'!$C:$C=N$1)) / $A6)"),0.05279538904899136)</f>
        <v>0.05279538905</v>
      </c>
      <c r="O6" s="31">
        <f>IFERROR(__xludf.DUMMYFUNCTION("IFERROR(SUM(FILTER('RAW DATA'!$D:$D,'RAW DATA'!$A:$A=$B6,'RAW DATA'!$C:$C=O$1)) / $A6)"),0.07746397694524496)</f>
        <v>0.07746397695</v>
      </c>
      <c r="P6" s="31">
        <f>IFERROR(__xludf.DUMMYFUNCTION("IFERROR(SUM(FILTER('RAW DATA'!$D:$D,'RAW DATA'!$A:$A=$B6,'RAW DATA'!$C:$C=P$1)) / $A6)"),0.11527377521613832)</f>
        <v>0.1152737752</v>
      </c>
      <c r="Q6" s="31">
        <f>IFERROR(__xludf.DUMMYFUNCTION("IFERROR(SUM(FILTER('RAW DATA'!$D:$D,'RAW DATA'!$A:$A=$B6,'RAW DATA'!$C:$C=Q$1)) / $A6)"),0.044034582132564844)</f>
        <v>0.04403458213</v>
      </c>
      <c r="R6" s="31">
        <f>IFERROR(__xludf.DUMMYFUNCTION("IFERROR(SUM(FILTER('RAW DATA'!$D:$D,'RAW DATA'!$A:$A=$B6,'RAW DATA'!$C:$C=R$1)) / $A6)"),0.05014409221902017)</f>
        <v>0.05014409222</v>
      </c>
      <c r="S6" s="31">
        <f>IFERROR(__xludf.DUMMYFUNCTION("IFERROR(SUM(FILTER('RAW DATA'!$D:$D,'RAW DATA'!$A:$A=$B6,'RAW DATA'!$C:$C=S$1)) / $A6)"),0.0577521613832853)</f>
        <v>0.05775216138</v>
      </c>
      <c r="T6" s="31">
        <f>IFERROR(__xludf.DUMMYFUNCTION("IFERROR(SUM(FILTER('RAW DATA'!$D:$D,'RAW DATA'!$A:$A=$B6,'RAW DATA'!$C:$C=T$1)) / $A6)"),0.09014409221902017)</f>
        <v>0.09014409222</v>
      </c>
      <c r="U6" s="31">
        <f>IFERROR(__xludf.DUMMYFUNCTION("IFERROR(SUM(FILTER('RAW DATA'!$D:$D,'RAW DATA'!$A:$A=$B6,'RAW DATA'!$C:$C=U$1)) / $A6)"),0.07354466858789625)</f>
        <v>0.07354466859</v>
      </c>
      <c r="V6" s="31">
        <f>IFERROR(__xludf.DUMMYFUNCTION("IFERROR(SUM(FILTER('RAW DATA'!$D:$D,'RAW DATA'!$A:$A=$B6,'RAW DATA'!$C:$C=V$1)) / $A6)"),0.0444956772334294)</f>
        <v>0.04449567723</v>
      </c>
      <c r="W6" s="31">
        <f>IFERROR(__xludf.DUMMYFUNCTION("IFERROR(SUM(FILTER('RAW DATA'!$D:$D,'RAW DATA'!$A:$A=$B6,'RAW DATA'!$C:$C=W$1)) / $A6)"),0.0138328530259366)</f>
        <v>0.01383285303</v>
      </c>
      <c r="X6" s="31" t="str">
        <f>IFERROR(__xludf.DUMMYFUNCTION("IFERROR(SUM(FILTER('RAW DATA'!$D:$D,'RAW DATA'!$A:$A=$B6,'RAW DATA'!$C:$C=X$1)) / $A6)"),"")</f>
        <v/>
      </c>
      <c r="Y6" s="14">
        <f t="shared" si="2"/>
        <v>0.07947787761</v>
      </c>
    </row>
    <row r="7">
      <c r="A7" s="29">
        <f>IFERROR(__xludf.DUMMYFUNCTION("SUM(FILTER('RAW DATA'!$D:$D,'RAW DATA'!$A:$A=$B7,'RAW DATA'!$C:$C=A$1))"),7696.0)</f>
        <v>7696</v>
      </c>
      <c r="B7" s="30">
        <v>43275.0</v>
      </c>
      <c r="C7" s="31">
        <f>IFERROR(__xludf.DUMMYFUNCTION("IFERROR(SUM(FILTER('RAW DATA'!$D:$D,'RAW DATA'!$A:$A=$B7,'RAW DATA'!$C:$C=C$1)) / $A7)"),1.0)</f>
        <v>1</v>
      </c>
      <c r="D7" s="31">
        <f>IFERROR(__xludf.DUMMYFUNCTION("IFERROR(SUM(FILTER('RAW DATA'!$D:$D,'RAW DATA'!$A:$A=$B7,'RAW DATA'!$C:$C=D$1)) / $A7)"),0.018451143451143452)</f>
        <v>0.01845114345</v>
      </c>
      <c r="E7" s="31">
        <f>IFERROR(__xludf.DUMMYFUNCTION("IFERROR(SUM(FILTER('RAW DATA'!$D:$D,'RAW DATA'!$A:$A=$B7,'RAW DATA'!$C:$C=E$1)) / $A7)"),0.019360706860706862)</f>
        <v>0.01936070686</v>
      </c>
      <c r="F7" s="31">
        <f>IFERROR(__xludf.DUMMYFUNCTION("IFERROR(SUM(FILTER('RAW DATA'!$D:$D,'RAW DATA'!$A:$A=$B7,'RAW DATA'!$C:$C=F$1)) / $A7)"),0.05964137214137214)</f>
        <v>0.05964137214</v>
      </c>
      <c r="G7" s="31">
        <f>IFERROR(__xludf.DUMMYFUNCTION("IFERROR(SUM(FILTER('RAW DATA'!$D:$D,'RAW DATA'!$A:$A=$B7,'RAW DATA'!$C:$C=G$1)) / $A7)"),0.22336278586278585)</f>
        <v>0.2233627859</v>
      </c>
      <c r="H7" s="31">
        <f>IFERROR(__xludf.DUMMYFUNCTION("IFERROR(SUM(FILTER('RAW DATA'!$D:$D,'RAW DATA'!$A:$A=$B7,'RAW DATA'!$C:$C=H$1)) / $A7)"),0.12292099792099792)</f>
        <v>0.1229209979</v>
      </c>
      <c r="I7" s="31">
        <f>IFERROR(__xludf.DUMMYFUNCTION("IFERROR(SUM(FILTER('RAW DATA'!$D:$D,'RAW DATA'!$A:$A=$B7,'RAW DATA'!$C:$C=I$1)) / $A7)"),0.04119022869022869)</f>
        <v>0.04119022869</v>
      </c>
      <c r="J7" s="31">
        <f>IFERROR(__xludf.DUMMYFUNCTION("IFERROR(SUM(FILTER('RAW DATA'!$D:$D,'RAW DATA'!$A:$A=$B7,'RAW DATA'!$C:$C=J$1)) / $A7)"),0.04547817047817048)</f>
        <v>0.04547817048</v>
      </c>
      <c r="K7" s="31">
        <f>IFERROR(__xludf.DUMMYFUNCTION("IFERROR(SUM(FILTER('RAW DATA'!$D:$D,'RAW DATA'!$A:$A=$B7,'RAW DATA'!$C:$C=K$1)) / $A7)"),0.1492983367983368)</f>
        <v>0.1492983368</v>
      </c>
      <c r="L7" s="31">
        <f>IFERROR(__xludf.DUMMYFUNCTION("IFERROR(SUM(FILTER('RAW DATA'!$D:$D,'RAW DATA'!$A:$A=$B7,'RAW DATA'!$C:$C=L$1)) / $A7)"),0.12214137214137215)</f>
        <v>0.1221413721</v>
      </c>
      <c r="M7" s="31">
        <f>IFERROR(__xludf.DUMMYFUNCTION("IFERROR(SUM(FILTER('RAW DATA'!$D:$D,'RAW DATA'!$A:$A=$B7,'RAW DATA'!$C:$C=M$1)) / $A7)"),0.05886174636174636)</f>
        <v>0.05886174636</v>
      </c>
      <c r="N7" s="31">
        <f>IFERROR(__xludf.DUMMYFUNCTION("IFERROR(SUM(FILTER('RAW DATA'!$D:$D,'RAW DATA'!$A:$A=$B7,'RAW DATA'!$C:$C=N$1)) / $A7)"),0.0498960498960499)</f>
        <v>0.0498960499</v>
      </c>
      <c r="O7" s="31">
        <f>IFERROR(__xludf.DUMMYFUNCTION("IFERROR(SUM(FILTER('RAW DATA'!$D:$D,'RAW DATA'!$A:$A=$B7,'RAW DATA'!$C:$C=O$1)) / $A7)"),0.05145530145530146)</f>
        <v>0.05145530146</v>
      </c>
      <c r="P7" s="31">
        <f>IFERROR(__xludf.DUMMYFUNCTION("IFERROR(SUM(FILTER('RAW DATA'!$D:$D,'RAW DATA'!$A:$A=$B7,'RAW DATA'!$C:$C=P$1)) / $A7)"),0.10018191268191268)</f>
        <v>0.1001819127</v>
      </c>
      <c r="Q7" s="31">
        <f>IFERROR(__xludf.DUMMYFUNCTION("IFERROR(SUM(FILTER('RAW DATA'!$D:$D,'RAW DATA'!$A:$A=$B7,'RAW DATA'!$C:$C=Q$1)) / $A7)"),0.07328482328482329)</f>
        <v>0.07328482328</v>
      </c>
      <c r="R7" s="31">
        <f>IFERROR(__xludf.DUMMYFUNCTION("IFERROR(SUM(FILTER('RAW DATA'!$D:$D,'RAW DATA'!$A:$A=$B7,'RAW DATA'!$C:$C=R$1)) / $A7)"),0.04404885654885655)</f>
        <v>0.04404885655</v>
      </c>
      <c r="S7" s="31">
        <f>IFERROR(__xludf.DUMMYFUNCTION("IFERROR(SUM(FILTER('RAW DATA'!$D:$D,'RAW DATA'!$A:$A=$B7,'RAW DATA'!$C:$C=S$1)) / $A7)"),0.04638773388773389)</f>
        <v>0.04638773389</v>
      </c>
      <c r="T7" s="31">
        <f>IFERROR(__xludf.DUMMYFUNCTION("IFERROR(SUM(FILTER('RAW DATA'!$D:$D,'RAW DATA'!$A:$A=$B7,'RAW DATA'!$C:$C=T$1)) / $A7)"),0.09498440748440748)</f>
        <v>0.09498440748</v>
      </c>
      <c r="U7" s="31">
        <f>IFERROR(__xludf.DUMMYFUNCTION("IFERROR(SUM(FILTER('RAW DATA'!$D:$D,'RAW DATA'!$A:$A=$B7,'RAW DATA'!$C:$C=U$1)) / $A7)"),0.06691787941787941)</f>
        <v>0.06691787942</v>
      </c>
      <c r="V7" s="31">
        <f>IFERROR(__xludf.DUMMYFUNCTION("IFERROR(SUM(FILTER('RAW DATA'!$D:$D,'RAW DATA'!$A:$A=$B7,'RAW DATA'!$C:$C=V$1)) / $A7)"),0.013513513513513514)</f>
        <v>0.01351351351</v>
      </c>
      <c r="W7" s="31" t="str">
        <f>IFERROR(__xludf.DUMMYFUNCTION("IFERROR(SUM(FILTER('RAW DATA'!$D:$D,'RAW DATA'!$A:$A=$B7,'RAW DATA'!$C:$C=W$1)) / $A7)"),"")</f>
        <v/>
      </c>
      <c r="X7" s="31" t="str">
        <f>IFERROR(__xludf.DUMMYFUNCTION("IFERROR(SUM(FILTER('RAW DATA'!$D:$D,'RAW DATA'!$A:$A=$B7,'RAW DATA'!$C:$C=X$1)) / $A7)"),"")</f>
        <v/>
      </c>
      <c r="Y7" s="14">
        <f t="shared" si="2"/>
        <v>0.0777027027</v>
      </c>
    </row>
    <row r="8">
      <c r="A8" s="29">
        <f>IFERROR(__xludf.DUMMYFUNCTION("SUM(FILTER('RAW DATA'!$D:$D,'RAW DATA'!$A:$A=$B8,'RAW DATA'!$C:$C=A$1))"),8505.0)</f>
        <v>8505</v>
      </c>
      <c r="B8" s="30">
        <v>43282.0</v>
      </c>
      <c r="C8" s="31">
        <f>IFERROR(__xludf.DUMMYFUNCTION("IFERROR(SUM(FILTER('RAW DATA'!$D:$D,'RAW DATA'!$A:$A=$B8,'RAW DATA'!$C:$C=C$1)) / $A8)"),1.0)</f>
        <v>1</v>
      </c>
      <c r="D8" s="31">
        <f>IFERROR(__xludf.DUMMYFUNCTION("IFERROR(SUM(FILTER('RAW DATA'!$D:$D,'RAW DATA'!$A:$A=$B8,'RAW DATA'!$C:$C=D$1)) / $A8)"),0.01646090534979424)</f>
        <v>0.01646090535</v>
      </c>
      <c r="E8" s="31">
        <f>IFERROR(__xludf.DUMMYFUNCTION("IFERROR(SUM(FILTER('RAW DATA'!$D:$D,'RAW DATA'!$A:$A=$B8,'RAW DATA'!$C:$C=E$1)) / $A8)"),0.02139917695473251)</f>
        <v>0.02139917695</v>
      </c>
      <c r="F8" s="31">
        <f>IFERROR(__xludf.DUMMYFUNCTION("IFERROR(SUM(FILTER('RAW DATA'!$D:$D,'RAW DATA'!$A:$A=$B8,'RAW DATA'!$C:$C=F$1)) / $A8)"),0.05432098765432099)</f>
        <v>0.05432098765</v>
      </c>
      <c r="G8" s="31">
        <f>IFERROR(__xludf.DUMMYFUNCTION("IFERROR(SUM(FILTER('RAW DATA'!$D:$D,'RAW DATA'!$A:$A=$B8,'RAW DATA'!$C:$C=G$1)) / $A8)"),0.20728982951205174)</f>
        <v>0.2072898295</v>
      </c>
      <c r="H8" s="31">
        <f>IFERROR(__xludf.DUMMYFUNCTION("IFERROR(SUM(FILTER('RAW DATA'!$D:$D,'RAW DATA'!$A:$A=$B8,'RAW DATA'!$C:$C=H$1)) / $A8)"),0.14320987654320988)</f>
        <v>0.1432098765</v>
      </c>
      <c r="I8" s="31">
        <f>IFERROR(__xludf.DUMMYFUNCTION("IFERROR(SUM(FILTER('RAW DATA'!$D:$D,'RAW DATA'!$A:$A=$B8,'RAW DATA'!$C:$C=I$1)) / $A8)"),0.031863609641387416)</f>
        <v>0.03186360964</v>
      </c>
      <c r="J8" s="31">
        <f>IFERROR(__xludf.DUMMYFUNCTION("IFERROR(SUM(FILTER('RAW DATA'!$D:$D,'RAW DATA'!$A:$A=$B8,'RAW DATA'!$C:$C=J$1)) / $A8)"),0.0406819517930629)</f>
        <v>0.04068195179</v>
      </c>
      <c r="K8" s="31">
        <f>IFERROR(__xludf.DUMMYFUNCTION("IFERROR(SUM(FILTER('RAW DATA'!$D:$D,'RAW DATA'!$A:$A=$B8,'RAW DATA'!$C:$C=K$1)) / $A8)"),0.13368606701940036)</f>
        <v>0.133686067</v>
      </c>
      <c r="L8" s="31">
        <f>IFERROR(__xludf.DUMMYFUNCTION("IFERROR(SUM(FILTER('RAW DATA'!$D:$D,'RAW DATA'!$A:$A=$B8,'RAW DATA'!$C:$C=L$1)) / $A8)"),0.13345091122868902)</f>
        <v>0.1334509112</v>
      </c>
      <c r="M8" s="31">
        <f>IFERROR(__xludf.DUMMYFUNCTION("IFERROR(SUM(FILTER('RAW DATA'!$D:$D,'RAW DATA'!$A:$A=$B8,'RAW DATA'!$C:$C=M$1)) / $A8)"),0.0533803644914756)</f>
        <v>0.05338036449</v>
      </c>
      <c r="N8" s="31">
        <f>IFERROR(__xludf.DUMMYFUNCTION("IFERROR(SUM(FILTER('RAW DATA'!$D:$D,'RAW DATA'!$A:$A=$B8,'RAW DATA'!$C:$C=N$1)) / $A8)"),0.05196942974720752)</f>
        <v>0.05196942975</v>
      </c>
      <c r="O8" s="31">
        <f>IFERROR(__xludf.DUMMYFUNCTION("IFERROR(SUM(FILTER('RAW DATA'!$D:$D,'RAW DATA'!$A:$A=$B8,'RAW DATA'!$C:$C=O$1)) / $A8)"),0.04315108759553204)</f>
        <v>0.0431510876</v>
      </c>
      <c r="P8" s="31">
        <f>IFERROR(__xludf.DUMMYFUNCTION("IFERROR(SUM(FILTER('RAW DATA'!$D:$D,'RAW DATA'!$A:$A=$B8,'RAW DATA'!$C:$C=P$1)) / $A8)"),0.13556731334509112)</f>
        <v>0.1355673133</v>
      </c>
      <c r="Q8" s="31">
        <f>IFERROR(__xludf.DUMMYFUNCTION("IFERROR(SUM(FILTER('RAW DATA'!$D:$D,'RAW DATA'!$A:$A=$B8,'RAW DATA'!$C:$C=Q$1)) / $A8)"),0.05138154027042916)</f>
        <v>0.05138154027</v>
      </c>
      <c r="R8" s="31">
        <f>IFERROR(__xludf.DUMMYFUNCTION("IFERROR(SUM(FILTER('RAW DATA'!$D:$D,'RAW DATA'!$A:$A=$B8,'RAW DATA'!$C:$C=R$1)) / $A8)"),0.03621399176954732)</f>
        <v>0.03621399177</v>
      </c>
      <c r="S8" s="31">
        <f>IFERROR(__xludf.DUMMYFUNCTION("IFERROR(SUM(FILTER('RAW DATA'!$D:$D,'RAW DATA'!$A:$A=$B8,'RAW DATA'!$C:$C=S$1)) / $A8)"),0.04832451499118166)</f>
        <v>0.04832451499</v>
      </c>
      <c r="T8" s="31">
        <f>IFERROR(__xludf.DUMMYFUNCTION("IFERROR(SUM(FILTER('RAW DATA'!$D:$D,'RAW DATA'!$A:$A=$B8,'RAW DATA'!$C:$C=T$1)) / $A8)"),0.09171075837742504)</f>
        <v>0.09171075838</v>
      </c>
      <c r="U8" s="31">
        <f>IFERROR(__xludf.DUMMYFUNCTION("IFERROR(SUM(FILTER('RAW DATA'!$D:$D,'RAW DATA'!$A:$A=$B8,'RAW DATA'!$C:$C=U$1)) / $A8)"),0.029394473838918283)</f>
        <v>0.02939447384</v>
      </c>
      <c r="V8" s="31" t="str">
        <f>IFERROR(__xludf.DUMMYFUNCTION("IFERROR(SUM(FILTER('RAW DATA'!$D:$D,'RAW DATA'!$A:$A=$B8,'RAW DATA'!$C:$C=V$1)) / $A8)"),"")</f>
        <v/>
      </c>
      <c r="W8" s="31" t="str">
        <f>IFERROR(__xludf.DUMMYFUNCTION("IFERROR(SUM(FILTER('RAW DATA'!$D:$D,'RAW DATA'!$A:$A=$B8,'RAW DATA'!$C:$C=W$1)) / $A8)"),"")</f>
        <v/>
      </c>
      <c r="X8" s="31" t="str">
        <f>IFERROR(__xludf.DUMMYFUNCTION("IFERROR(SUM(FILTER('RAW DATA'!$D:$D,'RAW DATA'!$A:$A=$B8,'RAW DATA'!$C:$C=X$1)) / $A8)"),"")</f>
        <v/>
      </c>
      <c r="Y8" s="14">
        <f t="shared" si="2"/>
        <v>0.07612131272</v>
      </c>
    </row>
    <row r="9">
      <c r="A9" s="29"/>
      <c r="B9" s="36"/>
      <c r="C9" s="31" t="str">
        <f>IFERROR(__xludf.DUMMYFUNCTION("IFERROR(FILTER('RAW DATA'!$D:$D,'RAW DATA'!$B:$B=$B9,'RAW DATA'!$C:$C=C$1) / $A9)"),"")</f>
        <v/>
      </c>
      <c r="D9" s="31" t="str">
        <f>IFERROR(__xludf.DUMMYFUNCTION("IFERROR(FILTER('RAW DATA'!$D:$D,'RAW DATA'!$B:$B=$B9,'RAW DATA'!$C:$C=D$1) / $A9)"),"")</f>
        <v/>
      </c>
      <c r="E9" s="31" t="str">
        <f>IFERROR(__xludf.DUMMYFUNCTION("IFERROR(FILTER('RAW DATA'!$D:$D,'RAW DATA'!$B:$B=$B9,'RAW DATA'!$C:$C=E$1) / $A9)"),"")</f>
        <v/>
      </c>
      <c r="F9" s="31" t="str">
        <f>IFERROR(__xludf.DUMMYFUNCTION("IFERROR(FILTER('RAW DATA'!$D:$D,'RAW DATA'!$B:$B=$B9,'RAW DATA'!$C:$C=F$1) / $A9)"),"")</f>
        <v/>
      </c>
      <c r="G9" s="31" t="str">
        <f>IFERROR(__xludf.DUMMYFUNCTION("IFERROR(FILTER('RAW DATA'!$D:$D,'RAW DATA'!$B:$B=$B9,'RAW DATA'!$C:$C=G$1) / $A9)"),"")</f>
        <v/>
      </c>
      <c r="H9" s="31" t="str">
        <f>IFERROR(__xludf.DUMMYFUNCTION("IFERROR(FILTER('RAW DATA'!$D:$D,'RAW DATA'!$B:$B=$B9,'RAW DATA'!$C:$C=H$1) / $A9)"),"")</f>
        <v/>
      </c>
      <c r="I9" s="31" t="str">
        <f>IFERROR(__xludf.DUMMYFUNCTION("IFERROR(FILTER('RAW DATA'!$D:$D,'RAW DATA'!$B:$B=$B9,'RAW DATA'!$C:$C=I$1) / $A9)"),"")</f>
        <v/>
      </c>
      <c r="J9" s="31" t="str">
        <f>IFERROR(__xludf.DUMMYFUNCTION("IFERROR(FILTER('RAW DATA'!$D:$D,'RAW DATA'!$B:$B=$B9,'RAW DATA'!$C:$C=J$1) / $A9)"),"")</f>
        <v/>
      </c>
      <c r="K9" s="31" t="str">
        <f>IFERROR(__xludf.DUMMYFUNCTION("IFERROR(FILTER('RAW DATA'!$D:$D,'RAW DATA'!$B:$B=$B9,'RAW DATA'!$C:$C=K$1) / $A9)"),"")</f>
        <v/>
      </c>
      <c r="L9" s="31" t="str">
        <f>IFERROR(__xludf.DUMMYFUNCTION("IFERROR(FILTER('RAW DATA'!$D:$D,'RAW DATA'!$B:$B=$B9,'RAW DATA'!$C:$C=L$1) / $A9)"),"")</f>
        <v/>
      </c>
      <c r="M9" s="31" t="str">
        <f>IFERROR(__xludf.DUMMYFUNCTION("IFERROR(FILTER('RAW DATA'!$D:$D,'RAW DATA'!$B:$B=$B9,'RAW DATA'!$C:$C=M$1) / $A9)"),"")</f>
        <v/>
      </c>
      <c r="N9" s="31" t="str">
        <f>IFERROR(__xludf.DUMMYFUNCTION("IFERROR(FILTER('RAW DATA'!$D:$D,'RAW DATA'!$B:$B=$B9,'RAW DATA'!$C:$C=N$1) / $A9)"),"")</f>
        <v/>
      </c>
      <c r="O9" s="31" t="str">
        <f>IFERROR(__xludf.DUMMYFUNCTION("IFERROR(FILTER('RAW DATA'!$D:$D,'RAW DATA'!$B:$B=$B9,'RAW DATA'!$C:$C=O$1) / $A9)"),"")</f>
        <v/>
      </c>
      <c r="P9" s="31" t="str">
        <f>IFERROR(__xludf.DUMMYFUNCTION("IFERROR(FILTER('RAW DATA'!$D:$D,'RAW DATA'!$B:$B=$B9,'RAW DATA'!$C:$C=P$1) / $A9)"),"")</f>
        <v/>
      </c>
      <c r="Q9" s="31" t="str">
        <f>IFERROR(__xludf.DUMMYFUNCTION("IFERROR(FILTER('RAW DATA'!$D:$D,'RAW DATA'!$B:$B=$B9,'RAW DATA'!$C:$C=Q$1) / $A9)"),"")</f>
        <v/>
      </c>
      <c r="R9" s="31" t="str">
        <f>IFERROR(__xludf.DUMMYFUNCTION("IFERROR(FILTER('RAW DATA'!$D:$D,'RAW DATA'!$B:$B=$B9,'RAW DATA'!$C:$C=R$1) / $A9)"),"")</f>
        <v/>
      </c>
      <c r="S9" s="31" t="str">
        <f>IFERROR(__xludf.DUMMYFUNCTION("IFERROR(FILTER('RAW DATA'!$D:$D,'RAW DATA'!$B:$B=$B9,'RAW DATA'!$C:$C=S$1) / $A9)"),"")</f>
        <v/>
      </c>
      <c r="T9" s="31" t="str">
        <f>IFERROR(__xludf.DUMMYFUNCTION("IFERROR(FILTER('RAW DATA'!$D:$D,'RAW DATA'!$B:$B=$B9,'RAW DATA'!$C:$C=T$1) / $A9)"),"")</f>
        <v/>
      </c>
      <c r="U9" s="31" t="str">
        <f>IFERROR(__xludf.DUMMYFUNCTION("IFERROR(FILTER('RAW DATA'!$D:$D,'RAW DATA'!$B:$B=$B9,'RAW DATA'!$C:$C=U$1) / $A9)"),"")</f>
        <v/>
      </c>
      <c r="V9" s="31" t="str">
        <f>IFERROR(__xludf.DUMMYFUNCTION("IFERROR(FILTER('RAW DATA'!$D:$D,'RAW DATA'!$B:$B=$B9,'RAW DATA'!$C:$C=V$1) / $A9)"),"")</f>
        <v/>
      </c>
      <c r="W9" s="31" t="str">
        <f>IFERROR(__xludf.DUMMYFUNCTION("IFERROR(FILTER('RAW DATA'!$D:$D,'RAW DATA'!$B:$B=$B9,'RAW DATA'!$C:$C=W$1) / $A9)"),"")</f>
        <v/>
      </c>
      <c r="X9" s="31" t="str">
        <f>IFERROR(__xludf.DUMMYFUNCTION("IFERROR(FILTER('RAW DATA'!$D:$D,'RAW DATA'!$B:$B=$B9,'RAW DATA'!$C:$C=X$1) / $A9)"),"")</f>
        <v/>
      </c>
    </row>
    <row r="10">
      <c r="A10" s="29"/>
      <c r="B10" s="38" t="s">
        <v>33</v>
      </c>
      <c r="C10" s="31"/>
      <c r="D10" s="31">
        <f t="shared" ref="D10:Y10" si="3">D8-D4</f>
        <v>-0.003635557673</v>
      </c>
      <c r="E10" s="31">
        <f t="shared" si="3"/>
        <v>0.002508501714</v>
      </c>
      <c r="F10" s="31">
        <f t="shared" si="3"/>
        <v>0.01694156643</v>
      </c>
      <c r="G10" s="35">
        <f t="shared" si="3"/>
        <v>0.1461965819</v>
      </c>
      <c r="H10" s="31">
        <f t="shared" si="3"/>
        <v>-0.1473849788</v>
      </c>
      <c r="I10" s="31">
        <f t="shared" si="3"/>
        <v>-0.01315246753</v>
      </c>
      <c r="J10" s="31">
        <f t="shared" si="3"/>
        <v>-0.0003148327729</v>
      </c>
      <c r="K10" s="35">
        <f t="shared" si="3"/>
        <v>0.07460246573</v>
      </c>
      <c r="L10" s="31">
        <f t="shared" si="3"/>
        <v>-0.07796387977</v>
      </c>
      <c r="M10" s="31">
        <f t="shared" si="3"/>
        <v>0.004344994717</v>
      </c>
      <c r="N10" s="31">
        <f t="shared" si="3"/>
        <v>0.006953352577</v>
      </c>
      <c r="O10" s="49">
        <f t="shared" si="3"/>
        <v>-0.01030550404</v>
      </c>
      <c r="P10" s="35">
        <f t="shared" si="3"/>
        <v>0.04111393714</v>
      </c>
      <c r="Q10" s="31">
        <f t="shared" si="3"/>
        <v>-0.04066026037</v>
      </c>
      <c r="R10" s="31">
        <f t="shared" si="3"/>
        <v>-0.005586651317</v>
      </c>
      <c r="S10" s="31">
        <f t="shared" si="3"/>
        <v>0.007327730425</v>
      </c>
      <c r="T10" s="35">
        <f t="shared" si="3"/>
        <v>0.03423487413</v>
      </c>
      <c r="U10" s="31">
        <f t="shared" si="3"/>
        <v>-0.079930285</v>
      </c>
      <c r="V10" s="31">
        <f t="shared" si="3"/>
        <v>-0.04300643087</v>
      </c>
      <c r="W10" s="31">
        <f t="shared" si="3"/>
        <v>-0.04180064309</v>
      </c>
      <c r="X10" s="31">
        <f t="shared" si="3"/>
        <v>-0.05305466238</v>
      </c>
      <c r="Y10" s="14">
        <f t="shared" si="3"/>
        <v>0.002071757209</v>
      </c>
    </row>
    <row r="11">
      <c r="A11" s="29"/>
      <c r="B11" s="36"/>
      <c r="C11" s="31" t="str">
        <f>IFERROR(__xludf.DUMMYFUNCTION("IFERROR(FILTER('RAW DATA'!$D:$D,'RAW DATA'!$B:$B=$B11,'RAW DATA'!$C:$C=C$1) / $A11)"),"")</f>
        <v/>
      </c>
      <c r="D11" s="31" t="str">
        <f>IFERROR(__xludf.DUMMYFUNCTION("IFERROR(FILTER('RAW DATA'!$D:$D,'RAW DATA'!$B:$B=$B11,'RAW DATA'!$C:$C=D$1) / $A11)"),"")</f>
        <v/>
      </c>
      <c r="E11" s="31" t="str">
        <f>IFERROR(__xludf.DUMMYFUNCTION("IFERROR(FILTER('RAW DATA'!$D:$D,'RAW DATA'!$B:$B=$B11,'RAW DATA'!$C:$C=E$1) / $A11)"),"")</f>
        <v/>
      </c>
      <c r="F11" s="31" t="str">
        <f>IFERROR(__xludf.DUMMYFUNCTION("IFERROR(FILTER('RAW DATA'!$D:$D,'RAW DATA'!$B:$B=$B11,'RAW DATA'!$C:$C=F$1) / $A11)"),"")</f>
        <v/>
      </c>
      <c r="G11" s="31">
        <f>G8-G5</f>
        <v>-0.03346196046</v>
      </c>
      <c r="H11" s="31"/>
      <c r="I11" s="31"/>
      <c r="J11" s="31"/>
      <c r="K11" s="31">
        <f>K8-K5</f>
        <v>0.004509456041</v>
      </c>
      <c r="L11" s="31"/>
      <c r="M11" s="31"/>
      <c r="N11" s="31"/>
      <c r="O11" s="31"/>
      <c r="P11" s="31">
        <f>P8-P5</f>
        <v>0.006241537689</v>
      </c>
      <c r="Q11" s="31"/>
      <c r="R11" s="31"/>
      <c r="S11" s="31"/>
      <c r="T11" s="31">
        <f>T8-T5</f>
        <v>0.003256104439</v>
      </c>
      <c r="U11" s="31" t="str">
        <f>IFERROR(__xludf.DUMMYFUNCTION("IFERROR(FILTER('RAW DATA'!$D:$D,'RAW DATA'!$B:$B=$B11,'RAW DATA'!$C:$C=U$1) / $A11)"),"")</f>
        <v/>
      </c>
      <c r="V11" s="31" t="str">
        <f>IFERROR(__xludf.DUMMYFUNCTION("IFERROR(FILTER('RAW DATA'!$D:$D,'RAW DATA'!$B:$B=$B11,'RAW DATA'!$C:$C=V$1) / $A11)"),"")</f>
        <v/>
      </c>
      <c r="W11" s="31" t="str">
        <f>IFERROR(__xludf.DUMMYFUNCTION("IFERROR(FILTER('RAW DATA'!$D:$D,'RAW DATA'!$B:$B=$B11,'RAW DATA'!$C:$C=W$1) / $A11)"),"")</f>
        <v/>
      </c>
      <c r="X11" s="31" t="str">
        <f>IFERROR(__xludf.DUMMYFUNCTION("IFERROR(FILTER('RAW DATA'!$D:$D,'RAW DATA'!$B:$B=$B11,'RAW DATA'!$C:$C=X$1) / $A11)"),"")</f>
        <v/>
      </c>
    </row>
    <row r="12">
      <c r="A12" s="29"/>
      <c r="B12" s="36"/>
      <c r="C12" s="31" t="str">
        <f>IFERROR(__xludf.DUMMYFUNCTION("IFERROR(FILTER('RAW DATA'!$D:$D,'RAW DATA'!$B:$B=$B12,'RAW DATA'!$C:$C=C$1) / $A12)"),"")</f>
        <v/>
      </c>
      <c r="D12" s="31" t="str">
        <f>IFERROR(__xludf.DUMMYFUNCTION("IFERROR(FILTER('RAW DATA'!$D:$D,'RAW DATA'!$B:$B=$B12,'RAW DATA'!$C:$C=D$1) / $A12)"),"")</f>
        <v/>
      </c>
      <c r="E12" s="31" t="str">
        <f>IFERROR(__xludf.DUMMYFUNCTION("IFERROR(FILTER('RAW DATA'!$D:$D,'RAW DATA'!$B:$B=$B12,'RAW DATA'!$C:$C=E$1) / $A12)"),"")</f>
        <v/>
      </c>
      <c r="F12" s="31" t="str">
        <f>IFERROR(__xludf.DUMMYFUNCTION("IFERROR(FILTER('RAW DATA'!$D:$D,'RAW DATA'!$B:$B=$B12,'RAW DATA'!$C:$C=F$1) / $A12)"),"")</f>
        <v/>
      </c>
      <c r="G12" s="31">
        <f>G8-H4</f>
        <v>-0.08330502579</v>
      </c>
      <c r="H12" s="31" t="str">
        <f>IFERROR(__xludf.DUMMYFUNCTION("IFERROR(FILTER('RAW DATA'!$D:$D,'RAW DATA'!$B:$B=$B12,'RAW DATA'!$C:$C=H$1) / $A12)"),"")</f>
        <v/>
      </c>
      <c r="I12" s="31" t="str">
        <f>IFERROR(__xludf.DUMMYFUNCTION("IFERROR(FILTER('RAW DATA'!$D:$D,'RAW DATA'!$B:$B=$B12,'RAW DATA'!$C:$C=I$1) / $A12)"),"")</f>
        <v/>
      </c>
      <c r="J12" s="31" t="str">
        <f>IFERROR(__xludf.DUMMYFUNCTION("IFERROR(FILTER('RAW DATA'!$D:$D,'RAW DATA'!$B:$B=$B12,'RAW DATA'!$C:$C=J$1) / $A12)"),"")</f>
        <v/>
      </c>
      <c r="K12" s="31">
        <f>K8-L4</f>
        <v>-0.07772872398</v>
      </c>
      <c r="L12" s="31" t="str">
        <f>IFERROR(__xludf.DUMMYFUNCTION("IFERROR(FILTER('RAW DATA'!$D:$D,'RAW DATA'!$B:$B=$B12,'RAW DATA'!$C:$C=L$1) / $A12)"),"")</f>
        <v/>
      </c>
      <c r="M12" s="31" t="str">
        <f>IFERROR(__xludf.DUMMYFUNCTION("IFERROR(FILTER('RAW DATA'!$D:$D,'RAW DATA'!$B:$B=$B12,'RAW DATA'!$C:$C=M$1) / $A12)"),"")</f>
        <v/>
      </c>
      <c r="N12" s="31" t="str">
        <f>IFERROR(__xludf.DUMMYFUNCTION("IFERROR(FILTER('RAW DATA'!$D:$D,'RAW DATA'!$B:$B=$B12,'RAW DATA'!$C:$C=N$1) / $A12)"),"")</f>
        <v/>
      </c>
      <c r="O12" s="31" t="str">
        <f>IFERROR(__xludf.DUMMYFUNCTION("IFERROR(FILTER('RAW DATA'!$D:$D,'RAW DATA'!$B:$B=$B12,'RAW DATA'!$C:$C=O$1) / $A12)"),"")</f>
        <v/>
      </c>
      <c r="P12" s="31">
        <f>P8-Q4-P4</f>
        <v>-0.0509278635</v>
      </c>
      <c r="Q12" s="31" t="str">
        <f>IFERROR(__xludf.DUMMYFUNCTION("IFERROR(FILTER('RAW DATA'!$D:$D,'RAW DATA'!$B:$B=$B12,'RAW DATA'!$C:$C=Q$1) / $A12)"),"")</f>
        <v/>
      </c>
      <c r="R12" s="31" t="str">
        <f>IFERROR(__xludf.DUMMYFUNCTION("IFERROR(FILTER('RAW DATA'!$D:$D,'RAW DATA'!$B:$B=$B12,'RAW DATA'!$C:$C=R$1) / $A12)"),"")</f>
        <v/>
      </c>
      <c r="S12" s="31" t="str">
        <f>IFERROR(__xludf.DUMMYFUNCTION("IFERROR(FILTER('RAW DATA'!$D:$D,'RAW DATA'!$B:$B=$B12,'RAW DATA'!$C:$C=S$1) / $A12)"),"")</f>
        <v/>
      </c>
      <c r="T12" s="31">
        <f>T8-U4</f>
        <v>-0.01761400047</v>
      </c>
      <c r="U12" s="31" t="str">
        <f>IFERROR(__xludf.DUMMYFUNCTION("IFERROR(FILTER('RAW DATA'!$D:$D,'RAW DATA'!$B:$B=$B12,'RAW DATA'!$C:$C=U$1) / $A12)"),"")</f>
        <v/>
      </c>
      <c r="V12" s="31" t="str">
        <f>IFERROR(__xludf.DUMMYFUNCTION("IFERROR(FILTER('RAW DATA'!$D:$D,'RAW DATA'!$B:$B=$B12,'RAW DATA'!$C:$C=V$1) / $A12)"),"")</f>
        <v/>
      </c>
      <c r="W12" s="31" t="str">
        <f>IFERROR(__xludf.DUMMYFUNCTION("IFERROR(FILTER('RAW DATA'!$D:$D,'RAW DATA'!$B:$B=$B12,'RAW DATA'!$C:$C=W$1) / $A12)"),"")</f>
        <v/>
      </c>
      <c r="X12" s="31" t="str">
        <f>IFERROR(__xludf.DUMMYFUNCTION("IFERROR(FILTER('RAW DATA'!$D:$D,'RAW DATA'!$B:$B=$B12,'RAW DATA'!$C:$C=X$1) / $A12)"),"")</f>
        <v/>
      </c>
    </row>
    <row r="13">
      <c r="A13" s="29"/>
      <c r="B13" s="36"/>
      <c r="C13" s="31" t="str">
        <f>IFERROR(__xludf.DUMMYFUNCTION("IFERROR(FILTER('RAW DATA'!$D:$D,'RAW DATA'!$B:$B=$B13,'RAW DATA'!$C:$C=C$1) / $A13)"),"")</f>
        <v/>
      </c>
      <c r="D13" s="31" t="str">
        <f>IFERROR(__xludf.DUMMYFUNCTION("IFERROR(FILTER('RAW DATA'!$D:$D,'RAW DATA'!$B:$B=$B13,'RAW DATA'!$C:$C=D$1) / $A13)"),"")</f>
        <v/>
      </c>
      <c r="E13" s="31" t="str">
        <f>IFERROR(__xludf.DUMMYFUNCTION("IFERROR(FILTER('RAW DATA'!$D:$D,'RAW DATA'!$B:$B=$B13,'RAW DATA'!$C:$C=E$1) / $A13)"),"")</f>
        <v/>
      </c>
      <c r="F13" s="31" t="str">
        <f>IFERROR(__xludf.DUMMYFUNCTION("IFERROR(FILTER('RAW DATA'!$D:$D,'RAW DATA'!$B:$B=$B13,'RAW DATA'!$C:$C=F$1) / $A13)"),"")</f>
        <v/>
      </c>
      <c r="G13" s="31" t="str">
        <f>IFERROR(__xludf.DUMMYFUNCTION("IFERROR(FILTER('RAW DATA'!$D:$D,'RAW DATA'!$B:$B=$B13,'RAW DATA'!$C:$C=G$1) / $A13)"),"")</f>
        <v/>
      </c>
      <c r="H13" s="31" t="str">
        <f>IFERROR(__xludf.DUMMYFUNCTION("IFERROR(FILTER('RAW DATA'!$D:$D,'RAW DATA'!$B:$B=$B13,'RAW DATA'!$C:$C=H$1) / $A13)"),"")</f>
        <v/>
      </c>
      <c r="I13" s="31" t="str">
        <f>IFERROR(__xludf.DUMMYFUNCTION("IFERROR(FILTER('RAW DATA'!$D:$D,'RAW DATA'!$B:$B=$B13,'RAW DATA'!$C:$C=I$1) / $A13)"),"")</f>
        <v/>
      </c>
      <c r="J13" s="31" t="str">
        <f>IFERROR(__xludf.DUMMYFUNCTION("IFERROR(FILTER('RAW DATA'!$D:$D,'RAW DATA'!$B:$B=$B13,'RAW DATA'!$C:$C=J$1) / $A13)"),"")</f>
        <v/>
      </c>
      <c r="K13" s="31" t="str">
        <f>IFERROR(__xludf.DUMMYFUNCTION("IFERROR(FILTER('RAW DATA'!$D:$D,'RAW DATA'!$B:$B=$B13,'RAW DATA'!$C:$C=K$1) / $A13)"),"")</f>
        <v/>
      </c>
      <c r="L13" s="31" t="str">
        <f>IFERROR(__xludf.DUMMYFUNCTION("IFERROR(FILTER('RAW DATA'!$D:$D,'RAW DATA'!$B:$B=$B13,'RAW DATA'!$C:$C=L$1) / $A13)"),"")</f>
        <v/>
      </c>
      <c r="M13" s="31" t="str">
        <f>IFERROR(__xludf.DUMMYFUNCTION("IFERROR(FILTER('RAW DATA'!$D:$D,'RAW DATA'!$B:$B=$B13,'RAW DATA'!$C:$C=M$1) / $A13)"),"")</f>
        <v/>
      </c>
      <c r="N13" s="31" t="str">
        <f>IFERROR(__xludf.DUMMYFUNCTION("IFERROR(FILTER('RAW DATA'!$D:$D,'RAW DATA'!$B:$B=$B13,'RAW DATA'!$C:$C=N$1) / $A13)"),"")</f>
        <v/>
      </c>
      <c r="O13" s="31" t="str">
        <f>IFERROR(__xludf.DUMMYFUNCTION("IFERROR(FILTER('RAW DATA'!$D:$D,'RAW DATA'!$B:$B=$B13,'RAW DATA'!$C:$C=O$1) / $A13)"),"")</f>
        <v/>
      </c>
      <c r="P13" s="31" t="str">
        <f>IFERROR(__xludf.DUMMYFUNCTION("IFERROR(FILTER('RAW DATA'!$D:$D,'RAW DATA'!$B:$B=$B13,'RAW DATA'!$C:$C=P$1) / $A13)"),"")</f>
        <v/>
      </c>
      <c r="Q13" s="31" t="str">
        <f>IFERROR(__xludf.DUMMYFUNCTION("IFERROR(FILTER('RAW DATA'!$D:$D,'RAW DATA'!$B:$B=$B13,'RAW DATA'!$C:$C=Q$1) / $A13)"),"")</f>
        <v/>
      </c>
      <c r="R13" s="31" t="str">
        <f>IFERROR(__xludf.DUMMYFUNCTION("IFERROR(FILTER('RAW DATA'!$D:$D,'RAW DATA'!$B:$B=$B13,'RAW DATA'!$C:$C=R$1) / $A13)"),"")</f>
        <v/>
      </c>
      <c r="S13" s="31" t="str">
        <f>IFERROR(__xludf.DUMMYFUNCTION("IFERROR(FILTER('RAW DATA'!$D:$D,'RAW DATA'!$B:$B=$B13,'RAW DATA'!$C:$C=S$1) / $A13)"),"")</f>
        <v/>
      </c>
      <c r="T13" s="31" t="str">
        <f>IFERROR(__xludf.DUMMYFUNCTION("IFERROR(FILTER('RAW DATA'!$D:$D,'RAW DATA'!$B:$B=$B13,'RAW DATA'!$C:$C=T$1) / $A13)"),"")</f>
        <v/>
      </c>
      <c r="U13" s="31" t="str">
        <f>IFERROR(__xludf.DUMMYFUNCTION("IFERROR(FILTER('RAW DATA'!$D:$D,'RAW DATA'!$B:$B=$B13,'RAW DATA'!$C:$C=U$1) / $A13)"),"")</f>
        <v/>
      </c>
      <c r="V13" s="31" t="str">
        <f>IFERROR(__xludf.DUMMYFUNCTION("IFERROR(FILTER('RAW DATA'!$D:$D,'RAW DATA'!$B:$B=$B13,'RAW DATA'!$C:$C=V$1) / $A13)"),"")</f>
        <v/>
      </c>
      <c r="W13" s="31" t="str">
        <f>IFERROR(__xludf.DUMMYFUNCTION("IFERROR(FILTER('RAW DATA'!$D:$D,'RAW DATA'!$B:$B=$B13,'RAW DATA'!$C:$C=W$1) / $A13)"),"")</f>
        <v/>
      </c>
      <c r="X13" s="31" t="str">
        <f>IFERROR(__xludf.DUMMYFUNCTION("IFERROR(FILTER('RAW DATA'!$D:$D,'RAW DATA'!$B:$B=$B13,'RAW DATA'!$C:$C=X$1) / $A13)"),"")</f>
        <v/>
      </c>
    </row>
    <row r="14">
      <c r="A14" s="29"/>
      <c r="B14" s="36"/>
      <c r="C14" s="31" t="str">
        <f>IFERROR(__xludf.DUMMYFUNCTION("IFERROR(FILTER('RAW DATA'!$D:$D,'RAW DATA'!$B:$B=$B14,'RAW DATA'!$C:$C=C$1) / $A14)"),"")</f>
        <v/>
      </c>
      <c r="D14" s="31" t="str">
        <f>IFERROR(__xludf.DUMMYFUNCTION("IFERROR(FILTER('RAW DATA'!$D:$D,'RAW DATA'!$B:$B=$B14,'RAW DATA'!$C:$C=D$1) / $A14)"),"")</f>
        <v/>
      </c>
      <c r="E14" s="31" t="str">
        <f>IFERROR(__xludf.DUMMYFUNCTION("IFERROR(FILTER('RAW DATA'!$D:$D,'RAW DATA'!$B:$B=$B14,'RAW DATA'!$C:$C=E$1) / $A14)"),"")</f>
        <v/>
      </c>
      <c r="F14" s="31" t="str">
        <f>IFERROR(__xludf.DUMMYFUNCTION("IFERROR(FILTER('RAW DATA'!$D:$D,'RAW DATA'!$B:$B=$B14,'RAW DATA'!$C:$C=F$1) / $A14)"),"")</f>
        <v/>
      </c>
      <c r="G14" s="31" t="str">
        <f>IFERROR(__xludf.DUMMYFUNCTION("IFERROR(FILTER('RAW DATA'!$D:$D,'RAW DATA'!$B:$B=$B14,'RAW DATA'!$C:$C=G$1) / $A14)"),"")</f>
        <v/>
      </c>
      <c r="H14" s="31" t="str">
        <f>IFERROR(__xludf.DUMMYFUNCTION("IFERROR(FILTER('RAW DATA'!$D:$D,'RAW DATA'!$B:$B=$B14,'RAW DATA'!$C:$C=H$1) / $A14)"),"")</f>
        <v/>
      </c>
      <c r="I14" s="31" t="str">
        <f>IFERROR(__xludf.DUMMYFUNCTION("IFERROR(FILTER('RAW DATA'!$D:$D,'RAW DATA'!$B:$B=$B14,'RAW DATA'!$C:$C=I$1) / $A14)"),"")</f>
        <v/>
      </c>
      <c r="J14" s="31" t="str">
        <f>IFERROR(__xludf.DUMMYFUNCTION("IFERROR(FILTER('RAW DATA'!$D:$D,'RAW DATA'!$B:$B=$B14,'RAW DATA'!$C:$C=J$1) / $A14)"),"")</f>
        <v/>
      </c>
      <c r="K14" s="31" t="str">
        <f>IFERROR(__xludf.DUMMYFUNCTION("IFERROR(FILTER('RAW DATA'!$D:$D,'RAW DATA'!$B:$B=$B14,'RAW DATA'!$C:$C=K$1) / $A14)"),"")</f>
        <v/>
      </c>
      <c r="L14" s="31" t="str">
        <f>IFERROR(__xludf.DUMMYFUNCTION("IFERROR(FILTER('RAW DATA'!$D:$D,'RAW DATA'!$B:$B=$B14,'RAW DATA'!$C:$C=L$1) / $A14)"),"")</f>
        <v/>
      </c>
      <c r="M14" s="31" t="str">
        <f>IFERROR(__xludf.DUMMYFUNCTION("IFERROR(FILTER('RAW DATA'!$D:$D,'RAW DATA'!$B:$B=$B14,'RAW DATA'!$C:$C=M$1) / $A14)"),"")</f>
        <v/>
      </c>
      <c r="N14" s="31" t="str">
        <f>IFERROR(__xludf.DUMMYFUNCTION("IFERROR(FILTER('RAW DATA'!$D:$D,'RAW DATA'!$B:$B=$B14,'RAW DATA'!$C:$C=N$1) / $A14)"),"")</f>
        <v/>
      </c>
      <c r="O14" s="31" t="str">
        <f>IFERROR(__xludf.DUMMYFUNCTION("IFERROR(FILTER('RAW DATA'!$D:$D,'RAW DATA'!$B:$B=$B14,'RAW DATA'!$C:$C=O$1) / $A14)"),"")</f>
        <v/>
      </c>
      <c r="P14" s="31" t="str">
        <f>IFERROR(__xludf.DUMMYFUNCTION("IFERROR(FILTER('RAW DATA'!$D:$D,'RAW DATA'!$B:$B=$B14,'RAW DATA'!$C:$C=P$1) / $A14)"),"")</f>
        <v/>
      </c>
      <c r="Q14" s="31" t="str">
        <f>IFERROR(__xludf.DUMMYFUNCTION("IFERROR(FILTER('RAW DATA'!$D:$D,'RAW DATA'!$B:$B=$B14,'RAW DATA'!$C:$C=Q$1) / $A14)"),"")</f>
        <v/>
      </c>
      <c r="R14" s="31" t="str">
        <f>IFERROR(__xludf.DUMMYFUNCTION("IFERROR(FILTER('RAW DATA'!$D:$D,'RAW DATA'!$B:$B=$B14,'RAW DATA'!$C:$C=R$1) / $A14)"),"")</f>
        <v/>
      </c>
      <c r="S14" s="31" t="str">
        <f>IFERROR(__xludf.DUMMYFUNCTION("IFERROR(FILTER('RAW DATA'!$D:$D,'RAW DATA'!$B:$B=$B14,'RAW DATA'!$C:$C=S$1) / $A14)"),"")</f>
        <v/>
      </c>
      <c r="T14" s="31" t="str">
        <f>IFERROR(__xludf.DUMMYFUNCTION("IFERROR(FILTER('RAW DATA'!$D:$D,'RAW DATA'!$B:$B=$B14,'RAW DATA'!$C:$C=T$1) / $A14)"),"")</f>
        <v/>
      </c>
      <c r="U14" s="31" t="str">
        <f>IFERROR(__xludf.DUMMYFUNCTION("IFERROR(FILTER('RAW DATA'!$D:$D,'RAW DATA'!$B:$B=$B14,'RAW DATA'!$C:$C=U$1) / $A14)"),"")</f>
        <v/>
      </c>
      <c r="V14" s="31" t="str">
        <f>IFERROR(__xludf.DUMMYFUNCTION("IFERROR(FILTER('RAW DATA'!$D:$D,'RAW DATA'!$B:$B=$B14,'RAW DATA'!$C:$C=V$1) / $A14)"),"")</f>
        <v/>
      </c>
      <c r="W14" s="31" t="str">
        <f>IFERROR(__xludf.DUMMYFUNCTION("IFERROR(FILTER('RAW DATA'!$D:$D,'RAW DATA'!$B:$B=$B14,'RAW DATA'!$C:$C=W$1) / $A14)"),"")</f>
        <v/>
      </c>
      <c r="X14" s="31" t="str">
        <f>IFERROR(__xludf.DUMMYFUNCTION("IFERROR(FILTER('RAW DATA'!$D:$D,'RAW DATA'!$B:$B=$B14,'RAW DATA'!$C:$C=X$1) / $A14)"),"")</f>
        <v/>
      </c>
    </row>
    <row r="15">
      <c r="A15" s="29"/>
      <c r="B15" s="36"/>
      <c r="C15" s="31" t="str">
        <f>IFERROR(__xludf.DUMMYFUNCTION("IFERROR(FILTER('RAW DATA'!$D:$D,'RAW DATA'!$B:$B=$B15,'RAW DATA'!$C:$C=C$1) / $A15)"),"")</f>
        <v/>
      </c>
      <c r="D15" s="31" t="str">
        <f>IFERROR(__xludf.DUMMYFUNCTION("IFERROR(FILTER('RAW DATA'!$D:$D,'RAW DATA'!$B:$B=$B15,'RAW DATA'!$C:$C=D$1) / $A15)"),"")</f>
        <v/>
      </c>
      <c r="E15" s="31" t="str">
        <f>IFERROR(__xludf.DUMMYFUNCTION("IFERROR(FILTER('RAW DATA'!$D:$D,'RAW DATA'!$B:$B=$B15,'RAW DATA'!$C:$C=E$1) / $A15)"),"")</f>
        <v/>
      </c>
      <c r="F15" s="31" t="str">
        <f>IFERROR(__xludf.DUMMYFUNCTION("IFERROR(FILTER('RAW DATA'!$D:$D,'RAW DATA'!$B:$B=$B15,'RAW DATA'!$C:$C=F$1) / $A15)"),"")</f>
        <v/>
      </c>
      <c r="G15" s="31" t="str">
        <f>IFERROR(__xludf.DUMMYFUNCTION("IFERROR(FILTER('RAW DATA'!$D:$D,'RAW DATA'!$B:$B=$B15,'RAW DATA'!$C:$C=G$1) / $A15)"),"")</f>
        <v/>
      </c>
      <c r="H15" s="31" t="str">
        <f>IFERROR(__xludf.DUMMYFUNCTION("IFERROR(FILTER('RAW DATA'!$D:$D,'RAW DATA'!$B:$B=$B15,'RAW DATA'!$C:$C=H$1) / $A15)"),"")</f>
        <v/>
      </c>
      <c r="I15" s="31" t="str">
        <f>IFERROR(__xludf.DUMMYFUNCTION("IFERROR(FILTER('RAW DATA'!$D:$D,'RAW DATA'!$B:$B=$B15,'RAW DATA'!$C:$C=I$1) / $A15)"),"")</f>
        <v/>
      </c>
      <c r="J15" s="31" t="str">
        <f>IFERROR(__xludf.DUMMYFUNCTION("IFERROR(FILTER('RAW DATA'!$D:$D,'RAW DATA'!$B:$B=$B15,'RAW DATA'!$C:$C=J$1) / $A15)"),"")</f>
        <v/>
      </c>
      <c r="K15" s="31" t="str">
        <f>IFERROR(__xludf.DUMMYFUNCTION("IFERROR(FILTER('RAW DATA'!$D:$D,'RAW DATA'!$B:$B=$B15,'RAW DATA'!$C:$C=K$1) / $A15)"),"")</f>
        <v/>
      </c>
      <c r="L15" s="31" t="str">
        <f>IFERROR(__xludf.DUMMYFUNCTION("IFERROR(FILTER('RAW DATA'!$D:$D,'RAW DATA'!$B:$B=$B15,'RAW DATA'!$C:$C=L$1) / $A15)"),"")</f>
        <v/>
      </c>
      <c r="M15" s="31" t="str">
        <f>IFERROR(__xludf.DUMMYFUNCTION("IFERROR(FILTER('RAW DATA'!$D:$D,'RAW DATA'!$B:$B=$B15,'RAW DATA'!$C:$C=M$1) / $A15)"),"")</f>
        <v/>
      </c>
      <c r="N15" s="31" t="str">
        <f>IFERROR(__xludf.DUMMYFUNCTION("IFERROR(FILTER('RAW DATA'!$D:$D,'RAW DATA'!$B:$B=$B15,'RAW DATA'!$C:$C=N$1) / $A15)"),"")</f>
        <v/>
      </c>
      <c r="O15" s="31" t="str">
        <f>IFERROR(__xludf.DUMMYFUNCTION("IFERROR(FILTER('RAW DATA'!$D:$D,'RAW DATA'!$B:$B=$B15,'RAW DATA'!$C:$C=O$1) / $A15)"),"")</f>
        <v/>
      </c>
      <c r="P15" s="31" t="str">
        <f>IFERROR(__xludf.DUMMYFUNCTION("IFERROR(FILTER('RAW DATA'!$D:$D,'RAW DATA'!$B:$B=$B15,'RAW DATA'!$C:$C=P$1) / $A15)"),"")</f>
        <v/>
      </c>
      <c r="Q15" s="31" t="str">
        <f>IFERROR(__xludf.DUMMYFUNCTION("IFERROR(FILTER('RAW DATA'!$D:$D,'RAW DATA'!$B:$B=$B15,'RAW DATA'!$C:$C=Q$1) / $A15)"),"")</f>
        <v/>
      </c>
      <c r="R15" s="31" t="str">
        <f>IFERROR(__xludf.DUMMYFUNCTION("IFERROR(FILTER('RAW DATA'!$D:$D,'RAW DATA'!$B:$B=$B15,'RAW DATA'!$C:$C=R$1) / $A15)"),"")</f>
        <v/>
      </c>
      <c r="S15" s="31" t="str">
        <f>IFERROR(__xludf.DUMMYFUNCTION("IFERROR(FILTER('RAW DATA'!$D:$D,'RAW DATA'!$B:$B=$B15,'RAW DATA'!$C:$C=S$1) / $A15)"),"")</f>
        <v/>
      </c>
      <c r="T15" s="31" t="str">
        <f>IFERROR(__xludf.DUMMYFUNCTION("IFERROR(FILTER('RAW DATA'!$D:$D,'RAW DATA'!$B:$B=$B15,'RAW DATA'!$C:$C=T$1) / $A15)"),"")</f>
        <v/>
      </c>
      <c r="U15" s="31" t="str">
        <f>IFERROR(__xludf.DUMMYFUNCTION("IFERROR(FILTER('RAW DATA'!$D:$D,'RAW DATA'!$B:$B=$B15,'RAW DATA'!$C:$C=U$1) / $A15)"),"")</f>
        <v/>
      </c>
      <c r="V15" s="31" t="str">
        <f>IFERROR(__xludf.DUMMYFUNCTION("IFERROR(FILTER('RAW DATA'!$D:$D,'RAW DATA'!$B:$B=$B15,'RAW DATA'!$C:$C=V$1) / $A15)"),"")</f>
        <v/>
      </c>
      <c r="W15" s="31" t="str">
        <f>IFERROR(__xludf.DUMMYFUNCTION("IFERROR(FILTER('RAW DATA'!$D:$D,'RAW DATA'!$B:$B=$B15,'RAW DATA'!$C:$C=W$1) / $A15)"),"")</f>
        <v/>
      </c>
      <c r="X15" s="31" t="str">
        <f>IFERROR(__xludf.DUMMYFUNCTION("IFERROR(FILTER('RAW DATA'!$D:$D,'RAW DATA'!$B:$B=$B15,'RAW DATA'!$C:$C=X$1) / $A15)"),"")</f>
        <v/>
      </c>
    </row>
    <row r="16">
      <c r="A16" s="29"/>
      <c r="B16" s="36"/>
      <c r="C16" s="31" t="str">
        <f>IFERROR(__xludf.DUMMYFUNCTION("IFERROR(FILTER('RAW DATA'!$D:$D,'RAW DATA'!$B:$B=$B16,'RAW DATA'!$C:$C=C$1) / $A16)"),"")</f>
        <v/>
      </c>
      <c r="D16" s="31" t="str">
        <f>IFERROR(__xludf.DUMMYFUNCTION("IFERROR(FILTER('RAW DATA'!$D:$D,'RAW DATA'!$B:$B=$B16,'RAW DATA'!$C:$C=D$1) / $A16)"),"")</f>
        <v/>
      </c>
      <c r="E16" s="31" t="str">
        <f>IFERROR(__xludf.DUMMYFUNCTION("IFERROR(FILTER('RAW DATA'!$D:$D,'RAW DATA'!$B:$B=$B16,'RAW DATA'!$C:$C=E$1) / $A16)"),"")</f>
        <v/>
      </c>
      <c r="F16" s="31" t="str">
        <f>IFERROR(__xludf.DUMMYFUNCTION("IFERROR(FILTER('RAW DATA'!$D:$D,'RAW DATA'!$B:$B=$B16,'RAW DATA'!$C:$C=F$1) / $A16)"),"")</f>
        <v/>
      </c>
      <c r="G16" s="31" t="str">
        <f>IFERROR(__xludf.DUMMYFUNCTION("IFERROR(FILTER('RAW DATA'!$D:$D,'RAW DATA'!$B:$B=$B16,'RAW DATA'!$C:$C=G$1) / $A16)"),"")</f>
        <v/>
      </c>
      <c r="H16" s="31" t="str">
        <f>IFERROR(__xludf.DUMMYFUNCTION("IFERROR(FILTER('RAW DATA'!$D:$D,'RAW DATA'!$B:$B=$B16,'RAW DATA'!$C:$C=H$1) / $A16)"),"")</f>
        <v/>
      </c>
      <c r="I16" s="31" t="str">
        <f>IFERROR(__xludf.DUMMYFUNCTION("IFERROR(FILTER('RAW DATA'!$D:$D,'RAW DATA'!$B:$B=$B16,'RAW DATA'!$C:$C=I$1) / $A16)"),"")</f>
        <v/>
      </c>
      <c r="J16" s="31" t="str">
        <f>IFERROR(__xludf.DUMMYFUNCTION("IFERROR(FILTER('RAW DATA'!$D:$D,'RAW DATA'!$B:$B=$B16,'RAW DATA'!$C:$C=J$1) / $A16)"),"")</f>
        <v/>
      </c>
      <c r="K16" s="31" t="str">
        <f>IFERROR(__xludf.DUMMYFUNCTION("IFERROR(FILTER('RAW DATA'!$D:$D,'RAW DATA'!$B:$B=$B16,'RAW DATA'!$C:$C=K$1) / $A16)"),"")</f>
        <v/>
      </c>
      <c r="L16" s="31" t="str">
        <f>IFERROR(__xludf.DUMMYFUNCTION("IFERROR(FILTER('RAW DATA'!$D:$D,'RAW DATA'!$B:$B=$B16,'RAW DATA'!$C:$C=L$1) / $A16)"),"")</f>
        <v/>
      </c>
      <c r="M16" s="31" t="str">
        <f>IFERROR(__xludf.DUMMYFUNCTION("IFERROR(FILTER('RAW DATA'!$D:$D,'RAW DATA'!$B:$B=$B16,'RAW DATA'!$C:$C=M$1) / $A16)"),"")</f>
        <v/>
      </c>
      <c r="N16" s="31" t="str">
        <f>IFERROR(__xludf.DUMMYFUNCTION("IFERROR(FILTER('RAW DATA'!$D:$D,'RAW DATA'!$B:$B=$B16,'RAW DATA'!$C:$C=N$1) / $A16)"),"")</f>
        <v/>
      </c>
      <c r="O16" s="31" t="str">
        <f>IFERROR(__xludf.DUMMYFUNCTION("IFERROR(FILTER('RAW DATA'!$D:$D,'RAW DATA'!$B:$B=$B16,'RAW DATA'!$C:$C=O$1) / $A16)"),"")</f>
        <v/>
      </c>
      <c r="P16" s="31" t="str">
        <f>IFERROR(__xludf.DUMMYFUNCTION("IFERROR(FILTER('RAW DATA'!$D:$D,'RAW DATA'!$B:$B=$B16,'RAW DATA'!$C:$C=P$1) / $A16)"),"")</f>
        <v/>
      </c>
      <c r="Q16" s="31" t="str">
        <f>IFERROR(__xludf.DUMMYFUNCTION("IFERROR(FILTER('RAW DATA'!$D:$D,'RAW DATA'!$B:$B=$B16,'RAW DATA'!$C:$C=Q$1) / $A16)"),"")</f>
        <v/>
      </c>
      <c r="R16" s="31" t="str">
        <f>IFERROR(__xludf.DUMMYFUNCTION("IFERROR(FILTER('RAW DATA'!$D:$D,'RAW DATA'!$B:$B=$B16,'RAW DATA'!$C:$C=R$1) / $A16)"),"")</f>
        <v/>
      </c>
      <c r="S16" s="31" t="str">
        <f>IFERROR(__xludf.DUMMYFUNCTION("IFERROR(FILTER('RAW DATA'!$D:$D,'RAW DATA'!$B:$B=$B16,'RAW DATA'!$C:$C=S$1) / $A16)"),"")</f>
        <v/>
      </c>
      <c r="T16" s="31" t="str">
        <f>IFERROR(__xludf.DUMMYFUNCTION("IFERROR(FILTER('RAW DATA'!$D:$D,'RAW DATA'!$B:$B=$B16,'RAW DATA'!$C:$C=T$1) / $A16)"),"")</f>
        <v/>
      </c>
      <c r="U16" s="31" t="str">
        <f>IFERROR(__xludf.DUMMYFUNCTION("IFERROR(FILTER('RAW DATA'!$D:$D,'RAW DATA'!$B:$B=$B16,'RAW DATA'!$C:$C=U$1) / $A16)"),"")</f>
        <v/>
      </c>
      <c r="V16" s="31" t="str">
        <f>IFERROR(__xludf.DUMMYFUNCTION("IFERROR(FILTER('RAW DATA'!$D:$D,'RAW DATA'!$B:$B=$B16,'RAW DATA'!$C:$C=V$1) / $A16)"),"")</f>
        <v/>
      </c>
      <c r="W16" s="31" t="str">
        <f>IFERROR(__xludf.DUMMYFUNCTION("IFERROR(FILTER('RAW DATA'!$D:$D,'RAW DATA'!$B:$B=$B16,'RAW DATA'!$C:$C=W$1) / $A16)"),"")</f>
        <v/>
      </c>
      <c r="X16" s="31" t="str">
        <f>IFERROR(__xludf.DUMMYFUNCTION("IFERROR(FILTER('RAW DATA'!$D:$D,'RAW DATA'!$B:$B=$B16,'RAW DATA'!$C:$C=X$1) / $A16)"),"")</f>
        <v/>
      </c>
    </row>
    <row r="17">
      <c r="A17" s="29"/>
      <c r="B17" s="36"/>
      <c r="C17" s="31" t="str">
        <f>IFERROR(__xludf.DUMMYFUNCTION("IFERROR(FILTER('RAW DATA'!$D:$D,'RAW DATA'!$B:$B=$B17,'RAW DATA'!$C:$C=C$1) / $A17)"),"")</f>
        <v/>
      </c>
      <c r="D17" s="31" t="str">
        <f>IFERROR(__xludf.DUMMYFUNCTION("IFERROR(FILTER('RAW DATA'!$D:$D,'RAW DATA'!$B:$B=$B17,'RAW DATA'!$C:$C=D$1) / $A17)"),"")</f>
        <v/>
      </c>
      <c r="E17" s="31" t="str">
        <f>IFERROR(__xludf.DUMMYFUNCTION("IFERROR(FILTER('RAW DATA'!$D:$D,'RAW DATA'!$B:$B=$B17,'RAW DATA'!$C:$C=E$1) / $A17)"),"")</f>
        <v/>
      </c>
      <c r="F17" s="31" t="str">
        <f>IFERROR(__xludf.DUMMYFUNCTION("IFERROR(FILTER('RAW DATA'!$D:$D,'RAW DATA'!$B:$B=$B17,'RAW DATA'!$C:$C=F$1) / $A17)"),"")</f>
        <v/>
      </c>
      <c r="G17" s="31" t="str">
        <f>IFERROR(__xludf.DUMMYFUNCTION("IFERROR(FILTER('RAW DATA'!$D:$D,'RAW DATA'!$B:$B=$B17,'RAW DATA'!$C:$C=G$1) / $A17)"),"")</f>
        <v/>
      </c>
      <c r="H17" s="31" t="str">
        <f>IFERROR(__xludf.DUMMYFUNCTION("IFERROR(FILTER('RAW DATA'!$D:$D,'RAW DATA'!$B:$B=$B17,'RAW DATA'!$C:$C=H$1) / $A17)"),"")</f>
        <v/>
      </c>
      <c r="I17" s="31" t="str">
        <f>IFERROR(__xludf.DUMMYFUNCTION("IFERROR(FILTER('RAW DATA'!$D:$D,'RAW DATA'!$B:$B=$B17,'RAW DATA'!$C:$C=I$1) / $A17)"),"")</f>
        <v/>
      </c>
      <c r="J17" s="31" t="str">
        <f>IFERROR(__xludf.DUMMYFUNCTION("IFERROR(FILTER('RAW DATA'!$D:$D,'RAW DATA'!$B:$B=$B17,'RAW DATA'!$C:$C=J$1) / $A17)"),"")</f>
        <v/>
      </c>
      <c r="K17" s="31" t="str">
        <f>IFERROR(__xludf.DUMMYFUNCTION("IFERROR(FILTER('RAW DATA'!$D:$D,'RAW DATA'!$B:$B=$B17,'RAW DATA'!$C:$C=K$1) / $A17)"),"")</f>
        <v/>
      </c>
      <c r="L17" s="31" t="str">
        <f>IFERROR(__xludf.DUMMYFUNCTION("IFERROR(FILTER('RAW DATA'!$D:$D,'RAW DATA'!$B:$B=$B17,'RAW DATA'!$C:$C=L$1) / $A17)"),"")</f>
        <v/>
      </c>
      <c r="M17" s="31" t="str">
        <f>IFERROR(__xludf.DUMMYFUNCTION("IFERROR(FILTER('RAW DATA'!$D:$D,'RAW DATA'!$B:$B=$B17,'RAW DATA'!$C:$C=M$1) / $A17)"),"")</f>
        <v/>
      </c>
      <c r="N17" s="31" t="str">
        <f>IFERROR(__xludf.DUMMYFUNCTION("IFERROR(FILTER('RAW DATA'!$D:$D,'RAW DATA'!$B:$B=$B17,'RAW DATA'!$C:$C=N$1) / $A17)"),"")</f>
        <v/>
      </c>
      <c r="O17" s="31" t="str">
        <f>IFERROR(__xludf.DUMMYFUNCTION("IFERROR(FILTER('RAW DATA'!$D:$D,'RAW DATA'!$B:$B=$B17,'RAW DATA'!$C:$C=O$1) / $A17)"),"")</f>
        <v/>
      </c>
      <c r="P17" s="31" t="str">
        <f>IFERROR(__xludf.DUMMYFUNCTION("IFERROR(FILTER('RAW DATA'!$D:$D,'RAW DATA'!$B:$B=$B17,'RAW DATA'!$C:$C=P$1) / $A17)"),"")</f>
        <v/>
      </c>
      <c r="Q17" s="31" t="str">
        <f>IFERROR(__xludf.DUMMYFUNCTION("IFERROR(FILTER('RAW DATA'!$D:$D,'RAW DATA'!$B:$B=$B17,'RAW DATA'!$C:$C=Q$1) / $A17)"),"")</f>
        <v/>
      </c>
      <c r="R17" s="31" t="str">
        <f>IFERROR(__xludf.DUMMYFUNCTION("IFERROR(FILTER('RAW DATA'!$D:$D,'RAW DATA'!$B:$B=$B17,'RAW DATA'!$C:$C=R$1) / $A17)"),"")</f>
        <v/>
      </c>
      <c r="S17" s="31" t="str">
        <f>IFERROR(__xludf.DUMMYFUNCTION("IFERROR(FILTER('RAW DATA'!$D:$D,'RAW DATA'!$B:$B=$B17,'RAW DATA'!$C:$C=S$1) / $A17)"),"")</f>
        <v/>
      </c>
      <c r="T17" s="31" t="str">
        <f>IFERROR(__xludf.DUMMYFUNCTION("IFERROR(FILTER('RAW DATA'!$D:$D,'RAW DATA'!$B:$B=$B17,'RAW DATA'!$C:$C=T$1) / $A17)"),"")</f>
        <v/>
      </c>
      <c r="U17" s="31" t="str">
        <f>IFERROR(__xludf.DUMMYFUNCTION("IFERROR(FILTER('RAW DATA'!$D:$D,'RAW DATA'!$B:$B=$B17,'RAW DATA'!$C:$C=U$1) / $A17)"),"")</f>
        <v/>
      </c>
      <c r="V17" s="31" t="str">
        <f>IFERROR(__xludf.DUMMYFUNCTION("IFERROR(FILTER('RAW DATA'!$D:$D,'RAW DATA'!$B:$B=$B17,'RAW DATA'!$C:$C=V$1) / $A17)"),"")</f>
        <v/>
      </c>
      <c r="W17" s="31" t="str">
        <f>IFERROR(__xludf.DUMMYFUNCTION("IFERROR(FILTER('RAW DATA'!$D:$D,'RAW DATA'!$B:$B=$B17,'RAW DATA'!$C:$C=W$1) / $A17)"),"")</f>
        <v/>
      </c>
      <c r="X17" s="31" t="str">
        <f>IFERROR(__xludf.DUMMYFUNCTION("IFERROR(FILTER('RAW DATA'!$D:$D,'RAW DATA'!$B:$B=$B17,'RAW DATA'!$C:$C=X$1) / $A17)"),"")</f>
        <v/>
      </c>
    </row>
    <row r="18">
      <c r="A18" s="29"/>
      <c r="B18" s="36"/>
      <c r="C18" s="31" t="str">
        <f>IFERROR(__xludf.DUMMYFUNCTION("IFERROR(FILTER('RAW DATA'!$D:$D,'RAW DATA'!$B:$B=$B18,'RAW DATA'!$C:$C=C$1) / $A18)"),"")</f>
        <v/>
      </c>
      <c r="D18" s="31" t="str">
        <f>IFERROR(__xludf.DUMMYFUNCTION("IFERROR(FILTER('RAW DATA'!$D:$D,'RAW DATA'!$B:$B=$B18,'RAW DATA'!$C:$C=D$1) / $A18)"),"")</f>
        <v/>
      </c>
      <c r="E18" s="31" t="str">
        <f>IFERROR(__xludf.DUMMYFUNCTION("IFERROR(FILTER('RAW DATA'!$D:$D,'RAW DATA'!$B:$B=$B18,'RAW DATA'!$C:$C=E$1) / $A18)"),"")</f>
        <v/>
      </c>
      <c r="F18" s="31" t="str">
        <f>IFERROR(__xludf.DUMMYFUNCTION("IFERROR(FILTER('RAW DATA'!$D:$D,'RAW DATA'!$B:$B=$B18,'RAW DATA'!$C:$C=F$1) / $A18)"),"")</f>
        <v/>
      </c>
      <c r="G18" s="31" t="str">
        <f>IFERROR(__xludf.DUMMYFUNCTION("IFERROR(FILTER('RAW DATA'!$D:$D,'RAW DATA'!$B:$B=$B18,'RAW DATA'!$C:$C=G$1) / $A18)"),"")</f>
        <v/>
      </c>
      <c r="H18" s="31" t="str">
        <f>IFERROR(__xludf.DUMMYFUNCTION("IFERROR(FILTER('RAW DATA'!$D:$D,'RAW DATA'!$B:$B=$B18,'RAW DATA'!$C:$C=H$1) / $A18)"),"")</f>
        <v/>
      </c>
      <c r="I18" s="31" t="str">
        <f>IFERROR(__xludf.DUMMYFUNCTION("IFERROR(FILTER('RAW DATA'!$D:$D,'RAW DATA'!$B:$B=$B18,'RAW DATA'!$C:$C=I$1) / $A18)"),"")</f>
        <v/>
      </c>
      <c r="J18" s="31" t="str">
        <f>IFERROR(__xludf.DUMMYFUNCTION("IFERROR(FILTER('RAW DATA'!$D:$D,'RAW DATA'!$B:$B=$B18,'RAW DATA'!$C:$C=J$1) / $A18)"),"")</f>
        <v/>
      </c>
      <c r="K18" s="31" t="str">
        <f>IFERROR(__xludf.DUMMYFUNCTION("IFERROR(FILTER('RAW DATA'!$D:$D,'RAW DATA'!$B:$B=$B18,'RAW DATA'!$C:$C=K$1) / $A18)"),"")</f>
        <v/>
      </c>
      <c r="L18" s="31" t="str">
        <f>IFERROR(__xludf.DUMMYFUNCTION("IFERROR(FILTER('RAW DATA'!$D:$D,'RAW DATA'!$B:$B=$B18,'RAW DATA'!$C:$C=L$1) / $A18)"),"")</f>
        <v/>
      </c>
      <c r="M18" s="31" t="str">
        <f>IFERROR(__xludf.DUMMYFUNCTION("IFERROR(FILTER('RAW DATA'!$D:$D,'RAW DATA'!$B:$B=$B18,'RAW DATA'!$C:$C=M$1) / $A18)"),"")</f>
        <v/>
      </c>
      <c r="N18" s="31" t="str">
        <f>IFERROR(__xludf.DUMMYFUNCTION("IFERROR(FILTER('RAW DATA'!$D:$D,'RAW DATA'!$B:$B=$B18,'RAW DATA'!$C:$C=N$1) / $A18)"),"")</f>
        <v/>
      </c>
      <c r="O18" s="31" t="str">
        <f>IFERROR(__xludf.DUMMYFUNCTION("IFERROR(FILTER('RAW DATA'!$D:$D,'RAW DATA'!$B:$B=$B18,'RAW DATA'!$C:$C=O$1) / $A18)"),"")</f>
        <v/>
      </c>
      <c r="P18" s="31" t="str">
        <f>IFERROR(__xludf.DUMMYFUNCTION("IFERROR(FILTER('RAW DATA'!$D:$D,'RAW DATA'!$B:$B=$B18,'RAW DATA'!$C:$C=P$1) / $A18)"),"")</f>
        <v/>
      </c>
      <c r="Q18" s="31" t="str">
        <f>IFERROR(__xludf.DUMMYFUNCTION("IFERROR(FILTER('RAW DATA'!$D:$D,'RAW DATA'!$B:$B=$B18,'RAW DATA'!$C:$C=Q$1) / $A18)"),"")</f>
        <v/>
      </c>
      <c r="R18" s="31" t="str">
        <f>IFERROR(__xludf.DUMMYFUNCTION("IFERROR(FILTER('RAW DATA'!$D:$D,'RAW DATA'!$B:$B=$B18,'RAW DATA'!$C:$C=R$1) / $A18)"),"")</f>
        <v/>
      </c>
      <c r="S18" s="31" t="str">
        <f>IFERROR(__xludf.DUMMYFUNCTION("IFERROR(FILTER('RAW DATA'!$D:$D,'RAW DATA'!$B:$B=$B18,'RAW DATA'!$C:$C=S$1) / $A18)"),"")</f>
        <v/>
      </c>
      <c r="T18" s="31" t="str">
        <f>IFERROR(__xludf.DUMMYFUNCTION("IFERROR(FILTER('RAW DATA'!$D:$D,'RAW DATA'!$B:$B=$B18,'RAW DATA'!$C:$C=T$1) / $A18)"),"")</f>
        <v/>
      </c>
      <c r="U18" s="31" t="str">
        <f>IFERROR(__xludf.DUMMYFUNCTION("IFERROR(FILTER('RAW DATA'!$D:$D,'RAW DATA'!$B:$B=$B18,'RAW DATA'!$C:$C=U$1) / $A18)"),"")</f>
        <v/>
      </c>
      <c r="V18" s="31" t="str">
        <f>IFERROR(__xludf.DUMMYFUNCTION("IFERROR(FILTER('RAW DATA'!$D:$D,'RAW DATA'!$B:$B=$B18,'RAW DATA'!$C:$C=V$1) / $A18)"),"")</f>
        <v/>
      </c>
      <c r="W18" s="31" t="str">
        <f>IFERROR(__xludf.DUMMYFUNCTION("IFERROR(FILTER('RAW DATA'!$D:$D,'RAW DATA'!$B:$B=$B18,'RAW DATA'!$C:$C=W$1) / $A18)"),"")</f>
        <v/>
      </c>
      <c r="X18" s="31" t="str">
        <f>IFERROR(__xludf.DUMMYFUNCTION("IFERROR(FILTER('RAW DATA'!$D:$D,'RAW DATA'!$B:$B=$B18,'RAW DATA'!$C:$C=X$1) / $A18)"),"")</f>
        <v/>
      </c>
    </row>
    <row r="19">
      <c r="A19" s="29"/>
      <c r="B19" s="36"/>
      <c r="C19" s="31" t="str">
        <f>IFERROR(__xludf.DUMMYFUNCTION("IFERROR(FILTER('RAW DATA'!$D:$D,'RAW DATA'!$B:$B=$B19,'RAW DATA'!$C:$C=C$1) / $A19)"),"")</f>
        <v/>
      </c>
      <c r="D19" s="31" t="str">
        <f>IFERROR(__xludf.DUMMYFUNCTION("IFERROR(FILTER('RAW DATA'!$D:$D,'RAW DATA'!$B:$B=$B19,'RAW DATA'!$C:$C=D$1) / $A19)"),"")</f>
        <v/>
      </c>
      <c r="E19" s="31" t="str">
        <f>IFERROR(__xludf.DUMMYFUNCTION("IFERROR(FILTER('RAW DATA'!$D:$D,'RAW DATA'!$B:$B=$B19,'RAW DATA'!$C:$C=E$1) / $A19)"),"")</f>
        <v/>
      </c>
      <c r="F19" s="31" t="str">
        <f>IFERROR(__xludf.DUMMYFUNCTION("IFERROR(FILTER('RAW DATA'!$D:$D,'RAW DATA'!$B:$B=$B19,'RAW DATA'!$C:$C=F$1) / $A19)"),"")</f>
        <v/>
      </c>
      <c r="G19" s="31" t="str">
        <f>IFERROR(__xludf.DUMMYFUNCTION("IFERROR(FILTER('RAW DATA'!$D:$D,'RAW DATA'!$B:$B=$B19,'RAW DATA'!$C:$C=G$1) / $A19)"),"")</f>
        <v/>
      </c>
      <c r="H19" s="31" t="str">
        <f>IFERROR(__xludf.DUMMYFUNCTION("IFERROR(FILTER('RAW DATA'!$D:$D,'RAW DATA'!$B:$B=$B19,'RAW DATA'!$C:$C=H$1) / $A19)"),"")</f>
        <v/>
      </c>
      <c r="I19" s="31" t="str">
        <f>IFERROR(__xludf.DUMMYFUNCTION("IFERROR(FILTER('RAW DATA'!$D:$D,'RAW DATA'!$B:$B=$B19,'RAW DATA'!$C:$C=I$1) / $A19)"),"")</f>
        <v/>
      </c>
      <c r="J19" s="31" t="str">
        <f>IFERROR(__xludf.DUMMYFUNCTION("IFERROR(FILTER('RAW DATA'!$D:$D,'RAW DATA'!$B:$B=$B19,'RAW DATA'!$C:$C=J$1) / $A19)"),"")</f>
        <v/>
      </c>
      <c r="K19" s="31" t="str">
        <f>IFERROR(__xludf.DUMMYFUNCTION("IFERROR(FILTER('RAW DATA'!$D:$D,'RAW DATA'!$B:$B=$B19,'RAW DATA'!$C:$C=K$1) / $A19)"),"")</f>
        <v/>
      </c>
      <c r="L19" s="31" t="str">
        <f>IFERROR(__xludf.DUMMYFUNCTION("IFERROR(FILTER('RAW DATA'!$D:$D,'RAW DATA'!$B:$B=$B19,'RAW DATA'!$C:$C=L$1) / $A19)"),"")</f>
        <v/>
      </c>
      <c r="M19" s="31" t="str">
        <f>IFERROR(__xludf.DUMMYFUNCTION("IFERROR(FILTER('RAW DATA'!$D:$D,'RAW DATA'!$B:$B=$B19,'RAW DATA'!$C:$C=M$1) / $A19)"),"")</f>
        <v/>
      </c>
      <c r="N19" s="31" t="str">
        <f>IFERROR(__xludf.DUMMYFUNCTION("IFERROR(FILTER('RAW DATA'!$D:$D,'RAW DATA'!$B:$B=$B19,'RAW DATA'!$C:$C=N$1) / $A19)"),"")</f>
        <v/>
      </c>
      <c r="O19" s="31" t="str">
        <f>IFERROR(__xludf.DUMMYFUNCTION("IFERROR(FILTER('RAW DATA'!$D:$D,'RAW DATA'!$B:$B=$B19,'RAW DATA'!$C:$C=O$1) / $A19)"),"")</f>
        <v/>
      </c>
      <c r="P19" s="31" t="str">
        <f>IFERROR(__xludf.DUMMYFUNCTION("IFERROR(FILTER('RAW DATA'!$D:$D,'RAW DATA'!$B:$B=$B19,'RAW DATA'!$C:$C=P$1) / $A19)"),"")</f>
        <v/>
      </c>
      <c r="Q19" s="31" t="str">
        <f>IFERROR(__xludf.DUMMYFUNCTION("IFERROR(FILTER('RAW DATA'!$D:$D,'RAW DATA'!$B:$B=$B19,'RAW DATA'!$C:$C=Q$1) / $A19)"),"")</f>
        <v/>
      </c>
      <c r="R19" s="31" t="str">
        <f>IFERROR(__xludf.DUMMYFUNCTION("IFERROR(FILTER('RAW DATA'!$D:$D,'RAW DATA'!$B:$B=$B19,'RAW DATA'!$C:$C=R$1) / $A19)"),"")</f>
        <v/>
      </c>
      <c r="S19" s="31" t="str">
        <f>IFERROR(__xludf.DUMMYFUNCTION("IFERROR(FILTER('RAW DATA'!$D:$D,'RAW DATA'!$B:$B=$B19,'RAW DATA'!$C:$C=S$1) / $A19)"),"")</f>
        <v/>
      </c>
      <c r="T19" s="31" t="str">
        <f>IFERROR(__xludf.DUMMYFUNCTION("IFERROR(FILTER('RAW DATA'!$D:$D,'RAW DATA'!$B:$B=$B19,'RAW DATA'!$C:$C=T$1) / $A19)"),"")</f>
        <v/>
      </c>
      <c r="U19" s="31" t="str">
        <f>IFERROR(__xludf.DUMMYFUNCTION("IFERROR(FILTER('RAW DATA'!$D:$D,'RAW DATA'!$B:$B=$B19,'RAW DATA'!$C:$C=U$1) / $A19)"),"")</f>
        <v/>
      </c>
      <c r="V19" s="31" t="str">
        <f>IFERROR(__xludf.DUMMYFUNCTION("IFERROR(FILTER('RAW DATA'!$D:$D,'RAW DATA'!$B:$B=$B19,'RAW DATA'!$C:$C=V$1) / $A19)"),"")</f>
        <v/>
      </c>
      <c r="W19" s="31" t="str">
        <f>IFERROR(__xludf.DUMMYFUNCTION("IFERROR(FILTER('RAW DATA'!$D:$D,'RAW DATA'!$B:$B=$B19,'RAW DATA'!$C:$C=W$1) / $A19)"),"")</f>
        <v/>
      </c>
      <c r="X19" s="31" t="str">
        <f>IFERROR(__xludf.DUMMYFUNCTION("IFERROR(FILTER('RAW DATA'!$D:$D,'RAW DATA'!$B:$B=$B19,'RAW DATA'!$C:$C=X$1) / $A19)"),"")</f>
        <v/>
      </c>
    </row>
    <row r="20">
      <c r="A20" s="29"/>
      <c r="B20" s="36"/>
      <c r="C20" s="31" t="str">
        <f>IFERROR(__xludf.DUMMYFUNCTION("IFERROR(FILTER('RAW DATA'!$D:$D,'RAW DATA'!$B:$B=$B20,'RAW DATA'!$C:$C=C$1) / $A20)"),"")</f>
        <v/>
      </c>
      <c r="D20" s="31" t="str">
        <f>IFERROR(__xludf.DUMMYFUNCTION("IFERROR(FILTER('RAW DATA'!$D:$D,'RAW DATA'!$B:$B=$B20,'RAW DATA'!$C:$C=D$1) / $A20)"),"")</f>
        <v/>
      </c>
      <c r="E20" s="31" t="str">
        <f>IFERROR(__xludf.DUMMYFUNCTION("IFERROR(FILTER('RAW DATA'!$D:$D,'RAW DATA'!$B:$B=$B20,'RAW DATA'!$C:$C=E$1) / $A20)"),"")</f>
        <v/>
      </c>
      <c r="F20" s="31" t="str">
        <f>IFERROR(__xludf.DUMMYFUNCTION("IFERROR(FILTER('RAW DATA'!$D:$D,'RAW DATA'!$B:$B=$B20,'RAW DATA'!$C:$C=F$1) / $A20)"),"")</f>
        <v/>
      </c>
      <c r="G20" s="31" t="str">
        <f>IFERROR(__xludf.DUMMYFUNCTION("IFERROR(FILTER('RAW DATA'!$D:$D,'RAW DATA'!$B:$B=$B20,'RAW DATA'!$C:$C=G$1) / $A20)"),"")</f>
        <v/>
      </c>
      <c r="H20" s="31" t="str">
        <f>IFERROR(__xludf.DUMMYFUNCTION("IFERROR(FILTER('RAW DATA'!$D:$D,'RAW DATA'!$B:$B=$B20,'RAW DATA'!$C:$C=H$1) / $A20)"),"")</f>
        <v/>
      </c>
      <c r="I20" s="31" t="str">
        <f>IFERROR(__xludf.DUMMYFUNCTION("IFERROR(FILTER('RAW DATA'!$D:$D,'RAW DATA'!$B:$B=$B20,'RAW DATA'!$C:$C=I$1) / $A20)"),"")</f>
        <v/>
      </c>
      <c r="J20" s="31" t="str">
        <f>IFERROR(__xludf.DUMMYFUNCTION("IFERROR(FILTER('RAW DATA'!$D:$D,'RAW DATA'!$B:$B=$B20,'RAW DATA'!$C:$C=J$1) / $A20)"),"")</f>
        <v/>
      </c>
      <c r="K20" s="31" t="str">
        <f>IFERROR(__xludf.DUMMYFUNCTION("IFERROR(FILTER('RAW DATA'!$D:$D,'RAW DATA'!$B:$B=$B20,'RAW DATA'!$C:$C=K$1) / $A20)"),"")</f>
        <v/>
      </c>
      <c r="L20" s="31" t="str">
        <f>IFERROR(__xludf.DUMMYFUNCTION("IFERROR(FILTER('RAW DATA'!$D:$D,'RAW DATA'!$B:$B=$B20,'RAW DATA'!$C:$C=L$1) / $A20)"),"")</f>
        <v/>
      </c>
      <c r="M20" s="31" t="str">
        <f>IFERROR(__xludf.DUMMYFUNCTION("IFERROR(FILTER('RAW DATA'!$D:$D,'RAW DATA'!$B:$B=$B20,'RAW DATA'!$C:$C=M$1) / $A20)"),"")</f>
        <v/>
      </c>
      <c r="N20" s="31" t="str">
        <f>IFERROR(__xludf.DUMMYFUNCTION("IFERROR(FILTER('RAW DATA'!$D:$D,'RAW DATA'!$B:$B=$B20,'RAW DATA'!$C:$C=N$1) / $A20)"),"")</f>
        <v/>
      </c>
      <c r="O20" s="31" t="str">
        <f>IFERROR(__xludf.DUMMYFUNCTION("IFERROR(FILTER('RAW DATA'!$D:$D,'RAW DATA'!$B:$B=$B20,'RAW DATA'!$C:$C=O$1) / $A20)"),"")</f>
        <v/>
      </c>
      <c r="P20" s="31" t="str">
        <f>IFERROR(__xludf.DUMMYFUNCTION("IFERROR(FILTER('RAW DATA'!$D:$D,'RAW DATA'!$B:$B=$B20,'RAW DATA'!$C:$C=P$1) / $A20)"),"")</f>
        <v/>
      </c>
      <c r="Q20" s="31" t="str">
        <f>IFERROR(__xludf.DUMMYFUNCTION("IFERROR(FILTER('RAW DATA'!$D:$D,'RAW DATA'!$B:$B=$B20,'RAW DATA'!$C:$C=Q$1) / $A20)"),"")</f>
        <v/>
      </c>
      <c r="R20" s="31" t="str">
        <f>IFERROR(__xludf.DUMMYFUNCTION("IFERROR(FILTER('RAW DATA'!$D:$D,'RAW DATA'!$B:$B=$B20,'RAW DATA'!$C:$C=R$1) / $A20)"),"")</f>
        <v/>
      </c>
      <c r="S20" s="31" t="str">
        <f>IFERROR(__xludf.DUMMYFUNCTION("IFERROR(FILTER('RAW DATA'!$D:$D,'RAW DATA'!$B:$B=$B20,'RAW DATA'!$C:$C=S$1) / $A20)"),"")</f>
        <v/>
      </c>
      <c r="T20" s="31" t="str">
        <f>IFERROR(__xludf.DUMMYFUNCTION("IFERROR(FILTER('RAW DATA'!$D:$D,'RAW DATA'!$B:$B=$B20,'RAW DATA'!$C:$C=T$1) / $A20)"),"")</f>
        <v/>
      </c>
      <c r="U20" s="31" t="str">
        <f>IFERROR(__xludf.DUMMYFUNCTION("IFERROR(FILTER('RAW DATA'!$D:$D,'RAW DATA'!$B:$B=$B20,'RAW DATA'!$C:$C=U$1) / $A20)"),"")</f>
        <v/>
      </c>
      <c r="V20" s="31" t="str">
        <f>IFERROR(__xludf.DUMMYFUNCTION("IFERROR(FILTER('RAW DATA'!$D:$D,'RAW DATA'!$B:$B=$B20,'RAW DATA'!$C:$C=V$1) / $A20)"),"")</f>
        <v/>
      </c>
      <c r="W20" s="31" t="str">
        <f>IFERROR(__xludf.DUMMYFUNCTION("IFERROR(FILTER('RAW DATA'!$D:$D,'RAW DATA'!$B:$B=$B20,'RAW DATA'!$C:$C=W$1) / $A20)"),"")</f>
        <v/>
      </c>
      <c r="X20" s="31" t="str">
        <f>IFERROR(__xludf.DUMMYFUNCTION("IFERROR(FILTER('RAW DATA'!$D:$D,'RAW DATA'!$B:$B=$B20,'RAW DATA'!$C:$C=X$1) / $A20)"),"")</f>
        <v/>
      </c>
    </row>
    <row r="21">
      <c r="A21" s="29"/>
      <c r="B21" s="36"/>
      <c r="C21" s="31" t="str">
        <f>IFERROR(__xludf.DUMMYFUNCTION("IFERROR(FILTER('RAW DATA'!$D:$D,'RAW DATA'!$B:$B=$B21,'RAW DATA'!$C:$C=C$1) / $A21)"),"")</f>
        <v/>
      </c>
      <c r="D21" s="31" t="str">
        <f>IFERROR(__xludf.DUMMYFUNCTION("IFERROR(FILTER('RAW DATA'!$D:$D,'RAW DATA'!$B:$B=$B21,'RAW DATA'!$C:$C=D$1) / $A21)"),"")</f>
        <v/>
      </c>
      <c r="E21" s="31" t="str">
        <f>IFERROR(__xludf.DUMMYFUNCTION("IFERROR(FILTER('RAW DATA'!$D:$D,'RAW DATA'!$B:$B=$B21,'RAW DATA'!$C:$C=E$1) / $A21)"),"")</f>
        <v/>
      </c>
      <c r="F21" s="31" t="str">
        <f>IFERROR(__xludf.DUMMYFUNCTION("IFERROR(FILTER('RAW DATA'!$D:$D,'RAW DATA'!$B:$B=$B21,'RAW DATA'!$C:$C=F$1) / $A21)"),"")</f>
        <v/>
      </c>
      <c r="G21" s="31" t="str">
        <f>IFERROR(__xludf.DUMMYFUNCTION("IFERROR(FILTER('RAW DATA'!$D:$D,'RAW DATA'!$B:$B=$B21,'RAW DATA'!$C:$C=G$1) / $A21)"),"")</f>
        <v/>
      </c>
      <c r="H21" s="31" t="str">
        <f>IFERROR(__xludf.DUMMYFUNCTION("IFERROR(FILTER('RAW DATA'!$D:$D,'RAW DATA'!$B:$B=$B21,'RAW DATA'!$C:$C=H$1) / $A21)"),"")</f>
        <v/>
      </c>
      <c r="I21" s="31" t="str">
        <f>IFERROR(__xludf.DUMMYFUNCTION("IFERROR(FILTER('RAW DATA'!$D:$D,'RAW DATA'!$B:$B=$B21,'RAW DATA'!$C:$C=I$1) / $A21)"),"")</f>
        <v/>
      </c>
      <c r="J21" s="31" t="str">
        <f>IFERROR(__xludf.DUMMYFUNCTION("IFERROR(FILTER('RAW DATA'!$D:$D,'RAW DATA'!$B:$B=$B21,'RAW DATA'!$C:$C=J$1) / $A21)"),"")</f>
        <v/>
      </c>
      <c r="K21" s="31" t="str">
        <f>IFERROR(__xludf.DUMMYFUNCTION("IFERROR(FILTER('RAW DATA'!$D:$D,'RAW DATA'!$B:$B=$B21,'RAW DATA'!$C:$C=K$1) / $A21)"),"")</f>
        <v/>
      </c>
      <c r="L21" s="31" t="str">
        <f>IFERROR(__xludf.DUMMYFUNCTION("IFERROR(FILTER('RAW DATA'!$D:$D,'RAW DATA'!$B:$B=$B21,'RAW DATA'!$C:$C=L$1) / $A21)"),"")</f>
        <v/>
      </c>
      <c r="M21" s="31" t="str">
        <f>IFERROR(__xludf.DUMMYFUNCTION("IFERROR(FILTER('RAW DATA'!$D:$D,'RAW DATA'!$B:$B=$B21,'RAW DATA'!$C:$C=M$1) / $A21)"),"")</f>
        <v/>
      </c>
      <c r="N21" s="31" t="str">
        <f>IFERROR(__xludf.DUMMYFUNCTION("IFERROR(FILTER('RAW DATA'!$D:$D,'RAW DATA'!$B:$B=$B21,'RAW DATA'!$C:$C=N$1) / $A21)"),"")</f>
        <v/>
      </c>
      <c r="O21" s="31" t="str">
        <f>IFERROR(__xludf.DUMMYFUNCTION("IFERROR(FILTER('RAW DATA'!$D:$D,'RAW DATA'!$B:$B=$B21,'RAW DATA'!$C:$C=O$1) / $A21)"),"")</f>
        <v/>
      </c>
      <c r="P21" s="31" t="str">
        <f>IFERROR(__xludf.DUMMYFUNCTION("IFERROR(FILTER('RAW DATA'!$D:$D,'RAW DATA'!$B:$B=$B21,'RAW DATA'!$C:$C=P$1) / $A21)"),"")</f>
        <v/>
      </c>
      <c r="Q21" s="31" t="str">
        <f>IFERROR(__xludf.DUMMYFUNCTION("IFERROR(FILTER('RAW DATA'!$D:$D,'RAW DATA'!$B:$B=$B21,'RAW DATA'!$C:$C=Q$1) / $A21)"),"")</f>
        <v/>
      </c>
      <c r="R21" s="31" t="str">
        <f>IFERROR(__xludf.DUMMYFUNCTION("IFERROR(FILTER('RAW DATA'!$D:$D,'RAW DATA'!$B:$B=$B21,'RAW DATA'!$C:$C=R$1) / $A21)"),"")</f>
        <v/>
      </c>
      <c r="S21" s="31" t="str">
        <f>IFERROR(__xludf.DUMMYFUNCTION("IFERROR(FILTER('RAW DATA'!$D:$D,'RAW DATA'!$B:$B=$B21,'RAW DATA'!$C:$C=S$1) / $A21)"),"")</f>
        <v/>
      </c>
      <c r="T21" s="31" t="str">
        <f>IFERROR(__xludf.DUMMYFUNCTION("IFERROR(FILTER('RAW DATA'!$D:$D,'RAW DATA'!$B:$B=$B21,'RAW DATA'!$C:$C=T$1) / $A21)"),"")</f>
        <v/>
      </c>
      <c r="U21" s="31" t="str">
        <f>IFERROR(__xludf.DUMMYFUNCTION("IFERROR(FILTER('RAW DATA'!$D:$D,'RAW DATA'!$B:$B=$B21,'RAW DATA'!$C:$C=U$1) / $A21)"),"")</f>
        <v/>
      </c>
      <c r="V21" s="31" t="str">
        <f>IFERROR(__xludf.DUMMYFUNCTION("IFERROR(FILTER('RAW DATA'!$D:$D,'RAW DATA'!$B:$B=$B21,'RAW DATA'!$C:$C=V$1) / $A21)"),"")</f>
        <v/>
      </c>
      <c r="W21" s="31" t="str">
        <f>IFERROR(__xludf.DUMMYFUNCTION("IFERROR(FILTER('RAW DATA'!$D:$D,'RAW DATA'!$B:$B=$B21,'RAW DATA'!$C:$C=W$1) / $A21)"),"")</f>
        <v/>
      </c>
      <c r="X21" s="31" t="str">
        <f>IFERROR(__xludf.DUMMYFUNCTION("IFERROR(FILTER('RAW DATA'!$D:$D,'RAW DATA'!$B:$B=$B21,'RAW DATA'!$C:$C=X$1) / $A21)"),"")</f>
        <v/>
      </c>
    </row>
    <row r="22">
      <c r="A22" s="29"/>
      <c r="B22" s="36"/>
      <c r="C22" s="31" t="str">
        <f>IFERROR(__xludf.DUMMYFUNCTION("IFERROR(FILTER('RAW DATA'!$D:$D,'RAW DATA'!$B:$B=$B22,'RAW DATA'!$C:$C=C$1) / $A22)"),"")</f>
        <v/>
      </c>
      <c r="D22" s="31" t="str">
        <f>IFERROR(__xludf.DUMMYFUNCTION("IFERROR(FILTER('RAW DATA'!$D:$D,'RAW DATA'!$B:$B=$B22,'RAW DATA'!$C:$C=D$1) / $A22)"),"")</f>
        <v/>
      </c>
      <c r="E22" s="31" t="str">
        <f>IFERROR(__xludf.DUMMYFUNCTION("IFERROR(FILTER('RAW DATA'!$D:$D,'RAW DATA'!$B:$B=$B22,'RAW DATA'!$C:$C=E$1) / $A22)"),"")</f>
        <v/>
      </c>
      <c r="F22" s="31" t="str">
        <f>IFERROR(__xludf.DUMMYFUNCTION("IFERROR(FILTER('RAW DATA'!$D:$D,'RAW DATA'!$B:$B=$B22,'RAW DATA'!$C:$C=F$1) / $A22)"),"")</f>
        <v/>
      </c>
      <c r="G22" s="31" t="str">
        <f>IFERROR(__xludf.DUMMYFUNCTION("IFERROR(FILTER('RAW DATA'!$D:$D,'RAW DATA'!$B:$B=$B22,'RAW DATA'!$C:$C=G$1) / $A22)"),"")</f>
        <v/>
      </c>
      <c r="H22" s="31" t="str">
        <f>IFERROR(__xludf.DUMMYFUNCTION("IFERROR(FILTER('RAW DATA'!$D:$D,'RAW DATA'!$B:$B=$B22,'RAW DATA'!$C:$C=H$1) / $A22)"),"")</f>
        <v/>
      </c>
      <c r="I22" s="31" t="str">
        <f>IFERROR(__xludf.DUMMYFUNCTION("IFERROR(FILTER('RAW DATA'!$D:$D,'RAW DATA'!$B:$B=$B22,'RAW DATA'!$C:$C=I$1) / $A22)"),"")</f>
        <v/>
      </c>
      <c r="J22" s="31" t="str">
        <f>IFERROR(__xludf.DUMMYFUNCTION("IFERROR(FILTER('RAW DATA'!$D:$D,'RAW DATA'!$B:$B=$B22,'RAW DATA'!$C:$C=J$1) / $A22)"),"")</f>
        <v/>
      </c>
      <c r="K22" s="31" t="str">
        <f>IFERROR(__xludf.DUMMYFUNCTION("IFERROR(FILTER('RAW DATA'!$D:$D,'RAW DATA'!$B:$B=$B22,'RAW DATA'!$C:$C=K$1) / $A22)"),"")</f>
        <v/>
      </c>
      <c r="L22" s="31" t="str">
        <f>IFERROR(__xludf.DUMMYFUNCTION("IFERROR(FILTER('RAW DATA'!$D:$D,'RAW DATA'!$B:$B=$B22,'RAW DATA'!$C:$C=L$1) / $A22)"),"")</f>
        <v/>
      </c>
      <c r="M22" s="31" t="str">
        <f>IFERROR(__xludf.DUMMYFUNCTION("IFERROR(FILTER('RAW DATA'!$D:$D,'RAW DATA'!$B:$B=$B22,'RAW DATA'!$C:$C=M$1) / $A22)"),"")</f>
        <v/>
      </c>
      <c r="N22" s="31" t="str">
        <f>IFERROR(__xludf.DUMMYFUNCTION("IFERROR(FILTER('RAW DATA'!$D:$D,'RAW DATA'!$B:$B=$B22,'RAW DATA'!$C:$C=N$1) / $A22)"),"")</f>
        <v/>
      </c>
      <c r="O22" s="31" t="str">
        <f>IFERROR(__xludf.DUMMYFUNCTION("IFERROR(FILTER('RAW DATA'!$D:$D,'RAW DATA'!$B:$B=$B22,'RAW DATA'!$C:$C=O$1) / $A22)"),"")</f>
        <v/>
      </c>
      <c r="P22" s="31" t="str">
        <f>IFERROR(__xludf.DUMMYFUNCTION("IFERROR(FILTER('RAW DATA'!$D:$D,'RAW DATA'!$B:$B=$B22,'RAW DATA'!$C:$C=P$1) / $A22)"),"")</f>
        <v/>
      </c>
      <c r="Q22" s="31" t="str">
        <f>IFERROR(__xludf.DUMMYFUNCTION("IFERROR(FILTER('RAW DATA'!$D:$D,'RAW DATA'!$B:$B=$B22,'RAW DATA'!$C:$C=Q$1) / $A22)"),"")</f>
        <v/>
      </c>
      <c r="R22" s="31" t="str">
        <f>IFERROR(__xludf.DUMMYFUNCTION("IFERROR(FILTER('RAW DATA'!$D:$D,'RAW DATA'!$B:$B=$B22,'RAW DATA'!$C:$C=R$1) / $A22)"),"")</f>
        <v/>
      </c>
      <c r="S22" s="31" t="str">
        <f>IFERROR(__xludf.DUMMYFUNCTION("IFERROR(FILTER('RAW DATA'!$D:$D,'RAW DATA'!$B:$B=$B22,'RAW DATA'!$C:$C=S$1) / $A22)"),"")</f>
        <v/>
      </c>
      <c r="T22" s="31" t="str">
        <f>IFERROR(__xludf.DUMMYFUNCTION("IFERROR(FILTER('RAW DATA'!$D:$D,'RAW DATA'!$B:$B=$B22,'RAW DATA'!$C:$C=T$1) / $A22)"),"")</f>
        <v/>
      </c>
      <c r="U22" s="31" t="str">
        <f>IFERROR(__xludf.DUMMYFUNCTION("IFERROR(FILTER('RAW DATA'!$D:$D,'RAW DATA'!$B:$B=$B22,'RAW DATA'!$C:$C=U$1) / $A22)"),"")</f>
        <v/>
      </c>
      <c r="V22" s="31" t="str">
        <f>IFERROR(__xludf.DUMMYFUNCTION("IFERROR(FILTER('RAW DATA'!$D:$D,'RAW DATA'!$B:$B=$B22,'RAW DATA'!$C:$C=V$1) / $A22)"),"")</f>
        <v/>
      </c>
      <c r="W22" s="31" t="str">
        <f>IFERROR(__xludf.DUMMYFUNCTION("IFERROR(FILTER('RAW DATA'!$D:$D,'RAW DATA'!$B:$B=$B22,'RAW DATA'!$C:$C=W$1) / $A22)"),"")</f>
        <v/>
      </c>
      <c r="X22" s="31" t="str">
        <f>IFERROR(__xludf.DUMMYFUNCTION("IFERROR(FILTER('RAW DATA'!$D:$D,'RAW DATA'!$B:$B=$B22,'RAW DATA'!$C:$C=X$1) / $A22)"),"")</f>
        <v/>
      </c>
    </row>
    <row r="23">
      <c r="A23" s="29"/>
      <c r="B23" s="36"/>
      <c r="C23" s="31" t="str">
        <f>IFERROR(__xludf.DUMMYFUNCTION("IFERROR(FILTER('RAW DATA'!$D:$D,'RAW DATA'!$B:$B=$B23,'RAW DATA'!$C:$C=C$1) / $A23)"),"")</f>
        <v/>
      </c>
      <c r="D23" s="31" t="str">
        <f>IFERROR(__xludf.DUMMYFUNCTION("IFERROR(FILTER('RAW DATA'!$D:$D,'RAW DATA'!$B:$B=$B23,'RAW DATA'!$C:$C=D$1) / $A23)"),"")</f>
        <v/>
      </c>
      <c r="E23" s="31" t="str">
        <f>IFERROR(__xludf.DUMMYFUNCTION("IFERROR(FILTER('RAW DATA'!$D:$D,'RAW DATA'!$B:$B=$B23,'RAW DATA'!$C:$C=E$1) / $A23)"),"")</f>
        <v/>
      </c>
      <c r="F23" s="31" t="str">
        <f>IFERROR(__xludf.DUMMYFUNCTION("IFERROR(FILTER('RAW DATA'!$D:$D,'RAW DATA'!$B:$B=$B23,'RAW DATA'!$C:$C=F$1) / $A23)"),"")</f>
        <v/>
      </c>
      <c r="G23" s="31" t="str">
        <f>IFERROR(__xludf.DUMMYFUNCTION("IFERROR(FILTER('RAW DATA'!$D:$D,'RAW DATA'!$B:$B=$B23,'RAW DATA'!$C:$C=G$1) / $A23)"),"")</f>
        <v/>
      </c>
      <c r="H23" s="31" t="str">
        <f>IFERROR(__xludf.DUMMYFUNCTION("IFERROR(FILTER('RAW DATA'!$D:$D,'RAW DATA'!$B:$B=$B23,'RAW DATA'!$C:$C=H$1) / $A23)"),"")</f>
        <v/>
      </c>
      <c r="I23" s="31" t="str">
        <f>IFERROR(__xludf.DUMMYFUNCTION("IFERROR(FILTER('RAW DATA'!$D:$D,'RAW DATA'!$B:$B=$B23,'RAW DATA'!$C:$C=I$1) / $A23)"),"")</f>
        <v/>
      </c>
      <c r="J23" s="31" t="str">
        <f>IFERROR(__xludf.DUMMYFUNCTION("IFERROR(FILTER('RAW DATA'!$D:$D,'RAW DATA'!$B:$B=$B23,'RAW DATA'!$C:$C=J$1) / $A23)"),"")</f>
        <v/>
      </c>
      <c r="K23" s="31" t="str">
        <f>IFERROR(__xludf.DUMMYFUNCTION("IFERROR(FILTER('RAW DATA'!$D:$D,'RAW DATA'!$B:$B=$B23,'RAW DATA'!$C:$C=K$1) / $A23)"),"")</f>
        <v/>
      </c>
      <c r="L23" s="31" t="str">
        <f>IFERROR(__xludf.DUMMYFUNCTION("IFERROR(FILTER('RAW DATA'!$D:$D,'RAW DATA'!$B:$B=$B23,'RAW DATA'!$C:$C=L$1) / $A23)"),"")</f>
        <v/>
      </c>
      <c r="M23" s="31" t="str">
        <f>IFERROR(__xludf.DUMMYFUNCTION("IFERROR(FILTER('RAW DATA'!$D:$D,'RAW DATA'!$B:$B=$B23,'RAW DATA'!$C:$C=M$1) / $A23)"),"")</f>
        <v/>
      </c>
      <c r="N23" s="31" t="str">
        <f>IFERROR(__xludf.DUMMYFUNCTION("IFERROR(FILTER('RAW DATA'!$D:$D,'RAW DATA'!$B:$B=$B23,'RAW DATA'!$C:$C=N$1) / $A23)"),"")</f>
        <v/>
      </c>
      <c r="O23" s="31" t="str">
        <f>IFERROR(__xludf.DUMMYFUNCTION("IFERROR(FILTER('RAW DATA'!$D:$D,'RAW DATA'!$B:$B=$B23,'RAW DATA'!$C:$C=O$1) / $A23)"),"")</f>
        <v/>
      </c>
      <c r="P23" s="31" t="str">
        <f>IFERROR(__xludf.DUMMYFUNCTION("IFERROR(FILTER('RAW DATA'!$D:$D,'RAW DATA'!$B:$B=$B23,'RAW DATA'!$C:$C=P$1) / $A23)"),"")</f>
        <v/>
      </c>
      <c r="Q23" s="31" t="str">
        <f>IFERROR(__xludf.DUMMYFUNCTION("IFERROR(FILTER('RAW DATA'!$D:$D,'RAW DATA'!$B:$B=$B23,'RAW DATA'!$C:$C=Q$1) / $A23)"),"")</f>
        <v/>
      </c>
      <c r="R23" s="31" t="str">
        <f>IFERROR(__xludf.DUMMYFUNCTION("IFERROR(FILTER('RAW DATA'!$D:$D,'RAW DATA'!$B:$B=$B23,'RAW DATA'!$C:$C=R$1) / $A23)"),"")</f>
        <v/>
      </c>
      <c r="S23" s="31" t="str">
        <f>IFERROR(__xludf.DUMMYFUNCTION("IFERROR(FILTER('RAW DATA'!$D:$D,'RAW DATA'!$B:$B=$B23,'RAW DATA'!$C:$C=S$1) / $A23)"),"")</f>
        <v/>
      </c>
      <c r="T23" s="31" t="str">
        <f>IFERROR(__xludf.DUMMYFUNCTION("IFERROR(FILTER('RAW DATA'!$D:$D,'RAW DATA'!$B:$B=$B23,'RAW DATA'!$C:$C=T$1) / $A23)"),"")</f>
        <v/>
      </c>
      <c r="U23" s="31" t="str">
        <f>IFERROR(__xludf.DUMMYFUNCTION("IFERROR(FILTER('RAW DATA'!$D:$D,'RAW DATA'!$B:$B=$B23,'RAW DATA'!$C:$C=U$1) / $A23)"),"")</f>
        <v/>
      </c>
      <c r="V23" s="31" t="str">
        <f>IFERROR(__xludf.DUMMYFUNCTION("IFERROR(FILTER('RAW DATA'!$D:$D,'RAW DATA'!$B:$B=$B23,'RAW DATA'!$C:$C=V$1) / $A23)"),"")</f>
        <v/>
      </c>
      <c r="W23" s="31" t="str">
        <f>IFERROR(__xludf.DUMMYFUNCTION("IFERROR(FILTER('RAW DATA'!$D:$D,'RAW DATA'!$B:$B=$B23,'RAW DATA'!$C:$C=W$1) / $A23)"),"")</f>
        <v/>
      </c>
      <c r="X23" s="31" t="str">
        <f>IFERROR(__xludf.DUMMYFUNCTION("IFERROR(FILTER('RAW DATA'!$D:$D,'RAW DATA'!$B:$B=$B23,'RAW DATA'!$C:$C=X$1) / $A23)"),"")</f>
        <v/>
      </c>
    </row>
    <row r="24">
      <c r="A24" s="29"/>
      <c r="B24" s="36"/>
      <c r="C24" s="31" t="str">
        <f>IFERROR(__xludf.DUMMYFUNCTION("IFERROR(FILTER('RAW DATA'!$D:$D,'RAW DATA'!$B:$B=$B24,'RAW DATA'!$C:$C=C$1) / $A24)"),"")</f>
        <v/>
      </c>
      <c r="D24" s="31" t="str">
        <f>IFERROR(__xludf.DUMMYFUNCTION("IFERROR(FILTER('RAW DATA'!$D:$D,'RAW DATA'!$B:$B=$B24,'RAW DATA'!$C:$C=D$1) / $A24)"),"")</f>
        <v/>
      </c>
      <c r="E24" s="31" t="str">
        <f>IFERROR(__xludf.DUMMYFUNCTION("IFERROR(FILTER('RAW DATA'!$D:$D,'RAW DATA'!$B:$B=$B24,'RAW DATA'!$C:$C=E$1) / $A24)"),"")</f>
        <v/>
      </c>
      <c r="F24" s="31" t="str">
        <f>IFERROR(__xludf.DUMMYFUNCTION("IFERROR(FILTER('RAW DATA'!$D:$D,'RAW DATA'!$B:$B=$B24,'RAW DATA'!$C:$C=F$1) / $A24)"),"")</f>
        <v/>
      </c>
      <c r="G24" s="31" t="str">
        <f>IFERROR(__xludf.DUMMYFUNCTION("IFERROR(FILTER('RAW DATA'!$D:$D,'RAW DATA'!$B:$B=$B24,'RAW DATA'!$C:$C=G$1) / $A24)"),"")</f>
        <v/>
      </c>
      <c r="H24" s="31" t="str">
        <f>IFERROR(__xludf.DUMMYFUNCTION("IFERROR(FILTER('RAW DATA'!$D:$D,'RAW DATA'!$B:$B=$B24,'RAW DATA'!$C:$C=H$1) / $A24)"),"")</f>
        <v/>
      </c>
      <c r="I24" s="31" t="str">
        <f>IFERROR(__xludf.DUMMYFUNCTION("IFERROR(FILTER('RAW DATA'!$D:$D,'RAW DATA'!$B:$B=$B24,'RAW DATA'!$C:$C=I$1) / $A24)"),"")</f>
        <v/>
      </c>
      <c r="J24" s="31" t="str">
        <f>IFERROR(__xludf.DUMMYFUNCTION("IFERROR(FILTER('RAW DATA'!$D:$D,'RAW DATA'!$B:$B=$B24,'RAW DATA'!$C:$C=J$1) / $A24)"),"")</f>
        <v/>
      </c>
      <c r="K24" s="31" t="str">
        <f>IFERROR(__xludf.DUMMYFUNCTION("IFERROR(FILTER('RAW DATA'!$D:$D,'RAW DATA'!$B:$B=$B24,'RAW DATA'!$C:$C=K$1) / $A24)"),"")</f>
        <v/>
      </c>
      <c r="L24" s="31" t="str">
        <f>IFERROR(__xludf.DUMMYFUNCTION("IFERROR(FILTER('RAW DATA'!$D:$D,'RAW DATA'!$B:$B=$B24,'RAW DATA'!$C:$C=L$1) / $A24)"),"")</f>
        <v/>
      </c>
      <c r="M24" s="31" t="str">
        <f>IFERROR(__xludf.DUMMYFUNCTION("IFERROR(FILTER('RAW DATA'!$D:$D,'RAW DATA'!$B:$B=$B24,'RAW DATA'!$C:$C=M$1) / $A24)"),"")</f>
        <v/>
      </c>
      <c r="N24" s="31" t="str">
        <f>IFERROR(__xludf.DUMMYFUNCTION("IFERROR(FILTER('RAW DATA'!$D:$D,'RAW DATA'!$B:$B=$B24,'RAW DATA'!$C:$C=N$1) / $A24)"),"")</f>
        <v/>
      </c>
      <c r="O24" s="31" t="str">
        <f>IFERROR(__xludf.DUMMYFUNCTION("IFERROR(FILTER('RAW DATA'!$D:$D,'RAW DATA'!$B:$B=$B24,'RAW DATA'!$C:$C=O$1) / $A24)"),"")</f>
        <v/>
      </c>
      <c r="P24" s="31" t="str">
        <f>IFERROR(__xludf.DUMMYFUNCTION("IFERROR(FILTER('RAW DATA'!$D:$D,'RAW DATA'!$B:$B=$B24,'RAW DATA'!$C:$C=P$1) / $A24)"),"")</f>
        <v/>
      </c>
      <c r="Q24" s="31" t="str">
        <f>IFERROR(__xludf.DUMMYFUNCTION("IFERROR(FILTER('RAW DATA'!$D:$D,'RAW DATA'!$B:$B=$B24,'RAW DATA'!$C:$C=Q$1) / $A24)"),"")</f>
        <v/>
      </c>
      <c r="R24" s="31" t="str">
        <f>IFERROR(__xludf.DUMMYFUNCTION("IFERROR(FILTER('RAW DATA'!$D:$D,'RAW DATA'!$B:$B=$B24,'RAW DATA'!$C:$C=R$1) / $A24)"),"")</f>
        <v/>
      </c>
      <c r="S24" s="31" t="str">
        <f>IFERROR(__xludf.DUMMYFUNCTION("IFERROR(FILTER('RAW DATA'!$D:$D,'RAW DATA'!$B:$B=$B24,'RAW DATA'!$C:$C=S$1) / $A24)"),"")</f>
        <v/>
      </c>
      <c r="T24" s="31" t="str">
        <f>IFERROR(__xludf.DUMMYFUNCTION("IFERROR(FILTER('RAW DATA'!$D:$D,'RAW DATA'!$B:$B=$B24,'RAW DATA'!$C:$C=T$1) / $A24)"),"")</f>
        <v/>
      </c>
      <c r="U24" s="31" t="str">
        <f>IFERROR(__xludf.DUMMYFUNCTION("IFERROR(FILTER('RAW DATA'!$D:$D,'RAW DATA'!$B:$B=$B24,'RAW DATA'!$C:$C=U$1) / $A24)"),"")</f>
        <v/>
      </c>
      <c r="V24" s="31" t="str">
        <f>IFERROR(__xludf.DUMMYFUNCTION("IFERROR(FILTER('RAW DATA'!$D:$D,'RAW DATA'!$B:$B=$B24,'RAW DATA'!$C:$C=V$1) / $A24)"),"")</f>
        <v/>
      </c>
      <c r="W24" s="31" t="str">
        <f>IFERROR(__xludf.DUMMYFUNCTION("IFERROR(FILTER('RAW DATA'!$D:$D,'RAW DATA'!$B:$B=$B24,'RAW DATA'!$C:$C=W$1) / $A24)"),"")</f>
        <v/>
      </c>
      <c r="X24" s="31" t="str">
        <f>IFERROR(__xludf.DUMMYFUNCTION("IFERROR(FILTER('RAW DATA'!$D:$D,'RAW DATA'!$B:$B=$B24,'RAW DATA'!$C:$C=X$1) / $A24)"),"")</f>
        <v/>
      </c>
    </row>
    <row r="25">
      <c r="A25" s="29"/>
      <c r="B25" s="36"/>
      <c r="C25" s="31" t="str">
        <f>IFERROR(__xludf.DUMMYFUNCTION("IFERROR(FILTER('RAW DATA'!$D:$D,'RAW DATA'!$B:$B=$B25,'RAW DATA'!$C:$C=C$1) / $A25)"),"")</f>
        <v/>
      </c>
      <c r="D25" s="31" t="str">
        <f>IFERROR(__xludf.DUMMYFUNCTION("IFERROR(FILTER('RAW DATA'!$D:$D,'RAW DATA'!$B:$B=$B25,'RAW DATA'!$C:$C=D$1) / $A25)"),"")</f>
        <v/>
      </c>
      <c r="E25" s="31" t="str">
        <f>IFERROR(__xludf.DUMMYFUNCTION("IFERROR(FILTER('RAW DATA'!$D:$D,'RAW DATA'!$B:$B=$B25,'RAW DATA'!$C:$C=E$1) / $A25)"),"")</f>
        <v/>
      </c>
      <c r="F25" s="31" t="str">
        <f>IFERROR(__xludf.DUMMYFUNCTION("IFERROR(FILTER('RAW DATA'!$D:$D,'RAW DATA'!$B:$B=$B25,'RAW DATA'!$C:$C=F$1) / $A25)"),"")</f>
        <v/>
      </c>
      <c r="G25" s="31" t="str">
        <f>IFERROR(__xludf.DUMMYFUNCTION("IFERROR(FILTER('RAW DATA'!$D:$D,'RAW DATA'!$B:$B=$B25,'RAW DATA'!$C:$C=G$1) / $A25)"),"")</f>
        <v/>
      </c>
      <c r="H25" s="31" t="str">
        <f>IFERROR(__xludf.DUMMYFUNCTION("IFERROR(FILTER('RAW DATA'!$D:$D,'RAW DATA'!$B:$B=$B25,'RAW DATA'!$C:$C=H$1) / $A25)"),"")</f>
        <v/>
      </c>
      <c r="I25" s="31" t="str">
        <f>IFERROR(__xludf.DUMMYFUNCTION("IFERROR(FILTER('RAW DATA'!$D:$D,'RAW DATA'!$B:$B=$B25,'RAW DATA'!$C:$C=I$1) / $A25)"),"")</f>
        <v/>
      </c>
      <c r="J25" s="31" t="str">
        <f>IFERROR(__xludf.DUMMYFUNCTION("IFERROR(FILTER('RAW DATA'!$D:$D,'RAW DATA'!$B:$B=$B25,'RAW DATA'!$C:$C=J$1) / $A25)"),"")</f>
        <v/>
      </c>
      <c r="K25" s="31" t="str">
        <f>IFERROR(__xludf.DUMMYFUNCTION("IFERROR(FILTER('RAW DATA'!$D:$D,'RAW DATA'!$B:$B=$B25,'RAW DATA'!$C:$C=K$1) / $A25)"),"")</f>
        <v/>
      </c>
      <c r="L25" s="31" t="str">
        <f>IFERROR(__xludf.DUMMYFUNCTION("IFERROR(FILTER('RAW DATA'!$D:$D,'RAW DATA'!$B:$B=$B25,'RAW DATA'!$C:$C=L$1) / $A25)"),"")</f>
        <v/>
      </c>
      <c r="M25" s="31" t="str">
        <f>IFERROR(__xludf.DUMMYFUNCTION("IFERROR(FILTER('RAW DATA'!$D:$D,'RAW DATA'!$B:$B=$B25,'RAW DATA'!$C:$C=M$1) / $A25)"),"")</f>
        <v/>
      </c>
      <c r="N25" s="31" t="str">
        <f>IFERROR(__xludf.DUMMYFUNCTION("IFERROR(FILTER('RAW DATA'!$D:$D,'RAW DATA'!$B:$B=$B25,'RAW DATA'!$C:$C=N$1) / $A25)"),"")</f>
        <v/>
      </c>
      <c r="O25" s="31" t="str">
        <f>IFERROR(__xludf.DUMMYFUNCTION("IFERROR(FILTER('RAW DATA'!$D:$D,'RAW DATA'!$B:$B=$B25,'RAW DATA'!$C:$C=O$1) / $A25)"),"")</f>
        <v/>
      </c>
      <c r="P25" s="31" t="str">
        <f>IFERROR(__xludf.DUMMYFUNCTION("IFERROR(FILTER('RAW DATA'!$D:$D,'RAW DATA'!$B:$B=$B25,'RAW DATA'!$C:$C=P$1) / $A25)"),"")</f>
        <v/>
      </c>
      <c r="Q25" s="31" t="str">
        <f>IFERROR(__xludf.DUMMYFUNCTION("IFERROR(FILTER('RAW DATA'!$D:$D,'RAW DATA'!$B:$B=$B25,'RAW DATA'!$C:$C=Q$1) / $A25)"),"")</f>
        <v/>
      </c>
      <c r="R25" s="31" t="str">
        <f>IFERROR(__xludf.DUMMYFUNCTION("IFERROR(FILTER('RAW DATA'!$D:$D,'RAW DATA'!$B:$B=$B25,'RAW DATA'!$C:$C=R$1) / $A25)"),"")</f>
        <v/>
      </c>
      <c r="S25" s="31" t="str">
        <f>IFERROR(__xludf.DUMMYFUNCTION("IFERROR(FILTER('RAW DATA'!$D:$D,'RAW DATA'!$B:$B=$B25,'RAW DATA'!$C:$C=S$1) / $A25)"),"")</f>
        <v/>
      </c>
      <c r="T25" s="31" t="str">
        <f>IFERROR(__xludf.DUMMYFUNCTION("IFERROR(FILTER('RAW DATA'!$D:$D,'RAW DATA'!$B:$B=$B25,'RAW DATA'!$C:$C=T$1) / $A25)"),"")</f>
        <v/>
      </c>
      <c r="U25" s="31" t="str">
        <f>IFERROR(__xludf.DUMMYFUNCTION("IFERROR(FILTER('RAW DATA'!$D:$D,'RAW DATA'!$B:$B=$B25,'RAW DATA'!$C:$C=U$1) / $A25)"),"")</f>
        <v/>
      </c>
      <c r="V25" s="31" t="str">
        <f>IFERROR(__xludf.DUMMYFUNCTION("IFERROR(FILTER('RAW DATA'!$D:$D,'RAW DATA'!$B:$B=$B25,'RAW DATA'!$C:$C=V$1) / $A25)"),"")</f>
        <v/>
      </c>
      <c r="W25" s="31" t="str">
        <f>IFERROR(__xludf.DUMMYFUNCTION("IFERROR(FILTER('RAW DATA'!$D:$D,'RAW DATA'!$B:$B=$B25,'RAW DATA'!$C:$C=W$1) / $A25)"),"")</f>
        <v/>
      </c>
      <c r="X25" s="31" t="str">
        <f>IFERROR(__xludf.DUMMYFUNCTION("IFERROR(FILTER('RAW DATA'!$D:$D,'RAW DATA'!$B:$B=$B25,'RAW DATA'!$C:$C=X$1) / $A25)"),"")</f>
        <v/>
      </c>
    </row>
    <row r="26">
      <c r="A26" s="29"/>
      <c r="B26" s="36"/>
      <c r="C26" s="31" t="str">
        <f>IFERROR(__xludf.DUMMYFUNCTION("IFERROR(FILTER('RAW DATA'!$D:$D,'RAW DATA'!$B:$B=$B26,'RAW DATA'!$C:$C=C$1) / $A26)"),"")</f>
        <v/>
      </c>
      <c r="D26" s="31" t="str">
        <f>IFERROR(__xludf.DUMMYFUNCTION("IFERROR(FILTER('RAW DATA'!$D:$D,'RAW DATA'!$B:$B=$B26,'RAW DATA'!$C:$C=D$1) / $A26)"),"")</f>
        <v/>
      </c>
      <c r="E26" s="31" t="str">
        <f>IFERROR(__xludf.DUMMYFUNCTION("IFERROR(FILTER('RAW DATA'!$D:$D,'RAW DATA'!$B:$B=$B26,'RAW DATA'!$C:$C=E$1) / $A26)"),"")</f>
        <v/>
      </c>
      <c r="F26" s="31" t="str">
        <f>IFERROR(__xludf.DUMMYFUNCTION("IFERROR(FILTER('RAW DATA'!$D:$D,'RAW DATA'!$B:$B=$B26,'RAW DATA'!$C:$C=F$1) / $A26)"),"")</f>
        <v/>
      </c>
      <c r="G26" s="31" t="str">
        <f>IFERROR(__xludf.DUMMYFUNCTION("IFERROR(FILTER('RAW DATA'!$D:$D,'RAW DATA'!$B:$B=$B26,'RAW DATA'!$C:$C=G$1) / $A26)"),"")</f>
        <v/>
      </c>
      <c r="H26" s="31" t="str">
        <f>IFERROR(__xludf.DUMMYFUNCTION("IFERROR(FILTER('RAW DATA'!$D:$D,'RAW DATA'!$B:$B=$B26,'RAW DATA'!$C:$C=H$1) / $A26)"),"")</f>
        <v/>
      </c>
      <c r="I26" s="31" t="str">
        <f>IFERROR(__xludf.DUMMYFUNCTION("IFERROR(FILTER('RAW DATA'!$D:$D,'RAW DATA'!$B:$B=$B26,'RAW DATA'!$C:$C=I$1) / $A26)"),"")</f>
        <v/>
      </c>
      <c r="J26" s="31" t="str">
        <f>IFERROR(__xludf.DUMMYFUNCTION("IFERROR(FILTER('RAW DATA'!$D:$D,'RAW DATA'!$B:$B=$B26,'RAW DATA'!$C:$C=J$1) / $A26)"),"")</f>
        <v/>
      </c>
      <c r="K26" s="31" t="str">
        <f>IFERROR(__xludf.DUMMYFUNCTION("IFERROR(FILTER('RAW DATA'!$D:$D,'RAW DATA'!$B:$B=$B26,'RAW DATA'!$C:$C=K$1) / $A26)"),"")</f>
        <v/>
      </c>
      <c r="L26" s="31" t="str">
        <f>IFERROR(__xludf.DUMMYFUNCTION("IFERROR(FILTER('RAW DATA'!$D:$D,'RAW DATA'!$B:$B=$B26,'RAW DATA'!$C:$C=L$1) / $A26)"),"")</f>
        <v/>
      </c>
      <c r="M26" s="31" t="str">
        <f>IFERROR(__xludf.DUMMYFUNCTION("IFERROR(FILTER('RAW DATA'!$D:$D,'RAW DATA'!$B:$B=$B26,'RAW DATA'!$C:$C=M$1) / $A26)"),"")</f>
        <v/>
      </c>
      <c r="N26" s="31" t="str">
        <f>IFERROR(__xludf.DUMMYFUNCTION("IFERROR(FILTER('RAW DATA'!$D:$D,'RAW DATA'!$B:$B=$B26,'RAW DATA'!$C:$C=N$1) / $A26)"),"")</f>
        <v/>
      </c>
      <c r="O26" s="31" t="str">
        <f>IFERROR(__xludf.DUMMYFUNCTION("IFERROR(FILTER('RAW DATA'!$D:$D,'RAW DATA'!$B:$B=$B26,'RAW DATA'!$C:$C=O$1) / $A26)"),"")</f>
        <v/>
      </c>
      <c r="P26" s="31" t="str">
        <f>IFERROR(__xludf.DUMMYFUNCTION("IFERROR(FILTER('RAW DATA'!$D:$D,'RAW DATA'!$B:$B=$B26,'RAW DATA'!$C:$C=P$1) / $A26)"),"")</f>
        <v/>
      </c>
      <c r="Q26" s="31" t="str">
        <f>IFERROR(__xludf.DUMMYFUNCTION("IFERROR(FILTER('RAW DATA'!$D:$D,'RAW DATA'!$B:$B=$B26,'RAW DATA'!$C:$C=Q$1) / $A26)"),"")</f>
        <v/>
      </c>
      <c r="R26" s="31" t="str">
        <f>IFERROR(__xludf.DUMMYFUNCTION("IFERROR(FILTER('RAW DATA'!$D:$D,'RAW DATA'!$B:$B=$B26,'RAW DATA'!$C:$C=R$1) / $A26)"),"")</f>
        <v/>
      </c>
      <c r="S26" s="31" t="str">
        <f>IFERROR(__xludf.DUMMYFUNCTION("IFERROR(FILTER('RAW DATA'!$D:$D,'RAW DATA'!$B:$B=$B26,'RAW DATA'!$C:$C=S$1) / $A26)"),"")</f>
        <v/>
      </c>
      <c r="T26" s="31" t="str">
        <f>IFERROR(__xludf.DUMMYFUNCTION("IFERROR(FILTER('RAW DATA'!$D:$D,'RAW DATA'!$B:$B=$B26,'RAW DATA'!$C:$C=T$1) / $A26)"),"")</f>
        <v/>
      </c>
      <c r="U26" s="31" t="str">
        <f>IFERROR(__xludf.DUMMYFUNCTION("IFERROR(FILTER('RAW DATA'!$D:$D,'RAW DATA'!$B:$B=$B26,'RAW DATA'!$C:$C=U$1) / $A26)"),"")</f>
        <v/>
      </c>
      <c r="V26" s="31" t="str">
        <f>IFERROR(__xludf.DUMMYFUNCTION("IFERROR(FILTER('RAW DATA'!$D:$D,'RAW DATA'!$B:$B=$B26,'RAW DATA'!$C:$C=V$1) / $A26)"),"")</f>
        <v/>
      </c>
      <c r="W26" s="31" t="str">
        <f>IFERROR(__xludf.DUMMYFUNCTION("IFERROR(FILTER('RAW DATA'!$D:$D,'RAW DATA'!$B:$B=$B26,'RAW DATA'!$C:$C=W$1) / $A26)"),"")</f>
        <v/>
      </c>
      <c r="X26" s="31" t="str">
        <f>IFERROR(__xludf.DUMMYFUNCTION("IFERROR(FILTER('RAW DATA'!$D:$D,'RAW DATA'!$B:$B=$B26,'RAW DATA'!$C:$C=X$1) / $A26)"),"")</f>
        <v/>
      </c>
    </row>
    <row r="27">
      <c r="A27" s="29"/>
      <c r="B27" s="36"/>
      <c r="C27" s="31" t="str">
        <f>IFERROR(__xludf.DUMMYFUNCTION("IFERROR(FILTER('RAW DATA'!$D:$D,'RAW DATA'!$B:$B=$B27,'RAW DATA'!$C:$C=C$1) / $A27)"),"")</f>
        <v/>
      </c>
      <c r="D27" s="31" t="str">
        <f>IFERROR(__xludf.DUMMYFUNCTION("IFERROR(FILTER('RAW DATA'!$D:$D,'RAW DATA'!$B:$B=$B27,'RAW DATA'!$C:$C=D$1) / $A27)"),"")</f>
        <v/>
      </c>
      <c r="E27" s="31" t="str">
        <f>IFERROR(__xludf.DUMMYFUNCTION("IFERROR(FILTER('RAW DATA'!$D:$D,'RAW DATA'!$B:$B=$B27,'RAW DATA'!$C:$C=E$1) / $A27)"),"")</f>
        <v/>
      </c>
      <c r="F27" s="31" t="str">
        <f>IFERROR(__xludf.DUMMYFUNCTION("IFERROR(FILTER('RAW DATA'!$D:$D,'RAW DATA'!$B:$B=$B27,'RAW DATA'!$C:$C=F$1) / $A27)"),"")</f>
        <v/>
      </c>
      <c r="G27" s="31" t="str">
        <f>IFERROR(__xludf.DUMMYFUNCTION("IFERROR(FILTER('RAW DATA'!$D:$D,'RAW DATA'!$B:$B=$B27,'RAW DATA'!$C:$C=G$1) / $A27)"),"")</f>
        <v/>
      </c>
      <c r="H27" s="31" t="str">
        <f>IFERROR(__xludf.DUMMYFUNCTION("IFERROR(FILTER('RAW DATA'!$D:$D,'RAW DATA'!$B:$B=$B27,'RAW DATA'!$C:$C=H$1) / $A27)"),"")</f>
        <v/>
      </c>
      <c r="I27" s="31" t="str">
        <f>IFERROR(__xludf.DUMMYFUNCTION("IFERROR(FILTER('RAW DATA'!$D:$D,'RAW DATA'!$B:$B=$B27,'RAW DATA'!$C:$C=I$1) / $A27)"),"")</f>
        <v/>
      </c>
      <c r="J27" s="31" t="str">
        <f>IFERROR(__xludf.DUMMYFUNCTION("IFERROR(FILTER('RAW DATA'!$D:$D,'RAW DATA'!$B:$B=$B27,'RAW DATA'!$C:$C=J$1) / $A27)"),"")</f>
        <v/>
      </c>
      <c r="K27" s="31" t="str">
        <f>IFERROR(__xludf.DUMMYFUNCTION("IFERROR(FILTER('RAW DATA'!$D:$D,'RAW DATA'!$B:$B=$B27,'RAW DATA'!$C:$C=K$1) / $A27)"),"")</f>
        <v/>
      </c>
      <c r="L27" s="31" t="str">
        <f>IFERROR(__xludf.DUMMYFUNCTION("IFERROR(FILTER('RAW DATA'!$D:$D,'RAW DATA'!$B:$B=$B27,'RAW DATA'!$C:$C=L$1) / $A27)"),"")</f>
        <v/>
      </c>
      <c r="M27" s="31" t="str">
        <f>IFERROR(__xludf.DUMMYFUNCTION("IFERROR(FILTER('RAW DATA'!$D:$D,'RAW DATA'!$B:$B=$B27,'RAW DATA'!$C:$C=M$1) / $A27)"),"")</f>
        <v/>
      </c>
      <c r="N27" s="31" t="str">
        <f>IFERROR(__xludf.DUMMYFUNCTION("IFERROR(FILTER('RAW DATA'!$D:$D,'RAW DATA'!$B:$B=$B27,'RAW DATA'!$C:$C=N$1) / $A27)"),"")</f>
        <v/>
      </c>
      <c r="O27" s="31" t="str">
        <f>IFERROR(__xludf.DUMMYFUNCTION("IFERROR(FILTER('RAW DATA'!$D:$D,'RAW DATA'!$B:$B=$B27,'RAW DATA'!$C:$C=O$1) / $A27)"),"")</f>
        <v/>
      </c>
      <c r="P27" s="31" t="str">
        <f>IFERROR(__xludf.DUMMYFUNCTION("IFERROR(FILTER('RAW DATA'!$D:$D,'RAW DATA'!$B:$B=$B27,'RAW DATA'!$C:$C=P$1) / $A27)"),"")</f>
        <v/>
      </c>
      <c r="Q27" s="31" t="str">
        <f>IFERROR(__xludf.DUMMYFUNCTION("IFERROR(FILTER('RAW DATA'!$D:$D,'RAW DATA'!$B:$B=$B27,'RAW DATA'!$C:$C=Q$1) / $A27)"),"")</f>
        <v/>
      </c>
      <c r="R27" s="31" t="str">
        <f>IFERROR(__xludf.DUMMYFUNCTION("IFERROR(FILTER('RAW DATA'!$D:$D,'RAW DATA'!$B:$B=$B27,'RAW DATA'!$C:$C=R$1) / $A27)"),"")</f>
        <v/>
      </c>
      <c r="S27" s="31" t="str">
        <f>IFERROR(__xludf.DUMMYFUNCTION("IFERROR(FILTER('RAW DATA'!$D:$D,'RAW DATA'!$B:$B=$B27,'RAW DATA'!$C:$C=S$1) / $A27)"),"")</f>
        <v/>
      </c>
      <c r="T27" s="31" t="str">
        <f>IFERROR(__xludf.DUMMYFUNCTION("IFERROR(FILTER('RAW DATA'!$D:$D,'RAW DATA'!$B:$B=$B27,'RAW DATA'!$C:$C=T$1) / $A27)"),"")</f>
        <v/>
      </c>
      <c r="U27" s="31" t="str">
        <f>IFERROR(__xludf.DUMMYFUNCTION("IFERROR(FILTER('RAW DATA'!$D:$D,'RAW DATA'!$B:$B=$B27,'RAW DATA'!$C:$C=U$1) / $A27)"),"")</f>
        <v/>
      </c>
      <c r="V27" s="31" t="str">
        <f>IFERROR(__xludf.DUMMYFUNCTION("IFERROR(FILTER('RAW DATA'!$D:$D,'RAW DATA'!$B:$B=$B27,'RAW DATA'!$C:$C=V$1) / $A27)"),"")</f>
        <v/>
      </c>
      <c r="W27" s="31" t="str">
        <f>IFERROR(__xludf.DUMMYFUNCTION("IFERROR(FILTER('RAW DATA'!$D:$D,'RAW DATA'!$B:$B=$B27,'RAW DATA'!$C:$C=W$1) / $A27)"),"")</f>
        <v/>
      </c>
      <c r="X27" s="31" t="str">
        <f>IFERROR(__xludf.DUMMYFUNCTION("IFERROR(FILTER('RAW DATA'!$D:$D,'RAW DATA'!$B:$B=$B27,'RAW DATA'!$C:$C=X$1) / $A27)"),"")</f>
        <v/>
      </c>
    </row>
    <row r="28">
      <c r="A28" s="29"/>
      <c r="B28" s="36"/>
      <c r="C28" s="31" t="str">
        <f>IFERROR(__xludf.DUMMYFUNCTION("IFERROR(FILTER('RAW DATA'!$D:$D,'RAW DATA'!$B:$B=$B28,'RAW DATA'!$C:$C=C$1) / $A28)"),"")</f>
        <v/>
      </c>
      <c r="D28" s="31" t="str">
        <f>IFERROR(__xludf.DUMMYFUNCTION("IFERROR(FILTER('RAW DATA'!$D:$D,'RAW DATA'!$B:$B=$B28,'RAW DATA'!$C:$C=D$1) / $A28)"),"")</f>
        <v/>
      </c>
      <c r="E28" s="31" t="str">
        <f>IFERROR(__xludf.DUMMYFUNCTION("IFERROR(FILTER('RAW DATA'!$D:$D,'RAW DATA'!$B:$B=$B28,'RAW DATA'!$C:$C=E$1) / $A28)"),"")</f>
        <v/>
      </c>
      <c r="F28" s="31" t="str">
        <f>IFERROR(__xludf.DUMMYFUNCTION("IFERROR(FILTER('RAW DATA'!$D:$D,'RAW DATA'!$B:$B=$B28,'RAW DATA'!$C:$C=F$1) / $A28)"),"")</f>
        <v/>
      </c>
      <c r="G28" s="31" t="str">
        <f>IFERROR(__xludf.DUMMYFUNCTION("IFERROR(FILTER('RAW DATA'!$D:$D,'RAW DATA'!$B:$B=$B28,'RAW DATA'!$C:$C=G$1) / $A28)"),"")</f>
        <v/>
      </c>
      <c r="H28" s="31" t="str">
        <f>IFERROR(__xludf.DUMMYFUNCTION("IFERROR(FILTER('RAW DATA'!$D:$D,'RAW DATA'!$B:$B=$B28,'RAW DATA'!$C:$C=H$1) / $A28)"),"")</f>
        <v/>
      </c>
      <c r="I28" s="31" t="str">
        <f>IFERROR(__xludf.DUMMYFUNCTION("IFERROR(FILTER('RAW DATA'!$D:$D,'RAW DATA'!$B:$B=$B28,'RAW DATA'!$C:$C=I$1) / $A28)"),"")</f>
        <v/>
      </c>
      <c r="J28" s="31" t="str">
        <f>IFERROR(__xludf.DUMMYFUNCTION("IFERROR(FILTER('RAW DATA'!$D:$D,'RAW DATA'!$B:$B=$B28,'RAW DATA'!$C:$C=J$1) / $A28)"),"")</f>
        <v/>
      </c>
      <c r="K28" s="31" t="str">
        <f>IFERROR(__xludf.DUMMYFUNCTION("IFERROR(FILTER('RAW DATA'!$D:$D,'RAW DATA'!$B:$B=$B28,'RAW DATA'!$C:$C=K$1) / $A28)"),"")</f>
        <v/>
      </c>
      <c r="L28" s="31" t="str">
        <f>IFERROR(__xludf.DUMMYFUNCTION("IFERROR(FILTER('RAW DATA'!$D:$D,'RAW DATA'!$B:$B=$B28,'RAW DATA'!$C:$C=L$1) / $A28)"),"")</f>
        <v/>
      </c>
      <c r="M28" s="31" t="str">
        <f>IFERROR(__xludf.DUMMYFUNCTION("IFERROR(FILTER('RAW DATA'!$D:$D,'RAW DATA'!$B:$B=$B28,'RAW DATA'!$C:$C=M$1) / $A28)"),"")</f>
        <v/>
      </c>
      <c r="N28" s="31" t="str">
        <f>IFERROR(__xludf.DUMMYFUNCTION("IFERROR(FILTER('RAW DATA'!$D:$D,'RAW DATA'!$B:$B=$B28,'RAW DATA'!$C:$C=N$1) / $A28)"),"")</f>
        <v/>
      </c>
      <c r="O28" s="31" t="str">
        <f>IFERROR(__xludf.DUMMYFUNCTION("IFERROR(FILTER('RAW DATA'!$D:$D,'RAW DATA'!$B:$B=$B28,'RAW DATA'!$C:$C=O$1) / $A28)"),"")</f>
        <v/>
      </c>
      <c r="P28" s="31" t="str">
        <f>IFERROR(__xludf.DUMMYFUNCTION("IFERROR(FILTER('RAW DATA'!$D:$D,'RAW DATA'!$B:$B=$B28,'RAW DATA'!$C:$C=P$1) / $A28)"),"")</f>
        <v/>
      </c>
      <c r="Q28" s="31" t="str">
        <f>IFERROR(__xludf.DUMMYFUNCTION("IFERROR(FILTER('RAW DATA'!$D:$D,'RAW DATA'!$B:$B=$B28,'RAW DATA'!$C:$C=Q$1) / $A28)"),"")</f>
        <v/>
      </c>
      <c r="R28" s="31" t="str">
        <f>IFERROR(__xludf.DUMMYFUNCTION("IFERROR(FILTER('RAW DATA'!$D:$D,'RAW DATA'!$B:$B=$B28,'RAW DATA'!$C:$C=R$1) / $A28)"),"")</f>
        <v/>
      </c>
      <c r="S28" s="31" t="str">
        <f>IFERROR(__xludf.DUMMYFUNCTION("IFERROR(FILTER('RAW DATA'!$D:$D,'RAW DATA'!$B:$B=$B28,'RAW DATA'!$C:$C=S$1) / $A28)"),"")</f>
        <v/>
      </c>
      <c r="T28" s="31" t="str">
        <f>IFERROR(__xludf.DUMMYFUNCTION("IFERROR(FILTER('RAW DATA'!$D:$D,'RAW DATA'!$B:$B=$B28,'RAW DATA'!$C:$C=T$1) / $A28)"),"")</f>
        <v/>
      </c>
      <c r="U28" s="31" t="str">
        <f>IFERROR(__xludf.DUMMYFUNCTION("IFERROR(FILTER('RAW DATA'!$D:$D,'RAW DATA'!$B:$B=$B28,'RAW DATA'!$C:$C=U$1) / $A28)"),"")</f>
        <v/>
      </c>
      <c r="V28" s="31" t="str">
        <f>IFERROR(__xludf.DUMMYFUNCTION("IFERROR(FILTER('RAW DATA'!$D:$D,'RAW DATA'!$B:$B=$B28,'RAW DATA'!$C:$C=V$1) / $A28)"),"")</f>
        <v/>
      </c>
      <c r="W28" s="31" t="str">
        <f>IFERROR(__xludf.DUMMYFUNCTION("IFERROR(FILTER('RAW DATA'!$D:$D,'RAW DATA'!$B:$B=$B28,'RAW DATA'!$C:$C=W$1) / $A28)"),"")</f>
        <v/>
      </c>
      <c r="X28" s="31" t="str">
        <f>IFERROR(__xludf.DUMMYFUNCTION("IFERROR(FILTER('RAW DATA'!$D:$D,'RAW DATA'!$B:$B=$B28,'RAW DATA'!$C:$C=X$1) / $A28)"),"")</f>
        <v/>
      </c>
    </row>
    <row r="29">
      <c r="A29" s="29"/>
      <c r="B29" s="36"/>
      <c r="C29" s="31" t="str">
        <f>IFERROR(__xludf.DUMMYFUNCTION("IFERROR(FILTER('RAW DATA'!$D:$D,'RAW DATA'!$B:$B=$B29,'RAW DATA'!$C:$C=C$1) / $A29)"),"")</f>
        <v/>
      </c>
      <c r="D29" s="31" t="str">
        <f>IFERROR(__xludf.DUMMYFUNCTION("IFERROR(FILTER('RAW DATA'!$D:$D,'RAW DATA'!$B:$B=$B29,'RAW DATA'!$C:$C=D$1) / $A29)"),"")</f>
        <v/>
      </c>
      <c r="E29" s="31" t="str">
        <f>IFERROR(__xludf.DUMMYFUNCTION("IFERROR(FILTER('RAW DATA'!$D:$D,'RAW DATA'!$B:$B=$B29,'RAW DATA'!$C:$C=E$1) / $A29)"),"")</f>
        <v/>
      </c>
      <c r="F29" s="31" t="str">
        <f>IFERROR(__xludf.DUMMYFUNCTION("IFERROR(FILTER('RAW DATA'!$D:$D,'RAW DATA'!$B:$B=$B29,'RAW DATA'!$C:$C=F$1) / $A29)"),"")</f>
        <v/>
      </c>
      <c r="G29" s="31" t="str">
        <f>IFERROR(__xludf.DUMMYFUNCTION("IFERROR(FILTER('RAW DATA'!$D:$D,'RAW DATA'!$B:$B=$B29,'RAW DATA'!$C:$C=G$1) / $A29)"),"")</f>
        <v/>
      </c>
      <c r="H29" s="31" t="str">
        <f>IFERROR(__xludf.DUMMYFUNCTION("IFERROR(FILTER('RAW DATA'!$D:$D,'RAW DATA'!$B:$B=$B29,'RAW DATA'!$C:$C=H$1) / $A29)"),"")</f>
        <v/>
      </c>
      <c r="I29" s="31" t="str">
        <f>IFERROR(__xludf.DUMMYFUNCTION("IFERROR(FILTER('RAW DATA'!$D:$D,'RAW DATA'!$B:$B=$B29,'RAW DATA'!$C:$C=I$1) / $A29)"),"")</f>
        <v/>
      </c>
      <c r="J29" s="31" t="str">
        <f>IFERROR(__xludf.DUMMYFUNCTION("IFERROR(FILTER('RAW DATA'!$D:$D,'RAW DATA'!$B:$B=$B29,'RAW DATA'!$C:$C=J$1) / $A29)"),"")</f>
        <v/>
      </c>
      <c r="K29" s="31" t="str">
        <f>IFERROR(__xludf.DUMMYFUNCTION("IFERROR(FILTER('RAW DATA'!$D:$D,'RAW DATA'!$B:$B=$B29,'RAW DATA'!$C:$C=K$1) / $A29)"),"")</f>
        <v/>
      </c>
      <c r="L29" s="31" t="str">
        <f>IFERROR(__xludf.DUMMYFUNCTION("IFERROR(FILTER('RAW DATA'!$D:$D,'RAW DATA'!$B:$B=$B29,'RAW DATA'!$C:$C=L$1) / $A29)"),"")</f>
        <v/>
      </c>
      <c r="M29" s="31" t="str">
        <f>IFERROR(__xludf.DUMMYFUNCTION("IFERROR(FILTER('RAW DATA'!$D:$D,'RAW DATA'!$B:$B=$B29,'RAW DATA'!$C:$C=M$1) / $A29)"),"")</f>
        <v/>
      </c>
      <c r="N29" s="31" t="str">
        <f>IFERROR(__xludf.DUMMYFUNCTION("IFERROR(FILTER('RAW DATA'!$D:$D,'RAW DATA'!$B:$B=$B29,'RAW DATA'!$C:$C=N$1) / $A29)"),"")</f>
        <v/>
      </c>
      <c r="O29" s="31" t="str">
        <f>IFERROR(__xludf.DUMMYFUNCTION("IFERROR(FILTER('RAW DATA'!$D:$D,'RAW DATA'!$B:$B=$B29,'RAW DATA'!$C:$C=O$1) / $A29)"),"")</f>
        <v/>
      </c>
      <c r="P29" s="31" t="str">
        <f>IFERROR(__xludf.DUMMYFUNCTION("IFERROR(FILTER('RAW DATA'!$D:$D,'RAW DATA'!$B:$B=$B29,'RAW DATA'!$C:$C=P$1) / $A29)"),"")</f>
        <v/>
      </c>
      <c r="Q29" s="31" t="str">
        <f>IFERROR(__xludf.DUMMYFUNCTION("IFERROR(FILTER('RAW DATA'!$D:$D,'RAW DATA'!$B:$B=$B29,'RAW DATA'!$C:$C=Q$1) / $A29)"),"")</f>
        <v/>
      </c>
      <c r="R29" s="31" t="str">
        <f>IFERROR(__xludf.DUMMYFUNCTION("IFERROR(FILTER('RAW DATA'!$D:$D,'RAW DATA'!$B:$B=$B29,'RAW DATA'!$C:$C=R$1) / $A29)"),"")</f>
        <v/>
      </c>
      <c r="S29" s="31" t="str">
        <f>IFERROR(__xludf.DUMMYFUNCTION("IFERROR(FILTER('RAW DATA'!$D:$D,'RAW DATA'!$B:$B=$B29,'RAW DATA'!$C:$C=S$1) / $A29)"),"")</f>
        <v/>
      </c>
      <c r="T29" s="31" t="str">
        <f>IFERROR(__xludf.DUMMYFUNCTION("IFERROR(FILTER('RAW DATA'!$D:$D,'RAW DATA'!$B:$B=$B29,'RAW DATA'!$C:$C=T$1) / $A29)"),"")</f>
        <v/>
      </c>
      <c r="U29" s="31" t="str">
        <f>IFERROR(__xludf.DUMMYFUNCTION("IFERROR(FILTER('RAW DATA'!$D:$D,'RAW DATA'!$B:$B=$B29,'RAW DATA'!$C:$C=U$1) / $A29)"),"")</f>
        <v/>
      </c>
      <c r="V29" s="31" t="str">
        <f>IFERROR(__xludf.DUMMYFUNCTION("IFERROR(FILTER('RAW DATA'!$D:$D,'RAW DATA'!$B:$B=$B29,'RAW DATA'!$C:$C=V$1) / $A29)"),"")</f>
        <v/>
      </c>
      <c r="W29" s="31" t="str">
        <f>IFERROR(__xludf.DUMMYFUNCTION("IFERROR(FILTER('RAW DATA'!$D:$D,'RAW DATA'!$B:$B=$B29,'RAW DATA'!$C:$C=W$1) / $A29)"),"")</f>
        <v/>
      </c>
      <c r="X29" s="31" t="str">
        <f>IFERROR(__xludf.DUMMYFUNCTION("IFERROR(FILTER('RAW DATA'!$D:$D,'RAW DATA'!$B:$B=$B29,'RAW DATA'!$C:$C=X$1) / $A29)"),"")</f>
        <v/>
      </c>
    </row>
    <row r="30">
      <c r="A30" s="44"/>
    </row>
  </sheetData>
  <autoFilter ref="$B$3:$X$2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17.86"/>
  </cols>
  <sheetData>
    <row r="1">
      <c r="C1" s="1">
        <f>IFERROR(__xludf.DUMMYFUNCTION("UNIQUE('Pivot Table for acq weekly'!C2:Y2)"),0.0)</f>
        <v>0</v>
      </c>
      <c r="D1">
        <f>IFERROR(__xludf.DUMMYFUNCTION("""COMPUTED_VALUE"""),1.0)</f>
        <v>1</v>
      </c>
      <c r="E1">
        <f>IFERROR(__xludf.DUMMYFUNCTION("""COMPUTED_VALUE"""),2.0)</f>
        <v>2</v>
      </c>
      <c r="F1">
        <f>IFERROR(__xludf.DUMMYFUNCTION("""COMPUTED_VALUE"""),3.0)</f>
        <v>3</v>
      </c>
      <c r="G1">
        <f>IFERROR(__xludf.DUMMYFUNCTION("""COMPUTED_VALUE"""),4.0)</f>
        <v>4</v>
      </c>
      <c r="H1">
        <f>IFERROR(__xludf.DUMMYFUNCTION("""COMPUTED_VALUE"""),5.0)</f>
        <v>5</v>
      </c>
      <c r="I1">
        <f>IFERROR(__xludf.DUMMYFUNCTION("""COMPUTED_VALUE"""),6.0)</f>
        <v>6</v>
      </c>
      <c r="J1">
        <f>IFERROR(__xludf.DUMMYFUNCTION("""COMPUTED_VALUE"""),7.0)</f>
        <v>7</v>
      </c>
      <c r="K1">
        <f>IFERROR(__xludf.DUMMYFUNCTION("""COMPUTED_VALUE"""),8.0)</f>
        <v>8</v>
      </c>
      <c r="L1">
        <f>IFERROR(__xludf.DUMMYFUNCTION("""COMPUTED_VALUE"""),9.0)</f>
        <v>9</v>
      </c>
      <c r="M1">
        <f>IFERROR(__xludf.DUMMYFUNCTION("""COMPUTED_VALUE"""),10.0)</f>
        <v>10</v>
      </c>
      <c r="N1">
        <f>IFERROR(__xludf.DUMMYFUNCTION("""COMPUTED_VALUE"""),11.0)</f>
        <v>11</v>
      </c>
      <c r="O1">
        <f>IFERROR(__xludf.DUMMYFUNCTION("""COMPUTED_VALUE"""),12.0)</f>
        <v>12</v>
      </c>
      <c r="P1">
        <f>IFERROR(__xludf.DUMMYFUNCTION("""COMPUTED_VALUE"""),13.0)</f>
        <v>13</v>
      </c>
      <c r="Q1">
        <f>IFERROR(__xludf.DUMMYFUNCTION("""COMPUTED_VALUE"""),14.0)</f>
        <v>14</v>
      </c>
      <c r="R1">
        <f>IFERROR(__xludf.DUMMYFUNCTION("""COMPUTED_VALUE"""),15.0)</f>
        <v>15</v>
      </c>
      <c r="S1">
        <f>IFERROR(__xludf.DUMMYFUNCTION("""COMPUTED_VALUE"""),16.0)</f>
        <v>16</v>
      </c>
      <c r="T1">
        <f>IFERROR(__xludf.DUMMYFUNCTION("""COMPUTED_VALUE"""),17.0)</f>
        <v>17</v>
      </c>
      <c r="U1">
        <f>IFERROR(__xludf.DUMMYFUNCTION("""COMPUTED_VALUE"""),18.0)</f>
        <v>18</v>
      </c>
      <c r="V1">
        <f>IFERROR(__xludf.DUMMYFUNCTION("""COMPUTED_VALUE"""),19.0)</f>
        <v>19</v>
      </c>
      <c r="W1">
        <f>IFERROR(__xludf.DUMMYFUNCTION("""COMPUTED_VALUE"""),20.0)</f>
        <v>20</v>
      </c>
      <c r="X1">
        <f>IFERROR(__xludf.DUMMYFUNCTION("""COMPUTED_VALUE"""),21.0)</f>
        <v>21</v>
      </c>
      <c r="Y1">
        <f>IFERROR(__xludf.DUMMYFUNCTION("""COMPUTED_VALUE"""),22.0)</f>
        <v>22</v>
      </c>
    </row>
    <row r="2">
      <c r="A2" s="18" t="s">
        <v>29</v>
      </c>
      <c r="B2" s="18" t="s">
        <v>30</v>
      </c>
      <c r="C2" t="str">
        <f t="shared" ref="C2:Y2" si="1">"WEEK "&amp;C1</f>
        <v>WEEK 0</v>
      </c>
      <c r="D2" t="str">
        <f t="shared" si="1"/>
        <v>WEEK 1</v>
      </c>
      <c r="E2" t="str">
        <f t="shared" si="1"/>
        <v>WEEK 2</v>
      </c>
      <c r="F2" t="str">
        <f t="shared" si="1"/>
        <v>WEEK 3</v>
      </c>
      <c r="G2" t="str">
        <f t="shared" si="1"/>
        <v>WEEK 4</v>
      </c>
      <c r="H2" t="str">
        <f t="shared" si="1"/>
        <v>WEEK 5</v>
      </c>
      <c r="I2" t="str">
        <f t="shared" si="1"/>
        <v>WEEK 6</v>
      </c>
      <c r="J2" t="str">
        <f t="shared" si="1"/>
        <v>WEEK 7</v>
      </c>
      <c r="K2" t="str">
        <f t="shared" si="1"/>
        <v>WEEK 8</v>
      </c>
      <c r="L2" t="str">
        <f t="shared" si="1"/>
        <v>WEEK 9</v>
      </c>
      <c r="M2" t="str">
        <f t="shared" si="1"/>
        <v>WEEK 10</v>
      </c>
      <c r="N2" t="str">
        <f t="shared" si="1"/>
        <v>WEEK 11</v>
      </c>
      <c r="O2" t="str">
        <f t="shared" si="1"/>
        <v>WEEK 12</v>
      </c>
      <c r="P2" t="str">
        <f t="shared" si="1"/>
        <v>WEEK 13</v>
      </c>
      <c r="Q2" t="str">
        <f t="shared" si="1"/>
        <v>WEEK 14</v>
      </c>
      <c r="R2" t="str">
        <f t="shared" si="1"/>
        <v>WEEK 15</v>
      </c>
      <c r="S2" t="str">
        <f t="shared" si="1"/>
        <v>WEEK 16</v>
      </c>
      <c r="T2" t="str">
        <f t="shared" si="1"/>
        <v>WEEK 17</v>
      </c>
      <c r="U2" t="str">
        <f t="shared" si="1"/>
        <v>WEEK 18</v>
      </c>
      <c r="V2" t="str">
        <f t="shared" si="1"/>
        <v>WEEK 19</v>
      </c>
      <c r="W2" t="str">
        <f t="shared" si="1"/>
        <v>WEEK 20</v>
      </c>
      <c r="X2" t="str">
        <f t="shared" si="1"/>
        <v>WEEK 21</v>
      </c>
      <c r="Y2" s="14" t="str">
        <f t="shared" si="1"/>
        <v>WEEK 22</v>
      </c>
    </row>
    <row r="3" hidden="1">
      <c r="A3" s="19">
        <v>1.0</v>
      </c>
      <c r="B3" s="20">
        <v>43254.0</v>
      </c>
      <c r="C3" s="21" t="str">
        <f>IFERROR(__xludf.DUMMYFUNCTION("FILTER('Pivot Table for acq weekly'!C:C,'Pivot Table for acq weekly'!$B:$B=$B3,'Pivot Table for acq weekly'!$A:$A=$A3)"),"#N/A")</f>
        <v>#N/A</v>
      </c>
      <c r="D3" s="22" t="str">
        <f>IFERROR(__xludf.DUMMYFUNCTION("IF(FILTER('Pivot Table for acq weekly'!D:D,'Pivot Table for acq weekly'!$B:$B=$B3,'Pivot Table for acq weekly'!$A:$A=$A3)/$C3 = 0,"""",FILTER('Pivot Table for acq weekly'!D:D,'Pivot Table for acq weekly'!$B:$B=$B3,'Pivot Table for acq weekly'!$A:$A=$A3)/$"&amp;"C3)"),"#N/A")</f>
        <v>#N/A</v>
      </c>
      <c r="E3" s="22" t="str">
        <f>IFERROR(__xludf.DUMMYFUNCTION("IF(FILTER('Pivot Table for acq weekly'!E:E,'Pivot Table for acq weekly'!$B:$B=$B3,'Pivot Table for acq weekly'!$A:$A=$A3)/$C3 = 0,"""",FILTER('Pivot Table for acq weekly'!E:E,'Pivot Table for acq weekly'!$B:$B=$B3,'Pivot Table for acq weekly'!$A:$A=$A3)/$"&amp;"C3)"),"#N/A")</f>
        <v>#N/A</v>
      </c>
      <c r="F3" s="22" t="str">
        <f>IFERROR(__xludf.DUMMYFUNCTION("IF(FILTER('Pivot Table for acq weekly'!F:F,'Pivot Table for acq weekly'!$B:$B=$B3,'Pivot Table for acq weekly'!$A:$A=$A3)/$C3 = 0,"""",FILTER('Pivot Table for acq weekly'!F:F,'Pivot Table for acq weekly'!$B:$B=$B3,'Pivot Table for acq weekly'!$A:$A=$A3)/$"&amp;"C3)"),"#N/A")</f>
        <v>#N/A</v>
      </c>
      <c r="G3" s="22" t="str">
        <f>IFERROR(__xludf.DUMMYFUNCTION("IF(FILTER('Pivot Table for acq weekly'!G:G,'Pivot Table for acq weekly'!$B:$B=$B3,'Pivot Table for acq weekly'!$A:$A=$A3)/$C3 = 0,"""",FILTER('Pivot Table for acq weekly'!G:G,'Pivot Table for acq weekly'!$B:$B=$B3,'Pivot Table for acq weekly'!$A:$A=$A3)/$"&amp;"C3)"),"#N/A")</f>
        <v>#N/A</v>
      </c>
      <c r="H3" s="22" t="str">
        <f>IFERROR(__xludf.DUMMYFUNCTION("IF(FILTER('Pivot Table for acq weekly'!H:H,'Pivot Table for acq weekly'!$B:$B=$B3,'Pivot Table for acq weekly'!$A:$A=$A3)/$C3 = 0,"""",FILTER('Pivot Table for acq weekly'!H:H,'Pivot Table for acq weekly'!$B:$B=$B3,'Pivot Table for acq weekly'!$A:$A=$A3)/$"&amp;"C3)"),"#N/A")</f>
        <v>#N/A</v>
      </c>
      <c r="I3" s="22" t="str">
        <f>IFERROR(__xludf.DUMMYFUNCTION("IF(FILTER('Pivot Table for acq weekly'!I:I,'Pivot Table for acq weekly'!$B:$B=$B3,'Pivot Table for acq weekly'!$A:$A=$A3)/$C3 = 0,"""",FILTER('Pivot Table for acq weekly'!I:I,'Pivot Table for acq weekly'!$B:$B=$B3,'Pivot Table for acq weekly'!$A:$A=$A3)/$"&amp;"C3)"),"#N/A")</f>
        <v>#N/A</v>
      </c>
      <c r="J3" s="22" t="str">
        <f>IFERROR(__xludf.DUMMYFUNCTION("IF(FILTER('Pivot Table for acq weekly'!J:J,'Pivot Table for acq weekly'!$B:$B=$B3,'Pivot Table for acq weekly'!$A:$A=$A3)/$C3 = 0,"""",FILTER('Pivot Table for acq weekly'!J:J,'Pivot Table for acq weekly'!$B:$B=$B3,'Pivot Table for acq weekly'!$A:$A=$A3)/$"&amp;"C3)"),"#N/A")</f>
        <v>#N/A</v>
      </c>
      <c r="K3" s="22" t="str">
        <f>IFERROR(__xludf.DUMMYFUNCTION("IF(FILTER('Pivot Table for acq weekly'!K:K,'Pivot Table for acq weekly'!$B:$B=$B3,'Pivot Table for acq weekly'!$A:$A=$A3)/$C3 = 0,"""",FILTER('Pivot Table for acq weekly'!K:K,'Pivot Table for acq weekly'!$B:$B=$B3,'Pivot Table for acq weekly'!$A:$A=$A3)/$"&amp;"C3)"),"#N/A")</f>
        <v>#N/A</v>
      </c>
      <c r="L3" s="22" t="str">
        <f>IFERROR(__xludf.DUMMYFUNCTION("IF(FILTER('Pivot Table for acq weekly'!L:L,'Pivot Table for acq weekly'!$B:$B=$B3,'Pivot Table for acq weekly'!$A:$A=$A3)/$C3 = 0,"""",FILTER('Pivot Table for acq weekly'!L:L,'Pivot Table for acq weekly'!$B:$B=$B3,'Pivot Table for acq weekly'!$A:$A=$A3)/$"&amp;"C3)"),"#N/A")</f>
        <v>#N/A</v>
      </c>
      <c r="M3" s="22" t="str">
        <f>IFERROR(__xludf.DUMMYFUNCTION("IF(FILTER('Pivot Table for acq weekly'!M:M,'Pivot Table for acq weekly'!$B:$B=$B3,'Pivot Table for acq weekly'!$A:$A=$A3)/$C3 = 0,"""",FILTER('Pivot Table for acq weekly'!M:M,'Pivot Table for acq weekly'!$B:$B=$B3,'Pivot Table for acq weekly'!$A:$A=$A3)/$"&amp;"C3)"),"#N/A")</f>
        <v>#N/A</v>
      </c>
      <c r="N3" s="22" t="str">
        <f>IFERROR(__xludf.DUMMYFUNCTION("IF(FILTER('Pivot Table for acq weekly'!N:N,'Pivot Table for acq weekly'!$B:$B=$B3,'Pivot Table for acq weekly'!$A:$A=$A3)/$C3 = 0,"""",FILTER('Pivot Table for acq weekly'!N:N,'Pivot Table for acq weekly'!$B:$B=$B3,'Pivot Table for acq weekly'!$A:$A=$A3)/$"&amp;"C3)"),"#N/A")</f>
        <v>#N/A</v>
      </c>
      <c r="O3" s="22" t="str">
        <f>IFERROR(__xludf.DUMMYFUNCTION("IF(FILTER('Pivot Table for acq weekly'!O:O,'Pivot Table for acq weekly'!$B:$B=$B3,'Pivot Table for acq weekly'!$A:$A=$A3)/$C3 = 0,"""",FILTER('Pivot Table for acq weekly'!O:O,'Pivot Table for acq weekly'!$B:$B=$B3,'Pivot Table for acq weekly'!$A:$A=$A3)/$"&amp;"C3)"),"#N/A")</f>
        <v>#N/A</v>
      </c>
      <c r="P3" s="22" t="str">
        <f>IFERROR(__xludf.DUMMYFUNCTION("IF(FILTER('Pivot Table for acq weekly'!P:P,'Pivot Table for acq weekly'!$B:$B=$B3,'Pivot Table for acq weekly'!$A:$A=$A3)/$C3 = 0,"""",FILTER('Pivot Table for acq weekly'!P:P,'Pivot Table for acq weekly'!$B:$B=$B3,'Pivot Table for acq weekly'!$A:$A=$A3)/$"&amp;"C3)"),"#N/A")</f>
        <v>#N/A</v>
      </c>
      <c r="Q3" s="22" t="str">
        <f>IFERROR(__xludf.DUMMYFUNCTION("IF(FILTER('Pivot Table for acq weekly'!Q:Q,'Pivot Table for acq weekly'!$B:$B=$B3,'Pivot Table for acq weekly'!$A:$A=$A3)/$C3 = 0,"""",FILTER('Pivot Table for acq weekly'!Q:Q,'Pivot Table for acq weekly'!$B:$B=$B3,'Pivot Table for acq weekly'!$A:$A=$A3)/$"&amp;"C3)"),"#N/A")</f>
        <v>#N/A</v>
      </c>
      <c r="R3" s="22" t="str">
        <f>IFERROR(__xludf.DUMMYFUNCTION("IF(FILTER('Pivot Table for acq weekly'!R:R,'Pivot Table for acq weekly'!$B:$B=$B3,'Pivot Table for acq weekly'!$A:$A=$A3)/$C3 = 0,"""",FILTER('Pivot Table for acq weekly'!R:R,'Pivot Table for acq weekly'!$B:$B=$B3,'Pivot Table for acq weekly'!$A:$A=$A3)/$"&amp;"C3)"),"#N/A")</f>
        <v>#N/A</v>
      </c>
      <c r="S3" s="22" t="str">
        <f>IFERROR(__xludf.DUMMYFUNCTION("IF(FILTER('Pivot Table for acq weekly'!S:S,'Pivot Table for acq weekly'!$B:$B=$B3,'Pivot Table for acq weekly'!$A:$A=$A3)/$C3 = 0,"""",FILTER('Pivot Table for acq weekly'!S:S,'Pivot Table for acq weekly'!$B:$B=$B3,'Pivot Table for acq weekly'!$A:$A=$A3)/$"&amp;"C3)"),"#N/A")</f>
        <v>#N/A</v>
      </c>
      <c r="T3" s="22" t="str">
        <f>IFERROR(__xludf.DUMMYFUNCTION("IF(FILTER('Pivot Table for acq weekly'!T:T,'Pivot Table for acq weekly'!$B:$B=$B3,'Pivot Table for acq weekly'!$A:$A=$A3)/$C3 = 0,"""",FILTER('Pivot Table for acq weekly'!T:T,'Pivot Table for acq weekly'!$B:$B=$B3,'Pivot Table for acq weekly'!$A:$A=$A3)/$"&amp;"C3)"),"#N/A")</f>
        <v>#N/A</v>
      </c>
      <c r="U3" s="22" t="str">
        <f>IFERROR(__xludf.DUMMYFUNCTION("IF(FILTER('Pivot Table for acq weekly'!U:U,'Pivot Table for acq weekly'!$B:$B=$B3,'Pivot Table for acq weekly'!$A:$A=$A3)/$C3 = 0,"""",FILTER('Pivot Table for acq weekly'!U:U,'Pivot Table for acq weekly'!$B:$B=$B3,'Pivot Table for acq weekly'!$A:$A=$A3)/$"&amp;"C3)"),"#N/A")</f>
        <v>#N/A</v>
      </c>
      <c r="V3" s="22" t="str">
        <f>IFERROR(__xludf.DUMMYFUNCTION("IF(FILTER('Pivot Table for acq weekly'!V:V,'Pivot Table for acq weekly'!$B:$B=$B3,'Pivot Table for acq weekly'!$A:$A=$A3)/$C3 = 0,"""",FILTER('Pivot Table for acq weekly'!V:V,'Pivot Table for acq weekly'!$B:$B=$B3,'Pivot Table for acq weekly'!$A:$A=$A3)/$"&amp;"C3)"),"#N/A")</f>
        <v>#N/A</v>
      </c>
      <c r="W3" s="22" t="str">
        <f>IFERROR(__xludf.DUMMYFUNCTION("IF(FILTER('Pivot Table for acq weekly'!W:W,'Pivot Table for acq weekly'!$B:$B=$B3,'Pivot Table for acq weekly'!$A:$A=$A3)/$C3 = 0,"""",FILTER('Pivot Table for acq weekly'!W:W,'Pivot Table for acq weekly'!$B:$B=$B3,'Pivot Table for acq weekly'!$A:$A=$A3)/$"&amp;"C3)"),"#N/A")</f>
        <v>#N/A</v>
      </c>
      <c r="X3" s="22" t="str">
        <f>IFERROR(__xludf.DUMMYFUNCTION("IF(FILTER('Pivot Table for acq weekly'!X:X,'Pivot Table for acq weekly'!$B:$B=$B3,'Pivot Table for acq weekly'!$A:$A=$A3)/$C3 = 0,"""",FILTER('Pivot Table for acq weekly'!X:X,'Pivot Table for acq weekly'!$B:$B=$B3,'Pivot Table for acq weekly'!$A:$A=$A3)/$"&amp;"C3)"),"#N/A")</f>
        <v>#N/A</v>
      </c>
      <c r="Y3" s="22" t="str">
        <f>IFERROR(__xludf.DUMMYFUNCTION("IF(FILTER('Pivot Table for acq weekly'!Y:Y,'Pivot Table for acq weekly'!$B:$B=$B3,'Pivot Table for acq weekly'!$A:$A=$A3)/$C3 = 0,"""",FILTER('Pivot Table for acq weekly'!Y:Y,'Pivot Table for acq weekly'!$B:$B=$B3,'Pivot Table for acq weekly'!$A:$A=$A3)/$"&amp;"C3)"),"#N/A")</f>
        <v>#N/A</v>
      </c>
      <c r="Z3" s="23"/>
    </row>
    <row r="4" hidden="1">
      <c r="A4" s="19">
        <v>1.0</v>
      </c>
      <c r="B4" s="20">
        <v>43261.0</v>
      </c>
      <c r="C4" s="21" t="str">
        <f>IFERROR(__xludf.DUMMYFUNCTION("FILTER('Pivot Table for acq weekly'!C:C,'Pivot Table for acq weekly'!$B:$B=$B4,'Pivot Table for acq weekly'!$A:$A=$A4)"),"#N/A")</f>
        <v>#N/A</v>
      </c>
      <c r="D4" s="22" t="str">
        <f>IFERROR(__xludf.DUMMYFUNCTION("IF(FILTER('Pivot Table for acq weekly'!D:D,'Pivot Table for acq weekly'!$B:$B=$B4,'Pivot Table for acq weekly'!$A:$A=$A4)/$C4 = 0,"""",FILTER('Pivot Table for acq weekly'!D:D,'Pivot Table for acq weekly'!$B:$B=$B4,'Pivot Table for acq weekly'!$A:$A=$A4)/$"&amp;"C4)"),"#N/A")</f>
        <v>#N/A</v>
      </c>
      <c r="E4" s="22" t="str">
        <f>IFERROR(__xludf.DUMMYFUNCTION("IF(FILTER('Pivot Table for acq weekly'!E:E,'Pivot Table for acq weekly'!$B:$B=$B4,'Pivot Table for acq weekly'!$A:$A=$A4)/$C4 = 0,"""",FILTER('Pivot Table for acq weekly'!E:E,'Pivot Table for acq weekly'!$B:$B=$B4,'Pivot Table for acq weekly'!$A:$A=$A4)/$"&amp;"C4)"),"#N/A")</f>
        <v>#N/A</v>
      </c>
      <c r="F4" s="22" t="str">
        <f>IFERROR(__xludf.DUMMYFUNCTION("IF(FILTER('Pivot Table for acq weekly'!F:F,'Pivot Table for acq weekly'!$B:$B=$B4,'Pivot Table for acq weekly'!$A:$A=$A4)/$C4 = 0,"""",FILTER('Pivot Table for acq weekly'!F:F,'Pivot Table for acq weekly'!$B:$B=$B4,'Pivot Table for acq weekly'!$A:$A=$A4)/$"&amp;"C4)"),"#N/A")</f>
        <v>#N/A</v>
      </c>
      <c r="G4" s="22" t="str">
        <f>IFERROR(__xludf.DUMMYFUNCTION("IF(FILTER('Pivot Table for acq weekly'!G:G,'Pivot Table for acq weekly'!$B:$B=$B4,'Pivot Table for acq weekly'!$A:$A=$A4)/$C4 = 0,"""",FILTER('Pivot Table for acq weekly'!G:G,'Pivot Table for acq weekly'!$B:$B=$B4,'Pivot Table for acq weekly'!$A:$A=$A4)/$"&amp;"C4)"),"#N/A")</f>
        <v>#N/A</v>
      </c>
      <c r="H4" s="22" t="str">
        <f>IFERROR(__xludf.DUMMYFUNCTION("IF(FILTER('Pivot Table for acq weekly'!H:H,'Pivot Table for acq weekly'!$B:$B=$B4,'Pivot Table for acq weekly'!$A:$A=$A4)/$C4 = 0,"""",FILTER('Pivot Table for acq weekly'!H:H,'Pivot Table for acq weekly'!$B:$B=$B4,'Pivot Table for acq weekly'!$A:$A=$A4)/$"&amp;"C4)"),"#N/A")</f>
        <v>#N/A</v>
      </c>
      <c r="I4" s="22" t="str">
        <f>IFERROR(__xludf.DUMMYFUNCTION("IF(FILTER('Pivot Table for acq weekly'!I:I,'Pivot Table for acq weekly'!$B:$B=$B4,'Pivot Table for acq weekly'!$A:$A=$A4)/$C4 = 0,"""",FILTER('Pivot Table for acq weekly'!I:I,'Pivot Table for acq weekly'!$B:$B=$B4,'Pivot Table for acq weekly'!$A:$A=$A4)/$"&amp;"C4)"),"#N/A")</f>
        <v>#N/A</v>
      </c>
      <c r="J4" s="22" t="str">
        <f>IFERROR(__xludf.DUMMYFUNCTION("IF(FILTER('Pivot Table for acq weekly'!J:J,'Pivot Table for acq weekly'!$B:$B=$B4,'Pivot Table for acq weekly'!$A:$A=$A4)/$C4 = 0,"""",FILTER('Pivot Table for acq weekly'!J:J,'Pivot Table for acq weekly'!$B:$B=$B4,'Pivot Table for acq weekly'!$A:$A=$A4)/$"&amp;"C4)"),"#N/A")</f>
        <v>#N/A</v>
      </c>
      <c r="K4" s="22" t="str">
        <f>IFERROR(__xludf.DUMMYFUNCTION("IF(FILTER('Pivot Table for acq weekly'!K:K,'Pivot Table for acq weekly'!$B:$B=$B4,'Pivot Table for acq weekly'!$A:$A=$A4)/$C4 = 0,"""",FILTER('Pivot Table for acq weekly'!K:K,'Pivot Table for acq weekly'!$B:$B=$B4,'Pivot Table for acq weekly'!$A:$A=$A4)/$"&amp;"C4)"),"#N/A")</f>
        <v>#N/A</v>
      </c>
      <c r="L4" s="22" t="str">
        <f>IFERROR(__xludf.DUMMYFUNCTION("IF(FILTER('Pivot Table for acq weekly'!L:L,'Pivot Table for acq weekly'!$B:$B=$B4,'Pivot Table for acq weekly'!$A:$A=$A4)/$C4 = 0,"""",FILTER('Pivot Table for acq weekly'!L:L,'Pivot Table for acq weekly'!$B:$B=$B4,'Pivot Table for acq weekly'!$A:$A=$A4)/$"&amp;"C4)"),"#N/A")</f>
        <v>#N/A</v>
      </c>
      <c r="M4" s="22" t="str">
        <f>IFERROR(__xludf.DUMMYFUNCTION("IF(FILTER('Pivot Table for acq weekly'!M:M,'Pivot Table for acq weekly'!$B:$B=$B4,'Pivot Table for acq weekly'!$A:$A=$A4)/$C4 = 0,"""",FILTER('Pivot Table for acq weekly'!M:M,'Pivot Table for acq weekly'!$B:$B=$B4,'Pivot Table for acq weekly'!$A:$A=$A4)/$"&amp;"C4)"),"#N/A")</f>
        <v>#N/A</v>
      </c>
      <c r="N4" s="22" t="str">
        <f>IFERROR(__xludf.DUMMYFUNCTION("IF(FILTER('Pivot Table for acq weekly'!N:N,'Pivot Table for acq weekly'!$B:$B=$B4,'Pivot Table for acq weekly'!$A:$A=$A4)/$C4 = 0,"""",FILTER('Pivot Table for acq weekly'!N:N,'Pivot Table for acq weekly'!$B:$B=$B4,'Pivot Table for acq weekly'!$A:$A=$A4)/$"&amp;"C4)"),"#N/A")</f>
        <v>#N/A</v>
      </c>
      <c r="O4" s="22" t="str">
        <f>IFERROR(__xludf.DUMMYFUNCTION("IF(FILTER('Pivot Table for acq weekly'!O:O,'Pivot Table for acq weekly'!$B:$B=$B4,'Pivot Table for acq weekly'!$A:$A=$A4)/$C4 = 0,"""",FILTER('Pivot Table for acq weekly'!O:O,'Pivot Table for acq weekly'!$B:$B=$B4,'Pivot Table for acq weekly'!$A:$A=$A4)/$"&amp;"C4)"),"#N/A")</f>
        <v>#N/A</v>
      </c>
      <c r="P4" s="22" t="str">
        <f>IFERROR(__xludf.DUMMYFUNCTION("IF(FILTER('Pivot Table for acq weekly'!P:P,'Pivot Table for acq weekly'!$B:$B=$B4,'Pivot Table for acq weekly'!$A:$A=$A4)/$C4 = 0,"""",FILTER('Pivot Table for acq weekly'!P:P,'Pivot Table for acq weekly'!$B:$B=$B4,'Pivot Table for acq weekly'!$A:$A=$A4)/$"&amp;"C4)"),"#N/A")</f>
        <v>#N/A</v>
      </c>
      <c r="Q4" s="22" t="str">
        <f>IFERROR(__xludf.DUMMYFUNCTION("IF(FILTER('Pivot Table for acq weekly'!Q:Q,'Pivot Table for acq weekly'!$B:$B=$B4,'Pivot Table for acq weekly'!$A:$A=$A4)/$C4 = 0,"""",FILTER('Pivot Table for acq weekly'!Q:Q,'Pivot Table for acq weekly'!$B:$B=$B4,'Pivot Table for acq weekly'!$A:$A=$A4)/$"&amp;"C4)"),"#N/A")</f>
        <v>#N/A</v>
      </c>
      <c r="R4" s="22" t="str">
        <f>IFERROR(__xludf.DUMMYFUNCTION("IF(FILTER('Pivot Table for acq weekly'!R:R,'Pivot Table for acq weekly'!$B:$B=$B4,'Pivot Table for acq weekly'!$A:$A=$A4)/$C4 = 0,"""",FILTER('Pivot Table for acq weekly'!R:R,'Pivot Table for acq weekly'!$B:$B=$B4,'Pivot Table for acq weekly'!$A:$A=$A4)/$"&amp;"C4)"),"#N/A")</f>
        <v>#N/A</v>
      </c>
      <c r="S4" s="22" t="str">
        <f>IFERROR(__xludf.DUMMYFUNCTION("IF(FILTER('Pivot Table for acq weekly'!S:S,'Pivot Table for acq weekly'!$B:$B=$B4,'Pivot Table for acq weekly'!$A:$A=$A4)/$C4 = 0,"""",FILTER('Pivot Table for acq weekly'!S:S,'Pivot Table for acq weekly'!$B:$B=$B4,'Pivot Table for acq weekly'!$A:$A=$A4)/$"&amp;"C4)"),"#N/A")</f>
        <v>#N/A</v>
      </c>
      <c r="T4" s="22" t="str">
        <f>IFERROR(__xludf.DUMMYFUNCTION("IF(FILTER('Pivot Table for acq weekly'!T:T,'Pivot Table for acq weekly'!$B:$B=$B4,'Pivot Table for acq weekly'!$A:$A=$A4)/$C4 = 0,"""",FILTER('Pivot Table for acq weekly'!T:T,'Pivot Table for acq weekly'!$B:$B=$B4,'Pivot Table for acq weekly'!$A:$A=$A4)/$"&amp;"C4)"),"#N/A")</f>
        <v>#N/A</v>
      </c>
      <c r="U4" s="22" t="str">
        <f>IFERROR(__xludf.DUMMYFUNCTION("IF(FILTER('Pivot Table for acq weekly'!U:U,'Pivot Table for acq weekly'!$B:$B=$B4,'Pivot Table for acq weekly'!$A:$A=$A4)/$C4 = 0,"""",FILTER('Pivot Table for acq weekly'!U:U,'Pivot Table for acq weekly'!$B:$B=$B4,'Pivot Table for acq weekly'!$A:$A=$A4)/$"&amp;"C4)"),"#N/A")</f>
        <v>#N/A</v>
      </c>
      <c r="V4" s="22" t="str">
        <f>IFERROR(__xludf.DUMMYFUNCTION("IF(FILTER('Pivot Table for acq weekly'!V:V,'Pivot Table for acq weekly'!$B:$B=$B4,'Pivot Table for acq weekly'!$A:$A=$A4)/$C4 = 0,"""",FILTER('Pivot Table for acq weekly'!V:V,'Pivot Table for acq weekly'!$B:$B=$B4,'Pivot Table for acq weekly'!$A:$A=$A4)/$"&amp;"C4)"),"#N/A")</f>
        <v>#N/A</v>
      </c>
      <c r="W4" s="22" t="str">
        <f>IFERROR(__xludf.DUMMYFUNCTION("IF(FILTER('Pivot Table for acq weekly'!W:W,'Pivot Table for acq weekly'!$B:$B=$B4,'Pivot Table for acq weekly'!$A:$A=$A4)/$C4 = 0,"""",FILTER('Pivot Table for acq weekly'!W:W,'Pivot Table for acq weekly'!$B:$B=$B4,'Pivot Table for acq weekly'!$A:$A=$A4)/$"&amp;"C4)"),"#N/A")</f>
        <v>#N/A</v>
      </c>
      <c r="X4" s="22" t="str">
        <f>IFERROR(__xludf.DUMMYFUNCTION("IF(FILTER('Pivot Table for acq weekly'!X:X,'Pivot Table for acq weekly'!$B:$B=$B4,'Pivot Table for acq weekly'!$A:$A=$A4)/$C4 = 0,"""",FILTER('Pivot Table for acq weekly'!X:X,'Pivot Table for acq weekly'!$B:$B=$B4,'Pivot Table for acq weekly'!$A:$A=$A4)/$"&amp;"C4)"),"#N/A")</f>
        <v>#N/A</v>
      </c>
      <c r="Y4" s="22" t="str">
        <f>IFERROR(__xludf.DUMMYFUNCTION("IF(FILTER('Pivot Table for acq weekly'!Y:Y,'Pivot Table for acq weekly'!$B:$B=$B4,'Pivot Table for acq weekly'!$A:$A=$A4)/$C4 = 0,"""",FILTER('Pivot Table for acq weekly'!Y:Y,'Pivot Table for acq weekly'!$B:$B=$B4,'Pivot Table for acq weekly'!$A:$A=$A4)/$"&amp;"C4)"),"#N/A")</f>
        <v>#N/A</v>
      </c>
      <c r="Z4" s="23"/>
    </row>
    <row r="5" hidden="1">
      <c r="A5" s="19">
        <v>1.0</v>
      </c>
      <c r="B5" s="20">
        <v>43268.0</v>
      </c>
      <c r="C5" s="21" t="str">
        <f>IFERROR(__xludf.DUMMYFUNCTION("FILTER('Pivot Table for acq weekly'!C:C,'Pivot Table for acq weekly'!$B:$B=$B5,'Pivot Table for acq weekly'!$A:$A=$A5)"),"#N/A")</f>
        <v>#N/A</v>
      </c>
      <c r="D5" s="22" t="str">
        <f>IFERROR(__xludf.DUMMYFUNCTION("IF(FILTER('Pivot Table for acq weekly'!D:D,'Pivot Table for acq weekly'!$B:$B=$B5,'Pivot Table for acq weekly'!$A:$A=$A5)/$C5 = 0,"""",FILTER('Pivot Table for acq weekly'!D:D,'Pivot Table for acq weekly'!$B:$B=$B5,'Pivot Table for acq weekly'!$A:$A=$A5)/$"&amp;"C5)"),"#N/A")</f>
        <v>#N/A</v>
      </c>
      <c r="E5" s="22" t="str">
        <f>IFERROR(__xludf.DUMMYFUNCTION("IF(FILTER('Pivot Table for acq weekly'!E:E,'Pivot Table for acq weekly'!$B:$B=$B5,'Pivot Table for acq weekly'!$A:$A=$A5)/$C5 = 0,"""",FILTER('Pivot Table for acq weekly'!E:E,'Pivot Table for acq weekly'!$B:$B=$B5,'Pivot Table for acq weekly'!$A:$A=$A5)/$"&amp;"C5)"),"#N/A")</f>
        <v>#N/A</v>
      </c>
      <c r="F5" s="22" t="str">
        <f>IFERROR(__xludf.DUMMYFUNCTION("IF(FILTER('Pivot Table for acq weekly'!F:F,'Pivot Table for acq weekly'!$B:$B=$B5,'Pivot Table for acq weekly'!$A:$A=$A5)/$C5 = 0,"""",FILTER('Pivot Table for acq weekly'!F:F,'Pivot Table for acq weekly'!$B:$B=$B5,'Pivot Table for acq weekly'!$A:$A=$A5)/$"&amp;"C5)"),"#N/A")</f>
        <v>#N/A</v>
      </c>
      <c r="G5" s="22" t="str">
        <f>IFERROR(__xludf.DUMMYFUNCTION("IF(FILTER('Pivot Table for acq weekly'!G:G,'Pivot Table for acq weekly'!$B:$B=$B5,'Pivot Table for acq weekly'!$A:$A=$A5)/$C5 = 0,"""",FILTER('Pivot Table for acq weekly'!G:G,'Pivot Table for acq weekly'!$B:$B=$B5,'Pivot Table for acq weekly'!$A:$A=$A5)/$"&amp;"C5)"),"#N/A")</f>
        <v>#N/A</v>
      </c>
      <c r="H5" s="22" t="str">
        <f>IFERROR(__xludf.DUMMYFUNCTION("IF(FILTER('Pivot Table for acq weekly'!H:H,'Pivot Table for acq weekly'!$B:$B=$B5,'Pivot Table for acq weekly'!$A:$A=$A5)/$C5 = 0,"""",FILTER('Pivot Table for acq weekly'!H:H,'Pivot Table for acq weekly'!$B:$B=$B5,'Pivot Table for acq weekly'!$A:$A=$A5)/$"&amp;"C5)"),"#N/A")</f>
        <v>#N/A</v>
      </c>
      <c r="I5" s="22" t="str">
        <f>IFERROR(__xludf.DUMMYFUNCTION("IF(FILTER('Pivot Table for acq weekly'!I:I,'Pivot Table for acq weekly'!$B:$B=$B5,'Pivot Table for acq weekly'!$A:$A=$A5)/$C5 = 0,"""",FILTER('Pivot Table for acq weekly'!I:I,'Pivot Table for acq weekly'!$B:$B=$B5,'Pivot Table for acq weekly'!$A:$A=$A5)/$"&amp;"C5)"),"#N/A")</f>
        <v>#N/A</v>
      </c>
      <c r="J5" s="22" t="str">
        <f>IFERROR(__xludf.DUMMYFUNCTION("IF(FILTER('Pivot Table for acq weekly'!J:J,'Pivot Table for acq weekly'!$B:$B=$B5,'Pivot Table for acq weekly'!$A:$A=$A5)/$C5 = 0,"""",FILTER('Pivot Table for acq weekly'!J:J,'Pivot Table for acq weekly'!$B:$B=$B5,'Pivot Table for acq weekly'!$A:$A=$A5)/$"&amp;"C5)"),"#N/A")</f>
        <v>#N/A</v>
      </c>
      <c r="K5" s="22" t="str">
        <f>IFERROR(__xludf.DUMMYFUNCTION("IF(FILTER('Pivot Table for acq weekly'!K:K,'Pivot Table for acq weekly'!$B:$B=$B5,'Pivot Table for acq weekly'!$A:$A=$A5)/$C5 = 0,"""",FILTER('Pivot Table for acq weekly'!K:K,'Pivot Table for acq weekly'!$B:$B=$B5,'Pivot Table for acq weekly'!$A:$A=$A5)/$"&amp;"C5)"),"#N/A")</f>
        <v>#N/A</v>
      </c>
      <c r="L5" s="22" t="str">
        <f>IFERROR(__xludf.DUMMYFUNCTION("IF(FILTER('Pivot Table for acq weekly'!L:L,'Pivot Table for acq weekly'!$B:$B=$B5,'Pivot Table for acq weekly'!$A:$A=$A5)/$C5 = 0,"""",FILTER('Pivot Table for acq weekly'!L:L,'Pivot Table for acq weekly'!$B:$B=$B5,'Pivot Table for acq weekly'!$A:$A=$A5)/$"&amp;"C5)"),"#N/A")</f>
        <v>#N/A</v>
      </c>
      <c r="M5" s="22" t="str">
        <f>IFERROR(__xludf.DUMMYFUNCTION("IF(FILTER('Pivot Table for acq weekly'!M:M,'Pivot Table for acq weekly'!$B:$B=$B5,'Pivot Table for acq weekly'!$A:$A=$A5)/$C5 = 0,"""",FILTER('Pivot Table for acq weekly'!M:M,'Pivot Table for acq weekly'!$B:$B=$B5,'Pivot Table for acq weekly'!$A:$A=$A5)/$"&amp;"C5)"),"#N/A")</f>
        <v>#N/A</v>
      </c>
      <c r="N5" s="22" t="str">
        <f>IFERROR(__xludf.DUMMYFUNCTION("IF(FILTER('Pivot Table for acq weekly'!N:N,'Pivot Table for acq weekly'!$B:$B=$B5,'Pivot Table for acq weekly'!$A:$A=$A5)/$C5 = 0,"""",FILTER('Pivot Table for acq weekly'!N:N,'Pivot Table for acq weekly'!$B:$B=$B5,'Pivot Table for acq weekly'!$A:$A=$A5)/$"&amp;"C5)"),"#N/A")</f>
        <v>#N/A</v>
      </c>
      <c r="O5" s="22" t="str">
        <f>IFERROR(__xludf.DUMMYFUNCTION("IF(FILTER('Pivot Table for acq weekly'!O:O,'Pivot Table for acq weekly'!$B:$B=$B5,'Pivot Table for acq weekly'!$A:$A=$A5)/$C5 = 0,"""",FILTER('Pivot Table for acq weekly'!O:O,'Pivot Table for acq weekly'!$B:$B=$B5,'Pivot Table for acq weekly'!$A:$A=$A5)/$"&amp;"C5)"),"#N/A")</f>
        <v>#N/A</v>
      </c>
      <c r="P5" s="22" t="str">
        <f>IFERROR(__xludf.DUMMYFUNCTION("IF(FILTER('Pivot Table for acq weekly'!P:P,'Pivot Table for acq weekly'!$B:$B=$B5,'Pivot Table for acq weekly'!$A:$A=$A5)/$C5 = 0,"""",FILTER('Pivot Table for acq weekly'!P:P,'Pivot Table for acq weekly'!$B:$B=$B5,'Pivot Table for acq weekly'!$A:$A=$A5)/$"&amp;"C5)"),"#N/A")</f>
        <v>#N/A</v>
      </c>
      <c r="Q5" s="22" t="str">
        <f>IFERROR(__xludf.DUMMYFUNCTION("IF(FILTER('Pivot Table for acq weekly'!Q:Q,'Pivot Table for acq weekly'!$B:$B=$B5,'Pivot Table for acq weekly'!$A:$A=$A5)/$C5 = 0,"""",FILTER('Pivot Table for acq weekly'!Q:Q,'Pivot Table for acq weekly'!$B:$B=$B5,'Pivot Table for acq weekly'!$A:$A=$A5)/$"&amp;"C5)"),"#N/A")</f>
        <v>#N/A</v>
      </c>
      <c r="R5" s="22" t="str">
        <f>IFERROR(__xludf.DUMMYFUNCTION("IF(FILTER('Pivot Table for acq weekly'!R:R,'Pivot Table for acq weekly'!$B:$B=$B5,'Pivot Table for acq weekly'!$A:$A=$A5)/$C5 = 0,"""",FILTER('Pivot Table for acq weekly'!R:R,'Pivot Table for acq weekly'!$B:$B=$B5,'Pivot Table for acq weekly'!$A:$A=$A5)/$"&amp;"C5)"),"#N/A")</f>
        <v>#N/A</v>
      </c>
      <c r="S5" s="22" t="str">
        <f>IFERROR(__xludf.DUMMYFUNCTION("IF(FILTER('Pivot Table for acq weekly'!S:S,'Pivot Table for acq weekly'!$B:$B=$B5,'Pivot Table for acq weekly'!$A:$A=$A5)/$C5 = 0,"""",FILTER('Pivot Table for acq weekly'!S:S,'Pivot Table for acq weekly'!$B:$B=$B5,'Pivot Table for acq weekly'!$A:$A=$A5)/$"&amp;"C5)"),"#N/A")</f>
        <v>#N/A</v>
      </c>
      <c r="T5" s="22" t="str">
        <f>IFERROR(__xludf.DUMMYFUNCTION("IF(FILTER('Pivot Table for acq weekly'!T:T,'Pivot Table for acq weekly'!$B:$B=$B5,'Pivot Table for acq weekly'!$A:$A=$A5)/$C5 = 0,"""",FILTER('Pivot Table for acq weekly'!T:T,'Pivot Table for acq weekly'!$B:$B=$B5,'Pivot Table for acq weekly'!$A:$A=$A5)/$"&amp;"C5)"),"#N/A")</f>
        <v>#N/A</v>
      </c>
      <c r="U5" s="22" t="str">
        <f>IFERROR(__xludf.DUMMYFUNCTION("IF(FILTER('Pivot Table for acq weekly'!U:U,'Pivot Table for acq weekly'!$B:$B=$B5,'Pivot Table for acq weekly'!$A:$A=$A5)/$C5 = 0,"""",FILTER('Pivot Table for acq weekly'!U:U,'Pivot Table for acq weekly'!$B:$B=$B5,'Pivot Table for acq weekly'!$A:$A=$A5)/$"&amp;"C5)"),"#N/A")</f>
        <v>#N/A</v>
      </c>
      <c r="V5" s="22" t="str">
        <f>IFERROR(__xludf.DUMMYFUNCTION("IF(FILTER('Pivot Table for acq weekly'!V:V,'Pivot Table for acq weekly'!$B:$B=$B5,'Pivot Table for acq weekly'!$A:$A=$A5)/$C5 = 0,"""",FILTER('Pivot Table for acq weekly'!V:V,'Pivot Table for acq weekly'!$B:$B=$B5,'Pivot Table for acq weekly'!$A:$A=$A5)/$"&amp;"C5)"),"#N/A")</f>
        <v>#N/A</v>
      </c>
      <c r="W5" s="22" t="str">
        <f>IFERROR(__xludf.DUMMYFUNCTION("IF(FILTER('Pivot Table for acq weekly'!W:W,'Pivot Table for acq weekly'!$B:$B=$B5,'Pivot Table for acq weekly'!$A:$A=$A5)/$C5 = 0,"""",FILTER('Pivot Table for acq weekly'!W:W,'Pivot Table for acq weekly'!$B:$B=$B5,'Pivot Table for acq weekly'!$A:$A=$A5)/$"&amp;"C5)"),"#N/A")</f>
        <v>#N/A</v>
      </c>
      <c r="X5" s="22" t="str">
        <f>IFERROR(__xludf.DUMMYFUNCTION("IF(FILTER('Pivot Table for acq weekly'!X:X,'Pivot Table for acq weekly'!$B:$B=$B5,'Pivot Table for acq weekly'!$A:$A=$A5)/$C5 = 0,"""",FILTER('Pivot Table for acq weekly'!X:X,'Pivot Table for acq weekly'!$B:$B=$B5,'Pivot Table for acq weekly'!$A:$A=$A5)/$"&amp;"C5)"),"#N/A")</f>
        <v>#N/A</v>
      </c>
      <c r="Y5" s="22" t="str">
        <f>IFERROR(__xludf.DUMMYFUNCTION("IF(FILTER('Pivot Table for acq weekly'!Y:Y,'Pivot Table for acq weekly'!$B:$B=$B5,'Pivot Table for acq weekly'!$A:$A=$A5)/$C5 = 0,"""",FILTER('Pivot Table for acq weekly'!Y:Y,'Pivot Table for acq weekly'!$B:$B=$B5,'Pivot Table for acq weekly'!$A:$A=$A5)/$"&amp;"C5)"),"#N/A")</f>
        <v>#N/A</v>
      </c>
      <c r="Z5" s="23"/>
    </row>
    <row r="6" hidden="1">
      <c r="A6" s="19">
        <v>1.0</v>
      </c>
      <c r="B6" s="20">
        <v>43275.0</v>
      </c>
      <c r="C6" s="21" t="str">
        <f>IFERROR(__xludf.DUMMYFUNCTION("FILTER('Pivot Table for acq weekly'!C:C,'Pivot Table for acq weekly'!$B:$B=$B6,'Pivot Table for acq weekly'!$A:$A=$A6)"),"#N/A")</f>
        <v>#N/A</v>
      </c>
      <c r="D6" s="22" t="str">
        <f>IFERROR(__xludf.DUMMYFUNCTION("IF(FILTER('Pivot Table for acq weekly'!D:D,'Pivot Table for acq weekly'!$B:$B=$B6,'Pivot Table for acq weekly'!$A:$A=$A6)/$C6 = 0,"""",FILTER('Pivot Table for acq weekly'!D:D,'Pivot Table for acq weekly'!$B:$B=$B6,'Pivot Table for acq weekly'!$A:$A=$A6)/$"&amp;"C6)"),"#N/A")</f>
        <v>#N/A</v>
      </c>
      <c r="E6" s="22" t="str">
        <f>IFERROR(__xludf.DUMMYFUNCTION("IF(FILTER('Pivot Table for acq weekly'!E:E,'Pivot Table for acq weekly'!$B:$B=$B6,'Pivot Table for acq weekly'!$A:$A=$A6)/$C6 = 0,"""",FILTER('Pivot Table for acq weekly'!E:E,'Pivot Table for acq weekly'!$B:$B=$B6,'Pivot Table for acq weekly'!$A:$A=$A6)/$"&amp;"C6)"),"#N/A")</f>
        <v>#N/A</v>
      </c>
      <c r="F6" s="22" t="str">
        <f>IFERROR(__xludf.DUMMYFUNCTION("IF(FILTER('Pivot Table for acq weekly'!F:F,'Pivot Table for acq weekly'!$B:$B=$B6,'Pivot Table for acq weekly'!$A:$A=$A6)/$C6 = 0,"""",FILTER('Pivot Table for acq weekly'!F:F,'Pivot Table for acq weekly'!$B:$B=$B6,'Pivot Table for acq weekly'!$A:$A=$A6)/$"&amp;"C6)"),"#N/A")</f>
        <v>#N/A</v>
      </c>
      <c r="G6" s="22" t="str">
        <f>IFERROR(__xludf.DUMMYFUNCTION("IF(FILTER('Pivot Table for acq weekly'!G:G,'Pivot Table for acq weekly'!$B:$B=$B6,'Pivot Table for acq weekly'!$A:$A=$A6)/$C6 = 0,"""",FILTER('Pivot Table for acq weekly'!G:G,'Pivot Table for acq weekly'!$B:$B=$B6,'Pivot Table for acq weekly'!$A:$A=$A6)/$"&amp;"C6)"),"#N/A")</f>
        <v>#N/A</v>
      </c>
      <c r="H6" s="22" t="str">
        <f>IFERROR(__xludf.DUMMYFUNCTION("IF(FILTER('Pivot Table for acq weekly'!H:H,'Pivot Table for acq weekly'!$B:$B=$B6,'Pivot Table for acq weekly'!$A:$A=$A6)/$C6 = 0,"""",FILTER('Pivot Table for acq weekly'!H:H,'Pivot Table for acq weekly'!$B:$B=$B6,'Pivot Table for acq weekly'!$A:$A=$A6)/$"&amp;"C6)"),"#N/A")</f>
        <v>#N/A</v>
      </c>
      <c r="I6" s="22" t="str">
        <f>IFERROR(__xludf.DUMMYFUNCTION("IF(FILTER('Pivot Table for acq weekly'!I:I,'Pivot Table for acq weekly'!$B:$B=$B6,'Pivot Table for acq weekly'!$A:$A=$A6)/$C6 = 0,"""",FILTER('Pivot Table for acq weekly'!I:I,'Pivot Table for acq weekly'!$B:$B=$B6,'Pivot Table for acq weekly'!$A:$A=$A6)/$"&amp;"C6)"),"#N/A")</f>
        <v>#N/A</v>
      </c>
      <c r="J6" s="22" t="str">
        <f>IFERROR(__xludf.DUMMYFUNCTION("IF(FILTER('Pivot Table for acq weekly'!J:J,'Pivot Table for acq weekly'!$B:$B=$B6,'Pivot Table for acq weekly'!$A:$A=$A6)/$C6 = 0,"""",FILTER('Pivot Table for acq weekly'!J:J,'Pivot Table for acq weekly'!$B:$B=$B6,'Pivot Table for acq weekly'!$A:$A=$A6)/$"&amp;"C6)"),"#N/A")</f>
        <v>#N/A</v>
      </c>
      <c r="K6" s="22" t="str">
        <f>IFERROR(__xludf.DUMMYFUNCTION("IF(FILTER('Pivot Table for acq weekly'!K:K,'Pivot Table for acq weekly'!$B:$B=$B6,'Pivot Table for acq weekly'!$A:$A=$A6)/$C6 = 0,"""",FILTER('Pivot Table for acq weekly'!K:K,'Pivot Table for acq weekly'!$B:$B=$B6,'Pivot Table for acq weekly'!$A:$A=$A6)/$"&amp;"C6)"),"#N/A")</f>
        <v>#N/A</v>
      </c>
      <c r="L6" s="22" t="str">
        <f>IFERROR(__xludf.DUMMYFUNCTION("IF(FILTER('Pivot Table for acq weekly'!L:L,'Pivot Table for acq weekly'!$B:$B=$B6,'Pivot Table for acq weekly'!$A:$A=$A6)/$C6 = 0,"""",FILTER('Pivot Table for acq weekly'!L:L,'Pivot Table for acq weekly'!$B:$B=$B6,'Pivot Table for acq weekly'!$A:$A=$A6)/$"&amp;"C6)"),"#N/A")</f>
        <v>#N/A</v>
      </c>
      <c r="M6" s="22" t="str">
        <f>IFERROR(__xludf.DUMMYFUNCTION("IF(FILTER('Pivot Table for acq weekly'!M:M,'Pivot Table for acq weekly'!$B:$B=$B6,'Pivot Table for acq weekly'!$A:$A=$A6)/$C6 = 0,"""",FILTER('Pivot Table for acq weekly'!M:M,'Pivot Table for acq weekly'!$B:$B=$B6,'Pivot Table for acq weekly'!$A:$A=$A6)/$"&amp;"C6)"),"#N/A")</f>
        <v>#N/A</v>
      </c>
      <c r="N6" s="22" t="str">
        <f>IFERROR(__xludf.DUMMYFUNCTION("IF(FILTER('Pivot Table for acq weekly'!N:N,'Pivot Table for acq weekly'!$B:$B=$B6,'Pivot Table for acq weekly'!$A:$A=$A6)/$C6 = 0,"""",FILTER('Pivot Table for acq weekly'!N:N,'Pivot Table for acq weekly'!$B:$B=$B6,'Pivot Table for acq weekly'!$A:$A=$A6)/$"&amp;"C6)"),"#N/A")</f>
        <v>#N/A</v>
      </c>
      <c r="O6" s="22" t="str">
        <f>IFERROR(__xludf.DUMMYFUNCTION("IF(FILTER('Pivot Table for acq weekly'!O:O,'Pivot Table for acq weekly'!$B:$B=$B6,'Pivot Table for acq weekly'!$A:$A=$A6)/$C6 = 0,"""",FILTER('Pivot Table for acq weekly'!O:O,'Pivot Table for acq weekly'!$B:$B=$B6,'Pivot Table for acq weekly'!$A:$A=$A6)/$"&amp;"C6)"),"#N/A")</f>
        <v>#N/A</v>
      </c>
      <c r="P6" s="22" t="str">
        <f>IFERROR(__xludf.DUMMYFUNCTION("IF(FILTER('Pivot Table for acq weekly'!P:P,'Pivot Table for acq weekly'!$B:$B=$B6,'Pivot Table for acq weekly'!$A:$A=$A6)/$C6 = 0,"""",FILTER('Pivot Table for acq weekly'!P:P,'Pivot Table for acq weekly'!$B:$B=$B6,'Pivot Table for acq weekly'!$A:$A=$A6)/$"&amp;"C6)"),"#N/A")</f>
        <v>#N/A</v>
      </c>
      <c r="Q6" s="22" t="str">
        <f>IFERROR(__xludf.DUMMYFUNCTION("IF(FILTER('Pivot Table for acq weekly'!Q:Q,'Pivot Table for acq weekly'!$B:$B=$B6,'Pivot Table for acq weekly'!$A:$A=$A6)/$C6 = 0,"""",FILTER('Pivot Table for acq weekly'!Q:Q,'Pivot Table for acq weekly'!$B:$B=$B6,'Pivot Table for acq weekly'!$A:$A=$A6)/$"&amp;"C6)"),"#N/A")</f>
        <v>#N/A</v>
      </c>
      <c r="R6" s="22" t="str">
        <f>IFERROR(__xludf.DUMMYFUNCTION("IF(FILTER('Pivot Table for acq weekly'!R:R,'Pivot Table for acq weekly'!$B:$B=$B6,'Pivot Table for acq weekly'!$A:$A=$A6)/$C6 = 0,"""",FILTER('Pivot Table for acq weekly'!R:R,'Pivot Table for acq weekly'!$B:$B=$B6,'Pivot Table for acq weekly'!$A:$A=$A6)/$"&amp;"C6)"),"#N/A")</f>
        <v>#N/A</v>
      </c>
      <c r="S6" s="22" t="str">
        <f>IFERROR(__xludf.DUMMYFUNCTION("IF(FILTER('Pivot Table for acq weekly'!S:S,'Pivot Table for acq weekly'!$B:$B=$B6,'Pivot Table for acq weekly'!$A:$A=$A6)/$C6 = 0,"""",FILTER('Pivot Table for acq weekly'!S:S,'Pivot Table for acq weekly'!$B:$B=$B6,'Pivot Table for acq weekly'!$A:$A=$A6)/$"&amp;"C6)"),"#N/A")</f>
        <v>#N/A</v>
      </c>
      <c r="T6" s="22" t="str">
        <f>IFERROR(__xludf.DUMMYFUNCTION("IF(FILTER('Pivot Table for acq weekly'!T:T,'Pivot Table for acq weekly'!$B:$B=$B6,'Pivot Table for acq weekly'!$A:$A=$A6)/$C6 = 0,"""",FILTER('Pivot Table for acq weekly'!T:T,'Pivot Table for acq weekly'!$B:$B=$B6,'Pivot Table for acq weekly'!$A:$A=$A6)/$"&amp;"C6)"),"#N/A")</f>
        <v>#N/A</v>
      </c>
      <c r="U6" s="22" t="str">
        <f>IFERROR(__xludf.DUMMYFUNCTION("IF(FILTER('Pivot Table for acq weekly'!U:U,'Pivot Table for acq weekly'!$B:$B=$B6,'Pivot Table for acq weekly'!$A:$A=$A6)/$C6 = 0,"""",FILTER('Pivot Table for acq weekly'!U:U,'Pivot Table for acq weekly'!$B:$B=$B6,'Pivot Table for acq weekly'!$A:$A=$A6)/$"&amp;"C6)"),"#N/A")</f>
        <v>#N/A</v>
      </c>
      <c r="V6" s="22" t="str">
        <f>IFERROR(__xludf.DUMMYFUNCTION("IF(FILTER('Pivot Table for acq weekly'!V:V,'Pivot Table for acq weekly'!$B:$B=$B6,'Pivot Table for acq weekly'!$A:$A=$A6)/$C6 = 0,"""",FILTER('Pivot Table for acq weekly'!V:V,'Pivot Table for acq weekly'!$B:$B=$B6,'Pivot Table for acq weekly'!$A:$A=$A6)/$"&amp;"C6)"),"#N/A")</f>
        <v>#N/A</v>
      </c>
      <c r="W6" s="22" t="str">
        <f>IFERROR(__xludf.DUMMYFUNCTION("IF(FILTER('Pivot Table for acq weekly'!W:W,'Pivot Table for acq weekly'!$B:$B=$B6,'Pivot Table for acq weekly'!$A:$A=$A6)/$C6 = 0,"""",FILTER('Pivot Table for acq weekly'!W:W,'Pivot Table for acq weekly'!$B:$B=$B6,'Pivot Table for acq weekly'!$A:$A=$A6)/$"&amp;"C6)"),"#N/A")</f>
        <v>#N/A</v>
      </c>
      <c r="X6" s="22" t="str">
        <f>IFERROR(__xludf.DUMMYFUNCTION("IF(FILTER('Pivot Table for acq weekly'!X:X,'Pivot Table for acq weekly'!$B:$B=$B6,'Pivot Table for acq weekly'!$A:$A=$A6)/$C6 = 0,"""",FILTER('Pivot Table for acq weekly'!X:X,'Pivot Table for acq weekly'!$B:$B=$B6,'Pivot Table for acq weekly'!$A:$A=$A6)/$"&amp;"C6)"),"#N/A")</f>
        <v>#N/A</v>
      </c>
      <c r="Y6" s="22" t="str">
        <f>IFERROR(__xludf.DUMMYFUNCTION("IF(FILTER('Pivot Table for acq weekly'!Y:Y,'Pivot Table for acq weekly'!$B:$B=$B6,'Pivot Table for acq weekly'!$A:$A=$A6)/$C6 = 0,"""",FILTER('Pivot Table for acq weekly'!Y:Y,'Pivot Table for acq weekly'!$B:$B=$B6,'Pivot Table for acq weekly'!$A:$A=$A6)/$"&amp;"C6)"),"#N/A")</f>
        <v>#N/A</v>
      </c>
      <c r="Z6" s="23"/>
    </row>
    <row r="7" hidden="1">
      <c r="A7" s="19">
        <v>1.0</v>
      </c>
      <c r="B7" s="20">
        <v>43282.0</v>
      </c>
      <c r="C7" s="21" t="str">
        <f>IFERROR(__xludf.DUMMYFUNCTION("FILTER('Pivot Table for acq weekly'!C:C,'Pivot Table for acq weekly'!$B:$B=$B7,'Pivot Table for acq weekly'!$A:$A=$A7)"),"#N/A")</f>
        <v>#N/A</v>
      </c>
      <c r="D7" s="22" t="str">
        <f>IFERROR(__xludf.DUMMYFUNCTION("IF(FILTER('Pivot Table for acq weekly'!D:D,'Pivot Table for acq weekly'!$B:$B=$B7,'Pivot Table for acq weekly'!$A:$A=$A7)/$C7 = 0,"""",FILTER('Pivot Table for acq weekly'!D:D,'Pivot Table for acq weekly'!$B:$B=$B7,'Pivot Table for acq weekly'!$A:$A=$A7)/$"&amp;"C7)"),"#N/A")</f>
        <v>#N/A</v>
      </c>
      <c r="E7" s="22" t="str">
        <f>IFERROR(__xludf.DUMMYFUNCTION("IF(FILTER('Pivot Table for acq weekly'!E:E,'Pivot Table for acq weekly'!$B:$B=$B7,'Pivot Table for acq weekly'!$A:$A=$A7)/$C7 = 0,"""",FILTER('Pivot Table for acq weekly'!E:E,'Pivot Table for acq weekly'!$B:$B=$B7,'Pivot Table for acq weekly'!$A:$A=$A7)/$"&amp;"C7)"),"#N/A")</f>
        <v>#N/A</v>
      </c>
      <c r="F7" s="22" t="str">
        <f>IFERROR(__xludf.DUMMYFUNCTION("IF(FILTER('Pivot Table for acq weekly'!F:F,'Pivot Table for acq weekly'!$B:$B=$B7,'Pivot Table for acq weekly'!$A:$A=$A7)/$C7 = 0,"""",FILTER('Pivot Table for acq weekly'!F:F,'Pivot Table for acq weekly'!$B:$B=$B7,'Pivot Table for acq weekly'!$A:$A=$A7)/$"&amp;"C7)"),"#N/A")</f>
        <v>#N/A</v>
      </c>
      <c r="G7" s="22" t="str">
        <f>IFERROR(__xludf.DUMMYFUNCTION("IF(FILTER('Pivot Table for acq weekly'!G:G,'Pivot Table for acq weekly'!$B:$B=$B7,'Pivot Table for acq weekly'!$A:$A=$A7)/$C7 = 0,"""",FILTER('Pivot Table for acq weekly'!G:G,'Pivot Table for acq weekly'!$B:$B=$B7,'Pivot Table for acq weekly'!$A:$A=$A7)/$"&amp;"C7)"),"#N/A")</f>
        <v>#N/A</v>
      </c>
      <c r="H7" s="22" t="str">
        <f>IFERROR(__xludf.DUMMYFUNCTION("IF(FILTER('Pivot Table for acq weekly'!H:H,'Pivot Table for acq weekly'!$B:$B=$B7,'Pivot Table for acq weekly'!$A:$A=$A7)/$C7 = 0,"""",FILTER('Pivot Table for acq weekly'!H:H,'Pivot Table for acq weekly'!$B:$B=$B7,'Pivot Table for acq weekly'!$A:$A=$A7)/$"&amp;"C7)"),"#N/A")</f>
        <v>#N/A</v>
      </c>
      <c r="I7" s="22" t="str">
        <f>IFERROR(__xludf.DUMMYFUNCTION("IF(FILTER('Pivot Table for acq weekly'!I:I,'Pivot Table for acq weekly'!$B:$B=$B7,'Pivot Table for acq weekly'!$A:$A=$A7)/$C7 = 0,"""",FILTER('Pivot Table for acq weekly'!I:I,'Pivot Table for acq weekly'!$B:$B=$B7,'Pivot Table for acq weekly'!$A:$A=$A7)/$"&amp;"C7)"),"#N/A")</f>
        <v>#N/A</v>
      </c>
      <c r="J7" s="22" t="str">
        <f>IFERROR(__xludf.DUMMYFUNCTION("IF(FILTER('Pivot Table for acq weekly'!J:J,'Pivot Table for acq weekly'!$B:$B=$B7,'Pivot Table for acq weekly'!$A:$A=$A7)/$C7 = 0,"""",FILTER('Pivot Table for acq weekly'!J:J,'Pivot Table for acq weekly'!$B:$B=$B7,'Pivot Table for acq weekly'!$A:$A=$A7)/$"&amp;"C7)"),"#N/A")</f>
        <v>#N/A</v>
      </c>
      <c r="K7" s="22" t="str">
        <f>IFERROR(__xludf.DUMMYFUNCTION("IF(FILTER('Pivot Table for acq weekly'!K:K,'Pivot Table for acq weekly'!$B:$B=$B7,'Pivot Table for acq weekly'!$A:$A=$A7)/$C7 = 0,"""",FILTER('Pivot Table for acq weekly'!K:K,'Pivot Table for acq weekly'!$B:$B=$B7,'Pivot Table for acq weekly'!$A:$A=$A7)/$"&amp;"C7)"),"#N/A")</f>
        <v>#N/A</v>
      </c>
      <c r="L7" s="22" t="str">
        <f>IFERROR(__xludf.DUMMYFUNCTION("IF(FILTER('Pivot Table for acq weekly'!L:L,'Pivot Table for acq weekly'!$B:$B=$B7,'Pivot Table for acq weekly'!$A:$A=$A7)/$C7 = 0,"""",FILTER('Pivot Table for acq weekly'!L:L,'Pivot Table for acq weekly'!$B:$B=$B7,'Pivot Table for acq weekly'!$A:$A=$A7)/$"&amp;"C7)"),"#N/A")</f>
        <v>#N/A</v>
      </c>
      <c r="M7" s="22" t="str">
        <f>IFERROR(__xludf.DUMMYFUNCTION("IF(FILTER('Pivot Table for acq weekly'!M:M,'Pivot Table for acq weekly'!$B:$B=$B7,'Pivot Table for acq weekly'!$A:$A=$A7)/$C7 = 0,"""",FILTER('Pivot Table for acq weekly'!M:M,'Pivot Table for acq weekly'!$B:$B=$B7,'Pivot Table for acq weekly'!$A:$A=$A7)/$"&amp;"C7)"),"#N/A")</f>
        <v>#N/A</v>
      </c>
      <c r="N7" s="22" t="str">
        <f>IFERROR(__xludf.DUMMYFUNCTION("IF(FILTER('Pivot Table for acq weekly'!N:N,'Pivot Table for acq weekly'!$B:$B=$B7,'Pivot Table for acq weekly'!$A:$A=$A7)/$C7 = 0,"""",FILTER('Pivot Table for acq weekly'!N:N,'Pivot Table for acq weekly'!$B:$B=$B7,'Pivot Table for acq weekly'!$A:$A=$A7)/$"&amp;"C7)"),"#N/A")</f>
        <v>#N/A</v>
      </c>
      <c r="O7" s="22" t="str">
        <f>IFERROR(__xludf.DUMMYFUNCTION("IF(FILTER('Pivot Table for acq weekly'!O:O,'Pivot Table for acq weekly'!$B:$B=$B7,'Pivot Table for acq weekly'!$A:$A=$A7)/$C7 = 0,"""",FILTER('Pivot Table for acq weekly'!O:O,'Pivot Table for acq weekly'!$B:$B=$B7,'Pivot Table for acq weekly'!$A:$A=$A7)/$"&amp;"C7)"),"#N/A")</f>
        <v>#N/A</v>
      </c>
      <c r="P7" s="22" t="str">
        <f>IFERROR(__xludf.DUMMYFUNCTION("IF(FILTER('Pivot Table for acq weekly'!P:P,'Pivot Table for acq weekly'!$B:$B=$B7,'Pivot Table for acq weekly'!$A:$A=$A7)/$C7 = 0,"""",FILTER('Pivot Table for acq weekly'!P:P,'Pivot Table for acq weekly'!$B:$B=$B7,'Pivot Table for acq weekly'!$A:$A=$A7)/$"&amp;"C7)"),"#N/A")</f>
        <v>#N/A</v>
      </c>
      <c r="Q7" s="22" t="str">
        <f>IFERROR(__xludf.DUMMYFUNCTION("IF(FILTER('Pivot Table for acq weekly'!Q:Q,'Pivot Table for acq weekly'!$B:$B=$B7,'Pivot Table for acq weekly'!$A:$A=$A7)/$C7 = 0,"""",FILTER('Pivot Table for acq weekly'!Q:Q,'Pivot Table for acq weekly'!$B:$B=$B7,'Pivot Table for acq weekly'!$A:$A=$A7)/$"&amp;"C7)"),"#N/A")</f>
        <v>#N/A</v>
      </c>
      <c r="R7" s="22" t="str">
        <f>IFERROR(__xludf.DUMMYFUNCTION("IF(FILTER('Pivot Table for acq weekly'!R:R,'Pivot Table for acq weekly'!$B:$B=$B7,'Pivot Table for acq weekly'!$A:$A=$A7)/$C7 = 0,"""",FILTER('Pivot Table for acq weekly'!R:R,'Pivot Table for acq weekly'!$B:$B=$B7,'Pivot Table for acq weekly'!$A:$A=$A7)/$"&amp;"C7)"),"#N/A")</f>
        <v>#N/A</v>
      </c>
      <c r="S7" s="22" t="str">
        <f>IFERROR(__xludf.DUMMYFUNCTION("IF(FILTER('Pivot Table for acq weekly'!S:S,'Pivot Table for acq weekly'!$B:$B=$B7,'Pivot Table for acq weekly'!$A:$A=$A7)/$C7 = 0,"""",FILTER('Pivot Table for acq weekly'!S:S,'Pivot Table for acq weekly'!$B:$B=$B7,'Pivot Table for acq weekly'!$A:$A=$A7)/$"&amp;"C7)"),"#N/A")</f>
        <v>#N/A</v>
      </c>
      <c r="T7" s="22" t="str">
        <f>IFERROR(__xludf.DUMMYFUNCTION("IF(FILTER('Pivot Table for acq weekly'!T:T,'Pivot Table for acq weekly'!$B:$B=$B7,'Pivot Table for acq weekly'!$A:$A=$A7)/$C7 = 0,"""",FILTER('Pivot Table for acq weekly'!T:T,'Pivot Table for acq weekly'!$B:$B=$B7,'Pivot Table for acq weekly'!$A:$A=$A7)/$"&amp;"C7)"),"#N/A")</f>
        <v>#N/A</v>
      </c>
      <c r="U7" s="22" t="str">
        <f>IFERROR(__xludf.DUMMYFUNCTION("IF(FILTER('Pivot Table for acq weekly'!U:U,'Pivot Table for acq weekly'!$B:$B=$B7,'Pivot Table for acq weekly'!$A:$A=$A7)/$C7 = 0,"""",FILTER('Pivot Table for acq weekly'!U:U,'Pivot Table for acq weekly'!$B:$B=$B7,'Pivot Table for acq weekly'!$A:$A=$A7)/$"&amp;"C7)"),"#N/A")</f>
        <v>#N/A</v>
      </c>
      <c r="V7" s="22" t="str">
        <f>IFERROR(__xludf.DUMMYFUNCTION("IF(FILTER('Pivot Table for acq weekly'!V:V,'Pivot Table for acq weekly'!$B:$B=$B7,'Pivot Table for acq weekly'!$A:$A=$A7)/$C7 = 0,"""",FILTER('Pivot Table for acq weekly'!V:V,'Pivot Table for acq weekly'!$B:$B=$B7,'Pivot Table for acq weekly'!$A:$A=$A7)/$"&amp;"C7)"),"#N/A")</f>
        <v>#N/A</v>
      </c>
      <c r="W7" s="22" t="str">
        <f>IFERROR(__xludf.DUMMYFUNCTION("IF(FILTER('Pivot Table for acq weekly'!W:W,'Pivot Table for acq weekly'!$B:$B=$B7,'Pivot Table for acq weekly'!$A:$A=$A7)/$C7 = 0,"""",FILTER('Pivot Table for acq weekly'!W:W,'Pivot Table for acq weekly'!$B:$B=$B7,'Pivot Table for acq weekly'!$A:$A=$A7)/$"&amp;"C7)"),"#N/A")</f>
        <v>#N/A</v>
      </c>
      <c r="X7" s="22" t="str">
        <f>IFERROR(__xludf.DUMMYFUNCTION("IF(FILTER('Pivot Table for acq weekly'!X:X,'Pivot Table for acq weekly'!$B:$B=$B7,'Pivot Table for acq weekly'!$A:$A=$A7)/$C7 = 0,"""",FILTER('Pivot Table for acq weekly'!X:X,'Pivot Table for acq weekly'!$B:$B=$B7,'Pivot Table for acq weekly'!$A:$A=$A7)/$"&amp;"C7)"),"#N/A")</f>
        <v>#N/A</v>
      </c>
      <c r="Y7" s="22" t="str">
        <f>IFERROR(__xludf.DUMMYFUNCTION("IF(FILTER('Pivot Table for acq weekly'!Y:Y,'Pivot Table for acq weekly'!$B:$B=$B7,'Pivot Table for acq weekly'!$A:$A=$A7)/$C7 = 0,"""",FILTER('Pivot Table for acq weekly'!Y:Y,'Pivot Table for acq weekly'!$B:$B=$B7,'Pivot Table for acq weekly'!$A:$A=$A7)/$"&amp;"C7)"),"#N/A")</f>
        <v>#N/A</v>
      </c>
      <c r="Z7" s="23"/>
    </row>
    <row r="8">
      <c r="A8" s="32">
        <v>2.0</v>
      </c>
      <c r="B8" s="33">
        <v>43254.0</v>
      </c>
      <c r="C8" s="34">
        <f>IFERROR(__xludf.DUMMYFUNCTION("FILTER('Pivot Table for acq weekly'!C:C,'Pivot Table for acq weekly'!$B:$B=$B8,'Pivot Table for acq weekly'!$A:$A=$A8)"),1319.0)</f>
        <v>1319</v>
      </c>
      <c r="D8" s="35">
        <f>IFERROR(__xludf.DUMMYFUNCTION("IF(FILTER('Pivot Table for acq weekly'!D:D,'Pivot Table for acq weekly'!$B:$B=$B8,'Pivot Table for acq weekly'!$A:$A=$A8)/$C8 = 0,"""",FILTER('Pivot Table for acq weekly'!D:D,'Pivot Table for acq weekly'!$B:$B=$B8,'Pivot Table for acq weekly'!$A:$A=$A8)/$"&amp;"C8)"),0.02122820318423048)</f>
        <v>0.02122820318</v>
      </c>
      <c r="E8" s="35">
        <f>IFERROR(__xludf.DUMMYFUNCTION("IF(FILTER('Pivot Table for acq weekly'!E:E,'Pivot Table for acq weekly'!$B:$B=$B8,'Pivot Table for acq weekly'!$A:$A=$A8)/$C8 = 0,"""",FILTER('Pivot Table for acq weekly'!E:E,'Pivot Table for acq weekly'!$B:$B=$B8,'Pivot Table for acq weekly'!$A:$A=$A8)/$"&amp;"C8)"),0.01819560272934041)</f>
        <v>0.01819560273</v>
      </c>
      <c r="F8" s="35">
        <f>IFERROR(__xludf.DUMMYFUNCTION("IF(FILTER('Pivot Table for acq weekly'!F:F,'Pivot Table for acq weekly'!$B:$B=$B8,'Pivot Table for acq weekly'!$A:$A=$A8)/$C8 = 0,"""",FILTER('Pivot Table for acq weekly'!F:F,'Pivot Table for acq weekly'!$B:$B=$B8,'Pivot Table for acq weekly'!$A:$A=$A8)/$"&amp;"C8)"),0.04169825625473844)</f>
        <v>0.04169825625</v>
      </c>
      <c r="G8" s="35">
        <f>IFERROR(__xludf.DUMMYFUNCTION("IF(FILTER('Pivot Table for acq weekly'!G:G,'Pivot Table for acq weekly'!$B:$B=$B8,'Pivot Table for acq weekly'!$A:$A=$A8)/$C8 = 0,"""",FILTER('Pivot Table for acq weekly'!G:G,'Pivot Table for acq weekly'!$B:$B=$B8,'Pivot Table for acq weekly'!$A:$A=$A8)/$"&amp;"C8)"),0.06520090978013647)</f>
        <v>0.06520090978</v>
      </c>
      <c r="H8" s="35">
        <f>IFERROR(__xludf.DUMMYFUNCTION("IF(FILTER('Pivot Table for acq weekly'!H:H,'Pivot Table for acq weekly'!$B:$B=$B8,'Pivot Table for acq weekly'!$A:$A=$A8)/$C8 = 0,"""",FILTER('Pivot Table for acq weekly'!H:H,'Pivot Table for acq weekly'!$B:$B=$B8,'Pivot Table for acq weekly'!$A:$A=$A8)/$"&amp;"C8)"),0.3199393479909022)</f>
        <v>0.319939348</v>
      </c>
      <c r="I8" s="35">
        <f>IFERROR(__xludf.DUMMYFUNCTION("IF(FILTER('Pivot Table for acq weekly'!I:I,'Pivot Table for acq weekly'!$B:$B=$B8,'Pivot Table for acq weekly'!$A:$A=$A8)/$C8 = 0,"""",FILTER('Pivot Table for acq weekly'!I:I,'Pivot Table for acq weekly'!$B:$B=$B8,'Pivot Table for acq weekly'!$A:$A=$A8)/$"&amp;"C8)"),0.03790750568612585)</f>
        <v>0.03790750569</v>
      </c>
      <c r="J8" s="35">
        <f>IFERROR(__xludf.DUMMYFUNCTION("IF(FILTER('Pivot Table for acq weekly'!J:J,'Pivot Table for acq weekly'!$B:$B=$B8,'Pivot Table for acq weekly'!$A:$A=$A8)/$C8 = 0,"""",FILTER('Pivot Table for acq weekly'!J:J,'Pivot Table for acq weekly'!$B:$B=$B8,'Pivot Table for acq weekly'!$A:$A=$A8)/$"&amp;"C8)"),0.04245640636846096)</f>
        <v>0.04245640637</v>
      </c>
      <c r="K8" s="35">
        <f>IFERROR(__xludf.DUMMYFUNCTION("IF(FILTER('Pivot Table for acq weekly'!K:K,'Pivot Table for acq weekly'!$B:$B=$B8,'Pivot Table for acq weekly'!$A:$A=$A8)/$C8 = 0,"""",FILTER('Pivot Table for acq weekly'!K:K,'Pivot Table for acq weekly'!$B:$B=$B8,'Pivot Table for acq weekly'!$A:$A=$A8)/$"&amp;"C8)"),0.0712661106899166)</f>
        <v>0.07126611069</v>
      </c>
      <c r="L8" s="35">
        <f>IFERROR(__xludf.DUMMYFUNCTION("IF(FILTER('Pivot Table for acq weekly'!L:L,'Pivot Table for acq weekly'!$B:$B=$B8,'Pivot Table for acq weekly'!$A:$A=$A8)/$C8 = 0,"""",FILTER('Pivot Table for acq weekly'!L:L,'Pivot Table for acq weekly'!$B:$B=$B8,'Pivot Table for acq weekly'!$A:$A=$A8)/$"&amp;"C8)"),0.21910538286580744)</f>
        <v>0.2191053829</v>
      </c>
      <c r="M8" s="35">
        <f>IFERROR(__xludf.DUMMYFUNCTION("IF(FILTER('Pivot Table for acq weekly'!M:M,'Pivot Table for acq weekly'!$B:$B=$B8,'Pivot Table for acq weekly'!$A:$A=$A8)/$C8 = 0,"""",FILTER('Pivot Table for acq weekly'!M:M,'Pivot Table for acq weekly'!$B:$B=$B8,'Pivot Table for acq weekly'!$A:$A=$A8)/$"&amp;"C8)"),0.056103108415466264)</f>
        <v>0.05610310842</v>
      </c>
      <c r="N8" s="35">
        <f>IFERROR(__xludf.DUMMYFUNCTION("IF(FILTER('Pivot Table for acq weekly'!N:N,'Pivot Table for acq weekly'!$B:$B=$B8,'Pivot Table for acq weekly'!$A:$A=$A8)/$C8 = 0,"""",FILTER('Pivot Table for acq weekly'!N:N,'Pivot Table for acq weekly'!$B:$B=$B8,'Pivot Table for acq weekly'!$A:$A=$A8)/$"&amp;"C8)"),0.04245640636846096)</f>
        <v>0.04245640637</v>
      </c>
      <c r="O8" s="35">
        <f>IFERROR(__xludf.DUMMYFUNCTION("IF(FILTER('Pivot Table for acq weekly'!O:O,'Pivot Table for acq weekly'!$B:$B=$B8,'Pivot Table for acq weekly'!$A:$A=$A8)/$C8 = 0,"""",FILTER('Pivot Table for acq weekly'!O:O,'Pivot Table for acq weekly'!$B:$B=$B8,'Pivot Table for acq weekly'!$A:$A=$A8)/$"&amp;"C8)"),0.056103108415466264)</f>
        <v>0.05610310842</v>
      </c>
      <c r="P8" s="35">
        <f>IFERROR(__xludf.DUMMYFUNCTION("IF(FILTER('Pivot Table for acq weekly'!P:P,'Pivot Table for acq weekly'!$B:$B=$B8,'Pivot Table for acq weekly'!$A:$A=$A8)/$C8 = 0,"""",FILTER('Pivot Table for acq weekly'!P:P,'Pivot Table for acq weekly'!$B:$B=$B8,'Pivot Table for acq weekly'!$A:$A=$A8)/$"&amp;"C8)"),0.0932524639878696)</f>
        <v>0.09325246399</v>
      </c>
      <c r="Q8" s="35">
        <f>IFERROR(__xludf.DUMMYFUNCTION("IF(FILTER('Pivot Table for acq weekly'!Q:Q,'Pivot Table for acq weekly'!$B:$B=$B8,'Pivot Table for acq weekly'!$A:$A=$A8)/$C8 = 0,"""",FILTER('Pivot Table for acq weekly'!Q:Q,'Pivot Table for acq weekly'!$B:$B=$B8,'Pivot Table for acq weekly'!$A:$A=$A8)/$"&amp;"C8)"),0.09552691432903715)</f>
        <v>0.09552691433</v>
      </c>
      <c r="R8" s="35">
        <f>IFERROR(__xludf.DUMMYFUNCTION("IF(FILTER('Pivot Table for acq weekly'!R:R,'Pivot Table for acq weekly'!$B:$B=$B8,'Pivot Table for acq weekly'!$A:$A=$A8)/$C8 = 0,"""",FILTER('Pivot Table for acq weekly'!R:R,'Pivot Table for acq weekly'!$B:$B=$B8,'Pivot Table for acq weekly'!$A:$A=$A8)/$"&amp;"C8)"),0.039423805913570885)</f>
        <v>0.03942380591</v>
      </c>
      <c r="S8" s="35">
        <f>IFERROR(__xludf.DUMMYFUNCTION("IF(FILTER('Pivot Table for acq weekly'!S:S,'Pivot Table for acq weekly'!$B:$B=$B8,'Pivot Table for acq weekly'!$A:$A=$A8)/$C8 = 0,"""",FILTER('Pivot Table for acq weekly'!S:S,'Pivot Table for acq weekly'!$B:$B=$B8,'Pivot Table for acq weekly'!$A:$A=$A8)/$"&amp;"C8)"),0.045489006823351025)</f>
        <v>0.04548900682</v>
      </c>
      <c r="T8" s="35">
        <f>IFERROR(__xludf.DUMMYFUNCTION("IF(FILTER('Pivot Table for acq weekly'!T:T,'Pivot Table for acq weekly'!$B:$B=$B8,'Pivot Table for acq weekly'!$A:$A=$A8)/$C8 = 0,"""",FILTER('Pivot Table for acq weekly'!T:T,'Pivot Table for acq weekly'!$B:$B=$B8,'Pivot Table for acq weekly'!$A:$A=$A8)/$"&amp;"C8)"),0.0576194086429113)</f>
        <v>0.05761940864</v>
      </c>
      <c r="U8" s="35">
        <f>IFERROR(__xludf.DUMMYFUNCTION("IF(FILTER('Pivot Table for acq weekly'!U:U,'Pivot Table for acq weekly'!$B:$B=$B8,'Pivot Table for acq weekly'!$A:$A=$A8)/$C8 = 0,"""",FILTER('Pivot Table for acq weekly'!U:U,'Pivot Table for acq weekly'!$B:$B=$B8,'Pivot Table for acq weekly'!$A:$A=$A8)/$"&amp;"C8)"),0.11751326762699014)</f>
        <v>0.1175132676</v>
      </c>
      <c r="V8" s="35">
        <f>IFERROR(__xludf.DUMMYFUNCTION("IF(FILTER('Pivot Table for acq weekly'!V:V,'Pivot Table for acq weekly'!$B:$B=$B8,'Pivot Table for acq weekly'!$A:$A=$A8)/$C8 = 0,"""",FILTER('Pivot Table for acq weekly'!V:V,'Pivot Table for acq weekly'!$B:$B=$B8,'Pivot Table for acq weekly'!$A:$A=$A8)/$"&amp;"C8)"),0.04624715693707354)</f>
        <v>0.04624715694</v>
      </c>
      <c r="W8" s="35">
        <f>IFERROR(__xludf.DUMMYFUNCTION("IF(FILTER('Pivot Table for acq weekly'!W:W,'Pivot Table for acq weekly'!$B:$B=$B8,'Pivot Table for acq weekly'!$A:$A=$A8)/$C8 = 0,"""",FILTER('Pivot Table for acq weekly'!W:W,'Pivot Table for acq weekly'!$B:$B=$B8,'Pivot Table for acq weekly'!$A:$A=$A8)/$"&amp;"C8)"),0.043214556482183475)</f>
        <v>0.04321455648</v>
      </c>
      <c r="X8" s="35">
        <f>IFERROR(__xludf.DUMMYFUNCTION("IF(FILTER('Pivot Table for acq weekly'!X:X,'Pivot Table for acq weekly'!$B:$B=$B8,'Pivot Table for acq weekly'!$A:$A=$A8)/$C8 = 0,"""",FILTER('Pivot Table for acq weekly'!X:X,'Pivot Table for acq weekly'!$B:$B=$B8,'Pivot Table for acq weekly'!$A:$A=$A8)/$"&amp;"C8)"),0.056103108415466264)</f>
        <v>0.05610310842</v>
      </c>
      <c r="Y8" s="35">
        <f>IFERROR(__xludf.DUMMYFUNCTION("IF(FILTER('Pivot Table for acq weekly'!Y:Y,'Pivot Table for acq weekly'!$B:$B=$B8,'Pivot Table for acq weekly'!$A:$A=$A8)/$C8 = 0,"""",FILTER('Pivot Table for acq weekly'!Y:Y,'Pivot Table for acq weekly'!$B:$B=$B8,'Pivot Table for acq weekly'!$A:$A=$A8)/$"&amp;"C8)"),0.011372251705837756)</f>
        <v>0.01137225171</v>
      </c>
      <c r="Z8" s="37"/>
    </row>
    <row r="9">
      <c r="A9" s="32">
        <v>2.0</v>
      </c>
      <c r="B9" s="33">
        <v>43261.0</v>
      </c>
      <c r="C9" s="34">
        <f>IFERROR(__xludf.DUMMYFUNCTION("FILTER('Pivot Table for acq weekly'!C:C,'Pivot Table for acq weekly'!$B:$B=$B9,'Pivot Table for acq weekly'!$A:$A=$A9)"),3262.0)</f>
        <v>3262</v>
      </c>
      <c r="D9" s="35">
        <f>IFERROR(__xludf.DUMMYFUNCTION("IF(FILTER('Pivot Table for acq weekly'!D:D,'Pivot Table for acq weekly'!$B:$B=$B9,'Pivot Table for acq weekly'!$A:$A=$A9)/$C9 = 0,"""",FILTER('Pivot Table for acq weekly'!D:D,'Pivot Table for acq weekly'!$B:$B=$B9,'Pivot Table for acq weekly'!$A:$A=$A9)/$"&amp;"C9)"),0.01655426118945432)</f>
        <v>0.01655426119</v>
      </c>
      <c r="E9" s="35">
        <f>IFERROR(__xludf.DUMMYFUNCTION("IF(FILTER('Pivot Table for acq weekly'!E:E,'Pivot Table for acq weekly'!$B:$B=$B9,'Pivot Table for acq weekly'!$A:$A=$A9)/$C9 = 0,"""",FILTER('Pivot Table for acq weekly'!E:E,'Pivot Table for acq weekly'!$B:$B=$B9,'Pivot Table for acq weekly'!$A:$A=$A9)/$"&amp;"C9)"),0.018087063151440833)</f>
        <v>0.01808706315</v>
      </c>
      <c r="F9" s="35">
        <f>IFERROR(__xludf.DUMMYFUNCTION("IF(FILTER('Pivot Table for acq weekly'!F:F,'Pivot Table for acq weekly'!$B:$B=$B9,'Pivot Table for acq weekly'!$A:$A=$A9)/$C9 = 0,"""",FILTER('Pivot Table for acq weekly'!F:F,'Pivot Table for acq weekly'!$B:$B=$B9,'Pivot Table for acq weekly'!$A:$A=$A9)/$"&amp;"C9)"),0.0407725321888412)</f>
        <v>0.04077253219</v>
      </c>
      <c r="G9" s="35">
        <f>IFERROR(__xludf.DUMMYFUNCTION("IF(FILTER('Pivot Table for acq weekly'!G:G,'Pivot Table for acq weekly'!$B:$B=$B9,'Pivot Table for acq weekly'!$A:$A=$A9)/$C9 = 0,"""",FILTER('Pivot Table for acq weekly'!G:G,'Pivot Table for acq weekly'!$B:$B=$B9,'Pivot Table for acq weekly'!$A:$A=$A9)/$"&amp;"C9)"),0.2550582464745555)</f>
        <v>0.2550582465</v>
      </c>
      <c r="H9" s="35">
        <f>IFERROR(__xludf.DUMMYFUNCTION("IF(FILTER('Pivot Table for acq weekly'!H:H,'Pivot Table for acq weekly'!$B:$B=$B9,'Pivot Table for acq weekly'!$A:$A=$A9)/$C9 = 0,"""",FILTER('Pivot Table for acq weekly'!H:H,'Pivot Table for acq weekly'!$B:$B=$B9,'Pivot Table for acq weekly'!$A:$A=$A9)/$"&amp;"C9)"),0.1496014714898835)</f>
        <v>0.1496014715</v>
      </c>
      <c r="I9" s="35">
        <f>IFERROR(__xludf.DUMMYFUNCTION("IF(FILTER('Pivot Table for acq weekly'!I:I,'Pivot Table for acq weekly'!$B:$B=$B9,'Pivot Table for acq weekly'!$A:$A=$A9)/$C9 = 0,"""",FILTER('Pivot Table for acq weekly'!I:I,'Pivot Table for acq weekly'!$B:$B=$B9,'Pivot Table for acq weekly'!$A:$A=$A9)/$"&amp;"C9)"),0.030042918454935622)</f>
        <v>0.03004291845</v>
      </c>
      <c r="J9" s="35">
        <f>IFERROR(__xludf.DUMMYFUNCTION("IF(FILTER('Pivot Table for acq weekly'!J:J,'Pivot Table for acq weekly'!$B:$B=$B9,'Pivot Table for acq weekly'!$A:$A=$A9)/$C9 = 0,"""",FILTER('Pivot Table for acq weekly'!J:J,'Pivot Table for acq weekly'!$B:$B=$B9,'Pivot Table for acq weekly'!$A:$A=$A9)/$"&amp;"C9)"),0.04414469650521153)</f>
        <v>0.04414469651</v>
      </c>
      <c r="K9" s="35">
        <f>IFERROR(__xludf.DUMMYFUNCTION("IF(FILTER('Pivot Table for acq weekly'!K:K,'Pivot Table for acq weekly'!$B:$B=$B9,'Pivot Table for acq weekly'!$A:$A=$A9)/$C9 = 0,"""",FILTER('Pivot Table for acq weekly'!K:K,'Pivot Table for acq weekly'!$B:$B=$B9,'Pivot Table for acq weekly'!$A:$A=$A9)/$"&amp;"C9)"),0.14132434089515636)</f>
        <v>0.1413243409</v>
      </c>
      <c r="L9" s="35">
        <f>IFERROR(__xludf.DUMMYFUNCTION("IF(FILTER('Pivot Table for acq weekly'!L:L,'Pivot Table for acq weekly'!$B:$B=$B9,'Pivot Table for acq weekly'!$A:$A=$A9)/$C9 = 0,"""",FILTER('Pivot Table for acq weekly'!L:L,'Pivot Table for acq weekly'!$B:$B=$B9,'Pivot Table for acq weekly'!$A:$A=$A9)/$"&amp;"C9)"),0.1649294911097486)</f>
        <v>0.1649294911</v>
      </c>
      <c r="M9" s="35">
        <f>IFERROR(__xludf.DUMMYFUNCTION("IF(FILTER('Pivot Table for acq weekly'!M:M,'Pivot Table for acq weekly'!$B:$B=$B9,'Pivot Table for acq weekly'!$A:$A=$A9)/$C9 = 0,"""",FILTER('Pivot Table for acq weekly'!M:M,'Pivot Table for acq weekly'!$B:$B=$B9,'Pivot Table for acq weekly'!$A:$A=$A9)/$"&amp;"C9)"),0.04996934396076027)</f>
        <v>0.04996934396</v>
      </c>
      <c r="N9" s="35">
        <f>IFERROR(__xludf.DUMMYFUNCTION("IF(FILTER('Pivot Table for acq weekly'!N:N,'Pivot Table for acq weekly'!$B:$B=$B9,'Pivot Table for acq weekly'!$A:$A=$A9)/$C9 = 0,"""",FILTER('Pivot Table for acq weekly'!N:N,'Pivot Table for acq weekly'!$B:$B=$B9,'Pivot Table for acq weekly'!$A:$A=$A9)/$"&amp;"C9)"),0.05548743102391171)</f>
        <v>0.05548743102</v>
      </c>
      <c r="O9" s="35">
        <f>IFERROR(__xludf.DUMMYFUNCTION("IF(FILTER('Pivot Table for acq weekly'!O:O,'Pivot Table for acq weekly'!$B:$B=$B9,'Pivot Table for acq weekly'!$A:$A=$A9)/$C9 = 0,"""",FILTER('Pivot Table for acq weekly'!O:O,'Pivot Table for acq weekly'!$B:$B=$B9,'Pivot Table for acq weekly'!$A:$A=$A9)/$"&amp;"C9)"),0.06591048436541999)</f>
        <v>0.06591048437</v>
      </c>
      <c r="P9" s="35">
        <f>IFERROR(__xludf.DUMMYFUNCTION("IF(FILTER('Pivot Table for acq weekly'!P:P,'Pivot Table for acq weekly'!$B:$B=$B9,'Pivot Table for acq weekly'!$A:$A=$A9)/$C9 = 0,"""",FILTER('Pivot Table for acq weekly'!P:P,'Pivot Table for acq weekly'!$B:$B=$B9,'Pivot Table for acq weekly'!$A:$A=$A9)/$"&amp;"C9)"),0.13979153893316984)</f>
        <v>0.1397915389</v>
      </c>
      <c r="Q9" s="35">
        <f>IFERROR(__xludf.DUMMYFUNCTION("IF(FILTER('Pivot Table for acq weekly'!Q:Q,'Pivot Table for acq weekly'!$B:$B=$B9,'Pivot Table for acq weekly'!$A:$A=$A9)/$C9 = 0,"""",FILTER('Pivot Table for acq weekly'!Q:Q,'Pivot Table for acq weekly'!$B:$B=$B9,'Pivot Table for acq weekly'!$A:$A=$A9)/$"&amp;"C9)"),0.05947271612507664)</f>
        <v>0.05947271613</v>
      </c>
      <c r="R9" s="35">
        <f>IFERROR(__xludf.DUMMYFUNCTION("IF(FILTER('Pivot Table for acq weekly'!R:R,'Pivot Table for acq weekly'!$B:$B=$B9,'Pivot Table for acq weekly'!$A:$A=$A9)/$C9 = 0,"""",FILTER('Pivot Table for acq weekly'!R:R,'Pivot Table for acq weekly'!$B:$B=$B9,'Pivot Table for acq weekly'!$A:$A=$A9)/$"&amp;"C9)"),0.03341508277130595)</f>
        <v>0.03341508277</v>
      </c>
      <c r="S9" s="35">
        <f>IFERROR(__xludf.DUMMYFUNCTION("IF(FILTER('Pivot Table for acq weekly'!S:S,'Pivot Table for acq weekly'!$B:$B=$B9,'Pivot Table for acq weekly'!$A:$A=$A9)/$C9 = 0,"""",FILTER('Pivot Table for acq weekly'!S:S,'Pivot Table for acq weekly'!$B:$B=$B9,'Pivot Table for acq weekly'!$A:$A=$A9)/$"&amp;"C9)"),0.05793991416309013)</f>
        <v>0.05793991416</v>
      </c>
      <c r="T9" s="35">
        <f>IFERROR(__xludf.DUMMYFUNCTION("IF(FILTER('Pivot Table for acq weekly'!T:T,'Pivot Table for acq weekly'!$B:$B=$B9,'Pivot Table for acq weekly'!$A:$A=$A9)/$C9 = 0,"""",FILTER('Pivot Table for acq weekly'!T:T,'Pivot Table for acq weekly'!$B:$B=$B9,'Pivot Table for acq weekly'!$A:$A=$A9)/$"&amp;"C9)"),0.09135499693439608)</f>
        <v>0.09135499693</v>
      </c>
      <c r="U9" s="35">
        <f>IFERROR(__xludf.DUMMYFUNCTION("IF(FILTER('Pivot Table for acq weekly'!U:U,'Pivot Table for acq weekly'!$B:$B=$B9,'Pivot Table for acq weekly'!$A:$A=$A9)/$C9 = 0,"""",FILTER('Pivot Table for acq weekly'!U:U,'Pivot Table for acq weekly'!$B:$B=$B9,'Pivot Table for acq weekly'!$A:$A=$A9)/$"&amp;"C9)"),0.08920907418761496)</f>
        <v>0.08920907419</v>
      </c>
      <c r="V9" s="35">
        <f>IFERROR(__xludf.DUMMYFUNCTION("IF(FILTER('Pivot Table for acq weekly'!V:V,'Pivot Table for acq weekly'!$B:$B=$B9,'Pivot Table for acq weekly'!$A:$A=$A9)/$C9 = 0,"""",FILTER('Pivot Table for acq weekly'!V:V,'Pivot Table for acq weekly'!$B:$B=$B9,'Pivot Table for acq weekly'!$A:$A=$A9)/$"&amp;"C9)"),0.045064377682403435)</f>
        <v>0.04506437768</v>
      </c>
      <c r="W9" s="35">
        <f>IFERROR(__xludf.DUMMYFUNCTION("IF(FILTER('Pivot Table for acq weekly'!W:W,'Pivot Table for acq weekly'!$B:$B=$B9,'Pivot Table for acq weekly'!$A:$A=$A9)/$C9 = 0,"""",FILTER('Pivot Table for acq weekly'!W:W,'Pivot Table for acq weekly'!$B:$B=$B9,'Pivot Table for acq weekly'!$A:$A=$A9)/$"&amp;"C9)"),0.05303494788473329)</f>
        <v>0.05303494788</v>
      </c>
      <c r="X9" s="35">
        <f>IFERROR(__xludf.DUMMYFUNCTION("IF(FILTER('Pivot Table for acq weekly'!X:X,'Pivot Table for acq weekly'!$B:$B=$B9,'Pivot Table for acq weekly'!$A:$A=$A9)/$C9 = 0,"""",FILTER('Pivot Table for acq weekly'!X:X,'Pivot Table for acq weekly'!$B:$B=$B9,'Pivot Table for acq weekly'!$A:$A=$A9)/$"&amp;"C9)"),0.014714898835070508)</f>
        <v>0.01471489884</v>
      </c>
      <c r="Y9" s="35" t="str">
        <f>IFERROR(__xludf.DUMMYFUNCTION("IF(FILTER('Pivot Table for acq weekly'!Y:Y,'Pivot Table for acq weekly'!$B:$B=$B9,'Pivot Table for acq weekly'!$A:$A=$A9)/$C9 = 0,"""",FILTER('Pivot Table for acq weekly'!Y:Y,'Pivot Table for acq weekly'!$B:$B=$B9,'Pivot Table for acq weekly'!$A:$A=$A9)/$"&amp;"C9)"),"")</f>
        <v/>
      </c>
      <c r="Z9" s="37"/>
    </row>
    <row r="10">
      <c r="A10" s="32">
        <v>2.0</v>
      </c>
      <c r="B10" s="33">
        <v>43268.0</v>
      </c>
      <c r="C10" s="34">
        <f>IFERROR(__xludf.DUMMYFUNCTION("FILTER('Pivot Table for acq weekly'!C:C,'Pivot Table for acq weekly'!$B:$B=$B10,'Pivot Table for acq weekly'!$A:$A=$A10)"),4880.0)</f>
        <v>4880</v>
      </c>
      <c r="D10" s="35">
        <f>IFERROR(__xludf.DUMMYFUNCTION("IF(FILTER('Pivot Table for acq weekly'!D:D,'Pivot Table for acq weekly'!$B:$B=$B10,'Pivot Table for acq weekly'!$A:$A=$A10)/$C10 = 0,"""",FILTER('Pivot Table for acq weekly'!D:D,'Pivot Table for acq weekly'!$B:$B=$B10,'Pivot Table for acq weekly'!$A:$A=$A"&amp;"10)/$C10)"),0.013114754098360656)</f>
        <v>0.0131147541</v>
      </c>
      <c r="E10" s="35">
        <f>IFERROR(__xludf.DUMMYFUNCTION("IF(FILTER('Pivot Table for acq weekly'!E:E,'Pivot Table for acq weekly'!$B:$B=$B10,'Pivot Table for acq weekly'!$A:$A=$A10)/$C10 = 0,"""",FILTER('Pivot Table for acq weekly'!E:E,'Pivot Table for acq weekly'!$B:$B=$B10,'Pivot Table for acq weekly'!$A:$A=$A"&amp;"10)/$C10)"),0.01721311475409836)</f>
        <v>0.01721311475</v>
      </c>
      <c r="F10" s="35">
        <f>IFERROR(__xludf.DUMMYFUNCTION("IF(FILTER('Pivot Table for acq weekly'!F:F,'Pivot Table for acq weekly'!$B:$B=$B10,'Pivot Table for acq weekly'!$A:$A=$A10)/$C10 = 0,"""",FILTER('Pivot Table for acq weekly'!F:F,'Pivot Table for acq weekly'!$B:$B=$B10,'Pivot Table for acq weekly'!$A:$A=$A"&amp;"10)/$C10)"),0.05368852459016393)</f>
        <v>0.05368852459</v>
      </c>
      <c r="G10" s="35">
        <f>IFERROR(__xludf.DUMMYFUNCTION("IF(FILTER('Pivot Table for acq weekly'!G:G,'Pivot Table for acq weekly'!$B:$B=$B10,'Pivot Table for acq weekly'!$A:$A=$A10)/$C10 = 0,"""",FILTER('Pivot Table for acq weekly'!G:G,'Pivot Table for acq weekly'!$B:$B=$B10,'Pivot Table for acq weekly'!$A:$A=$A"&amp;"10)/$C10)"),0.2682377049180328)</f>
        <v>0.2682377049</v>
      </c>
      <c r="H10" s="35">
        <f>IFERROR(__xludf.DUMMYFUNCTION("IF(FILTER('Pivot Table for acq weekly'!H:H,'Pivot Table for acq weekly'!$B:$B=$B10,'Pivot Table for acq weekly'!$A:$A=$A10)/$C10 = 0,"""",FILTER('Pivot Table for acq weekly'!H:H,'Pivot Table for acq weekly'!$B:$B=$B10,'Pivot Table for acq weekly'!$A:$A=$A"&amp;"10)/$C10)"),0.11147540983606558)</f>
        <v>0.1114754098</v>
      </c>
      <c r="I10" s="35">
        <f>IFERROR(__xludf.DUMMYFUNCTION("IF(FILTER('Pivot Table for acq weekly'!I:I,'Pivot Table for acq weekly'!$B:$B=$B10,'Pivot Table for acq weekly'!$A:$A=$A10)/$C10 = 0,"""",FILTER('Pivot Table for acq weekly'!I:I,'Pivot Table for acq weekly'!$B:$B=$B10,'Pivot Table for acq weekly'!$A:$A=$A"&amp;"10)/$C10)"),0.04282786885245902)</f>
        <v>0.04282786885</v>
      </c>
      <c r="J10" s="35">
        <f>IFERROR(__xludf.DUMMYFUNCTION("IF(FILTER('Pivot Table for acq weekly'!J:J,'Pivot Table for acq weekly'!$B:$B=$B10,'Pivot Table for acq weekly'!$A:$A=$A10)/$C10 = 0,"""",FILTER('Pivot Table for acq weekly'!J:J,'Pivot Table for acq weekly'!$B:$B=$B10,'Pivot Table for acq weekly'!$A:$A=$A"&amp;"10)/$C10)"),0.06352459016393443)</f>
        <v>0.06352459016</v>
      </c>
      <c r="K10" s="35">
        <f>IFERROR(__xludf.DUMMYFUNCTION("IF(FILTER('Pivot Table for acq weekly'!K:K,'Pivot Table for acq weekly'!$B:$B=$B10,'Pivot Table for acq weekly'!$A:$A=$A10)/$C10 = 0,"""",FILTER('Pivot Table for acq weekly'!K:K,'Pivot Table for acq weekly'!$B:$B=$B10,'Pivot Table for acq weekly'!$A:$A=$A"&amp;"10)/$C10)"),0.13012295081967212)</f>
        <v>0.1301229508</v>
      </c>
      <c r="L10" s="35">
        <f>IFERROR(__xludf.DUMMYFUNCTION("IF(FILTER('Pivot Table for acq weekly'!L:L,'Pivot Table for acq weekly'!$B:$B=$B10,'Pivot Table for acq weekly'!$A:$A=$A10)/$C10 = 0,"""",FILTER('Pivot Table for acq weekly'!L:L,'Pivot Table for acq weekly'!$B:$B=$B10,'Pivot Table for acq weekly'!$A:$A=$A"&amp;"10)/$C10)"),0.13831967213114754)</f>
        <v>0.1383196721</v>
      </c>
      <c r="M10" s="35">
        <f>IFERROR(__xludf.DUMMYFUNCTION("IF(FILTER('Pivot Table for acq weekly'!M:M,'Pivot Table for acq weekly'!$B:$B=$B10,'Pivot Table for acq weekly'!$A:$A=$A10)/$C10 = 0,"""",FILTER('Pivot Table for acq weekly'!M:M,'Pivot Table for acq weekly'!$B:$B=$B10,'Pivot Table for acq weekly'!$A:$A=$A"&amp;"10)/$C10)"),0.05819672131147541)</f>
        <v>0.05819672131</v>
      </c>
      <c r="N10" s="35">
        <f>IFERROR(__xludf.DUMMYFUNCTION("IF(FILTER('Pivot Table for acq weekly'!N:N,'Pivot Table for acq weekly'!$B:$B=$B10,'Pivot Table for acq weekly'!$A:$A=$A10)/$C10 = 0,"""",FILTER('Pivot Table for acq weekly'!N:N,'Pivot Table for acq weekly'!$B:$B=$B10,'Pivot Table for acq weekly'!$A:$A=$A"&amp;"10)/$C10)"),0.05389344262295082)</f>
        <v>0.05389344262</v>
      </c>
      <c r="O10" s="35">
        <f>IFERROR(__xludf.DUMMYFUNCTION("IF(FILTER('Pivot Table for acq weekly'!O:O,'Pivot Table for acq weekly'!$B:$B=$B10,'Pivot Table for acq weekly'!$A:$A=$A10)/$C10 = 0,"""",FILTER('Pivot Table for acq weekly'!O:O,'Pivot Table for acq weekly'!$B:$B=$B10,'Pivot Table for acq weekly'!$A:$A=$A"&amp;"10)/$C10)"),0.08094262295081968)</f>
        <v>0.08094262295</v>
      </c>
      <c r="P10" s="35">
        <f>IFERROR(__xludf.DUMMYFUNCTION("IF(FILTER('Pivot Table for acq weekly'!P:P,'Pivot Table for acq weekly'!$B:$B=$B10,'Pivot Table for acq weekly'!$A:$A=$A10)/$C10 = 0,"""",FILTER('Pivot Table for acq weekly'!P:P,'Pivot Table for acq weekly'!$B:$B=$B10,'Pivot Table for acq weekly'!$A:$A=$A"&amp;"10)/$C10)"),0.11782786885245902)</f>
        <v>0.1178278689</v>
      </c>
      <c r="Q10" s="35">
        <f>IFERROR(__xludf.DUMMYFUNCTION("IF(FILTER('Pivot Table for acq weekly'!Q:Q,'Pivot Table for acq weekly'!$B:$B=$B10,'Pivot Table for acq weekly'!$A:$A=$A10)/$C10 = 0,"""",FILTER('Pivot Table for acq weekly'!Q:Q,'Pivot Table for acq weekly'!$B:$B=$B10,'Pivot Table for acq weekly'!$A:$A=$A"&amp;"10)/$C10)"),0.04569672131147541)</f>
        <v>0.04569672131</v>
      </c>
      <c r="R10" s="35">
        <f>IFERROR(__xludf.DUMMYFUNCTION("IF(FILTER('Pivot Table for acq weekly'!R:R,'Pivot Table for acq weekly'!$B:$B=$B10,'Pivot Table for acq weekly'!$A:$A=$A10)/$C10 = 0,"""",FILTER('Pivot Table for acq weekly'!R:R,'Pivot Table for acq weekly'!$B:$B=$B10,'Pivot Table for acq weekly'!$A:$A=$A"&amp;"10)/$C10)"),0.048770491803278686)</f>
        <v>0.0487704918</v>
      </c>
      <c r="S10" s="35">
        <f>IFERROR(__xludf.DUMMYFUNCTION("IF(FILTER('Pivot Table for acq weekly'!S:S,'Pivot Table for acq weekly'!$B:$B=$B10,'Pivot Table for acq weekly'!$A:$A=$A10)/$C10 = 0,"""",FILTER('Pivot Table for acq weekly'!S:S,'Pivot Table for acq weekly'!$B:$B=$B10,'Pivot Table for acq weekly'!$A:$A=$A"&amp;"10)/$C10)"),0.06270491803278688)</f>
        <v>0.06270491803</v>
      </c>
      <c r="T10" s="35">
        <f>IFERROR(__xludf.DUMMYFUNCTION("IF(FILTER('Pivot Table for acq weekly'!T:T,'Pivot Table for acq weekly'!$B:$B=$B10,'Pivot Table for acq weekly'!$A:$A=$A10)/$C10 = 0,"""",FILTER('Pivot Table for acq weekly'!T:T,'Pivot Table for acq weekly'!$B:$B=$B10,'Pivot Table for acq weekly'!$A:$A=$A"&amp;"10)/$C10)"),0.09795081967213115)</f>
        <v>0.09795081967</v>
      </c>
      <c r="U10" s="35">
        <f>IFERROR(__xludf.DUMMYFUNCTION("IF(FILTER('Pivot Table for acq weekly'!U:U,'Pivot Table for acq weekly'!$B:$B=$B10,'Pivot Table for acq weekly'!$A:$A=$A10)/$C10 = 0,"""",FILTER('Pivot Table for acq weekly'!U:U,'Pivot Table for acq weekly'!$B:$B=$B10,'Pivot Table for acq weekly'!$A:$A=$A"&amp;"10)/$C10)"),0.07643442622950819)</f>
        <v>0.07643442623</v>
      </c>
      <c r="V10" s="35">
        <f>IFERROR(__xludf.DUMMYFUNCTION("IF(FILTER('Pivot Table for acq weekly'!V:V,'Pivot Table for acq weekly'!$B:$B=$B10,'Pivot Table for acq weekly'!$A:$A=$A10)/$C10 = 0,"""",FILTER('Pivot Table for acq weekly'!V:V,'Pivot Table for acq weekly'!$B:$B=$B10,'Pivot Table for acq weekly'!$A:$A=$A"&amp;"10)/$C10)"),0.0444672131147541)</f>
        <v>0.04446721311</v>
      </c>
      <c r="W10" s="35">
        <f>IFERROR(__xludf.DUMMYFUNCTION("IF(FILTER('Pivot Table for acq weekly'!W:W,'Pivot Table for acq weekly'!$B:$B=$B10,'Pivot Table for acq weekly'!$A:$A=$A10)/$C10 = 0,"""",FILTER('Pivot Table for acq weekly'!W:W,'Pivot Table for acq weekly'!$B:$B=$B10,'Pivot Table for acq weekly'!$A:$A=$A"&amp;"10)/$C10)"),0.014959016393442623)</f>
        <v>0.01495901639</v>
      </c>
      <c r="X10" s="35" t="str">
        <f>IFERROR(__xludf.DUMMYFUNCTION("IF(FILTER('Pivot Table for acq weekly'!X:X,'Pivot Table for acq weekly'!$B:$B=$B10,'Pivot Table for acq weekly'!$A:$A=$A10)/$C10 = 0,"""",FILTER('Pivot Table for acq weekly'!X:X,'Pivot Table for acq weekly'!$B:$B=$B10,'Pivot Table for acq weekly'!$A:$A=$A"&amp;"10)/$C10)"),"")</f>
        <v/>
      </c>
      <c r="Y10" s="35" t="str">
        <f>IFERROR(__xludf.DUMMYFUNCTION("IF(FILTER('Pivot Table for acq weekly'!Y:Y,'Pivot Table for acq weekly'!$B:$B=$B10,'Pivot Table for acq weekly'!$A:$A=$A10)/$C10 = 0,"""",FILTER('Pivot Table for acq weekly'!Y:Y,'Pivot Table for acq weekly'!$B:$B=$B10,'Pivot Table for acq weekly'!$A:$A=$A"&amp;"10)/$C10)"),"")</f>
        <v/>
      </c>
      <c r="Z10" s="37"/>
    </row>
    <row r="11">
      <c r="A11" s="32">
        <v>2.0</v>
      </c>
      <c r="B11" s="33">
        <v>43275.0</v>
      </c>
      <c r="C11" s="34">
        <f>IFERROR(__xludf.DUMMYFUNCTION("FILTER('Pivot Table for acq weekly'!C:C,'Pivot Table for acq weekly'!$B:$B=$B11,'Pivot Table for acq weekly'!$A:$A=$A11)"),3986.0)</f>
        <v>3986</v>
      </c>
      <c r="D11" s="35">
        <f>IFERROR(__xludf.DUMMYFUNCTION("IF(FILTER('Pivot Table for acq weekly'!D:D,'Pivot Table for acq weekly'!$B:$B=$B11,'Pivot Table for acq weekly'!$A:$A=$A11)/$C11 = 0,"""",FILTER('Pivot Table for acq weekly'!D:D,'Pivot Table for acq weekly'!$B:$B=$B11,'Pivot Table for acq weekly'!$A:$A=$A"&amp;"11)/$C11)"),0.017812343201204214)</f>
        <v>0.0178123432</v>
      </c>
      <c r="E11" s="35">
        <f>IFERROR(__xludf.DUMMYFUNCTION("IF(FILTER('Pivot Table for acq weekly'!E:E,'Pivot Table for acq weekly'!$B:$B=$B11,'Pivot Table for acq weekly'!$A:$A=$A11)/$C11 = 0,"""",FILTER('Pivot Table for acq weekly'!E:E,'Pivot Table for acq weekly'!$B:$B=$B11,'Pivot Table for acq weekly'!$A:$A=$A"&amp;"11)/$C11)"),0.017812343201204214)</f>
        <v>0.0178123432</v>
      </c>
      <c r="F11" s="35">
        <f>IFERROR(__xludf.DUMMYFUNCTION("IF(FILTER('Pivot Table for acq weekly'!F:F,'Pivot Table for acq weekly'!$B:$B=$B11,'Pivot Table for acq weekly'!$A:$A=$A11)/$C11 = 0,"""",FILTER('Pivot Table for acq weekly'!F:F,'Pivot Table for acq weekly'!$B:$B=$B11,'Pivot Table for acq weekly'!$A:$A=$A"&amp;"11)/$C11)"),0.057952834922227796)</f>
        <v>0.05795283492</v>
      </c>
      <c r="G11" s="35">
        <f>IFERROR(__xludf.DUMMYFUNCTION("IF(FILTER('Pivot Table for acq weekly'!G:G,'Pivot Table for acq weekly'!$B:$B=$B11,'Pivot Table for acq weekly'!$A:$A=$A11)/$C11 = 0,"""",FILTER('Pivot Table for acq weekly'!G:G,'Pivot Table for acq weekly'!$B:$B=$B11,'Pivot Table for acq weekly'!$A:$A=$A"&amp;"11)/$C11)"),0.24535875564475665)</f>
        <v>0.2453587556</v>
      </c>
      <c r="H11" s="35">
        <f>IFERROR(__xludf.DUMMYFUNCTION("IF(FILTER('Pivot Table for acq weekly'!H:H,'Pivot Table for acq weekly'!$B:$B=$B11,'Pivot Table for acq weekly'!$A:$A=$A11)/$C11 = 0,"""",FILTER('Pivot Table for acq weekly'!H:H,'Pivot Table for acq weekly'!$B:$B=$B11,'Pivot Table for acq weekly'!$A:$A=$A"&amp;"11)/$C11)"),0.12117410938283994)</f>
        <v>0.1211741094</v>
      </c>
      <c r="I11" s="35">
        <f>IFERROR(__xludf.DUMMYFUNCTION("IF(FILTER('Pivot Table for acq weekly'!I:I,'Pivot Table for acq weekly'!$B:$B=$B11,'Pivot Table for acq weekly'!$A:$A=$A11)/$C11 = 0,"""",FILTER('Pivot Table for acq weekly'!I:I,'Pivot Table for acq weekly'!$B:$B=$B11,'Pivot Table for acq weekly'!$A:$A=$A"&amp;"11)/$C11)"),0.042147516307074764)</f>
        <v>0.04214751631</v>
      </c>
      <c r="J11" s="35">
        <f>IFERROR(__xludf.DUMMYFUNCTION("IF(FILTER('Pivot Table for acq weekly'!J:J,'Pivot Table for acq weekly'!$B:$B=$B11,'Pivot Table for acq weekly'!$A:$A=$A11)/$C11 = 0,"""",FILTER('Pivot Table for acq weekly'!J:J,'Pivot Table for acq weekly'!$B:$B=$B11,'Pivot Table for acq weekly'!$A:$A=$A"&amp;"11)/$C11)"),0.046914199698946314)</f>
        <v>0.0469141997</v>
      </c>
      <c r="K11" s="35">
        <f>IFERROR(__xludf.DUMMYFUNCTION("IF(FILTER('Pivot Table for acq weekly'!K:K,'Pivot Table for acq weekly'!$B:$B=$B11,'Pivot Table for acq weekly'!$A:$A=$A11)/$C11 = 0,"""",FILTER('Pivot Table for acq weekly'!K:K,'Pivot Table for acq weekly'!$B:$B=$B11,'Pivot Table for acq weekly'!$A:$A=$A"&amp;"11)/$C11)"),0.15880582037129956)</f>
        <v>0.1588058204</v>
      </c>
      <c r="L11" s="35">
        <f>IFERROR(__xludf.DUMMYFUNCTION("IF(FILTER('Pivot Table for acq weekly'!L:L,'Pivot Table for acq weekly'!$B:$B=$B11,'Pivot Table for acq weekly'!$A:$A=$A11)/$C11 = 0,"""",FILTER('Pivot Table for acq weekly'!L:L,'Pivot Table for acq weekly'!$B:$B=$B11,'Pivot Table for acq weekly'!$A:$A=$A"&amp;"11)/$C11)"),0.11816357250376316)</f>
        <v>0.1181635725</v>
      </c>
      <c r="M11" s="35">
        <f>IFERROR(__xludf.DUMMYFUNCTION("IF(FILTER('Pivot Table for acq weekly'!M:M,'Pivot Table for acq weekly'!$B:$B=$B11,'Pivot Table for acq weekly'!$A:$A=$A11)/$C11 = 0,"""",FILTER('Pivot Table for acq weekly'!M:M,'Pivot Table for acq weekly'!$B:$B=$B11,'Pivot Table for acq weekly'!$A:$A=$A"&amp;"11)/$C11)"),0.06322127446061214)</f>
        <v>0.06322127446</v>
      </c>
      <c r="N11" s="35">
        <f>IFERROR(__xludf.DUMMYFUNCTION("IF(FILTER('Pivot Table for acq weekly'!N:N,'Pivot Table for acq weekly'!$B:$B=$B11,'Pivot Table for acq weekly'!$A:$A=$A11)/$C11 = 0,"""",FILTER('Pivot Table for acq weekly'!N:N,'Pivot Table for acq weekly'!$B:$B=$B11,'Pivot Table for acq weekly'!$A:$A=$A"&amp;"11)/$C11)"),0.05117912694430507)</f>
        <v>0.05117912694</v>
      </c>
      <c r="O11" s="35">
        <f>IFERROR(__xludf.DUMMYFUNCTION("IF(FILTER('Pivot Table for acq weekly'!O:O,'Pivot Table for acq weekly'!$B:$B=$B11,'Pivot Table for acq weekly'!$A:$A=$A11)/$C11 = 0,"""",FILTER('Pivot Table for acq weekly'!O:O,'Pivot Table for acq weekly'!$B:$B=$B11,'Pivot Table for acq weekly'!$A:$A=$A"&amp;"11)/$C11)"),0.05092824887104867)</f>
        <v>0.05092824887</v>
      </c>
      <c r="P11" s="35">
        <f>IFERROR(__xludf.DUMMYFUNCTION("IF(FILTER('Pivot Table for acq weekly'!P:P,'Pivot Table for acq weekly'!$B:$B=$B11,'Pivot Table for acq weekly'!$A:$A=$A11)/$C11 = 0,"""",FILTER('Pivot Table for acq weekly'!P:P,'Pivot Table for acq weekly'!$B:$B=$B11,'Pivot Table for acq weekly'!$A:$A=$A"&amp;"11)/$C11)"),0.10737581535373808)</f>
        <v>0.1073758154</v>
      </c>
      <c r="Q11" s="35">
        <f>IFERROR(__xludf.DUMMYFUNCTION("IF(FILTER('Pivot Table for acq weekly'!Q:Q,'Pivot Table for acq weekly'!$B:$B=$B11,'Pivot Table for acq weekly'!$A:$A=$A11)/$C11 = 0,"""",FILTER('Pivot Table for acq weekly'!Q:Q,'Pivot Table for acq weekly'!$B:$B=$B11,'Pivot Table for acq weekly'!$A:$A=$A"&amp;"11)/$C11)"),0.07375815353738083)</f>
        <v>0.07375815354</v>
      </c>
      <c r="R11" s="35">
        <f>IFERROR(__xludf.DUMMYFUNCTION("IF(FILTER('Pivot Table for acq weekly'!R:R,'Pivot Table for acq weekly'!$B:$B=$B11,'Pivot Table for acq weekly'!$A:$A=$A11)/$C11 = 0,"""",FILTER('Pivot Table for acq weekly'!R:R,'Pivot Table for acq weekly'!$B:$B=$B11,'Pivot Table for acq weekly'!$A:$A=$A"&amp;"11)/$C11)"),0.04239839438033116)</f>
        <v>0.04239839438</v>
      </c>
      <c r="S11" s="35">
        <f>IFERROR(__xludf.DUMMYFUNCTION("IF(FILTER('Pivot Table for acq weekly'!S:S,'Pivot Table for acq weekly'!$B:$B=$B11,'Pivot Table for acq weekly'!$A:$A=$A11)/$C11 = 0,"""",FILTER('Pivot Table for acq weekly'!S:S,'Pivot Table for acq weekly'!$B:$B=$B11,'Pivot Table for acq weekly'!$A:$A=$A"&amp;"11)/$C11)"),0.0479177119919719)</f>
        <v>0.04791771199</v>
      </c>
      <c r="T11" s="35">
        <f>IFERROR(__xludf.DUMMYFUNCTION("IF(FILTER('Pivot Table for acq weekly'!T:T,'Pivot Table for acq weekly'!$B:$B=$B11,'Pivot Table for acq weekly'!$A:$A=$A11)/$C11 = 0,"""",FILTER('Pivot Table for acq weekly'!T:T,'Pivot Table for acq weekly'!$B:$B=$B11,'Pivot Table for acq weekly'!$A:$A=$A"&amp;"11)/$C11)"),0.09809332664325138)</f>
        <v>0.09809332664</v>
      </c>
      <c r="U11" s="35">
        <f>IFERROR(__xludf.DUMMYFUNCTION("IF(FILTER('Pivot Table for acq weekly'!U:U,'Pivot Table for acq weekly'!$B:$B=$B11,'Pivot Table for acq weekly'!$A:$A=$A11)/$C11 = 0,"""",FILTER('Pivot Table for acq weekly'!U:U,'Pivot Table for acq weekly'!$B:$B=$B11,'Pivot Table for acq weekly'!$A:$A=$A"&amp;"11)/$C11)"),0.06874059207225289)</f>
        <v>0.06874059207</v>
      </c>
      <c r="V11" s="35">
        <f>IFERROR(__xludf.DUMMYFUNCTION("IF(FILTER('Pivot Table for acq weekly'!V:V,'Pivot Table for acq weekly'!$B:$B=$B11,'Pivot Table for acq weekly'!$A:$A=$A11)/$C11 = 0,"""",FILTER('Pivot Table for acq weekly'!V:V,'Pivot Table for acq weekly'!$B:$B=$B11,'Pivot Table for acq weekly'!$A:$A=$A"&amp;"11)/$C11)"),0.013798294029101857)</f>
        <v>0.01379829403</v>
      </c>
      <c r="W11" s="35" t="str">
        <f>IFERROR(__xludf.DUMMYFUNCTION("IF(FILTER('Pivot Table for acq weekly'!W:W,'Pivot Table for acq weekly'!$B:$B=$B11,'Pivot Table for acq weekly'!$A:$A=$A11)/$C11 = 0,"""",FILTER('Pivot Table for acq weekly'!W:W,'Pivot Table for acq weekly'!$B:$B=$B11,'Pivot Table for acq weekly'!$A:$A=$A"&amp;"11)/$C11)"),"")</f>
        <v/>
      </c>
      <c r="X11" s="35" t="str">
        <f>IFERROR(__xludf.DUMMYFUNCTION("IF(FILTER('Pivot Table for acq weekly'!X:X,'Pivot Table for acq weekly'!$B:$B=$B11,'Pivot Table for acq weekly'!$A:$A=$A11)/$C11 = 0,"""",FILTER('Pivot Table for acq weekly'!X:X,'Pivot Table for acq weekly'!$B:$B=$B11,'Pivot Table for acq weekly'!$A:$A=$A"&amp;"11)/$C11)"),"")</f>
        <v/>
      </c>
      <c r="Y11" s="35" t="str">
        <f>IFERROR(__xludf.DUMMYFUNCTION("IF(FILTER('Pivot Table for acq weekly'!Y:Y,'Pivot Table for acq weekly'!$B:$B=$B11,'Pivot Table for acq weekly'!$A:$A=$A11)/$C11 = 0,"""",FILTER('Pivot Table for acq weekly'!Y:Y,'Pivot Table for acq weekly'!$B:$B=$B11,'Pivot Table for acq weekly'!$A:$A=$A"&amp;"11)/$C11)"),"")</f>
        <v/>
      </c>
      <c r="Z11" s="37"/>
    </row>
    <row r="12">
      <c r="A12" s="32">
        <v>2.0</v>
      </c>
      <c r="B12" s="33">
        <v>43282.0</v>
      </c>
      <c r="C12" s="34">
        <f>IFERROR(__xludf.DUMMYFUNCTION("FILTER('Pivot Table for acq weekly'!C:C,'Pivot Table for acq weekly'!$B:$B=$B12,'Pivot Table for acq weekly'!$A:$A=$A12)"),4517.0)</f>
        <v>4517</v>
      </c>
      <c r="D12" s="35">
        <f>IFERROR(__xludf.DUMMYFUNCTION("IF(FILTER('Pivot Table for acq weekly'!D:D,'Pivot Table for acq weekly'!$B:$B=$B12,'Pivot Table for acq weekly'!$A:$A=$A12)/$C12 = 0,"""",FILTER('Pivot Table for acq weekly'!D:D,'Pivot Table for acq weekly'!$B:$B=$B12,'Pivot Table for acq weekly'!$A:$A=$A"&amp;"12)/$C12)"),0.014832853663936241)</f>
        <v>0.01483285366</v>
      </c>
      <c r="E12" s="35">
        <f>IFERROR(__xludf.DUMMYFUNCTION("IF(FILTER('Pivot Table for acq weekly'!E:E,'Pivot Table for acq weekly'!$B:$B=$B12,'Pivot Table for acq weekly'!$A:$A=$A12)/$C12 = 0,"""",FILTER('Pivot Table for acq weekly'!E:E,'Pivot Table for acq weekly'!$B:$B=$B12,'Pivot Table for acq weekly'!$A:$A=$A"&amp;"12)/$C12)"),0.01372592428603055)</f>
        <v>0.01372592429</v>
      </c>
      <c r="F12" s="35">
        <f>IFERROR(__xludf.DUMMYFUNCTION("IF(FILTER('Pivot Table for acq weekly'!F:F,'Pivot Table for acq weekly'!$B:$B=$B12,'Pivot Table for acq weekly'!$A:$A=$A12)/$C12 = 0,"""",FILTER('Pivot Table for acq weekly'!F:F,'Pivot Table for acq weekly'!$B:$B=$B12,'Pivot Table for acq weekly'!$A:$A=$A"&amp;"12)/$C12)"),0.0549036971441222)</f>
        <v>0.05490369714</v>
      </c>
      <c r="G12" s="35">
        <f>IFERROR(__xludf.DUMMYFUNCTION("IF(FILTER('Pivot Table for acq weekly'!G:G,'Pivot Table for acq weekly'!$B:$B=$B12,'Pivot Table for acq weekly'!$A:$A=$A12)/$C12 = 0,"""",FILTER('Pivot Table for acq weekly'!G:G,'Pivot Table for acq weekly'!$B:$B=$B12,'Pivot Table for acq weekly'!$A:$A=$A"&amp;"12)/$C12)"),0.21385875581137923)</f>
        <v>0.2138587558</v>
      </c>
      <c r="H12" s="35">
        <f>IFERROR(__xludf.DUMMYFUNCTION("IF(FILTER('Pivot Table for acq weekly'!H:H,'Pivot Table for acq weekly'!$B:$B=$B12,'Pivot Table for acq weekly'!$A:$A=$A12)/$C12 = 0,"""",FILTER('Pivot Table for acq weekly'!H:H,'Pivot Table for acq weekly'!$B:$B=$B12,'Pivot Table for acq weekly'!$A:$A=$A"&amp;"12)/$C12)"),0.15740535753818907)</f>
        <v>0.1574053575</v>
      </c>
      <c r="I12" s="35">
        <f>IFERROR(__xludf.DUMMYFUNCTION("IF(FILTER('Pivot Table for acq weekly'!I:I,'Pivot Table for acq weekly'!$B:$B=$B12,'Pivot Table for acq weekly'!$A:$A=$A12)/$C12 = 0,"""",FILTER('Pivot Table for acq weekly'!I:I,'Pivot Table for acq weekly'!$B:$B=$B12,'Pivot Table for acq weekly'!$A:$A=$A"&amp;"12)/$C12)"),0.029665707327872482)</f>
        <v>0.02966570733</v>
      </c>
      <c r="J12" s="35">
        <f>IFERROR(__xludf.DUMMYFUNCTION("IF(FILTER('Pivot Table for acq weekly'!J:J,'Pivot Table for acq weekly'!$B:$B=$B12,'Pivot Table for acq weekly'!$A:$A=$A12)/$C12 = 0,"""",FILTER('Pivot Table for acq weekly'!J:J,'Pivot Table for acq weekly'!$B:$B=$B12,'Pivot Table for acq weekly'!$A:$A=$A"&amp;"12)/$C12)"),0.03697144122205003)</f>
        <v>0.03697144122</v>
      </c>
      <c r="K12" s="35">
        <f>IFERROR(__xludf.DUMMYFUNCTION("IF(FILTER('Pivot Table for acq weekly'!K:K,'Pivot Table for acq weekly'!$B:$B=$B12,'Pivot Table for acq weekly'!$A:$A=$A12)/$C12 = 0,"""",FILTER('Pivot Table for acq weekly'!K:K,'Pivot Table for acq weekly'!$B:$B=$B12,'Pivot Table for acq weekly'!$A:$A=$A"&amp;"12)/$C12)"),0.12928935133938455)</f>
        <v>0.1292893513</v>
      </c>
      <c r="L12" s="35">
        <f>IFERROR(__xludf.DUMMYFUNCTION("IF(FILTER('Pivot Table for acq weekly'!L:L,'Pivot Table for acq weekly'!$B:$B=$B12,'Pivot Table for acq weekly'!$A:$A=$A12)/$C12 = 0,"""",FILTER('Pivot Table for acq weekly'!L:L,'Pivot Table for acq weekly'!$B:$B=$B12,'Pivot Table for acq weekly'!$A:$A=$A"&amp;"12)/$C12)"),0.13283152534868276)</f>
        <v>0.1328315253</v>
      </c>
      <c r="M12" s="35">
        <f>IFERROR(__xludf.DUMMYFUNCTION("IF(FILTER('Pivot Table for acq weekly'!M:M,'Pivot Table for acq weekly'!$B:$B=$B12,'Pivot Table for acq weekly'!$A:$A=$A12)/$C12 = 0,"""",FILTER('Pivot Table for acq weekly'!M:M,'Pivot Table for acq weekly'!$B:$B=$B12,'Pivot Table for acq weekly'!$A:$A=$A"&amp;"12)/$C12)"),0.0549036971441222)</f>
        <v>0.05490369714</v>
      </c>
      <c r="N12" s="35">
        <f>IFERROR(__xludf.DUMMYFUNCTION("IF(FILTER('Pivot Table for acq weekly'!N:N,'Pivot Table for acq weekly'!$B:$B=$B12,'Pivot Table for acq weekly'!$A:$A=$A12)/$C12 = 0,"""",FILTER('Pivot Table for acq weekly'!N:N,'Pivot Table for acq weekly'!$B:$B=$B12,'Pivot Table for acq weekly'!$A:$A=$A"&amp;"12)/$C12)"),0.053353996015054236)</f>
        <v>0.05335399602</v>
      </c>
      <c r="O12" s="35">
        <f>IFERROR(__xludf.DUMMYFUNCTION("IF(FILTER('Pivot Table for acq weekly'!O:O,'Pivot Table for acq weekly'!$B:$B=$B12,'Pivot Table for acq weekly'!$A:$A=$A12)/$C12 = 0,"""",FILTER('Pivot Table for acq weekly'!O:O,'Pivot Table for acq weekly'!$B:$B=$B12,'Pivot Table for acq weekly'!$A:$A=$A"&amp;"12)/$C12)"),0.04228470223599734)</f>
        <v>0.04228470224</v>
      </c>
      <c r="P12" s="35">
        <f>IFERROR(__xludf.DUMMYFUNCTION("IF(FILTER('Pivot Table for acq weekly'!P:P,'Pivot Table for acq weekly'!$B:$B=$B12,'Pivot Table for acq weekly'!$A:$A=$A12)/$C12 = 0,"""",FILTER('Pivot Table for acq weekly'!P:P,'Pivot Table for acq weekly'!$B:$B=$B12,'Pivot Table for acq weekly'!$A:$A=$A"&amp;"12)/$C12)"),0.13172459597077707)</f>
        <v>0.131724596</v>
      </c>
      <c r="Q12" s="35">
        <f>IFERROR(__xludf.DUMMYFUNCTION("IF(FILTER('Pivot Table for acq weekly'!Q:Q,'Pivot Table for acq weekly'!$B:$B=$B12,'Pivot Table for acq weekly'!$A:$A=$A12)/$C12 = 0,"""",FILTER('Pivot Table for acq weekly'!Q:Q,'Pivot Table for acq weekly'!$B:$B=$B12,'Pivot Table for acq weekly'!$A:$A=$A"&amp;"12)/$C12)"),0.04693380562320124)</f>
        <v>0.04693380562</v>
      </c>
      <c r="R12" s="35">
        <f>IFERROR(__xludf.DUMMYFUNCTION("IF(FILTER('Pivot Table for acq weekly'!R:R,'Pivot Table for acq weekly'!$B:$B=$B12,'Pivot Table for acq weekly'!$A:$A=$A12)/$C12 = 0,"""",FILTER('Pivot Table for acq weekly'!R:R,'Pivot Table for acq weekly'!$B:$B=$B12,'Pivot Table for acq weekly'!$A:$A=$A"&amp;"12)/$C12)"),0.03630728359530662)</f>
        <v>0.0363072836</v>
      </c>
      <c r="S12" s="35">
        <f>IFERROR(__xludf.DUMMYFUNCTION("IF(FILTER('Pivot Table for acq weekly'!S:S,'Pivot Table for acq weekly'!$B:$B=$B12,'Pivot Table for acq weekly'!$A:$A=$A12)/$C12 = 0,"""",FILTER('Pivot Table for acq weekly'!S:S,'Pivot Table for acq weekly'!$B:$B=$B12,'Pivot Table for acq weekly'!$A:$A=$A"&amp;"12)/$C12)"),0.04339163161390303)</f>
        <v>0.04339163161</v>
      </c>
      <c r="T12" s="35">
        <f>IFERROR(__xludf.DUMMYFUNCTION("IF(FILTER('Pivot Table for acq weekly'!T:T,'Pivot Table for acq weekly'!$B:$B=$B12,'Pivot Table for acq weekly'!$A:$A=$A12)/$C12 = 0,"""",FILTER('Pivot Table for acq weekly'!T:T,'Pivot Table for acq weekly'!$B:$B=$B12,'Pivot Table for acq weekly'!$A:$A=$A"&amp;"12)/$C12)"),0.09076820898826655)</f>
        <v>0.09076820899</v>
      </c>
      <c r="U12" s="35">
        <f>IFERROR(__xludf.DUMMYFUNCTION("IF(FILTER('Pivot Table for acq weekly'!U:U,'Pivot Table for acq weekly'!$B:$B=$B12,'Pivot Table for acq weekly'!$A:$A=$A12)/$C12 = 0,"""",FILTER('Pivot Table for acq weekly'!U:U,'Pivot Table for acq weekly'!$B:$B=$B12,'Pivot Table for acq weekly'!$A:$A=$A"&amp;"12)/$C12)"),0.03342926721275183)</f>
        <v>0.03342926721</v>
      </c>
      <c r="V12" s="35" t="str">
        <f>IFERROR(__xludf.DUMMYFUNCTION("IF(FILTER('Pivot Table for acq weekly'!V:V,'Pivot Table for acq weekly'!$B:$B=$B12,'Pivot Table for acq weekly'!$A:$A=$A12)/$C12 = 0,"""",FILTER('Pivot Table for acq weekly'!V:V,'Pivot Table for acq weekly'!$B:$B=$B12,'Pivot Table for acq weekly'!$A:$A=$A"&amp;"12)/$C12)"),"")</f>
        <v/>
      </c>
      <c r="W12" s="35" t="str">
        <f>IFERROR(__xludf.DUMMYFUNCTION("IF(FILTER('Pivot Table for acq weekly'!W:W,'Pivot Table for acq weekly'!$B:$B=$B12,'Pivot Table for acq weekly'!$A:$A=$A12)/$C12 = 0,"""",FILTER('Pivot Table for acq weekly'!W:W,'Pivot Table for acq weekly'!$B:$B=$B12,'Pivot Table for acq weekly'!$A:$A=$A"&amp;"12)/$C12)"),"")</f>
        <v/>
      </c>
      <c r="X12" s="35" t="str">
        <f>IFERROR(__xludf.DUMMYFUNCTION("IF(FILTER('Pivot Table for acq weekly'!X:X,'Pivot Table for acq weekly'!$B:$B=$B12,'Pivot Table for acq weekly'!$A:$A=$A12)/$C12 = 0,"""",FILTER('Pivot Table for acq weekly'!X:X,'Pivot Table for acq weekly'!$B:$B=$B12,'Pivot Table for acq weekly'!$A:$A=$A"&amp;"12)/$C12)"),"")</f>
        <v/>
      </c>
      <c r="Y12" s="35" t="str">
        <f>IFERROR(__xludf.DUMMYFUNCTION("IF(FILTER('Pivot Table for acq weekly'!Y:Y,'Pivot Table for acq weekly'!$B:$B=$B12,'Pivot Table for acq weekly'!$A:$A=$A12)/$C12 = 0,"""",FILTER('Pivot Table for acq weekly'!Y:Y,'Pivot Table for acq weekly'!$B:$B=$B12,'Pivot Table for acq weekly'!$A:$A=$A"&amp;"12)/$C12)"),"")</f>
        <v/>
      </c>
      <c r="Z12" s="37"/>
    </row>
    <row r="13" hidden="1">
      <c r="A13" s="39">
        <v>3.0</v>
      </c>
      <c r="B13" s="40">
        <v>43254.0</v>
      </c>
      <c r="C13" s="41" t="str">
        <f>IFERROR(__xludf.DUMMYFUNCTION("FILTER('Pivot Table for acq weekly'!C:C,'Pivot Table for acq weekly'!$B:$B=$B13,'Pivot Table for acq weekly'!$A:$A=$A13)"),"#N/A")</f>
        <v>#N/A</v>
      </c>
      <c r="D13" s="42" t="str">
        <f>IFERROR(__xludf.DUMMYFUNCTION("IF(FILTER('Pivot Table for acq weekly'!D:D,'Pivot Table for acq weekly'!$B:$B=$B13,'Pivot Table for acq weekly'!$A:$A=$A13)/$C13 = 0,"""",FILTER('Pivot Table for acq weekly'!D:D,'Pivot Table for acq weekly'!$B:$B=$B13,'Pivot Table for acq weekly'!$A:$A=$A"&amp;"13)/$C13)"),"#N/A")</f>
        <v>#N/A</v>
      </c>
      <c r="E13" s="42" t="str">
        <f>IFERROR(__xludf.DUMMYFUNCTION("IF(FILTER('Pivot Table for acq weekly'!E:E,'Pivot Table for acq weekly'!$B:$B=$B13,'Pivot Table for acq weekly'!$A:$A=$A13)/$C13 = 0,"""",FILTER('Pivot Table for acq weekly'!E:E,'Pivot Table for acq weekly'!$B:$B=$B13,'Pivot Table for acq weekly'!$A:$A=$A"&amp;"13)/$C13)"),"#N/A")</f>
        <v>#N/A</v>
      </c>
      <c r="F13" s="42" t="str">
        <f>IFERROR(__xludf.DUMMYFUNCTION("IF(FILTER('Pivot Table for acq weekly'!F:F,'Pivot Table for acq weekly'!$B:$B=$B13,'Pivot Table for acq weekly'!$A:$A=$A13)/$C13 = 0,"""",FILTER('Pivot Table for acq weekly'!F:F,'Pivot Table for acq weekly'!$B:$B=$B13,'Pivot Table for acq weekly'!$A:$A=$A"&amp;"13)/$C13)"),"#N/A")</f>
        <v>#N/A</v>
      </c>
      <c r="G13" s="42" t="str">
        <f>IFERROR(__xludf.DUMMYFUNCTION("IF(FILTER('Pivot Table for acq weekly'!G:G,'Pivot Table for acq weekly'!$B:$B=$B13,'Pivot Table for acq weekly'!$A:$A=$A13)/$C13 = 0,"""",FILTER('Pivot Table for acq weekly'!G:G,'Pivot Table for acq weekly'!$B:$B=$B13,'Pivot Table for acq weekly'!$A:$A=$A"&amp;"13)/$C13)"),"#N/A")</f>
        <v>#N/A</v>
      </c>
      <c r="H13" s="42" t="str">
        <f>IFERROR(__xludf.DUMMYFUNCTION("IF(FILTER('Pivot Table for acq weekly'!H:H,'Pivot Table for acq weekly'!$B:$B=$B13,'Pivot Table for acq weekly'!$A:$A=$A13)/$C13 = 0,"""",FILTER('Pivot Table for acq weekly'!H:H,'Pivot Table for acq weekly'!$B:$B=$B13,'Pivot Table for acq weekly'!$A:$A=$A"&amp;"13)/$C13)"),"#N/A")</f>
        <v>#N/A</v>
      </c>
      <c r="I13" s="42" t="str">
        <f>IFERROR(__xludf.DUMMYFUNCTION("IF(FILTER('Pivot Table for acq weekly'!I:I,'Pivot Table for acq weekly'!$B:$B=$B13,'Pivot Table for acq weekly'!$A:$A=$A13)/$C13 = 0,"""",FILTER('Pivot Table for acq weekly'!I:I,'Pivot Table for acq weekly'!$B:$B=$B13,'Pivot Table for acq weekly'!$A:$A=$A"&amp;"13)/$C13)"),"#N/A")</f>
        <v>#N/A</v>
      </c>
      <c r="J13" s="42" t="str">
        <f>IFERROR(__xludf.DUMMYFUNCTION("IF(FILTER('Pivot Table for acq weekly'!J:J,'Pivot Table for acq weekly'!$B:$B=$B13,'Pivot Table for acq weekly'!$A:$A=$A13)/$C13 = 0,"""",FILTER('Pivot Table for acq weekly'!J:J,'Pivot Table for acq weekly'!$B:$B=$B13,'Pivot Table for acq weekly'!$A:$A=$A"&amp;"13)/$C13)"),"#N/A")</f>
        <v>#N/A</v>
      </c>
      <c r="K13" s="42" t="str">
        <f>IFERROR(__xludf.DUMMYFUNCTION("IF(FILTER('Pivot Table for acq weekly'!K:K,'Pivot Table for acq weekly'!$B:$B=$B13,'Pivot Table for acq weekly'!$A:$A=$A13)/$C13 = 0,"""",FILTER('Pivot Table for acq weekly'!K:K,'Pivot Table for acq weekly'!$B:$B=$B13,'Pivot Table for acq weekly'!$A:$A=$A"&amp;"13)/$C13)"),"#N/A")</f>
        <v>#N/A</v>
      </c>
      <c r="L13" s="42" t="str">
        <f>IFERROR(__xludf.DUMMYFUNCTION("IF(FILTER('Pivot Table for acq weekly'!L:L,'Pivot Table for acq weekly'!$B:$B=$B13,'Pivot Table for acq weekly'!$A:$A=$A13)/$C13 = 0,"""",FILTER('Pivot Table for acq weekly'!L:L,'Pivot Table for acq weekly'!$B:$B=$B13,'Pivot Table for acq weekly'!$A:$A=$A"&amp;"13)/$C13)"),"#N/A")</f>
        <v>#N/A</v>
      </c>
      <c r="M13" s="42" t="str">
        <f>IFERROR(__xludf.DUMMYFUNCTION("IF(FILTER('Pivot Table for acq weekly'!M:M,'Pivot Table for acq weekly'!$B:$B=$B13,'Pivot Table for acq weekly'!$A:$A=$A13)/$C13 = 0,"""",FILTER('Pivot Table for acq weekly'!M:M,'Pivot Table for acq weekly'!$B:$B=$B13,'Pivot Table for acq weekly'!$A:$A=$A"&amp;"13)/$C13)"),"#N/A")</f>
        <v>#N/A</v>
      </c>
      <c r="N13" s="42" t="str">
        <f>IFERROR(__xludf.DUMMYFUNCTION("IF(FILTER('Pivot Table for acq weekly'!N:N,'Pivot Table for acq weekly'!$B:$B=$B13,'Pivot Table for acq weekly'!$A:$A=$A13)/$C13 = 0,"""",FILTER('Pivot Table for acq weekly'!N:N,'Pivot Table for acq weekly'!$B:$B=$B13,'Pivot Table for acq weekly'!$A:$A=$A"&amp;"13)/$C13)"),"#N/A")</f>
        <v>#N/A</v>
      </c>
      <c r="O13" s="42" t="str">
        <f>IFERROR(__xludf.DUMMYFUNCTION("IF(FILTER('Pivot Table for acq weekly'!O:O,'Pivot Table for acq weekly'!$B:$B=$B13,'Pivot Table for acq weekly'!$A:$A=$A13)/$C13 = 0,"""",FILTER('Pivot Table for acq weekly'!O:O,'Pivot Table for acq weekly'!$B:$B=$B13,'Pivot Table for acq weekly'!$A:$A=$A"&amp;"13)/$C13)"),"#N/A")</f>
        <v>#N/A</v>
      </c>
      <c r="P13" s="42" t="str">
        <f>IFERROR(__xludf.DUMMYFUNCTION("IF(FILTER('Pivot Table for acq weekly'!P:P,'Pivot Table for acq weekly'!$B:$B=$B13,'Pivot Table for acq weekly'!$A:$A=$A13)/$C13 = 0,"""",FILTER('Pivot Table for acq weekly'!P:P,'Pivot Table for acq weekly'!$B:$B=$B13,'Pivot Table for acq weekly'!$A:$A=$A"&amp;"13)/$C13)"),"#N/A")</f>
        <v>#N/A</v>
      </c>
      <c r="Q13" s="42" t="str">
        <f>IFERROR(__xludf.DUMMYFUNCTION("IF(FILTER('Pivot Table for acq weekly'!Q:Q,'Pivot Table for acq weekly'!$B:$B=$B13,'Pivot Table for acq weekly'!$A:$A=$A13)/$C13 = 0,"""",FILTER('Pivot Table for acq weekly'!Q:Q,'Pivot Table for acq weekly'!$B:$B=$B13,'Pivot Table for acq weekly'!$A:$A=$A"&amp;"13)/$C13)"),"#N/A")</f>
        <v>#N/A</v>
      </c>
      <c r="R13" s="42" t="str">
        <f>IFERROR(__xludf.DUMMYFUNCTION("IF(FILTER('Pivot Table for acq weekly'!R:R,'Pivot Table for acq weekly'!$B:$B=$B13,'Pivot Table for acq weekly'!$A:$A=$A13)/$C13 = 0,"""",FILTER('Pivot Table for acq weekly'!R:R,'Pivot Table for acq weekly'!$B:$B=$B13,'Pivot Table for acq weekly'!$A:$A=$A"&amp;"13)/$C13)"),"#N/A")</f>
        <v>#N/A</v>
      </c>
      <c r="S13" s="42" t="str">
        <f>IFERROR(__xludf.DUMMYFUNCTION("IF(FILTER('Pivot Table for acq weekly'!S:S,'Pivot Table for acq weekly'!$B:$B=$B13,'Pivot Table for acq weekly'!$A:$A=$A13)/$C13 = 0,"""",FILTER('Pivot Table for acq weekly'!S:S,'Pivot Table for acq weekly'!$B:$B=$B13,'Pivot Table for acq weekly'!$A:$A=$A"&amp;"13)/$C13)"),"#N/A")</f>
        <v>#N/A</v>
      </c>
      <c r="T13" s="42" t="str">
        <f>IFERROR(__xludf.DUMMYFUNCTION("IF(FILTER('Pivot Table for acq weekly'!T:T,'Pivot Table for acq weekly'!$B:$B=$B13,'Pivot Table for acq weekly'!$A:$A=$A13)/$C13 = 0,"""",FILTER('Pivot Table for acq weekly'!T:T,'Pivot Table for acq weekly'!$B:$B=$B13,'Pivot Table for acq weekly'!$A:$A=$A"&amp;"13)/$C13)"),"#N/A")</f>
        <v>#N/A</v>
      </c>
      <c r="U13" s="42" t="str">
        <f>IFERROR(__xludf.DUMMYFUNCTION("IF(FILTER('Pivot Table for acq weekly'!U:U,'Pivot Table for acq weekly'!$B:$B=$B13,'Pivot Table for acq weekly'!$A:$A=$A13)/$C13 = 0,"""",FILTER('Pivot Table for acq weekly'!U:U,'Pivot Table for acq weekly'!$B:$B=$B13,'Pivot Table for acq weekly'!$A:$A=$A"&amp;"13)/$C13)"),"#N/A")</f>
        <v>#N/A</v>
      </c>
      <c r="V13" s="42" t="str">
        <f>IFERROR(__xludf.DUMMYFUNCTION("IF(FILTER('Pivot Table for acq weekly'!V:V,'Pivot Table for acq weekly'!$B:$B=$B13,'Pivot Table for acq weekly'!$A:$A=$A13)/$C13 = 0,"""",FILTER('Pivot Table for acq weekly'!V:V,'Pivot Table for acq weekly'!$B:$B=$B13,'Pivot Table for acq weekly'!$A:$A=$A"&amp;"13)/$C13)"),"#N/A")</f>
        <v>#N/A</v>
      </c>
      <c r="W13" s="42" t="str">
        <f>IFERROR(__xludf.DUMMYFUNCTION("IF(FILTER('Pivot Table for acq weekly'!W:W,'Pivot Table for acq weekly'!$B:$B=$B13,'Pivot Table for acq weekly'!$A:$A=$A13)/$C13 = 0,"""",FILTER('Pivot Table for acq weekly'!W:W,'Pivot Table for acq weekly'!$B:$B=$B13,'Pivot Table for acq weekly'!$A:$A=$A"&amp;"13)/$C13)"),"#N/A")</f>
        <v>#N/A</v>
      </c>
      <c r="X13" s="42" t="str">
        <f>IFERROR(__xludf.DUMMYFUNCTION("IF(FILTER('Pivot Table for acq weekly'!X:X,'Pivot Table for acq weekly'!$B:$B=$B13,'Pivot Table for acq weekly'!$A:$A=$A13)/$C13 = 0,"""",FILTER('Pivot Table for acq weekly'!X:X,'Pivot Table for acq weekly'!$B:$B=$B13,'Pivot Table for acq weekly'!$A:$A=$A"&amp;"13)/$C13)"),"#N/A")</f>
        <v>#N/A</v>
      </c>
      <c r="Y13" s="42" t="str">
        <f>IFERROR(__xludf.DUMMYFUNCTION("IF(FILTER('Pivot Table for acq weekly'!Y:Y,'Pivot Table for acq weekly'!$B:$B=$B13,'Pivot Table for acq weekly'!$A:$A=$A13)/$C13 = 0,"""",FILTER('Pivot Table for acq weekly'!Y:Y,'Pivot Table for acq weekly'!$B:$B=$B13,'Pivot Table for acq weekly'!$A:$A=$A"&amp;"13)/$C13)"),"#N/A")</f>
        <v>#N/A</v>
      </c>
      <c r="Z13" s="43"/>
    </row>
    <row r="14" hidden="1">
      <c r="A14" s="39">
        <v>3.0</v>
      </c>
      <c r="B14" s="40">
        <v>43261.0</v>
      </c>
      <c r="C14" s="41" t="str">
        <f>IFERROR(__xludf.DUMMYFUNCTION("FILTER('Pivot Table for acq weekly'!C:C,'Pivot Table for acq weekly'!$B:$B=$B14,'Pivot Table for acq weekly'!$A:$A=$A14)"),"#N/A")</f>
        <v>#N/A</v>
      </c>
      <c r="D14" s="42" t="str">
        <f>IFERROR(__xludf.DUMMYFUNCTION("IF(FILTER('Pivot Table for acq weekly'!D:D,'Pivot Table for acq weekly'!$B:$B=$B14,'Pivot Table for acq weekly'!$A:$A=$A14)/$C14 = 0,"""",FILTER('Pivot Table for acq weekly'!D:D,'Pivot Table for acq weekly'!$B:$B=$B14,'Pivot Table for acq weekly'!$A:$A=$A"&amp;"14)/$C14)"),"#N/A")</f>
        <v>#N/A</v>
      </c>
      <c r="E14" s="42" t="str">
        <f>IFERROR(__xludf.DUMMYFUNCTION("IF(FILTER('Pivot Table for acq weekly'!E:E,'Pivot Table for acq weekly'!$B:$B=$B14,'Pivot Table for acq weekly'!$A:$A=$A14)/$C14 = 0,"""",FILTER('Pivot Table for acq weekly'!E:E,'Pivot Table for acq weekly'!$B:$B=$B14,'Pivot Table for acq weekly'!$A:$A=$A"&amp;"14)/$C14)"),"#N/A")</f>
        <v>#N/A</v>
      </c>
      <c r="F14" s="42" t="str">
        <f>IFERROR(__xludf.DUMMYFUNCTION("IF(FILTER('Pivot Table for acq weekly'!F:F,'Pivot Table for acq weekly'!$B:$B=$B14,'Pivot Table for acq weekly'!$A:$A=$A14)/$C14 = 0,"""",FILTER('Pivot Table for acq weekly'!F:F,'Pivot Table for acq weekly'!$B:$B=$B14,'Pivot Table for acq weekly'!$A:$A=$A"&amp;"14)/$C14)"),"#N/A")</f>
        <v>#N/A</v>
      </c>
      <c r="G14" s="42" t="str">
        <f>IFERROR(__xludf.DUMMYFUNCTION("IF(FILTER('Pivot Table for acq weekly'!G:G,'Pivot Table for acq weekly'!$B:$B=$B14,'Pivot Table for acq weekly'!$A:$A=$A14)/$C14 = 0,"""",FILTER('Pivot Table for acq weekly'!G:G,'Pivot Table for acq weekly'!$B:$B=$B14,'Pivot Table for acq weekly'!$A:$A=$A"&amp;"14)/$C14)"),"#N/A")</f>
        <v>#N/A</v>
      </c>
      <c r="H14" s="42" t="str">
        <f>IFERROR(__xludf.DUMMYFUNCTION("IF(FILTER('Pivot Table for acq weekly'!H:H,'Pivot Table for acq weekly'!$B:$B=$B14,'Pivot Table for acq weekly'!$A:$A=$A14)/$C14 = 0,"""",FILTER('Pivot Table for acq weekly'!H:H,'Pivot Table for acq weekly'!$B:$B=$B14,'Pivot Table for acq weekly'!$A:$A=$A"&amp;"14)/$C14)"),"#N/A")</f>
        <v>#N/A</v>
      </c>
      <c r="I14" s="42" t="str">
        <f>IFERROR(__xludf.DUMMYFUNCTION("IF(FILTER('Pivot Table for acq weekly'!I:I,'Pivot Table for acq weekly'!$B:$B=$B14,'Pivot Table for acq weekly'!$A:$A=$A14)/$C14 = 0,"""",FILTER('Pivot Table for acq weekly'!I:I,'Pivot Table for acq weekly'!$B:$B=$B14,'Pivot Table for acq weekly'!$A:$A=$A"&amp;"14)/$C14)"),"#N/A")</f>
        <v>#N/A</v>
      </c>
      <c r="J14" s="42" t="str">
        <f>IFERROR(__xludf.DUMMYFUNCTION("IF(FILTER('Pivot Table for acq weekly'!J:J,'Pivot Table for acq weekly'!$B:$B=$B14,'Pivot Table for acq weekly'!$A:$A=$A14)/$C14 = 0,"""",FILTER('Pivot Table for acq weekly'!J:J,'Pivot Table for acq weekly'!$B:$B=$B14,'Pivot Table for acq weekly'!$A:$A=$A"&amp;"14)/$C14)"),"#N/A")</f>
        <v>#N/A</v>
      </c>
      <c r="K14" s="42" t="str">
        <f>IFERROR(__xludf.DUMMYFUNCTION("IF(FILTER('Pivot Table for acq weekly'!K:K,'Pivot Table for acq weekly'!$B:$B=$B14,'Pivot Table for acq weekly'!$A:$A=$A14)/$C14 = 0,"""",FILTER('Pivot Table for acq weekly'!K:K,'Pivot Table for acq weekly'!$B:$B=$B14,'Pivot Table for acq weekly'!$A:$A=$A"&amp;"14)/$C14)"),"#N/A")</f>
        <v>#N/A</v>
      </c>
      <c r="L14" s="42" t="str">
        <f>IFERROR(__xludf.DUMMYFUNCTION("IF(FILTER('Pivot Table for acq weekly'!L:L,'Pivot Table for acq weekly'!$B:$B=$B14,'Pivot Table for acq weekly'!$A:$A=$A14)/$C14 = 0,"""",FILTER('Pivot Table for acq weekly'!L:L,'Pivot Table for acq weekly'!$B:$B=$B14,'Pivot Table for acq weekly'!$A:$A=$A"&amp;"14)/$C14)"),"#N/A")</f>
        <v>#N/A</v>
      </c>
      <c r="M14" s="42" t="str">
        <f>IFERROR(__xludf.DUMMYFUNCTION("IF(FILTER('Pivot Table for acq weekly'!M:M,'Pivot Table for acq weekly'!$B:$B=$B14,'Pivot Table for acq weekly'!$A:$A=$A14)/$C14 = 0,"""",FILTER('Pivot Table for acq weekly'!M:M,'Pivot Table for acq weekly'!$B:$B=$B14,'Pivot Table for acq weekly'!$A:$A=$A"&amp;"14)/$C14)"),"#N/A")</f>
        <v>#N/A</v>
      </c>
      <c r="N14" s="42" t="str">
        <f>IFERROR(__xludf.DUMMYFUNCTION("IF(FILTER('Pivot Table for acq weekly'!N:N,'Pivot Table for acq weekly'!$B:$B=$B14,'Pivot Table for acq weekly'!$A:$A=$A14)/$C14 = 0,"""",FILTER('Pivot Table for acq weekly'!N:N,'Pivot Table for acq weekly'!$B:$B=$B14,'Pivot Table for acq weekly'!$A:$A=$A"&amp;"14)/$C14)"),"#N/A")</f>
        <v>#N/A</v>
      </c>
      <c r="O14" s="42" t="str">
        <f>IFERROR(__xludf.DUMMYFUNCTION("IF(FILTER('Pivot Table for acq weekly'!O:O,'Pivot Table for acq weekly'!$B:$B=$B14,'Pivot Table for acq weekly'!$A:$A=$A14)/$C14 = 0,"""",FILTER('Pivot Table for acq weekly'!O:O,'Pivot Table for acq weekly'!$B:$B=$B14,'Pivot Table for acq weekly'!$A:$A=$A"&amp;"14)/$C14)"),"#N/A")</f>
        <v>#N/A</v>
      </c>
      <c r="P14" s="42" t="str">
        <f>IFERROR(__xludf.DUMMYFUNCTION("IF(FILTER('Pivot Table for acq weekly'!P:P,'Pivot Table for acq weekly'!$B:$B=$B14,'Pivot Table for acq weekly'!$A:$A=$A14)/$C14 = 0,"""",FILTER('Pivot Table for acq weekly'!P:P,'Pivot Table for acq weekly'!$B:$B=$B14,'Pivot Table for acq weekly'!$A:$A=$A"&amp;"14)/$C14)"),"#N/A")</f>
        <v>#N/A</v>
      </c>
      <c r="Q14" s="42" t="str">
        <f>IFERROR(__xludf.DUMMYFUNCTION("IF(FILTER('Pivot Table for acq weekly'!Q:Q,'Pivot Table for acq weekly'!$B:$B=$B14,'Pivot Table for acq weekly'!$A:$A=$A14)/$C14 = 0,"""",FILTER('Pivot Table for acq weekly'!Q:Q,'Pivot Table for acq weekly'!$B:$B=$B14,'Pivot Table for acq weekly'!$A:$A=$A"&amp;"14)/$C14)"),"#N/A")</f>
        <v>#N/A</v>
      </c>
      <c r="R14" s="42" t="str">
        <f>IFERROR(__xludf.DUMMYFUNCTION("IF(FILTER('Pivot Table for acq weekly'!R:R,'Pivot Table for acq weekly'!$B:$B=$B14,'Pivot Table for acq weekly'!$A:$A=$A14)/$C14 = 0,"""",FILTER('Pivot Table for acq weekly'!R:R,'Pivot Table for acq weekly'!$B:$B=$B14,'Pivot Table for acq weekly'!$A:$A=$A"&amp;"14)/$C14)"),"#N/A")</f>
        <v>#N/A</v>
      </c>
      <c r="S14" s="42" t="str">
        <f>IFERROR(__xludf.DUMMYFUNCTION("IF(FILTER('Pivot Table for acq weekly'!S:S,'Pivot Table for acq weekly'!$B:$B=$B14,'Pivot Table for acq weekly'!$A:$A=$A14)/$C14 = 0,"""",FILTER('Pivot Table for acq weekly'!S:S,'Pivot Table for acq weekly'!$B:$B=$B14,'Pivot Table for acq weekly'!$A:$A=$A"&amp;"14)/$C14)"),"#N/A")</f>
        <v>#N/A</v>
      </c>
      <c r="T14" s="42" t="str">
        <f>IFERROR(__xludf.DUMMYFUNCTION("IF(FILTER('Pivot Table for acq weekly'!T:T,'Pivot Table for acq weekly'!$B:$B=$B14,'Pivot Table for acq weekly'!$A:$A=$A14)/$C14 = 0,"""",FILTER('Pivot Table for acq weekly'!T:T,'Pivot Table for acq weekly'!$B:$B=$B14,'Pivot Table for acq weekly'!$A:$A=$A"&amp;"14)/$C14)"),"#N/A")</f>
        <v>#N/A</v>
      </c>
      <c r="U14" s="42" t="str">
        <f>IFERROR(__xludf.DUMMYFUNCTION("IF(FILTER('Pivot Table for acq weekly'!U:U,'Pivot Table for acq weekly'!$B:$B=$B14,'Pivot Table for acq weekly'!$A:$A=$A14)/$C14 = 0,"""",FILTER('Pivot Table for acq weekly'!U:U,'Pivot Table for acq weekly'!$B:$B=$B14,'Pivot Table for acq weekly'!$A:$A=$A"&amp;"14)/$C14)"),"#N/A")</f>
        <v>#N/A</v>
      </c>
      <c r="V14" s="42" t="str">
        <f>IFERROR(__xludf.DUMMYFUNCTION("IF(FILTER('Pivot Table for acq weekly'!V:V,'Pivot Table for acq weekly'!$B:$B=$B14,'Pivot Table for acq weekly'!$A:$A=$A14)/$C14 = 0,"""",FILTER('Pivot Table for acq weekly'!V:V,'Pivot Table for acq weekly'!$B:$B=$B14,'Pivot Table for acq weekly'!$A:$A=$A"&amp;"14)/$C14)"),"#N/A")</f>
        <v>#N/A</v>
      </c>
      <c r="W14" s="42" t="str">
        <f>IFERROR(__xludf.DUMMYFUNCTION("IF(FILTER('Pivot Table for acq weekly'!W:W,'Pivot Table for acq weekly'!$B:$B=$B14,'Pivot Table for acq weekly'!$A:$A=$A14)/$C14 = 0,"""",FILTER('Pivot Table for acq weekly'!W:W,'Pivot Table for acq weekly'!$B:$B=$B14,'Pivot Table for acq weekly'!$A:$A=$A"&amp;"14)/$C14)"),"#N/A")</f>
        <v>#N/A</v>
      </c>
      <c r="X14" s="42" t="str">
        <f>IFERROR(__xludf.DUMMYFUNCTION("IF(FILTER('Pivot Table for acq weekly'!X:X,'Pivot Table for acq weekly'!$B:$B=$B14,'Pivot Table for acq weekly'!$A:$A=$A14)/$C14 = 0,"""",FILTER('Pivot Table for acq weekly'!X:X,'Pivot Table for acq weekly'!$B:$B=$B14,'Pivot Table for acq weekly'!$A:$A=$A"&amp;"14)/$C14)"),"#N/A")</f>
        <v>#N/A</v>
      </c>
      <c r="Y14" s="42" t="str">
        <f>IFERROR(__xludf.DUMMYFUNCTION("IF(FILTER('Pivot Table for acq weekly'!Y:Y,'Pivot Table for acq weekly'!$B:$B=$B14,'Pivot Table for acq weekly'!$A:$A=$A14)/$C14 = 0,"""",FILTER('Pivot Table for acq weekly'!Y:Y,'Pivot Table for acq weekly'!$B:$B=$B14,'Pivot Table for acq weekly'!$A:$A=$A"&amp;"14)/$C14)"),"#N/A")</f>
        <v>#N/A</v>
      </c>
      <c r="Z14" s="43"/>
    </row>
    <row r="15" hidden="1">
      <c r="A15" s="39">
        <v>3.0</v>
      </c>
      <c r="B15" s="40">
        <v>43268.0</v>
      </c>
      <c r="C15" s="41" t="str">
        <f>IFERROR(__xludf.DUMMYFUNCTION("FILTER('Pivot Table for acq weekly'!C:C,'Pivot Table for acq weekly'!$B:$B=$B15,'Pivot Table for acq weekly'!$A:$A=$A15)"),"#N/A")</f>
        <v>#N/A</v>
      </c>
      <c r="D15" s="42" t="str">
        <f>IFERROR(__xludf.DUMMYFUNCTION("IF(FILTER('Pivot Table for acq weekly'!D:D,'Pivot Table for acq weekly'!$B:$B=$B15,'Pivot Table for acq weekly'!$A:$A=$A15)/$C15 = 0,"""",FILTER('Pivot Table for acq weekly'!D:D,'Pivot Table for acq weekly'!$B:$B=$B15,'Pivot Table for acq weekly'!$A:$A=$A"&amp;"15)/$C15)"),"#N/A")</f>
        <v>#N/A</v>
      </c>
      <c r="E15" s="42" t="str">
        <f>IFERROR(__xludf.DUMMYFUNCTION("IF(FILTER('Pivot Table for acq weekly'!E:E,'Pivot Table for acq weekly'!$B:$B=$B15,'Pivot Table for acq weekly'!$A:$A=$A15)/$C15 = 0,"""",FILTER('Pivot Table for acq weekly'!E:E,'Pivot Table for acq weekly'!$B:$B=$B15,'Pivot Table for acq weekly'!$A:$A=$A"&amp;"15)/$C15)"),"#N/A")</f>
        <v>#N/A</v>
      </c>
      <c r="F15" s="42" t="str">
        <f>IFERROR(__xludf.DUMMYFUNCTION("IF(FILTER('Pivot Table for acq weekly'!F:F,'Pivot Table for acq weekly'!$B:$B=$B15,'Pivot Table for acq weekly'!$A:$A=$A15)/$C15 = 0,"""",FILTER('Pivot Table for acq weekly'!F:F,'Pivot Table for acq weekly'!$B:$B=$B15,'Pivot Table for acq weekly'!$A:$A=$A"&amp;"15)/$C15)"),"#N/A")</f>
        <v>#N/A</v>
      </c>
      <c r="G15" s="42" t="str">
        <f>IFERROR(__xludf.DUMMYFUNCTION("IF(FILTER('Pivot Table for acq weekly'!G:G,'Pivot Table for acq weekly'!$B:$B=$B15,'Pivot Table for acq weekly'!$A:$A=$A15)/$C15 = 0,"""",FILTER('Pivot Table for acq weekly'!G:G,'Pivot Table for acq weekly'!$B:$B=$B15,'Pivot Table for acq weekly'!$A:$A=$A"&amp;"15)/$C15)"),"#N/A")</f>
        <v>#N/A</v>
      </c>
      <c r="H15" s="42" t="str">
        <f>IFERROR(__xludf.DUMMYFUNCTION("IF(FILTER('Pivot Table for acq weekly'!H:H,'Pivot Table for acq weekly'!$B:$B=$B15,'Pivot Table for acq weekly'!$A:$A=$A15)/$C15 = 0,"""",FILTER('Pivot Table for acq weekly'!H:H,'Pivot Table for acq weekly'!$B:$B=$B15,'Pivot Table for acq weekly'!$A:$A=$A"&amp;"15)/$C15)"),"#N/A")</f>
        <v>#N/A</v>
      </c>
      <c r="I15" s="42" t="str">
        <f>IFERROR(__xludf.DUMMYFUNCTION("IF(FILTER('Pivot Table for acq weekly'!I:I,'Pivot Table for acq weekly'!$B:$B=$B15,'Pivot Table for acq weekly'!$A:$A=$A15)/$C15 = 0,"""",FILTER('Pivot Table for acq weekly'!I:I,'Pivot Table for acq weekly'!$B:$B=$B15,'Pivot Table for acq weekly'!$A:$A=$A"&amp;"15)/$C15)"),"#N/A")</f>
        <v>#N/A</v>
      </c>
      <c r="J15" s="42" t="str">
        <f>IFERROR(__xludf.DUMMYFUNCTION("IF(FILTER('Pivot Table for acq weekly'!J:J,'Pivot Table for acq weekly'!$B:$B=$B15,'Pivot Table for acq weekly'!$A:$A=$A15)/$C15 = 0,"""",FILTER('Pivot Table for acq weekly'!J:J,'Pivot Table for acq weekly'!$B:$B=$B15,'Pivot Table for acq weekly'!$A:$A=$A"&amp;"15)/$C15)"),"#N/A")</f>
        <v>#N/A</v>
      </c>
      <c r="K15" s="42" t="str">
        <f>IFERROR(__xludf.DUMMYFUNCTION("IF(FILTER('Pivot Table for acq weekly'!K:K,'Pivot Table for acq weekly'!$B:$B=$B15,'Pivot Table for acq weekly'!$A:$A=$A15)/$C15 = 0,"""",FILTER('Pivot Table for acq weekly'!K:K,'Pivot Table for acq weekly'!$B:$B=$B15,'Pivot Table for acq weekly'!$A:$A=$A"&amp;"15)/$C15)"),"#N/A")</f>
        <v>#N/A</v>
      </c>
      <c r="L15" s="42" t="str">
        <f>IFERROR(__xludf.DUMMYFUNCTION("IF(FILTER('Pivot Table for acq weekly'!L:L,'Pivot Table for acq weekly'!$B:$B=$B15,'Pivot Table for acq weekly'!$A:$A=$A15)/$C15 = 0,"""",FILTER('Pivot Table for acq weekly'!L:L,'Pivot Table for acq weekly'!$B:$B=$B15,'Pivot Table for acq weekly'!$A:$A=$A"&amp;"15)/$C15)"),"#N/A")</f>
        <v>#N/A</v>
      </c>
      <c r="M15" s="42" t="str">
        <f>IFERROR(__xludf.DUMMYFUNCTION("IF(FILTER('Pivot Table for acq weekly'!M:M,'Pivot Table for acq weekly'!$B:$B=$B15,'Pivot Table for acq weekly'!$A:$A=$A15)/$C15 = 0,"""",FILTER('Pivot Table for acq weekly'!M:M,'Pivot Table for acq weekly'!$B:$B=$B15,'Pivot Table for acq weekly'!$A:$A=$A"&amp;"15)/$C15)"),"#N/A")</f>
        <v>#N/A</v>
      </c>
      <c r="N15" s="42" t="str">
        <f>IFERROR(__xludf.DUMMYFUNCTION("IF(FILTER('Pivot Table for acq weekly'!N:N,'Pivot Table for acq weekly'!$B:$B=$B15,'Pivot Table for acq weekly'!$A:$A=$A15)/$C15 = 0,"""",FILTER('Pivot Table for acq weekly'!N:N,'Pivot Table for acq weekly'!$B:$B=$B15,'Pivot Table for acq weekly'!$A:$A=$A"&amp;"15)/$C15)"),"#N/A")</f>
        <v>#N/A</v>
      </c>
      <c r="O15" s="42" t="str">
        <f>IFERROR(__xludf.DUMMYFUNCTION("IF(FILTER('Pivot Table for acq weekly'!O:O,'Pivot Table for acq weekly'!$B:$B=$B15,'Pivot Table for acq weekly'!$A:$A=$A15)/$C15 = 0,"""",FILTER('Pivot Table for acq weekly'!O:O,'Pivot Table for acq weekly'!$B:$B=$B15,'Pivot Table for acq weekly'!$A:$A=$A"&amp;"15)/$C15)"),"#N/A")</f>
        <v>#N/A</v>
      </c>
      <c r="P15" s="42" t="str">
        <f>IFERROR(__xludf.DUMMYFUNCTION("IF(FILTER('Pivot Table for acq weekly'!P:P,'Pivot Table for acq weekly'!$B:$B=$B15,'Pivot Table for acq weekly'!$A:$A=$A15)/$C15 = 0,"""",FILTER('Pivot Table for acq weekly'!P:P,'Pivot Table for acq weekly'!$B:$B=$B15,'Pivot Table for acq weekly'!$A:$A=$A"&amp;"15)/$C15)"),"#N/A")</f>
        <v>#N/A</v>
      </c>
      <c r="Q15" s="42" t="str">
        <f>IFERROR(__xludf.DUMMYFUNCTION("IF(FILTER('Pivot Table for acq weekly'!Q:Q,'Pivot Table for acq weekly'!$B:$B=$B15,'Pivot Table for acq weekly'!$A:$A=$A15)/$C15 = 0,"""",FILTER('Pivot Table for acq weekly'!Q:Q,'Pivot Table for acq weekly'!$B:$B=$B15,'Pivot Table for acq weekly'!$A:$A=$A"&amp;"15)/$C15)"),"#N/A")</f>
        <v>#N/A</v>
      </c>
      <c r="R15" s="42" t="str">
        <f>IFERROR(__xludf.DUMMYFUNCTION("IF(FILTER('Pivot Table for acq weekly'!R:R,'Pivot Table for acq weekly'!$B:$B=$B15,'Pivot Table for acq weekly'!$A:$A=$A15)/$C15 = 0,"""",FILTER('Pivot Table for acq weekly'!R:R,'Pivot Table for acq weekly'!$B:$B=$B15,'Pivot Table for acq weekly'!$A:$A=$A"&amp;"15)/$C15)"),"#N/A")</f>
        <v>#N/A</v>
      </c>
      <c r="S15" s="42" t="str">
        <f>IFERROR(__xludf.DUMMYFUNCTION("IF(FILTER('Pivot Table for acq weekly'!S:S,'Pivot Table for acq weekly'!$B:$B=$B15,'Pivot Table for acq weekly'!$A:$A=$A15)/$C15 = 0,"""",FILTER('Pivot Table for acq weekly'!S:S,'Pivot Table for acq weekly'!$B:$B=$B15,'Pivot Table for acq weekly'!$A:$A=$A"&amp;"15)/$C15)"),"#N/A")</f>
        <v>#N/A</v>
      </c>
      <c r="T15" s="42" t="str">
        <f>IFERROR(__xludf.DUMMYFUNCTION("IF(FILTER('Pivot Table for acq weekly'!T:T,'Pivot Table for acq weekly'!$B:$B=$B15,'Pivot Table for acq weekly'!$A:$A=$A15)/$C15 = 0,"""",FILTER('Pivot Table for acq weekly'!T:T,'Pivot Table for acq weekly'!$B:$B=$B15,'Pivot Table for acq weekly'!$A:$A=$A"&amp;"15)/$C15)"),"#N/A")</f>
        <v>#N/A</v>
      </c>
      <c r="U15" s="42" t="str">
        <f>IFERROR(__xludf.DUMMYFUNCTION("IF(FILTER('Pivot Table for acq weekly'!U:U,'Pivot Table for acq weekly'!$B:$B=$B15,'Pivot Table for acq weekly'!$A:$A=$A15)/$C15 = 0,"""",FILTER('Pivot Table for acq weekly'!U:U,'Pivot Table for acq weekly'!$B:$B=$B15,'Pivot Table for acq weekly'!$A:$A=$A"&amp;"15)/$C15)"),"#N/A")</f>
        <v>#N/A</v>
      </c>
      <c r="V15" s="42" t="str">
        <f>IFERROR(__xludf.DUMMYFUNCTION("IF(FILTER('Pivot Table for acq weekly'!V:V,'Pivot Table for acq weekly'!$B:$B=$B15,'Pivot Table for acq weekly'!$A:$A=$A15)/$C15 = 0,"""",FILTER('Pivot Table for acq weekly'!V:V,'Pivot Table for acq weekly'!$B:$B=$B15,'Pivot Table for acq weekly'!$A:$A=$A"&amp;"15)/$C15)"),"#N/A")</f>
        <v>#N/A</v>
      </c>
      <c r="W15" s="42" t="str">
        <f>IFERROR(__xludf.DUMMYFUNCTION("IF(FILTER('Pivot Table for acq weekly'!W:W,'Pivot Table for acq weekly'!$B:$B=$B15,'Pivot Table for acq weekly'!$A:$A=$A15)/$C15 = 0,"""",FILTER('Pivot Table for acq weekly'!W:W,'Pivot Table for acq weekly'!$B:$B=$B15,'Pivot Table for acq weekly'!$A:$A=$A"&amp;"15)/$C15)"),"#N/A")</f>
        <v>#N/A</v>
      </c>
      <c r="X15" s="42" t="str">
        <f>IFERROR(__xludf.DUMMYFUNCTION("IF(FILTER('Pivot Table for acq weekly'!X:X,'Pivot Table for acq weekly'!$B:$B=$B15,'Pivot Table for acq weekly'!$A:$A=$A15)/$C15 = 0,"""",FILTER('Pivot Table for acq weekly'!X:X,'Pivot Table for acq weekly'!$B:$B=$B15,'Pivot Table for acq weekly'!$A:$A=$A"&amp;"15)/$C15)"),"#N/A")</f>
        <v>#N/A</v>
      </c>
      <c r="Y15" s="42" t="str">
        <f>IFERROR(__xludf.DUMMYFUNCTION("IF(FILTER('Pivot Table for acq weekly'!Y:Y,'Pivot Table for acq weekly'!$B:$B=$B15,'Pivot Table for acq weekly'!$A:$A=$A15)/$C15 = 0,"""",FILTER('Pivot Table for acq weekly'!Y:Y,'Pivot Table for acq weekly'!$B:$B=$B15,'Pivot Table for acq weekly'!$A:$A=$A"&amp;"15)/$C15)"),"#N/A")</f>
        <v>#N/A</v>
      </c>
      <c r="Z15" s="43"/>
    </row>
    <row r="16" hidden="1">
      <c r="A16" s="39">
        <v>3.0</v>
      </c>
      <c r="B16" s="40">
        <v>43275.0</v>
      </c>
      <c r="C16" s="41" t="str">
        <f>IFERROR(__xludf.DUMMYFUNCTION("FILTER('Pivot Table for acq weekly'!C:C,'Pivot Table for acq weekly'!$B:$B=$B16,'Pivot Table for acq weekly'!$A:$A=$A16)"),"#N/A")</f>
        <v>#N/A</v>
      </c>
      <c r="D16" s="42" t="str">
        <f>IFERROR(__xludf.DUMMYFUNCTION("IF(FILTER('Pivot Table for acq weekly'!D:D,'Pivot Table for acq weekly'!$B:$B=$B16,'Pivot Table for acq weekly'!$A:$A=$A16)/$C16 = 0,"""",FILTER('Pivot Table for acq weekly'!D:D,'Pivot Table for acq weekly'!$B:$B=$B16,'Pivot Table for acq weekly'!$A:$A=$A"&amp;"16)/$C16)"),"#N/A")</f>
        <v>#N/A</v>
      </c>
      <c r="E16" s="42" t="str">
        <f>IFERROR(__xludf.DUMMYFUNCTION("IF(FILTER('Pivot Table for acq weekly'!E:E,'Pivot Table for acq weekly'!$B:$B=$B16,'Pivot Table for acq weekly'!$A:$A=$A16)/$C16 = 0,"""",FILTER('Pivot Table for acq weekly'!E:E,'Pivot Table for acq weekly'!$B:$B=$B16,'Pivot Table for acq weekly'!$A:$A=$A"&amp;"16)/$C16)"),"#N/A")</f>
        <v>#N/A</v>
      </c>
      <c r="F16" s="42" t="str">
        <f>IFERROR(__xludf.DUMMYFUNCTION("IF(FILTER('Pivot Table for acq weekly'!F:F,'Pivot Table for acq weekly'!$B:$B=$B16,'Pivot Table for acq weekly'!$A:$A=$A16)/$C16 = 0,"""",FILTER('Pivot Table for acq weekly'!F:F,'Pivot Table for acq weekly'!$B:$B=$B16,'Pivot Table for acq weekly'!$A:$A=$A"&amp;"16)/$C16)"),"#N/A")</f>
        <v>#N/A</v>
      </c>
      <c r="G16" s="42" t="str">
        <f>IFERROR(__xludf.DUMMYFUNCTION("IF(FILTER('Pivot Table for acq weekly'!G:G,'Pivot Table for acq weekly'!$B:$B=$B16,'Pivot Table for acq weekly'!$A:$A=$A16)/$C16 = 0,"""",FILTER('Pivot Table for acq weekly'!G:G,'Pivot Table for acq weekly'!$B:$B=$B16,'Pivot Table for acq weekly'!$A:$A=$A"&amp;"16)/$C16)"),"#N/A")</f>
        <v>#N/A</v>
      </c>
      <c r="H16" s="42" t="str">
        <f>IFERROR(__xludf.DUMMYFUNCTION("IF(FILTER('Pivot Table for acq weekly'!H:H,'Pivot Table for acq weekly'!$B:$B=$B16,'Pivot Table for acq weekly'!$A:$A=$A16)/$C16 = 0,"""",FILTER('Pivot Table for acq weekly'!H:H,'Pivot Table for acq weekly'!$B:$B=$B16,'Pivot Table for acq weekly'!$A:$A=$A"&amp;"16)/$C16)"),"#N/A")</f>
        <v>#N/A</v>
      </c>
      <c r="I16" s="42" t="str">
        <f>IFERROR(__xludf.DUMMYFUNCTION("IF(FILTER('Pivot Table for acq weekly'!I:I,'Pivot Table for acq weekly'!$B:$B=$B16,'Pivot Table for acq weekly'!$A:$A=$A16)/$C16 = 0,"""",FILTER('Pivot Table for acq weekly'!I:I,'Pivot Table for acq weekly'!$B:$B=$B16,'Pivot Table for acq weekly'!$A:$A=$A"&amp;"16)/$C16)"),"#N/A")</f>
        <v>#N/A</v>
      </c>
      <c r="J16" s="42" t="str">
        <f>IFERROR(__xludf.DUMMYFUNCTION("IF(FILTER('Pivot Table for acq weekly'!J:J,'Pivot Table for acq weekly'!$B:$B=$B16,'Pivot Table for acq weekly'!$A:$A=$A16)/$C16 = 0,"""",FILTER('Pivot Table for acq weekly'!J:J,'Pivot Table for acq weekly'!$B:$B=$B16,'Pivot Table for acq weekly'!$A:$A=$A"&amp;"16)/$C16)"),"#N/A")</f>
        <v>#N/A</v>
      </c>
      <c r="K16" s="42" t="str">
        <f>IFERROR(__xludf.DUMMYFUNCTION("IF(FILTER('Pivot Table for acq weekly'!K:K,'Pivot Table for acq weekly'!$B:$B=$B16,'Pivot Table for acq weekly'!$A:$A=$A16)/$C16 = 0,"""",FILTER('Pivot Table for acq weekly'!K:K,'Pivot Table for acq weekly'!$B:$B=$B16,'Pivot Table for acq weekly'!$A:$A=$A"&amp;"16)/$C16)"),"#N/A")</f>
        <v>#N/A</v>
      </c>
      <c r="L16" s="42" t="str">
        <f>IFERROR(__xludf.DUMMYFUNCTION("IF(FILTER('Pivot Table for acq weekly'!L:L,'Pivot Table for acq weekly'!$B:$B=$B16,'Pivot Table for acq weekly'!$A:$A=$A16)/$C16 = 0,"""",FILTER('Pivot Table for acq weekly'!L:L,'Pivot Table for acq weekly'!$B:$B=$B16,'Pivot Table for acq weekly'!$A:$A=$A"&amp;"16)/$C16)"),"#N/A")</f>
        <v>#N/A</v>
      </c>
      <c r="M16" s="42" t="str">
        <f>IFERROR(__xludf.DUMMYFUNCTION("IF(FILTER('Pivot Table for acq weekly'!M:M,'Pivot Table for acq weekly'!$B:$B=$B16,'Pivot Table for acq weekly'!$A:$A=$A16)/$C16 = 0,"""",FILTER('Pivot Table for acq weekly'!M:M,'Pivot Table for acq weekly'!$B:$B=$B16,'Pivot Table for acq weekly'!$A:$A=$A"&amp;"16)/$C16)"),"#N/A")</f>
        <v>#N/A</v>
      </c>
      <c r="N16" s="42" t="str">
        <f>IFERROR(__xludf.DUMMYFUNCTION("IF(FILTER('Pivot Table for acq weekly'!N:N,'Pivot Table for acq weekly'!$B:$B=$B16,'Pivot Table for acq weekly'!$A:$A=$A16)/$C16 = 0,"""",FILTER('Pivot Table for acq weekly'!N:N,'Pivot Table for acq weekly'!$B:$B=$B16,'Pivot Table for acq weekly'!$A:$A=$A"&amp;"16)/$C16)"),"#N/A")</f>
        <v>#N/A</v>
      </c>
      <c r="O16" s="42" t="str">
        <f>IFERROR(__xludf.DUMMYFUNCTION("IF(FILTER('Pivot Table for acq weekly'!O:O,'Pivot Table for acq weekly'!$B:$B=$B16,'Pivot Table for acq weekly'!$A:$A=$A16)/$C16 = 0,"""",FILTER('Pivot Table for acq weekly'!O:O,'Pivot Table for acq weekly'!$B:$B=$B16,'Pivot Table for acq weekly'!$A:$A=$A"&amp;"16)/$C16)"),"#N/A")</f>
        <v>#N/A</v>
      </c>
      <c r="P16" s="42" t="str">
        <f>IFERROR(__xludf.DUMMYFUNCTION("IF(FILTER('Pivot Table for acq weekly'!P:P,'Pivot Table for acq weekly'!$B:$B=$B16,'Pivot Table for acq weekly'!$A:$A=$A16)/$C16 = 0,"""",FILTER('Pivot Table for acq weekly'!P:P,'Pivot Table for acq weekly'!$B:$B=$B16,'Pivot Table for acq weekly'!$A:$A=$A"&amp;"16)/$C16)"),"#N/A")</f>
        <v>#N/A</v>
      </c>
      <c r="Q16" s="42" t="str">
        <f>IFERROR(__xludf.DUMMYFUNCTION("IF(FILTER('Pivot Table for acq weekly'!Q:Q,'Pivot Table for acq weekly'!$B:$B=$B16,'Pivot Table for acq weekly'!$A:$A=$A16)/$C16 = 0,"""",FILTER('Pivot Table for acq weekly'!Q:Q,'Pivot Table for acq weekly'!$B:$B=$B16,'Pivot Table for acq weekly'!$A:$A=$A"&amp;"16)/$C16)"),"#N/A")</f>
        <v>#N/A</v>
      </c>
      <c r="R16" s="42" t="str">
        <f>IFERROR(__xludf.DUMMYFUNCTION("IF(FILTER('Pivot Table for acq weekly'!R:R,'Pivot Table for acq weekly'!$B:$B=$B16,'Pivot Table for acq weekly'!$A:$A=$A16)/$C16 = 0,"""",FILTER('Pivot Table for acq weekly'!R:R,'Pivot Table for acq weekly'!$B:$B=$B16,'Pivot Table for acq weekly'!$A:$A=$A"&amp;"16)/$C16)"),"#N/A")</f>
        <v>#N/A</v>
      </c>
      <c r="S16" s="42" t="str">
        <f>IFERROR(__xludf.DUMMYFUNCTION("IF(FILTER('Pivot Table for acq weekly'!S:S,'Pivot Table for acq weekly'!$B:$B=$B16,'Pivot Table for acq weekly'!$A:$A=$A16)/$C16 = 0,"""",FILTER('Pivot Table for acq weekly'!S:S,'Pivot Table for acq weekly'!$B:$B=$B16,'Pivot Table for acq weekly'!$A:$A=$A"&amp;"16)/$C16)"),"#N/A")</f>
        <v>#N/A</v>
      </c>
      <c r="T16" s="42" t="str">
        <f>IFERROR(__xludf.DUMMYFUNCTION("IF(FILTER('Pivot Table for acq weekly'!T:T,'Pivot Table for acq weekly'!$B:$B=$B16,'Pivot Table for acq weekly'!$A:$A=$A16)/$C16 = 0,"""",FILTER('Pivot Table for acq weekly'!T:T,'Pivot Table for acq weekly'!$B:$B=$B16,'Pivot Table for acq weekly'!$A:$A=$A"&amp;"16)/$C16)"),"#N/A")</f>
        <v>#N/A</v>
      </c>
      <c r="U16" s="42" t="str">
        <f>IFERROR(__xludf.DUMMYFUNCTION("IF(FILTER('Pivot Table for acq weekly'!U:U,'Pivot Table for acq weekly'!$B:$B=$B16,'Pivot Table for acq weekly'!$A:$A=$A16)/$C16 = 0,"""",FILTER('Pivot Table for acq weekly'!U:U,'Pivot Table for acq weekly'!$B:$B=$B16,'Pivot Table for acq weekly'!$A:$A=$A"&amp;"16)/$C16)"),"#N/A")</f>
        <v>#N/A</v>
      </c>
      <c r="V16" s="42" t="str">
        <f>IFERROR(__xludf.DUMMYFUNCTION("IF(FILTER('Pivot Table for acq weekly'!V:V,'Pivot Table for acq weekly'!$B:$B=$B16,'Pivot Table for acq weekly'!$A:$A=$A16)/$C16 = 0,"""",FILTER('Pivot Table for acq weekly'!V:V,'Pivot Table for acq weekly'!$B:$B=$B16,'Pivot Table for acq weekly'!$A:$A=$A"&amp;"16)/$C16)"),"#N/A")</f>
        <v>#N/A</v>
      </c>
      <c r="W16" s="42" t="str">
        <f>IFERROR(__xludf.DUMMYFUNCTION("IF(FILTER('Pivot Table for acq weekly'!W:W,'Pivot Table for acq weekly'!$B:$B=$B16,'Pivot Table for acq weekly'!$A:$A=$A16)/$C16 = 0,"""",FILTER('Pivot Table for acq weekly'!W:W,'Pivot Table for acq weekly'!$B:$B=$B16,'Pivot Table for acq weekly'!$A:$A=$A"&amp;"16)/$C16)"),"#N/A")</f>
        <v>#N/A</v>
      </c>
      <c r="X16" s="42" t="str">
        <f>IFERROR(__xludf.DUMMYFUNCTION("IF(FILTER('Pivot Table for acq weekly'!X:X,'Pivot Table for acq weekly'!$B:$B=$B16,'Pivot Table for acq weekly'!$A:$A=$A16)/$C16 = 0,"""",FILTER('Pivot Table for acq weekly'!X:X,'Pivot Table for acq weekly'!$B:$B=$B16,'Pivot Table for acq weekly'!$A:$A=$A"&amp;"16)/$C16)"),"#N/A")</f>
        <v>#N/A</v>
      </c>
      <c r="Y16" s="42" t="str">
        <f>IFERROR(__xludf.DUMMYFUNCTION("IF(FILTER('Pivot Table for acq weekly'!Y:Y,'Pivot Table for acq weekly'!$B:$B=$B16,'Pivot Table for acq weekly'!$A:$A=$A16)/$C16 = 0,"""",FILTER('Pivot Table for acq weekly'!Y:Y,'Pivot Table for acq weekly'!$B:$B=$B16,'Pivot Table for acq weekly'!$A:$A=$A"&amp;"16)/$C16)"),"#N/A")</f>
        <v>#N/A</v>
      </c>
      <c r="Z16" s="43"/>
    </row>
    <row r="17" hidden="1">
      <c r="A17" s="39">
        <v>3.0</v>
      </c>
      <c r="B17" s="40">
        <v>43282.0</v>
      </c>
      <c r="C17" s="41" t="str">
        <f>IFERROR(__xludf.DUMMYFUNCTION("FILTER('Pivot Table for acq weekly'!C:C,'Pivot Table for acq weekly'!$B:$B=$B17,'Pivot Table for acq weekly'!$A:$A=$A17)"),"#N/A")</f>
        <v>#N/A</v>
      </c>
      <c r="D17" s="42" t="str">
        <f>IFERROR(__xludf.DUMMYFUNCTION("IF(FILTER('Pivot Table for acq weekly'!D:D,'Pivot Table for acq weekly'!$B:$B=$B17,'Pivot Table for acq weekly'!$A:$A=$A17)/$C17 = 0,"""",FILTER('Pivot Table for acq weekly'!D:D,'Pivot Table for acq weekly'!$B:$B=$B17,'Pivot Table for acq weekly'!$A:$A=$A"&amp;"17)/$C17)"),"#N/A")</f>
        <v>#N/A</v>
      </c>
      <c r="E17" s="42" t="str">
        <f>IFERROR(__xludf.DUMMYFUNCTION("IF(FILTER('Pivot Table for acq weekly'!E:E,'Pivot Table for acq weekly'!$B:$B=$B17,'Pivot Table for acq weekly'!$A:$A=$A17)/$C17 = 0,"""",FILTER('Pivot Table for acq weekly'!E:E,'Pivot Table for acq weekly'!$B:$B=$B17,'Pivot Table for acq weekly'!$A:$A=$A"&amp;"17)/$C17)"),"#N/A")</f>
        <v>#N/A</v>
      </c>
      <c r="F17" s="42" t="str">
        <f>IFERROR(__xludf.DUMMYFUNCTION("IF(FILTER('Pivot Table for acq weekly'!F:F,'Pivot Table for acq weekly'!$B:$B=$B17,'Pivot Table for acq weekly'!$A:$A=$A17)/$C17 = 0,"""",FILTER('Pivot Table for acq weekly'!F:F,'Pivot Table for acq weekly'!$B:$B=$B17,'Pivot Table for acq weekly'!$A:$A=$A"&amp;"17)/$C17)"),"#N/A")</f>
        <v>#N/A</v>
      </c>
      <c r="G17" s="42" t="str">
        <f>IFERROR(__xludf.DUMMYFUNCTION("IF(FILTER('Pivot Table for acq weekly'!G:G,'Pivot Table for acq weekly'!$B:$B=$B17,'Pivot Table for acq weekly'!$A:$A=$A17)/$C17 = 0,"""",FILTER('Pivot Table for acq weekly'!G:G,'Pivot Table for acq weekly'!$B:$B=$B17,'Pivot Table for acq weekly'!$A:$A=$A"&amp;"17)/$C17)"),"#N/A")</f>
        <v>#N/A</v>
      </c>
      <c r="H17" s="42" t="str">
        <f>IFERROR(__xludf.DUMMYFUNCTION("IF(FILTER('Pivot Table for acq weekly'!H:H,'Pivot Table for acq weekly'!$B:$B=$B17,'Pivot Table for acq weekly'!$A:$A=$A17)/$C17 = 0,"""",FILTER('Pivot Table for acq weekly'!H:H,'Pivot Table for acq weekly'!$B:$B=$B17,'Pivot Table for acq weekly'!$A:$A=$A"&amp;"17)/$C17)"),"#N/A")</f>
        <v>#N/A</v>
      </c>
      <c r="I17" s="42" t="str">
        <f>IFERROR(__xludf.DUMMYFUNCTION("IF(FILTER('Pivot Table for acq weekly'!I:I,'Pivot Table for acq weekly'!$B:$B=$B17,'Pivot Table for acq weekly'!$A:$A=$A17)/$C17 = 0,"""",FILTER('Pivot Table for acq weekly'!I:I,'Pivot Table for acq weekly'!$B:$B=$B17,'Pivot Table for acq weekly'!$A:$A=$A"&amp;"17)/$C17)"),"#N/A")</f>
        <v>#N/A</v>
      </c>
      <c r="J17" s="42" t="str">
        <f>IFERROR(__xludf.DUMMYFUNCTION("IF(FILTER('Pivot Table for acq weekly'!J:J,'Pivot Table for acq weekly'!$B:$B=$B17,'Pivot Table for acq weekly'!$A:$A=$A17)/$C17 = 0,"""",FILTER('Pivot Table for acq weekly'!J:J,'Pivot Table for acq weekly'!$B:$B=$B17,'Pivot Table for acq weekly'!$A:$A=$A"&amp;"17)/$C17)"),"#N/A")</f>
        <v>#N/A</v>
      </c>
      <c r="K17" s="42" t="str">
        <f>IFERROR(__xludf.DUMMYFUNCTION("IF(FILTER('Pivot Table for acq weekly'!K:K,'Pivot Table for acq weekly'!$B:$B=$B17,'Pivot Table for acq weekly'!$A:$A=$A17)/$C17 = 0,"""",FILTER('Pivot Table for acq weekly'!K:K,'Pivot Table for acq weekly'!$B:$B=$B17,'Pivot Table for acq weekly'!$A:$A=$A"&amp;"17)/$C17)"),"#N/A")</f>
        <v>#N/A</v>
      </c>
      <c r="L17" s="42" t="str">
        <f>IFERROR(__xludf.DUMMYFUNCTION("IF(FILTER('Pivot Table for acq weekly'!L:L,'Pivot Table for acq weekly'!$B:$B=$B17,'Pivot Table for acq weekly'!$A:$A=$A17)/$C17 = 0,"""",FILTER('Pivot Table for acq weekly'!L:L,'Pivot Table for acq weekly'!$B:$B=$B17,'Pivot Table for acq weekly'!$A:$A=$A"&amp;"17)/$C17)"),"#N/A")</f>
        <v>#N/A</v>
      </c>
      <c r="M17" s="42" t="str">
        <f>IFERROR(__xludf.DUMMYFUNCTION("IF(FILTER('Pivot Table for acq weekly'!M:M,'Pivot Table for acq weekly'!$B:$B=$B17,'Pivot Table for acq weekly'!$A:$A=$A17)/$C17 = 0,"""",FILTER('Pivot Table for acq weekly'!M:M,'Pivot Table for acq weekly'!$B:$B=$B17,'Pivot Table for acq weekly'!$A:$A=$A"&amp;"17)/$C17)"),"#N/A")</f>
        <v>#N/A</v>
      </c>
      <c r="N17" s="42" t="str">
        <f>IFERROR(__xludf.DUMMYFUNCTION("IF(FILTER('Pivot Table for acq weekly'!N:N,'Pivot Table for acq weekly'!$B:$B=$B17,'Pivot Table for acq weekly'!$A:$A=$A17)/$C17 = 0,"""",FILTER('Pivot Table for acq weekly'!N:N,'Pivot Table for acq weekly'!$B:$B=$B17,'Pivot Table for acq weekly'!$A:$A=$A"&amp;"17)/$C17)"),"#N/A")</f>
        <v>#N/A</v>
      </c>
      <c r="O17" s="42" t="str">
        <f>IFERROR(__xludf.DUMMYFUNCTION("IF(FILTER('Pivot Table for acq weekly'!O:O,'Pivot Table for acq weekly'!$B:$B=$B17,'Pivot Table for acq weekly'!$A:$A=$A17)/$C17 = 0,"""",FILTER('Pivot Table for acq weekly'!O:O,'Pivot Table for acq weekly'!$B:$B=$B17,'Pivot Table for acq weekly'!$A:$A=$A"&amp;"17)/$C17)"),"#N/A")</f>
        <v>#N/A</v>
      </c>
      <c r="P17" s="42" t="str">
        <f>IFERROR(__xludf.DUMMYFUNCTION("IF(FILTER('Pivot Table for acq weekly'!P:P,'Pivot Table for acq weekly'!$B:$B=$B17,'Pivot Table for acq weekly'!$A:$A=$A17)/$C17 = 0,"""",FILTER('Pivot Table for acq weekly'!P:P,'Pivot Table for acq weekly'!$B:$B=$B17,'Pivot Table for acq weekly'!$A:$A=$A"&amp;"17)/$C17)"),"#N/A")</f>
        <v>#N/A</v>
      </c>
      <c r="Q17" s="42" t="str">
        <f>IFERROR(__xludf.DUMMYFUNCTION("IF(FILTER('Pivot Table for acq weekly'!Q:Q,'Pivot Table for acq weekly'!$B:$B=$B17,'Pivot Table for acq weekly'!$A:$A=$A17)/$C17 = 0,"""",FILTER('Pivot Table for acq weekly'!Q:Q,'Pivot Table for acq weekly'!$B:$B=$B17,'Pivot Table for acq weekly'!$A:$A=$A"&amp;"17)/$C17)"),"#N/A")</f>
        <v>#N/A</v>
      </c>
      <c r="R17" s="42" t="str">
        <f>IFERROR(__xludf.DUMMYFUNCTION("IF(FILTER('Pivot Table for acq weekly'!R:R,'Pivot Table for acq weekly'!$B:$B=$B17,'Pivot Table for acq weekly'!$A:$A=$A17)/$C17 = 0,"""",FILTER('Pivot Table for acq weekly'!R:R,'Pivot Table for acq weekly'!$B:$B=$B17,'Pivot Table for acq weekly'!$A:$A=$A"&amp;"17)/$C17)"),"#N/A")</f>
        <v>#N/A</v>
      </c>
      <c r="S17" s="42" t="str">
        <f>IFERROR(__xludf.DUMMYFUNCTION("IF(FILTER('Pivot Table for acq weekly'!S:S,'Pivot Table for acq weekly'!$B:$B=$B17,'Pivot Table for acq weekly'!$A:$A=$A17)/$C17 = 0,"""",FILTER('Pivot Table for acq weekly'!S:S,'Pivot Table for acq weekly'!$B:$B=$B17,'Pivot Table for acq weekly'!$A:$A=$A"&amp;"17)/$C17)"),"#N/A")</f>
        <v>#N/A</v>
      </c>
      <c r="T17" s="42" t="str">
        <f>IFERROR(__xludf.DUMMYFUNCTION("IF(FILTER('Pivot Table for acq weekly'!T:T,'Pivot Table for acq weekly'!$B:$B=$B17,'Pivot Table for acq weekly'!$A:$A=$A17)/$C17 = 0,"""",FILTER('Pivot Table for acq weekly'!T:T,'Pivot Table for acq weekly'!$B:$B=$B17,'Pivot Table for acq weekly'!$A:$A=$A"&amp;"17)/$C17)"),"#N/A")</f>
        <v>#N/A</v>
      </c>
      <c r="U17" s="42" t="str">
        <f>IFERROR(__xludf.DUMMYFUNCTION("IF(FILTER('Pivot Table for acq weekly'!U:U,'Pivot Table for acq weekly'!$B:$B=$B17,'Pivot Table for acq weekly'!$A:$A=$A17)/$C17 = 0,"""",FILTER('Pivot Table for acq weekly'!U:U,'Pivot Table for acq weekly'!$B:$B=$B17,'Pivot Table for acq weekly'!$A:$A=$A"&amp;"17)/$C17)"),"#N/A")</f>
        <v>#N/A</v>
      </c>
      <c r="V17" s="42" t="str">
        <f>IFERROR(__xludf.DUMMYFUNCTION("IF(FILTER('Pivot Table for acq weekly'!V:V,'Pivot Table for acq weekly'!$B:$B=$B17,'Pivot Table for acq weekly'!$A:$A=$A17)/$C17 = 0,"""",FILTER('Pivot Table for acq weekly'!V:V,'Pivot Table for acq weekly'!$B:$B=$B17,'Pivot Table for acq weekly'!$A:$A=$A"&amp;"17)/$C17)"),"#N/A")</f>
        <v>#N/A</v>
      </c>
      <c r="W17" s="42" t="str">
        <f>IFERROR(__xludf.DUMMYFUNCTION("IF(FILTER('Pivot Table for acq weekly'!W:W,'Pivot Table for acq weekly'!$B:$B=$B17,'Pivot Table for acq weekly'!$A:$A=$A17)/$C17 = 0,"""",FILTER('Pivot Table for acq weekly'!W:W,'Pivot Table for acq weekly'!$B:$B=$B17,'Pivot Table for acq weekly'!$A:$A=$A"&amp;"17)/$C17)"),"#N/A")</f>
        <v>#N/A</v>
      </c>
      <c r="X17" s="42" t="str">
        <f>IFERROR(__xludf.DUMMYFUNCTION("IF(FILTER('Pivot Table for acq weekly'!X:X,'Pivot Table for acq weekly'!$B:$B=$B17,'Pivot Table for acq weekly'!$A:$A=$A17)/$C17 = 0,"""",FILTER('Pivot Table for acq weekly'!X:X,'Pivot Table for acq weekly'!$B:$B=$B17,'Pivot Table for acq weekly'!$A:$A=$A"&amp;"17)/$C17)"),"#N/A")</f>
        <v>#N/A</v>
      </c>
      <c r="Y17" s="42" t="str">
        <f>IFERROR(__xludf.DUMMYFUNCTION("IF(FILTER('Pivot Table for acq weekly'!Y:Y,'Pivot Table for acq weekly'!$B:$B=$B17,'Pivot Table for acq weekly'!$A:$A=$A17)/$C17 = 0,"""",FILTER('Pivot Table for acq weekly'!Y:Y,'Pivot Table for acq weekly'!$B:$B=$B17,'Pivot Table for acq weekly'!$A:$A=$A"&amp;"17)/$C17)"),"#N/A")</f>
        <v>#N/A</v>
      </c>
      <c r="Z17" s="43"/>
    </row>
    <row r="18">
      <c r="A18" s="45">
        <v>4.0</v>
      </c>
      <c r="B18" s="46">
        <v>43254.0</v>
      </c>
      <c r="C18" s="47">
        <f>IFERROR(__xludf.DUMMYFUNCTION("FILTER('Pivot Table for acq weekly'!C:C,'Pivot Table for acq weekly'!$B:$B=$B18,'Pivot Table for acq weekly'!$A:$A=$A18)"),217.0)</f>
        <v>217</v>
      </c>
      <c r="D18" s="48">
        <f>IFERROR(__xludf.DUMMYFUNCTION("IF(FILTER('Pivot Table for acq weekly'!D:D,'Pivot Table for acq weekly'!$B:$B=$B18,'Pivot Table for acq weekly'!$A:$A=$A18)/$C18 = 0,"""",FILTER('Pivot Table for acq weekly'!D:D,'Pivot Table for acq weekly'!$B:$B=$B18,'Pivot Table for acq weekly'!$A:$A=$A"&amp;"18)/$C18)"),0.018433179723502304)</f>
        <v>0.01843317972</v>
      </c>
      <c r="E18" s="48">
        <f>IFERROR(__xludf.DUMMYFUNCTION("IF(FILTER('Pivot Table for acq weekly'!E:E,'Pivot Table for acq weekly'!$B:$B=$B18,'Pivot Table for acq weekly'!$A:$A=$A18)/$C18 = 0,"""",FILTER('Pivot Table for acq weekly'!E:E,'Pivot Table for acq weekly'!$B:$B=$B18,'Pivot Table for acq weekly'!$A:$A=$A"&amp;"18)/$C18)"),0.009216589861751152)</f>
        <v>0.009216589862</v>
      </c>
      <c r="F18" s="48">
        <f>IFERROR(__xludf.DUMMYFUNCTION("IF(FILTER('Pivot Table for acq weekly'!F:F,'Pivot Table for acq weekly'!$B:$B=$B18,'Pivot Table for acq weekly'!$A:$A=$A18)/$C18 = 0,"""",FILTER('Pivot Table for acq weekly'!F:F,'Pivot Table for acq weekly'!$B:$B=$B18,'Pivot Table for acq weekly'!$A:$A=$A"&amp;"18)/$C18)"),0.02304147465437788)</f>
        <v>0.02304147465</v>
      </c>
      <c r="G18" s="48">
        <f>IFERROR(__xludf.DUMMYFUNCTION("IF(FILTER('Pivot Table for acq weekly'!G:G,'Pivot Table for acq weekly'!$B:$B=$B18,'Pivot Table for acq weekly'!$A:$A=$A18)/$C18 = 0,"""",FILTER('Pivot Table for acq weekly'!G:G,'Pivot Table for acq weekly'!$B:$B=$B18,'Pivot Table for acq weekly'!$A:$A=$A"&amp;"18)/$C18)"),0.08294930875576037)</f>
        <v>0.08294930876</v>
      </c>
      <c r="H18" s="48">
        <f>IFERROR(__xludf.DUMMYFUNCTION("IF(FILTER('Pivot Table for acq weekly'!H:H,'Pivot Table for acq weekly'!$B:$B=$B18,'Pivot Table for acq weekly'!$A:$A=$A18)/$C18 = 0,"""",FILTER('Pivot Table for acq weekly'!H:H,'Pivot Table for acq weekly'!$B:$B=$B18,'Pivot Table for acq weekly'!$A:$A=$A"&amp;"18)/$C18)"),0.20276497695852536)</f>
        <v>0.202764977</v>
      </c>
      <c r="I18" s="48">
        <f>IFERROR(__xludf.DUMMYFUNCTION("IF(FILTER('Pivot Table for acq weekly'!I:I,'Pivot Table for acq weekly'!$B:$B=$B18,'Pivot Table for acq weekly'!$A:$A=$A18)/$C18 = 0,"""",FILTER('Pivot Table for acq weekly'!I:I,'Pivot Table for acq weekly'!$B:$B=$B18,'Pivot Table for acq weekly'!$A:$A=$A"&amp;"18)/$C18)"),0.055299539170506916)</f>
        <v>0.05529953917</v>
      </c>
      <c r="J18" s="48">
        <f>IFERROR(__xludf.DUMMYFUNCTION("IF(FILTER('Pivot Table for acq weekly'!J:J,'Pivot Table for acq weekly'!$B:$B=$B18,'Pivot Table for acq weekly'!$A:$A=$A18)/$C18 = 0,"""",FILTER('Pivot Table for acq weekly'!J:J,'Pivot Table for acq weekly'!$B:$B=$B18,'Pivot Table for acq weekly'!$A:$A=$A"&amp;"18)/$C18)"),0.06451612903225806)</f>
        <v>0.06451612903</v>
      </c>
      <c r="K18" s="48">
        <f>IFERROR(__xludf.DUMMYFUNCTION("IF(FILTER('Pivot Table for acq weekly'!K:K,'Pivot Table for acq weekly'!$B:$B=$B18,'Pivot Table for acq weekly'!$A:$A=$A18)/$C18 = 0,"""",FILTER('Pivot Table for acq weekly'!K:K,'Pivot Table for acq weekly'!$B:$B=$B18,'Pivot Table for acq weekly'!$A:$A=$A"&amp;"18)/$C18)"),0.06451612903225806)</f>
        <v>0.06451612903</v>
      </c>
      <c r="L18" s="48">
        <f>IFERROR(__xludf.DUMMYFUNCTION("IF(FILTER('Pivot Table for acq weekly'!L:L,'Pivot Table for acq weekly'!$B:$B=$B18,'Pivot Table for acq weekly'!$A:$A=$A18)/$C18 = 0,"""",FILTER('Pivot Table for acq weekly'!L:L,'Pivot Table for acq weekly'!$B:$B=$B18,'Pivot Table for acq weekly'!$A:$A=$A"&amp;"18)/$C18)"),0.1935483870967742)</f>
        <v>0.1935483871</v>
      </c>
      <c r="M18" s="48">
        <f>IFERROR(__xludf.DUMMYFUNCTION("IF(FILTER('Pivot Table for acq weekly'!M:M,'Pivot Table for acq weekly'!$B:$B=$B18,'Pivot Table for acq weekly'!$A:$A=$A18)/$C18 = 0,"""",FILTER('Pivot Table for acq weekly'!M:M,'Pivot Table for acq weekly'!$B:$B=$B18,'Pivot Table for acq weekly'!$A:$A=$A"&amp;"18)/$C18)"),0.03225806451612903)</f>
        <v>0.03225806452</v>
      </c>
      <c r="N18" s="48">
        <f>IFERROR(__xludf.DUMMYFUNCTION("IF(FILTER('Pivot Table for acq weekly'!N:N,'Pivot Table for acq weekly'!$B:$B=$B18,'Pivot Table for acq weekly'!$A:$A=$A18)/$C18 = 0,"""",FILTER('Pivot Table for acq weekly'!N:N,'Pivot Table for acq weekly'!$B:$B=$B18,'Pivot Table for acq weekly'!$A:$A=$A"&amp;"18)/$C18)"),0.03686635944700461)</f>
        <v>0.03686635945</v>
      </c>
      <c r="O18" s="48">
        <f>IFERROR(__xludf.DUMMYFUNCTION("IF(FILTER('Pivot Table for acq weekly'!O:O,'Pivot Table for acq weekly'!$B:$B=$B18,'Pivot Table for acq weekly'!$A:$A=$A18)/$C18 = 0,"""",FILTER('Pivot Table for acq weekly'!O:O,'Pivot Table for acq weekly'!$B:$B=$B18,'Pivot Table for acq weekly'!$A:$A=$A"&amp;"18)/$C18)"),0.07373271889400922)</f>
        <v>0.07373271889</v>
      </c>
      <c r="P18" s="48">
        <f>IFERROR(__xludf.DUMMYFUNCTION("IF(FILTER('Pivot Table for acq weekly'!P:P,'Pivot Table for acq weekly'!$B:$B=$B18,'Pivot Table for acq weekly'!$A:$A=$A18)/$C18 = 0,"""",FILTER('Pivot Table for acq weekly'!P:P,'Pivot Table for acq weekly'!$B:$B=$B18,'Pivot Table for acq weekly'!$A:$A=$A"&amp;"18)/$C18)"),0.07373271889400922)</f>
        <v>0.07373271889</v>
      </c>
      <c r="Q18" s="48">
        <f>IFERROR(__xludf.DUMMYFUNCTION("IF(FILTER('Pivot Table for acq weekly'!Q:Q,'Pivot Table for acq weekly'!$B:$B=$B18,'Pivot Table for acq weekly'!$A:$A=$A18)/$C18 = 0,"""",FILTER('Pivot Table for acq weekly'!Q:Q,'Pivot Table for acq weekly'!$B:$B=$B18,'Pivot Table for acq weekly'!$A:$A=$A"&amp;"18)/$C18)"),0.08755760368663594)</f>
        <v>0.08755760369</v>
      </c>
      <c r="R18" s="48">
        <f>IFERROR(__xludf.DUMMYFUNCTION("IF(FILTER('Pivot Table for acq weekly'!R:R,'Pivot Table for acq weekly'!$B:$B=$B18,'Pivot Table for acq weekly'!$A:$A=$A18)/$C18 = 0,"""",FILTER('Pivot Table for acq weekly'!R:R,'Pivot Table for acq weekly'!$B:$B=$B18,'Pivot Table for acq weekly'!$A:$A=$A"&amp;"18)/$C18)"),0.02304147465437788)</f>
        <v>0.02304147465</v>
      </c>
      <c r="S18" s="48">
        <f>IFERROR(__xludf.DUMMYFUNCTION("IF(FILTER('Pivot Table for acq weekly'!S:S,'Pivot Table for acq weekly'!$B:$B=$B18,'Pivot Table for acq weekly'!$A:$A=$A18)/$C18 = 0,"""",FILTER('Pivot Table for acq weekly'!S:S,'Pivot Table for acq weekly'!$B:$B=$B18,'Pivot Table for acq weekly'!$A:$A=$A"&amp;"18)/$C18)"),0.02304147465437788)</f>
        <v>0.02304147465</v>
      </c>
      <c r="T18" s="48">
        <f>IFERROR(__xludf.DUMMYFUNCTION("IF(FILTER('Pivot Table for acq weekly'!T:T,'Pivot Table for acq weekly'!$B:$B=$B18,'Pivot Table for acq weekly'!$A:$A=$A18)/$C18 = 0,"""",FILTER('Pivot Table for acq weekly'!T:T,'Pivot Table for acq weekly'!$B:$B=$B18,'Pivot Table for acq weekly'!$A:$A=$A"&amp;"18)/$C18)"),0.08755760368663594)</f>
        <v>0.08755760369</v>
      </c>
      <c r="U18" s="48">
        <f>IFERROR(__xludf.DUMMYFUNCTION("IF(FILTER('Pivot Table for acq weekly'!U:U,'Pivot Table for acq weekly'!$B:$B=$B18,'Pivot Table for acq weekly'!$A:$A=$A18)/$C18 = 0,"""",FILTER('Pivot Table for acq weekly'!U:U,'Pivot Table for acq weekly'!$B:$B=$B18,'Pivot Table for acq weekly'!$A:$A=$A"&amp;"18)/$C18)"),0.0967741935483871)</f>
        <v>0.09677419355</v>
      </c>
      <c r="V18" s="48">
        <f>IFERROR(__xludf.DUMMYFUNCTION("IF(FILTER('Pivot Table for acq weekly'!V:V,'Pivot Table for acq weekly'!$B:$B=$B18,'Pivot Table for acq weekly'!$A:$A=$A18)/$C18 = 0,"""",FILTER('Pivot Table for acq weekly'!V:V,'Pivot Table for acq weekly'!$B:$B=$B18,'Pivot Table for acq weekly'!$A:$A=$A"&amp;"18)/$C18)"),0.03225806451612903)</f>
        <v>0.03225806452</v>
      </c>
      <c r="W18" s="48">
        <f>IFERROR(__xludf.DUMMYFUNCTION("IF(FILTER('Pivot Table for acq weekly'!W:W,'Pivot Table for acq weekly'!$B:$B=$B18,'Pivot Table for acq weekly'!$A:$A=$A18)/$C18 = 0,"""",FILTER('Pivot Table for acq weekly'!W:W,'Pivot Table for acq weekly'!$B:$B=$B18,'Pivot Table for acq weekly'!$A:$A=$A"&amp;"18)/$C18)"),0.027649769585253458)</f>
        <v>0.02764976959</v>
      </c>
      <c r="X18" s="48">
        <f>IFERROR(__xludf.DUMMYFUNCTION("IF(FILTER('Pivot Table for acq weekly'!X:X,'Pivot Table for acq weekly'!$B:$B=$B18,'Pivot Table for acq weekly'!$A:$A=$A18)/$C18 = 0,"""",FILTER('Pivot Table for acq weekly'!X:X,'Pivot Table for acq weekly'!$B:$B=$B18,'Pivot Table for acq weekly'!$A:$A=$A"&amp;"18)/$C18)"),0.06912442396313365)</f>
        <v>0.06912442396</v>
      </c>
      <c r="Y18" s="48">
        <f>IFERROR(__xludf.DUMMYFUNCTION("IF(FILTER('Pivot Table for acq weekly'!Y:Y,'Pivot Table for acq weekly'!$B:$B=$B18,'Pivot Table for acq weekly'!$A:$A=$A18)/$C18 = 0,"""",FILTER('Pivot Table for acq weekly'!Y:Y,'Pivot Table for acq weekly'!$B:$B=$B18,'Pivot Table for acq weekly'!$A:$A=$A"&amp;"18)/$C18)"),0.013824884792626729)</f>
        <v>0.01382488479</v>
      </c>
      <c r="Z18" s="45"/>
    </row>
    <row r="19">
      <c r="A19" s="45">
        <v>4.0</v>
      </c>
      <c r="B19" s="46">
        <v>43261.0</v>
      </c>
      <c r="C19" s="47">
        <f>IFERROR(__xludf.DUMMYFUNCTION("FILTER('Pivot Table for acq weekly'!C:C,'Pivot Table for acq weekly'!$B:$B=$B19,'Pivot Table for acq weekly'!$A:$A=$A19)"),606.0)</f>
        <v>606</v>
      </c>
      <c r="D19" s="48">
        <f>IFERROR(__xludf.DUMMYFUNCTION("IF(FILTER('Pivot Table for acq weekly'!D:D,'Pivot Table for acq weekly'!$B:$B=$B19,'Pivot Table for acq weekly'!$A:$A=$A19)/$C19 = 0,"""",FILTER('Pivot Table for acq weekly'!D:D,'Pivot Table for acq weekly'!$B:$B=$B19,'Pivot Table for acq weekly'!$A:$A=$A"&amp;"19)/$C19)"),0.02145214521452145)</f>
        <v>0.02145214521</v>
      </c>
      <c r="E19" s="48">
        <f>IFERROR(__xludf.DUMMYFUNCTION("IF(FILTER('Pivot Table for acq weekly'!E:E,'Pivot Table for acq weekly'!$B:$B=$B19,'Pivot Table for acq weekly'!$A:$A=$A19)/$C19 = 0,"""",FILTER('Pivot Table for acq weekly'!E:E,'Pivot Table for acq weekly'!$B:$B=$B19,'Pivot Table for acq weekly'!$A:$A=$A"&amp;"19)/$C19)"),0.009900990099009901)</f>
        <v>0.009900990099</v>
      </c>
      <c r="F19" s="48">
        <f>IFERROR(__xludf.DUMMYFUNCTION("IF(FILTER('Pivot Table for acq weekly'!F:F,'Pivot Table for acq weekly'!$B:$B=$B19,'Pivot Table for acq weekly'!$A:$A=$A19)/$C19 = 0,"""",FILTER('Pivot Table for acq weekly'!F:F,'Pivot Table for acq weekly'!$B:$B=$B19,'Pivot Table for acq weekly'!$A:$A=$A"&amp;"19)/$C19)"),0.057755775577557754)</f>
        <v>0.05775577558</v>
      </c>
      <c r="G19" s="48">
        <f>IFERROR(__xludf.DUMMYFUNCTION("IF(FILTER('Pivot Table for acq weekly'!G:G,'Pivot Table for acq weekly'!$B:$B=$B19,'Pivot Table for acq weekly'!$A:$A=$A19)/$C19 = 0,"""",FILTER('Pivot Table for acq weekly'!G:G,'Pivot Table for acq weekly'!$B:$B=$B19,'Pivot Table for acq weekly'!$A:$A=$A"&amp;"19)/$C19)"),0.24917491749174916)</f>
        <v>0.2491749175</v>
      </c>
      <c r="H19" s="48">
        <f>IFERROR(__xludf.DUMMYFUNCTION("IF(FILTER('Pivot Table for acq weekly'!H:H,'Pivot Table for acq weekly'!$B:$B=$B19,'Pivot Table for acq weekly'!$A:$A=$A19)/$C19 = 0,"""",FILTER('Pivot Table for acq weekly'!H:H,'Pivot Table for acq weekly'!$B:$B=$B19,'Pivot Table for acq weekly'!$A:$A=$A"&amp;"19)/$C19)"),0.07095709570957096)</f>
        <v>0.07095709571</v>
      </c>
      <c r="I19" s="48">
        <f>IFERROR(__xludf.DUMMYFUNCTION("IF(FILTER('Pivot Table for acq weekly'!I:I,'Pivot Table for acq weekly'!$B:$B=$B19,'Pivot Table for acq weekly'!$A:$A=$A19)/$C19 = 0,"""",FILTER('Pivot Table for acq weekly'!I:I,'Pivot Table for acq weekly'!$B:$B=$B19,'Pivot Table for acq weekly'!$A:$A=$A"&amp;"19)/$C19)"),0.041254125412541254)</f>
        <v>0.04125412541</v>
      </c>
      <c r="J19" s="48">
        <f>IFERROR(__xludf.DUMMYFUNCTION("IF(FILTER('Pivot Table for acq weekly'!J:J,'Pivot Table for acq weekly'!$B:$B=$B19,'Pivot Table for acq weekly'!$A:$A=$A19)/$C19 = 0,"""",FILTER('Pivot Table for acq weekly'!J:J,'Pivot Table for acq weekly'!$B:$B=$B19,'Pivot Table for acq weekly'!$A:$A=$A"&amp;"19)/$C19)"),0.036303630363036306)</f>
        <v>0.03630363036</v>
      </c>
      <c r="K19" s="48">
        <f>IFERROR(__xludf.DUMMYFUNCTION("IF(FILTER('Pivot Table for acq weekly'!K:K,'Pivot Table for acq weekly'!$B:$B=$B19,'Pivot Table for acq weekly'!$A:$A=$A19)/$C19 = 0,"""",FILTER('Pivot Table for acq weekly'!K:K,'Pivot Table for acq weekly'!$B:$B=$B19,'Pivot Table for acq weekly'!$A:$A=$A"&amp;"19)/$C19)"),0.09735973597359736)</f>
        <v>0.09735973597</v>
      </c>
      <c r="L19" s="48">
        <f>IFERROR(__xludf.DUMMYFUNCTION("IF(FILTER('Pivot Table for acq weekly'!L:L,'Pivot Table for acq weekly'!$B:$B=$B19,'Pivot Table for acq weekly'!$A:$A=$A19)/$C19 = 0,"""",FILTER('Pivot Table for acq weekly'!L:L,'Pivot Table for acq weekly'!$B:$B=$B19,'Pivot Table for acq weekly'!$A:$A=$A"&amp;"19)/$C19)"),0.13036303630363036)</f>
        <v>0.1303630363</v>
      </c>
      <c r="M19" s="48">
        <f>IFERROR(__xludf.DUMMYFUNCTION("IF(FILTER('Pivot Table for acq weekly'!M:M,'Pivot Table for acq weekly'!$B:$B=$B19,'Pivot Table for acq weekly'!$A:$A=$A19)/$C19 = 0,"""",FILTER('Pivot Table for acq weekly'!M:M,'Pivot Table for acq weekly'!$B:$B=$B19,'Pivot Table for acq weekly'!$A:$A=$A"&amp;"19)/$C19)"),0.054455445544554455)</f>
        <v>0.05445544554</v>
      </c>
      <c r="N19" s="48">
        <f>IFERROR(__xludf.DUMMYFUNCTION("IF(FILTER('Pivot Table for acq weekly'!N:N,'Pivot Table for acq weekly'!$B:$B=$B19,'Pivot Table for acq weekly'!$A:$A=$A19)/$C19 = 0,"""",FILTER('Pivot Table for acq weekly'!N:N,'Pivot Table for acq weekly'!$B:$B=$B19,'Pivot Table for acq weekly'!$A:$A=$A"&amp;"19)/$C19)"),0.04950495049504951)</f>
        <v>0.0495049505</v>
      </c>
      <c r="O19" s="48">
        <f>IFERROR(__xludf.DUMMYFUNCTION("IF(FILTER('Pivot Table for acq weekly'!O:O,'Pivot Table for acq weekly'!$B:$B=$B19,'Pivot Table for acq weekly'!$A:$A=$A19)/$C19 = 0,"""",FILTER('Pivot Table for acq weekly'!O:O,'Pivot Table for acq weekly'!$B:$B=$B19,'Pivot Table for acq weekly'!$A:$A=$A"&amp;"19)/$C19)"),0.05115511551155116)</f>
        <v>0.05115511551</v>
      </c>
      <c r="P19" s="48">
        <f>IFERROR(__xludf.DUMMYFUNCTION("IF(FILTER('Pivot Table for acq weekly'!P:P,'Pivot Table for acq weekly'!$B:$B=$B19,'Pivot Table for acq weekly'!$A:$A=$A19)/$C19 = 0,"""",FILTER('Pivot Table for acq weekly'!P:P,'Pivot Table for acq weekly'!$B:$B=$B19,'Pivot Table for acq weekly'!$A:$A=$A"&amp;"19)/$C19)"),0.11221122112211221)</f>
        <v>0.1122112211</v>
      </c>
      <c r="Q19" s="48">
        <f>IFERROR(__xludf.DUMMYFUNCTION("IF(FILTER('Pivot Table for acq weekly'!Q:Q,'Pivot Table for acq weekly'!$B:$B=$B19,'Pivot Table for acq weekly'!$A:$A=$A19)/$C19 = 0,"""",FILTER('Pivot Table for acq weekly'!Q:Q,'Pivot Table for acq weekly'!$B:$B=$B19,'Pivot Table for acq weekly'!$A:$A=$A"&amp;"19)/$C19)"),0.066006600660066)</f>
        <v>0.06600660066</v>
      </c>
      <c r="R19" s="48">
        <f>IFERROR(__xludf.DUMMYFUNCTION("IF(FILTER('Pivot Table for acq weekly'!R:R,'Pivot Table for acq weekly'!$B:$B=$B19,'Pivot Table for acq weekly'!$A:$A=$A19)/$C19 = 0,"""",FILTER('Pivot Table for acq weekly'!R:R,'Pivot Table for acq weekly'!$B:$B=$B19,'Pivot Table for acq weekly'!$A:$A=$A"&amp;"19)/$C19)"),0.039603960396039604)</f>
        <v>0.0396039604</v>
      </c>
      <c r="S19" s="48">
        <f>IFERROR(__xludf.DUMMYFUNCTION("IF(FILTER('Pivot Table for acq weekly'!S:S,'Pivot Table for acq weekly'!$B:$B=$B19,'Pivot Table for acq weekly'!$A:$A=$A19)/$C19 = 0,"""",FILTER('Pivot Table for acq weekly'!S:S,'Pivot Table for acq weekly'!$B:$B=$B19,'Pivot Table for acq weekly'!$A:$A=$A"&amp;"19)/$C19)"),0.056105610561056105)</f>
        <v>0.05610561056</v>
      </c>
      <c r="T19" s="48">
        <f>IFERROR(__xludf.DUMMYFUNCTION("IF(FILTER('Pivot Table for acq weekly'!T:T,'Pivot Table for acq weekly'!$B:$B=$B19,'Pivot Table for acq weekly'!$A:$A=$A19)/$C19 = 0,"""",FILTER('Pivot Table for acq weekly'!T:T,'Pivot Table for acq weekly'!$B:$B=$B19,'Pivot Table for acq weekly'!$A:$A=$A"&amp;"19)/$C19)"),0.07590759075907591)</f>
        <v>0.07590759076</v>
      </c>
      <c r="U19" s="48">
        <f>IFERROR(__xludf.DUMMYFUNCTION("IF(FILTER('Pivot Table for acq weekly'!U:U,'Pivot Table for acq weekly'!$B:$B=$B19,'Pivot Table for acq weekly'!$A:$A=$A19)/$C19 = 0,"""",FILTER('Pivot Table for acq weekly'!U:U,'Pivot Table for acq weekly'!$B:$B=$B19,'Pivot Table for acq weekly'!$A:$A=$A"&amp;"19)/$C19)"),0.0627062706270627)</f>
        <v>0.06270627063</v>
      </c>
      <c r="V19" s="48">
        <f>IFERROR(__xludf.DUMMYFUNCTION("IF(FILTER('Pivot Table for acq weekly'!V:V,'Pivot Table for acq weekly'!$B:$B=$B19,'Pivot Table for acq weekly'!$A:$A=$A19)/$C19 = 0,"""",FILTER('Pivot Table for acq weekly'!V:V,'Pivot Table for acq weekly'!$B:$B=$B19,'Pivot Table for acq weekly'!$A:$A=$A"&amp;"19)/$C19)"),0.0594059405940594)</f>
        <v>0.05940594059</v>
      </c>
      <c r="W19" s="48">
        <f>IFERROR(__xludf.DUMMYFUNCTION("IF(FILTER('Pivot Table for acq weekly'!W:W,'Pivot Table for acq weekly'!$B:$B=$B19,'Pivot Table for acq weekly'!$A:$A=$A19)/$C19 = 0,"""",FILTER('Pivot Table for acq weekly'!W:W,'Pivot Table for acq weekly'!$B:$B=$B19,'Pivot Table for acq weekly'!$A:$A=$A"&amp;"19)/$C19)"),0.039603960396039604)</f>
        <v>0.0396039604</v>
      </c>
      <c r="X19" s="48">
        <f>IFERROR(__xludf.DUMMYFUNCTION("IF(FILTER('Pivot Table for acq weekly'!X:X,'Pivot Table for acq weekly'!$B:$B=$B19,'Pivot Table for acq weekly'!$A:$A=$A19)/$C19 = 0,"""",FILTER('Pivot Table for acq weekly'!X:X,'Pivot Table for acq weekly'!$B:$B=$B19,'Pivot Table for acq weekly'!$A:$A=$A"&amp;"19)/$C19)"),0.013201320132013201)</f>
        <v>0.01320132013</v>
      </c>
      <c r="Y19" s="48" t="str">
        <f>IFERROR(__xludf.DUMMYFUNCTION("IF(FILTER('Pivot Table for acq weekly'!Y:Y,'Pivot Table for acq weekly'!$B:$B=$B19,'Pivot Table for acq weekly'!$A:$A=$A19)/$C19 = 0,"""",FILTER('Pivot Table for acq weekly'!Y:Y,'Pivot Table for acq weekly'!$B:$B=$B19,'Pivot Table for acq weekly'!$A:$A=$A"&amp;"19)/$C19)"),"")</f>
        <v/>
      </c>
      <c r="Z19" s="45"/>
    </row>
    <row r="20">
      <c r="A20" s="45">
        <v>4.0</v>
      </c>
      <c r="B20" s="46">
        <v>43268.0</v>
      </c>
      <c r="C20" s="47">
        <f>IFERROR(__xludf.DUMMYFUNCTION("FILTER('Pivot Table for acq weekly'!C:C,'Pivot Table for acq weekly'!$B:$B=$B20,'Pivot Table for acq weekly'!$A:$A=$A20)"),825.0)</f>
        <v>825</v>
      </c>
      <c r="D20" s="48">
        <f>IFERROR(__xludf.DUMMYFUNCTION("IF(FILTER('Pivot Table for acq weekly'!D:D,'Pivot Table for acq weekly'!$B:$B=$B20,'Pivot Table for acq weekly'!$A:$A=$A20)/$C20 = 0,"""",FILTER('Pivot Table for acq weekly'!D:D,'Pivot Table for acq weekly'!$B:$B=$B20,'Pivot Table for acq weekly'!$A:$A=$A"&amp;"20)/$C20)"),0.014545454545454545)</f>
        <v>0.01454545455</v>
      </c>
      <c r="E20" s="48">
        <f>IFERROR(__xludf.DUMMYFUNCTION("IF(FILTER('Pivot Table for acq weekly'!E:E,'Pivot Table for acq weekly'!$B:$B=$B20,'Pivot Table for acq weekly'!$A:$A=$A20)/$C20 = 0,"""",FILTER('Pivot Table for acq weekly'!E:E,'Pivot Table for acq weekly'!$B:$B=$B20,'Pivot Table for acq weekly'!$A:$A=$A"&amp;"20)/$C20)"),0.01818181818181818)</f>
        <v>0.01818181818</v>
      </c>
      <c r="F20" s="48">
        <f>IFERROR(__xludf.DUMMYFUNCTION("IF(FILTER('Pivot Table for acq weekly'!F:F,'Pivot Table for acq weekly'!$B:$B=$B20,'Pivot Table for acq weekly'!$A:$A=$A20)/$C20 = 0,"""",FILTER('Pivot Table for acq weekly'!F:F,'Pivot Table for acq weekly'!$B:$B=$B20,'Pivot Table for acq weekly'!$A:$A=$A"&amp;"20)/$C20)"),0.07515151515151515)</f>
        <v>0.07515151515</v>
      </c>
      <c r="G20" s="48">
        <f>IFERROR(__xludf.DUMMYFUNCTION("IF(FILTER('Pivot Table for acq weekly'!G:G,'Pivot Table for acq weekly'!$B:$B=$B20,'Pivot Table for acq weekly'!$A:$A=$A20)/$C20 = 0,"""",FILTER('Pivot Table for acq weekly'!G:G,'Pivot Table for acq weekly'!$B:$B=$B20,'Pivot Table for acq weekly'!$A:$A=$A"&amp;"20)/$C20)"),0.22666666666666666)</f>
        <v>0.2266666667</v>
      </c>
      <c r="H20" s="48">
        <f>IFERROR(__xludf.DUMMYFUNCTION("IF(FILTER('Pivot Table for acq weekly'!H:H,'Pivot Table for acq weekly'!$B:$B=$B20,'Pivot Table for acq weekly'!$A:$A=$A20)/$C20 = 0,"""",FILTER('Pivot Table for acq weekly'!H:H,'Pivot Table for acq weekly'!$B:$B=$B20,'Pivot Table for acq weekly'!$A:$A=$A"&amp;"20)/$C20)"),0.08242424242424243)</f>
        <v>0.08242424242</v>
      </c>
      <c r="I20" s="48">
        <f>IFERROR(__xludf.DUMMYFUNCTION("IF(FILTER('Pivot Table for acq weekly'!I:I,'Pivot Table for acq weekly'!$B:$B=$B20,'Pivot Table for acq weekly'!$A:$A=$A20)/$C20 = 0,"""",FILTER('Pivot Table for acq weekly'!I:I,'Pivot Table for acq weekly'!$B:$B=$B20,'Pivot Table for acq weekly'!$A:$A=$A"&amp;"20)/$C20)"),0.030303030303030304)</f>
        <v>0.0303030303</v>
      </c>
      <c r="J20" s="48">
        <f>IFERROR(__xludf.DUMMYFUNCTION("IF(FILTER('Pivot Table for acq weekly'!J:J,'Pivot Table for acq weekly'!$B:$B=$B20,'Pivot Table for acq weekly'!$A:$A=$A20)/$C20 = 0,"""",FILTER('Pivot Table for acq weekly'!J:J,'Pivot Table for acq weekly'!$B:$B=$B20,'Pivot Table for acq weekly'!$A:$A=$A"&amp;"20)/$C20)"),0.05333333333333334)</f>
        <v>0.05333333333</v>
      </c>
      <c r="K20" s="48">
        <f>IFERROR(__xludf.DUMMYFUNCTION("IF(FILTER('Pivot Table for acq weekly'!K:K,'Pivot Table for acq weekly'!$B:$B=$B20,'Pivot Table for acq weekly'!$A:$A=$A20)/$C20 = 0,"""",FILTER('Pivot Table for acq weekly'!K:K,'Pivot Table for acq weekly'!$B:$B=$B20,'Pivot Table for acq weekly'!$A:$A=$A"&amp;"20)/$C20)"),0.12363636363636364)</f>
        <v>0.1236363636</v>
      </c>
      <c r="L20" s="48">
        <f>IFERROR(__xludf.DUMMYFUNCTION("IF(FILTER('Pivot Table for acq weekly'!L:L,'Pivot Table for acq weekly'!$B:$B=$B20,'Pivot Table for acq weekly'!$A:$A=$A20)/$C20 = 0,"""",FILTER('Pivot Table for acq weekly'!L:L,'Pivot Table for acq weekly'!$B:$B=$B20,'Pivot Table for acq weekly'!$A:$A=$A"&amp;"20)/$C20)"),0.11878787878787879)</f>
        <v>0.1187878788</v>
      </c>
      <c r="M20" s="48">
        <f>IFERROR(__xludf.DUMMYFUNCTION("IF(FILTER('Pivot Table for acq weekly'!M:M,'Pivot Table for acq weekly'!$B:$B=$B20,'Pivot Table for acq weekly'!$A:$A=$A20)/$C20 = 0,"""",FILTER('Pivot Table for acq weekly'!M:M,'Pivot Table for acq weekly'!$B:$B=$B20,'Pivot Table for acq weekly'!$A:$A=$A"&amp;"20)/$C20)"),0.07151515151515152)</f>
        <v>0.07151515152</v>
      </c>
      <c r="N20" s="48">
        <f>IFERROR(__xludf.DUMMYFUNCTION("IF(FILTER('Pivot Table for acq weekly'!N:N,'Pivot Table for acq weekly'!$B:$B=$B20,'Pivot Table for acq weekly'!$A:$A=$A20)/$C20 = 0,"""",FILTER('Pivot Table for acq weekly'!N:N,'Pivot Table for acq weekly'!$B:$B=$B20,'Pivot Table for acq weekly'!$A:$A=$A"&amp;"20)/$C20)"),0.048484848484848485)</f>
        <v>0.04848484848</v>
      </c>
      <c r="O20" s="48">
        <f>IFERROR(__xludf.DUMMYFUNCTION("IF(FILTER('Pivot Table for acq weekly'!O:O,'Pivot Table for acq weekly'!$B:$B=$B20,'Pivot Table for acq weekly'!$A:$A=$A20)/$C20 = 0,"""",FILTER('Pivot Table for acq weekly'!O:O,'Pivot Table for acq weekly'!$B:$B=$B20,'Pivot Table for acq weekly'!$A:$A=$A"&amp;"20)/$C20)"),0.08848484848484849)</f>
        <v>0.08848484848</v>
      </c>
      <c r="P20" s="48">
        <f>IFERROR(__xludf.DUMMYFUNCTION("IF(FILTER('Pivot Table for acq weekly'!P:P,'Pivot Table for acq weekly'!$B:$B=$B20,'Pivot Table for acq weekly'!$A:$A=$A20)/$C20 = 0,"""",FILTER('Pivot Table for acq weekly'!P:P,'Pivot Table for acq weekly'!$B:$B=$B20,'Pivot Table for acq weekly'!$A:$A=$A"&amp;"20)/$C20)"),0.10303030303030303)</f>
        <v>0.103030303</v>
      </c>
      <c r="Q20" s="48">
        <f>IFERROR(__xludf.DUMMYFUNCTION("IF(FILTER('Pivot Table for acq weekly'!Q:Q,'Pivot Table for acq weekly'!$B:$B=$B20,'Pivot Table for acq weekly'!$A:$A=$A20)/$C20 = 0,"""",FILTER('Pivot Table for acq weekly'!Q:Q,'Pivot Table for acq weekly'!$B:$B=$B20,'Pivot Table for acq weekly'!$A:$A=$A"&amp;"20)/$C20)"),0.04)</f>
        <v>0.04</v>
      </c>
      <c r="R20" s="48">
        <f>IFERROR(__xludf.DUMMYFUNCTION("IF(FILTER('Pivot Table for acq weekly'!R:R,'Pivot Table for acq weekly'!$B:$B=$B20,'Pivot Table for acq weekly'!$A:$A=$A20)/$C20 = 0,"""",FILTER('Pivot Table for acq weekly'!R:R,'Pivot Table for acq weekly'!$B:$B=$B20,'Pivot Table for acq weekly'!$A:$A=$A"&amp;"20)/$C20)"),0.048484848484848485)</f>
        <v>0.04848484848</v>
      </c>
      <c r="S20" s="48">
        <f>IFERROR(__xludf.DUMMYFUNCTION("IF(FILTER('Pivot Table for acq weekly'!S:S,'Pivot Table for acq weekly'!$B:$B=$B20,'Pivot Table for acq weekly'!$A:$A=$A20)/$C20 = 0,"""",FILTER('Pivot Table for acq weekly'!S:S,'Pivot Table for acq weekly'!$B:$B=$B20,'Pivot Table for acq weekly'!$A:$A=$A"&amp;"20)/$C20)"),0.05333333333333334)</f>
        <v>0.05333333333</v>
      </c>
      <c r="T20" s="48">
        <f>IFERROR(__xludf.DUMMYFUNCTION("IF(FILTER('Pivot Table for acq weekly'!T:T,'Pivot Table for acq weekly'!$B:$B=$B20,'Pivot Table for acq weekly'!$A:$A=$A20)/$C20 = 0,"""",FILTER('Pivot Table for acq weekly'!T:T,'Pivot Table for acq weekly'!$B:$B=$B20,'Pivot Table for acq weekly'!$A:$A=$A"&amp;"20)/$C20)"),0.09818181818181818)</f>
        <v>0.09818181818</v>
      </c>
      <c r="U20" s="48">
        <f>IFERROR(__xludf.DUMMYFUNCTION("IF(FILTER('Pivot Table for acq weekly'!U:U,'Pivot Table for acq weekly'!$B:$B=$B20,'Pivot Table for acq weekly'!$A:$A=$A20)/$C20 = 0,"""",FILTER('Pivot Table for acq weekly'!U:U,'Pivot Table for acq weekly'!$B:$B=$B20,'Pivot Table for acq weekly'!$A:$A=$A"&amp;"20)/$C20)"),0.07151515151515152)</f>
        <v>0.07151515152</v>
      </c>
      <c r="V20" s="48">
        <f>IFERROR(__xludf.DUMMYFUNCTION("IF(FILTER('Pivot Table for acq weekly'!V:V,'Pivot Table for acq weekly'!$B:$B=$B20,'Pivot Table for acq weekly'!$A:$A=$A20)/$C20 = 0,"""",FILTER('Pivot Table for acq weekly'!V:V,'Pivot Table for acq weekly'!$B:$B=$B20,'Pivot Table for acq weekly'!$A:$A=$A"&amp;"20)/$C20)"),0.0496969696969697)</f>
        <v>0.0496969697</v>
      </c>
      <c r="W20" s="48">
        <f>IFERROR(__xludf.DUMMYFUNCTION("IF(FILTER('Pivot Table for acq weekly'!W:W,'Pivot Table for acq weekly'!$B:$B=$B20,'Pivot Table for acq weekly'!$A:$A=$A20)/$C20 = 0,"""",FILTER('Pivot Table for acq weekly'!W:W,'Pivot Table for acq weekly'!$B:$B=$B20,'Pivot Table for acq weekly'!$A:$A=$A"&amp;"20)/$C20)"),0.014545454545454545)</f>
        <v>0.01454545455</v>
      </c>
      <c r="X20" s="48" t="str">
        <f>IFERROR(__xludf.DUMMYFUNCTION("IF(FILTER('Pivot Table for acq weekly'!X:X,'Pivot Table for acq weekly'!$B:$B=$B20,'Pivot Table for acq weekly'!$A:$A=$A20)/$C20 = 0,"""",FILTER('Pivot Table for acq weekly'!X:X,'Pivot Table for acq weekly'!$B:$B=$B20,'Pivot Table for acq weekly'!$A:$A=$A"&amp;"20)/$C20)"),"")</f>
        <v/>
      </c>
      <c r="Y20" s="48" t="str">
        <f>IFERROR(__xludf.DUMMYFUNCTION("IF(FILTER('Pivot Table for acq weekly'!Y:Y,'Pivot Table for acq weekly'!$B:$B=$B20,'Pivot Table for acq weekly'!$A:$A=$A20)/$C20 = 0,"""",FILTER('Pivot Table for acq weekly'!Y:Y,'Pivot Table for acq weekly'!$B:$B=$B20,'Pivot Table for acq weekly'!$A:$A=$A"&amp;"20)/$C20)"),"")</f>
        <v/>
      </c>
      <c r="Z20" s="45"/>
    </row>
    <row r="21">
      <c r="A21" s="45">
        <v>4.0</v>
      </c>
      <c r="B21" s="46">
        <v>43275.0</v>
      </c>
      <c r="C21" s="47">
        <f>IFERROR(__xludf.DUMMYFUNCTION("FILTER('Pivot Table for acq weekly'!C:C,'Pivot Table for acq weekly'!$B:$B=$B21,'Pivot Table for acq weekly'!$A:$A=$A21)"),796.0)</f>
        <v>796</v>
      </c>
      <c r="D21" s="48">
        <f>IFERROR(__xludf.DUMMYFUNCTION("IF(FILTER('Pivot Table for acq weekly'!D:D,'Pivot Table for acq weekly'!$B:$B=$B21,'Pivot Table for acq weekly'!$A:$A=$A21)/$C21 = 0,"""",FILTER('Pivot Table for acq weekly'!D:D,'Pivot Table for acq weekly'!$B:$B=$B21,'Pivot Table for acq weekly'!$A:$A=$A"&amp;"21)/$C21)"),0.013819095477386936)</f>
        <v>0.01381909548</v>
      </c>
      <c r="E21" s="48">
        <f>IFERROR(__xludf.DUMMYFUNCTION("IF(FILTER('Pivot Table for acq weekly'!E:E,'Pivot Table for acq weekly'!$B:$B=$B21,'Pivot Table for acq weekly'!$A:$A=$A21)/$C21 = 0,"""",FILTER('Pivot Table for acq weekly'!E:E,'Pivot Table for acq weekly'!$B:$B=$B21,'Pivot Table for acq weekly'!$A:$A=$A"&amp;"21)/$C21)"),0.01507537688442211)</f>
        <v>0.01507537688</v>
      </c>
      <c r="F21" s="48">
        <f>IFERROR(__xludf.DUMMYFUNCTION("IF(FILTER('Pivot Table for acq weekly'!F:F,'Pivot Table for acq weekly'!$B:$B=$B21,'Pivot Table for acq weekly'!$A:$A=$A21)/$C21 = 0,"""",FILTER('Pivot Table for acq weekly'!F:F,'Pivot Table for acq weekly'!$B:$B=$B21,'Pivot Table for acq weekly'!$A:$A=$A"&amp;"21)/$C21)"),0.056532663316582916)</f>
        <v>0.05653266332</v>
      </c>
      <c r="G21" s="48">
        <f>IFERROR(__xludf.DUMMYFUNCTION("IF(FILTER('Pivot Table for acq weekly'!G:G,'Pivot Table for acq weekly'!$B:$B=$B21,'Pivot Table for acq weekly'!$A:$A=$A21)/$C21 = 0,"""",FILTER('Pivot Table for acq weekly'!G:G,'Pivot Table for acq weekly'!$B:$B=$B21,'Pivot Table for acq weekly'!$A:$A=$A"&amp;"21)/$C21)"),0.20728643216080403)</f>
        <v>0.2072864322</v>
      </c>
      <c r="H21" s="48">
        <f>IFERROR(__xludf.DUMMYFUNCTION("IF(FILTER('Pivot Table for acq weekly'!H:H,'Pivot Table for acq weekly'!$B:$B=$B21,'Pivot Table for acq weekly'!$A:$A=$A21)/$C21 = 0,"""",FILTER('Pivot Table for acq weekly'!H:H,'Pivot Table for acq weekly'!$B:$B=$B21,'Pivot Table for acq weekly'!$A:$A=$A"&amp;"21)/$C21)"),0.10678391959798995)</f>
        <v>0.1067839196</v>
      </c>
      <c r="I21" s="48">
        <f>IFERROR(__xludf.DUMMYFUNCTION("IF(FILTER('Pivot Table for acq weekly'!I:I,'Pivot Table for acq weekly'!$B:$B=$B21,'Pivot Table for acq weekly'!$A:$A=$A21)/$C21 = 0,"""",FILTER('Pivot Table for acq weekly'!I:I,'Pivot Table for acq weekly'!$B:$B=$B21,'Pivot Table for acq weekly'!$A:$A=$A"&amp;"21)/$C21)"),0.04020100502512563)</f>
        <v>0.04020100503</v>
      </c>
      <c r="J21" s="48">
        <f>IFERROR(__xludf.DUMMYFUNCTION("IF(FILTER('Pivot Table for acq weekly'!J:J,'Pivot Table for acq weekly'!$B:$B=$B21,'Pivot Table for acq weekly'!$A:$A=$A21)/$C21 = 0,"""",FILTER('Pivot Table for acq weekly'!J:J,'Pivot Table for acq weekly'!$B:$B=$B21,'Pivot Table for acq weekly'!$A:$A=$A"&amp;"21)/$C21)"),0.03015075376884422)</f>
        <v>0.03015075377</v>
      </c>
      <c r="K21" s="48">
        <f>IFERROR(__xludf.DUMMYFUNCTION("IF(FILTER('Pivot Table for acq weekly'!K:K,'Pivot Table for acq weekly'!$B:$B=$B21,'Pivot Table for acq weekly'!$A:$A=$A21)/$C21 = 0,"""",FILTER('Pivot Table for acq weekly'!K:K,'Pivot Table for acq weekly'!$B:$B=$B21,'Pivot Table for acq weekly'!$A:$A=$A"&amp;"21)/$C21)"),0.1407035175879397)</f>
        <v>0.1407035176</v>
      </c>
      <c r="L21" s="48">
        <f>IFERROR(__xludf.DUMMYFUNCTION("IF(FILTER('Pivot Table for acq weekly'!L:L,'Pivot Table for acq weekly'!$B:$B=$B21,'Pivot Table for acq weekly'!$A:$A=$A21)/$C21 = 0,"""",FILTER('Pivot Table for acq weekly'!L:L,'Pivot Table for acq weekly'!$B:$B=$B21,'Pivot Table for acq weekly'!$A:$A=$A"&amp;"21)/$C21)"),0.14195979899497488)</f>
        <v>0.141959799</v>
      </c>
      <c r="M21" s="48">
        <f>IFERROR(__xludf.DUMMYFUNCTION("IF(FILTER('Pivot Table for acq weekly'!M:M,'Pivot Table for acq weekly'!$B:$B=$B21,'Pivot Table for acq weekly'!$A:$A=$A21)/$C21 = 0,"""",FILTER('Pivot Table for acq weekly'!M:M,'Pivot Table for acq weekly'!$B:$B=$B21,'Pivot Table for acq weekly'!$A:$A=$A"&amp;"21)/$C21)"),0.05150753768844221)</f>
        <v>0.05150753769</v>
      </c>
      <c r="N21" s="48">
        <f>IFERROR(__xludf.DUMMYFUNCTION("IF(FILTER('Pivot Table for acq weekly'!N:N,'Pivot Table for acq weekly'!$B:$B=$B21,'Pivot Table for acq weekly'!$A:$A=$A21)/$C21 = 0,"""",FILTER('Pivot Table for acq weekly'!N:N,'Pivot Table for acq weekly'!$B:$B=$B21,'Pivot Table for acq weekly'!$A:$A=$A"&amp;"21)/$C21)"),0.048994974874371856)</f>
        <v>0.04899497487</v>
      </c>
      <c r="O21" s="48">
        <f>IFERROR(__xludf.DUMMYFUNCTION("IF(FILTER('Pivot Table for acq weekly'!O:O,'Pivot Table for acq weekly'!$B:$B=$B21,'Pivot Table for acq weekly'!$A:$A=$A21)/$C21 = 0,"""",FILTER('Pivot Table for acq weekly'!O:O,'Pivot Table for acq weekly'!$B:$B=$B21,'Pivot Table for acq weekly'!$A:$A=$A"&amp;"21)/$C21)"),0.048994974874371856)</f>
        <v>0.04899497487</v>
      </c>
      <c r="P21" s="48">
        <f>IFERROR(__xludf.DUMMYFUNCTION("IF(FILTER('Pivot Table for acq weekly'!P:P,'Pivot Table for acq weekly'!$B:$B=$B21,'Pivot Table for acq weekly'!$A:$A=$A21)/$C21 = 0,"""",FILTER('Pivot Table for acq weekly'!P:P,'Pivot Table for acq weekly'!$B:$B=$B21,'Pivot Table for acq weekly'!$A:$A=$A"&amp;"21)/$C21)"),0.10175879396984924)</f>
        <v>0.101758794</v>
      </c>
      <c r="Q21" s="48">
        <f>IFERROR(__xludf.DUMMYFUNCTION("IF(FILTER('Pivot Table for acq weekly'!Q:Q,'Pivot Table for acq weekly'!$B:$B=$B21,'Pivot Table for acq weekly'!$A:$A=$A21)/$C21 = 0,"""",FILTER('Pivot Table for acq weekly'!Q:Q,'Pivot Table for acq weekly'!$B:$B=$B21,'Pivot Table for acq weekly'!$A:$A=$A"&amp;"21)/$C21)"),0.06532663316582915)</f>
        <v>0.06532663317</v>
      </c>
      <c r="R21" s="48">
        <f>IFERROR(__xludf.DUMMYFUNCTION("IF(FILTER('Pivot Table for acq weekly'!R:R,'Pivot Table for acq weekly'!$B:$B=$B21,'Pivot Table for acq weekly'!$A:$A=$A21)/$C21 = 0,"""",FILTER('Pivot Table for acq weekly'!R:R,'Pivot Table for acq weekly'!$B:$B=$B21,'Pivot Table for acq weekly'!$A:$A=$A"&amp;"21)/$C21)"),0.03768844221105527)</f>
        <v>0.03768844221</v>
      </c>
      <c r="S21" s="48">
        <f>IFERROR(__xludf.DUMMYFUNCTION("IF(FILTER('Pivot Table for acq weekly'!S:S,'Pivot Table for acq weekly'!$B:$B=$B21,'Pivot Table for acq weekly'!$A:$A=$A21)/$C21 = 0,"""",FILTER('Pivot Table for acq weekly'!S:S,'Pivot Table for acq weekly'!$B:$B=$B21,'Pivot Table for acq weekly'!$A:$A=$A"&amp;"21)/$C21)"),0.04020100502512563)</f>
        <v>0.04020100503</v>
      </c>
      <c r="T21" s="48">
        <f>IFERROR(__xludf.DUMMYFUNCTION("IF(FILTER('Pivot Table for acq weekly'!T:T,'Pivot Table for acq weekly'!$B:$B=$B21,'Pivot Table for acq weekly'!$A:$A=$A21)/$C21 = 0,"""",FILTER('Pivot Table for acq weekly'!T:T,'Pivot Table for acq weekly'!$B:$B=$B21,'Pivot Table for acq weekly'!$A:$A=$A"&amp;"21)/$C21)"),0.10804020100502512)</f>
        <v>0.108040201</v>
      </c>
      <c r="U21" s="48">
        <f>IFERROR(__xludf.DUMMYFUNCTION("IF(FILTER('Pivot Table for acq weekly'!U:U,'Pivot Table for acq weekly'!$B:$B=$B21,'Pivot Table for acq weekly'!$A:$A=$A21)/$C21 = 0,"""",FILTER('Pivot Table for acq weekly'!U:U,'Pivot Table for acq weekly'!$B:$B=$B21,'Pivot Table for acq weekly'!$A:$A=$A"&amp;"21)/$C21)"),0.05778894472361809)</f>
        <v>0.05778894472</v>
      </c>
      <c r="V21" s="48">
        <f>IFERROR(__xludf.DUMMYFUNCTION("IF(FILTER('Pivot Table for acq weekly'!V:V,'Pivot Table for acq weekly'!$B:$B=$B21,'Pivot Table for acq weekly'!$A:$A=$A21)/$C21 = 0,"""",FILTER('Pivot Table for acq weekly'!V:V,'Pivot Table for acq weekly'!$B:$B=$B21,'Pivot Table for acq weekly'!$A:$A=$A"&amp;"21)/$C21)"),0.01507537688442211)</f>
        <v>0.01507537688</v>
      </c>
      <c r="W21" s="48" t="str">
        <f>IFERROR(__xludf.DUMMYFUNCTION("IF(FILTER('Pivot Table for acq weekly'!W:W,'Pivot Table for acq weekly'!$B:$B=$B21,'Pivot Table for acq weekly'!$A:$A=$A21)/$C21 = 0,"""",FILTER('Pivot Table for acq weekly'!W:W,'Pivot Table for acq weekly'!$B:$B=$B21,'Pivot Table for acq weekly'!$A:$A=$A"&amp;"21)/$C21)"),"")</f>
        <v/>
      </c>
      <c r="X21" s="48" t="str">
        <f>IFERROR(__xludf.DUMMYFUNCTION("IF(FILTER('Pivot Table for acq weekly'!X:X,'Pivot Table for acq weekly'!$B:$B=$B21,'Pivot Table for acq weekly'!$A:$A=$A21)/$C21 = 0,"""",FILTER('Pivot Table for acq weekly'!X:X,'Pivot Table for acq weekly'!$B:$B=$B21,'Pivot Table for acq weekly'!$A:$A=$A"&amp;"21)/$C21)"),"")</f>
        <v/>
      </c>
      <c r="Y21" s="48" t="str">
        <f>IFERROR(__xludf.DUMMYFUNCTION("IF(FILTER('Pivot Table for acq weekly'!Y:Y,'Pivot Table for acq weekly'!$B:$B=$B21,'Pivot Table for acq weekly'!$A:$A=$A21)/$C21 = 0,"""",FILTER('Pivot Table for acq weekly'!Y:Y,'Pivot Table for acq weekly'!$B:$B=$B21,'Pivot Table for acq weekly'!$A:$A=$A"&amp;"21)/$C21)"),"")</f>
        <v/>
      </c>
      <c r="Z21" s="45"/>
    </row>
    <row r="22">
      <c r="A22" s="45">
        <v>4.0</v>
      </c>
      <c r="B22" s="46">
        <v>43282.0</v>
      </c>
      <c r="C22" s="47">
        <f>IFERROR(__xludf.DUMMYFUNCTION("FILTER('Pivot Table for acq weekly'!C:C,'Pivot Table for acq weekly'!$B:$B=$B22,'Pivot Table for acq weekly'!$A:$A=$A22)"),766.0)</f>
        <v>766</v>
      </c>
      <c r="D22" s="48">
        <f>IFERROR(__xludf.DUMMYFUNCTION("IF(FILTER('Pivot Table for acq weekly'!D:D,'Pivot Table for acq weekly'!$B:$B=$B22,'Pivot Table for acq weekly'!$A:$A=$A22)/$C22 = 0,"""",FILTER('Pivot Table for acq weekly'!D:D,'Pivot Table for acq weekly'!$B:$B=$B22,'Pivot Table for acq weekly'!$A:$A=$A"&amp;"22)/$C22)"),0.013054830287206266)</f>
        <v>0.01305483029</v>
      </c>
      <c r="E22" s="48">
        <f>IFERROR(__xludf.DUMMYFUNCTION("IF(FILTER('Pivot Table for acq weekly'!E:E,'Pivot Table for acq weekly'!$B:$B=$B22,'Pivot Table for acq weekly'!$A:$A=$A22)/$C22 = 0,"""",FILTER('Pivot Table for acq weekly'!E:E,'Pivot Table for acq weekly'!$B:$B=$B22,'Pivot Table for acq weekly'!$A:$A=$A"&amp;"22)/$C22)"),0.030026109660574413)</f>
        <v>0.03002610966</v>
      </c>
      <c r="F22" s="48">
        <f>IFERROR(__xludf.DUMMYFUNCTION("IF(FILTER('Pivot Table for acq weekly'!F:F,'Pivot Table for acq weekly'!$B:$B=$B22,'Pivot Table for acq weekly'!$A:$A=$A22)/$C22 = 0,"""",FILTER('Pivot Table for acq weekly'!F:F,'Pivot Table for acq weekly'!$B:$B=$B22,'Pivot Table for acq weekly'!$A:$A=$A"&amp;"22)/$C22)"),0.06005221932114883)</f>
        <v>0.06005221932</v>
      </c>
      <c r="G22" s="48">
        <f>IFERROR(__xludf.DUMMYFUNCTION("IF(FILTER('Pivot Table for acq weekly'!G:G,'Pivot Table for acq weekly'!$B:$B=$B22,'Pivot Table for acq weekly'!$A:$A=$A22)/$C22 = 0,"""",FILTER('Pivot Table for acq weekly'!G:G,'Pivot Table for acq weekly'!$B:$B=$B22,'Pivot Table for acq weekly'!$A:$A=$A"&amp;"22)/$C22)"),0.185378590078329)</f>
        <v>0.1853785901</v>
      </c>
      <c r="H22" s="48">
        <f>IFERROR(__xludf.DUMMYFUNCTION("IF(FILTER('Pivot Table for acq weekly'!H:H,'Pivot Table for acq weekly'!$B:$B=$B22,'Pivot Table for acq weekly'!$A:$A=$A22)/$C22 = 0,"""",FILTER('Pivot Table for acq weekly'!H:H,'Pivot Table for acq weekly'!$B:$B=$B22,'Pivot Table for acq weekly'!$A:$A=$A"&amp;"22)/$C22)"),0.09530026109660575)</f>
        <v>0.0953002611</v>
      </c>
      <c r="I22" s="48">
        <f>IFERROR(__xludf.DUMMYFUNCTION("IF(FILTER('Pivot Table for acq weekly'!I:I,'Pivot Table for acq weekly'!$B:$B=$B22,'Pivot Table for acq weekly'!$A:$A=$A22)/$C22 = 0,"""",FILTER('Pivot Table for acq weekly'!I:I,'Pivot Table for acq weekly'!$B:$B=$B22,'Pivot Table for acq weekly'!$A:$A=$A"&amp;"22)/$C22)"),0.0391644908616188)</f>
        <v>0.03916449086</v>
      </c>
      <c r="J22" s="48">
        <f>IFERROR(__xludf.DUMMYFUNCTION("IF(FILTER('Pivot Table for acq weekly'!J:J,'Pivot Table for acq weekly'!$B:$B=$B22,'Pivot Table for acq weekly'!$A:$A=$A22)/$C22 = 0,"""",FILTER('Pivot Table for acq weekly'!J:J,'Pivot Table for acq weekly'!$B:$B=$B22,'Pivot Table for acq weekly'!$A:$A=$A"&amp;"22)/$C22)"),0.04177545691906005)</f>
        <v>0.04177545692</v>
      </c>
      <c r="K22" s="48">
        <f>IFERROR(__xludf.DUMMYFUNCTION("IF(FILTER('Pivot Table for acq weekly'!K:K,'Pivot Table for acq weekly'!$B:$B=$B22,'Pivot Table for acq weekly'!$A:$A=$A22)/$C22 = 0,"""",FILTER('Pivot Table for acq weekly'!K:K,'Pivot Table for acq weekly'!$B:$B=$B22,'Pivot Table for acq weekly'!$A:$A=$A"&amp;"22)/$C22)"),0.13054830287206268)</f>
        <v>0.1305483029</v>
      </c>
      <c r="L22" s="48">
        <f>IFERROR(__xludf.DUMMYFUNCTION("IF(FILTER('Pivot Table for acq weekly'!L:L,'Pivot Table for acq weekly'!$B:$B=$B22,'Pivot Table for acq weekly'!$A:$A=$A22)/$C22 = 0,"""",FILTER('Pivot Table for acq weekly'!L:L,'Pivot Table for acq weekly'!$B:$B=$B22,'Pivot Table for acq weekly'!$A:$A=$A"&amp;"22)/$C22)"),0.1370757180156658)</f>
        <v>0.137075718</v>
      </c>
      <c r="M22" s="48">
        <f>IFERROR(__xludf.DUMMYFUNCTION("IF(FILTER('Pivot Table for acq weekly'!M:M,'Pivot Table for acq weekly'!$B:$B=$B22,'Pivot Table for acq weekly'!$A:$A=$A22)/$C22 = 0,"""",FILTER('Pivot Table for acq weekly'!M:M,'Pivot Table for acq weekly'!$B:$B=$B22,'Pivot Table for acq weekly'!$A:$A=$A"&amp;"22)/$C22)"),0.06135770234986945)</f>
        <v>0.06135770235</v>
      </c>
      <c r="N22" s="48">
        <f>IFERROR(__xludf.DUMMYFUNCTION("IF(FILTER('Pivot Table for acq weekly'!N:N,'Pivot Table for acq weekly'!$B:$B=$B22,'Pivot Table for acq weekly'!$A:$A=$A22)/$C22 = 0,"""",FILTER('Pivot Table for acq weekly'!N:N,'Pivot Table for acq weekly'!$B:$B=$B22,'Pivot Table for acq weekly'!$A:$A=$A"&amp;"22)/$C22)"),0.06005221932114883)</f>
        <v>0.06005221932</v>
      </c>
      <c r="O22" s="48">
        <f>IFERROR(__xludf.DUMMYFUNCTION("IF(FILTER('Pivot Table for acq weekly'!O:O,'Pivot Table for acq weekly'!$B:$B=$B22,'Pivot Table for acq weekly'!$A:$A=$A22)/$C22 = 0,"""",FILTER('Pivot Table for acq weekly'!O:O,'Pivot Table for acq weekly'!$B:$B=$B22,'Pivot Table for acq weekly'!$A:$A=$A"&amp;"22)/$C22)"),0.04569190600522193)</f>
        <v>0.04569190601</v>
      </c>
      <c r="P22" s="48">
        <f>IFERROR(__xludf.DUMMYFUNCTION("IF(FILTER('Pivot Table for acq weekly'!P:P,'Pivot Table for acq weekly'!$B:$B=$B22,'Pivot Table for acq weekly'!$A:$A=$A22)/$C22 = 0,"""",FILTER('Pivot Table for acq weekly'!P:P,'Pivot Table for acq weekly'!$B:$B=$B22,'Pivot Table for acq weekly'!$A:$A=$A"&amp;"22)/$C22)"),0.1370757180156658)</f>
        <v>0.137075718</v>
      </c>
      <c r="Q22" s="48">
        <f>IFERROR(__xludf.DUMMYFUNCTION("IF(FILTER('Pivot Table for acq weekly'!Q:Q,'Pivot Table for acq weekly'!$B:$B=$B22,'Pivot Table for acq weekly'!$A:$A=$A22)/$C22 = 0,"""",FILTER('Pivot Table for acq weekly'!Q:Q,'Pivot Table for acq weekly'!$B:$B=$B22,'Pivot Table for acq weekly'!$A:$A=$A"&amp;"22)/$C22)"),0.08616187989556136)</f>
        <v>0.0861618799</v>
      </c>
      <c r="R22" s="48">
        <f>IFERROR(__xludf.DUMMYFUNCTION("IF(FILTER('Pivot Table for acq weekly'!R:R,'Pivot Table for acq weekly'!$B:$B=$B22,'Pivot Table for acq weekly'!$A:$A=$A22)/$C22 = 0,"""",FILTER('Pivot Table for acq weekly'!R:R,'Pivot Table for acq weekly'!$B:$B=$B22,'Pivot Table for acq weekly'!$A:$A=$A"&amp;"22)/$C22)"),0.03524804177545692)</f>
        <v>0.03524804178</v>
      </c>
      <c r="S22" s="48">
        <f>IFERROR(__xludf.DUMMYFUNCTION("IF(FILTER('Pivot Table for acq weekly'!S:S,'Pivot Table for acq weekly'!$B:$B=$B22,'Pivot Table for acq weekly'!$A:$A=$A22)/$C22 = 0,"""",FILTER('Pivot Table for acq weekly'!S:S,'Pivot Table for acq weekly'!$B:$B=$B22,'Pivot Table for acq weekly'!$A:$A=$A"&amp;"22)/$C22)"),0.06005221932114883)</f>
        <v>0.06005221932</v>
      </c>
      <c r="T22" s="48">
        <f>IFERROR(__xludf.DUMMYFUNCTION("IF(FILTER('Pivot Table for acq weekly'!T:T,'Pivot Table for acq weekly'!$B:$B=$B22,'Pivot Table for acq weekly'!$A:$A=$A22)/$C22 = 0,"""",FILTER('Pivot Table for acq weekly'!T:T,'Pivot Table for acq weekly'!$B:$B=$B22,'Pivot Table for acq weekly'!$A:$A=$A"&amp;"22)/$C22)"),0.08877284595300261)</f>
        <v>0.08877284595</v>
      </c>
      <c r="U22" s="48">
        <f>IFERROR(__xludf.DUMMYFUNCTION("IF(FILTER('Pivot Table for acq weekly'!U:U,'Pivot Table for acq weekly'!$B:$B=$B22,'Pivot Table for acq weekly'!$A:$A=$A22)/$C22 = 0,"""",FILTER('Pivot Table for acq weekly'!U:U,'Pivot Table for acq weekly'!$B:$B=$B22,'Pivot Table for acq weekly'!$A:$A=$A"&amp;"22)/$C22)"),0.02741514360313316)</f>
        <v>0.0274151436</v>
      </c>
      <c r="V22" s="48" t="str">
        <f>IFERROR(__xludf.DUMMYFUNCTION("IF(FILTER('Pivot Table for acq weekly'!V:V,'Pivot Table for acq weekly'!$B:$B=$B22,'Pivot Table for acq weekly'!$A:$A=$A22)/$C22 = 0,"""",FILTER('Pivot Table for acq weekly'!V:V,'Pivot Table for acq weekly'!$B:$B=$B22,'Pivot Table for acq weekly'!$A:$A=$A"&amp;"22)/$C22)"),"")</f>
        <v/>
      </c>
      <c r="W22" s="48" t="str">
        <f>IFERROR(__xludf.DUMMYFUNCTION("IF(FILTER('Pivot Table for acq weekly'!W:W,'Pivot Table for acq weekly'!$B:$B=$B22,'Pivot Table for acq weekly'!$A:$A=$A22)/$C22 = 0,"""",FILTER('Pivot Table for acq weekly'!W:W,'Pivot Table for acq weekly'!$B:$B=$B22,'Pivot Table for acq weekly'!$A:$A=$A"&amp;"22)/$C22)"),"")</f>
        <v/>
      </c>
      <c r="X22" s="48" t="str">
        <f>IFERROR(__xludf.DUMMYFUNCTION("IF(FILTER('Pivot Table for acq weekly'!X:X,'Pivot Table for acq weekly'!$B:$B=$B22,'Pivot Table for acq weekly'!$A:$A=$A22)/$C22 = 0,"""",FILTER('Pivot Table for acq weekly'!X:X,'Pivot Table for acq weekly'!$B:$B=$B22,'Pivot Table for acq weekly'!$A:$A=$A"&amp;"22)/$C22)"),"")</f>
        <v/>
      </c>
      <c r="Y22" s="48" t="str">
        <f>IFERROR(__xludf.DUMMYFUNCTION("IF(FILTER('Pivot Table for acq weekly'!Y:Y,'Pivot Table for acq weekly'!$B:$B=$B22,'Pivot Table for acq weekly'!$A:$A=$A22)/$C22 = 0,"""",FILTER('Pivot Table for acq weekly'!Y:Y,'Pivot Table for acq weekly'!$B:$B=$B22,'Pivot Table for acq weekly'!$A:$A=$A"&amp;"22)/$C22)"),"")</f>
        <v/>
      </c>
      <c r="Z22" s="45"/>
    </row>
    <row r="23">
      <c r="A23" s="50">
        <v>5.0</v>
      </c>
      <c r="B23" s="51">
        <v>43254.0</v>
      </c>
      <c r="C23" s="52">
        <f>IFERROR(__xludf.DUMMYFUNCTION("FILTER('Pivot Table for acq weekly'!C:C,'Pivot Table for acq weekly'!$B:$B=$B23,'Pivot Table for acq weekly'!$A:$A=$A23)"),314.0)</f>
        <v>314</v>
      </c>
      <c r="D23" s="53">
        <f>IFERROR(__xludf.DUMMYFUNCTION("IF(FILTER('Pivot Table for acq weekly'!D:D,'Pivot Table for acq weekly'!$B:$B=$B23,'Pivot Table for acq weekly'!$A:$A=$A23)/$C23 = 0,"""",FILTER('Pivot Table for acq weekly'!D:D,'Pivot Table for acq weekly'!$B:$B=$B23,'Pivot Table for acq weekly'!$A:$A=$A"&amp;"23)/$C23)"),0.01592356687898089)</f>
        <v>0.01592356688</v>
      </c>
      <c r="E23" s="53">
        <f>IFERROR(__xludf.DUMMYFUNCTION("IF(FILTER('Pivot Table for acq weekly'!E:E,'Pivot Table for acq weekly'!$B:$B=$B23,'Pivot Table for acq weekly'!$A:$A=$A23)/$C23 = 0,"""",FILTER('Pivot Table for acq weekly'!E:E,'Pivot Table for acq weekly'!$B:$B=$B23,'Pivot Table for acq weekly'!$A:$A=$A"&amp;"23)/$C23)"),0.022292993630573247)</f>
        <v>0.02229299363</v>
      </c>
      <c r="F23" s="53">
        <f>IFERROR(__xludf.DUMMYFUNCTION("IF(FILTER('Pivot Table for acq weekly'!F:F,'Pivot Table for acq weekly'!$B:$B=$B23,'Pivot Table for acq weekly'!$A:$A=$A23)/$C23 = 0,"""",FILTER('Pivot Table for acq weekly'!F:F,'Pivot Table for acq weekly'!$B:$B=$B23,'Pivot Table for acq weekly'!$A:$A=$A"&amp;"23)/$C23)"),0.03503184713375796)</f>
        <v>0.03503184713</v>
      </c>
      <c r="G23" s="53">
        <f>IFERROR(__xludf.DUMMYFUNCTION("IF(FILTER('Pivot Table for acq weekly'!G:G,'Pivot Table for acq weekly'!$B:$B=$B23,'Pivot Table for acq weekly'!$A:$A=$A23)/$C23 = 0,"""",FILTER('Pivot Table for acq weekly'!G:G,'Pivot Table for acq weekly'!$B:$B=$B23,'Pivot Table for acq weekly'!$A:$A=$A"&amp;"23)/$C23)"),0.06050955414012739)</f>
        <v>0.06050955414</v>
      </c>
      <c r="H23" s="53">
        <f>IFERROR(__xludf.DUMMYFUNCTION("IF(FILTER('Pivot Table for acq weekly'!H:H,'Pivot Table for acq weekly'!$B:$B=$B23,'Pivot Table for acq weekly'!$A:$A=$A23)/$C23 = 0,"""",FILTER('Pivot Table for acq weekly'!H:H,'Pivot Table for acq weekly'!$B:$B=$B23,'Pivot Table for acq weekly'!$A:$A=$A"&amp;"23)/$C23)"),0.2643312101910828)</f>
        <v>0.2643312102</v>
      </c>
      <c r="I23" s="53">
        <f>IFERROR(__xludf.DUMMYFUNCTION("IF(FILTER('Pivot Table for acq weekly'!I:I,'Pivot Table for acq weekly'!$B:$B=$B23,'Pivot Table for acq weekly'!$A:$A=$A23)/$C23 = 0,"""",FILTER('Pivot Table for acq weekly'!I:I,'Pivot Table for acq weekly'!$B:$B=$B23,'Pivot Table for acq weekly'!$A:$A=$A"&amp;"23)/$C23)"),0.03503184713375796)</f>
        <v>0.03503184713</v>
      </c>
      <c r="J23" s="53">
        <f>IFERROR(__xludf.DUMMYFUNCTION("IF(FILTER('Pivot Table for acq weekly'!J:J,'Pivot Table for acq weekly'!$B:$B=$B23,'Pivot Table for acq weekly'!$A:$A=$A23)/$C23 = 0,"""",FILTER('Pivot Table for acq weekly'!J:J,'Pivot Table for acq weekly'!$B:$B=$B23,'Pivot Table for acq weekly'!$A:$A=$A"&amp;"23)/$C23)"),0.04777070063694268)</f>
        <v>0.04777070064</v>
      </c>
      <c r="K23" s="53">
        <f>IFERROR(__xludf.DUMMYFUNCTION("IF(FILTER('Pivot Table for acq weekly'!K:K,'Pivot Table for acq weekly'!$B:$B=$B23,'Pivot Table for acq weekly'!$A:$A=$A23)/$C23 = 0,"""",FILTER('Pivot Table for acq weekly'!K:K,'Pivot Table for acq weekly'!$B:$B=$B23,'Pivot Table for acq weekly'!$A:$A=$A"&amp;"23)/$C23)"),0.03821656050955414)</f>
        <v>0.03821656051</v>
      </c>
      <c r="L23" s="53">
        <f>IFERROR(__xludf.DUMMYFUNCTION("IF(FILTER('Pivot Table for acq weekly'!L:L,'Pivot Table for acq weekly'!$B:$B=$B23,'Pivot Table for acq weekly'!$A:$A=$A23)/$C23 = 0,"""",FILTER('Pivot Table for acq weekly'!L:L,'Pivot Table for acq weekly'!$B:$B=$B23,'Pivot Table for acq weekly'!$A:$A=$A"&amp;"23)/$C23)"),0.22611464968152867)</f>
        <v>0.2261146497</v>
      </c>
      <c r="M23" s="53">
        <f>IFERROR(__xludf.DUMMYFUNCTION("IF(FILTER('Pivot Table for acq weekly'!M:M,'Pivot Table for acq weekly'!$B:$B=$B23,'Pivot Table for acq weekly'!$A:$A=$A23)/$C23 = 0,"""",FILTER('Pivot Table for acq weekly'!M:M,'Pivot Table for acq weekly'!$B:$B=$B23,'Pivot Table for acq weekly'!$A:$A=$A"&amp;"23)/$C23)"),0.025477707006369428)</f>
        <v>0.02547770701</v>
      </c>
      <c r="N23" s="53">
        <f>IFERROR(__xludf.DUMMYFUNCTION("IF(FILTER('Pivot Table for acq weekly'!N:N,'Pivot Table for acq weekly'!$B:$B=$B23,'Pivot Table for acq weekly'!$A:$A=$A23)/$C23 = 0,"""",FILTER('Pivot Table for acq weekly'!N:N,'Pivot Table for acq weekly'!$B:$B=$B23,'Pivot Table for acq weekly'!$A:$A=$A"&amp;"23)/$C23)"),0.06050955414012739)</f>
        <v>0.06050955414</v>
      </c>
      <c r="O23" s="53">
        <f>IFERROR(__xludf.DUMMYFUNCTION("IF(FILTER('Pivot Table for acq weekly'!O:O,'Pivot Table for acq weekly'!$B:$B=$B23,'Pivot Table for acq weekly'!$A:$A=$A23)/$C23 = 0,"""",FILTER('Pivot Table for acq weekly'!O:O,'Pivot Table for acq weekly'!$B:$B=$B23,'Pivot Table for acq weekly'!$A:$A=$A"&amp;"23)/$C23)"),0.04777070063694268)</f>
        <v>0.04777070064</v>
      </c>
      <c r="P23" s="53">
        <f>IFERROR(__xludf.DUMMYFUNCTION("IF(FILTER('Pivot Table for acq weekly'!P:P,'Pivot Table for acq weekly'!$B:$B=$B23,'Pivot Table for acq weekly'!$A:$A=$A23)/$C23 = 0,"""",FILTER('Pivot Table for acq weekly'!P:P,'Pivot Table for acq weekly'!$B:$B=$B23,'Pivot Table for acq weekly'!$A:$A=$A"&amp;"23)/$C23)"),0.12738853503184713)</f>
        <v>0.127388535</v>
      </c>
      <c r="Q23" s="53">
        <f>IFERROR(__xludf.DUMMYFUNCTION("IF(FILTER('Pivot Table for acq weekly'!Q:Q,'Pivot Table for acq weekly'!$B:$B=$B23,'Pivot Table for acq weekly'!$A:$A=$A23)/$C23 = 0,"""",FILTER('Pivot Table for acq weekly'!Q:Q,'Pivot Table for acq weekly'!$B:$B=$B23,'Pivot Table for acq weekly'!$A:$A=$A"&amp;"23)/$C23)"),0.0732484076433121)</f>
        <v>0.07324840764</v>
      </c>
      <c r="R23" s="53">
        <f>IFERROR(__xludf.DUMMYFUNCTION("IF(FILTER('Pivot Table for acq weekly'!R:R,'Pivot Table for acq weekly'!$B:$B=$B23,'Pivot Table for acq weekly'!$A:$A=$A23)/$C23 = 0,"""",FILTER('Pivot Table for acq weekly'!R:R,'Pivot Table for acq weekly'!$B:$B=$B23,'Pivot Table for acq weekly'!$A:$A=$A"&amp;"23)/$C23)"),0.050955414012738856)</f>
        <v>0.05095541401</v>
      </c>
      <c r="S23" s="53">
        <f>IFERROR(__xludf.DUMMYFUNCTION("IF(FILTER('Pivot Table for acq weekly'!S:S,'Pivot Table for acq weekly'!$B:$B=$B23,'Pivot Table for acq weekly'!$A:$A=$A23)/$C23 = 0,"""",FILTER('Pivot Table for acq weekly'!S:S,'Pivot Table for acq weekly'!$B:$B=$B23,'Pivot Table for acq weekly'!$A:$A=$A"&amp;"23)/$C23)"),0.03821656050955414)</f>
        <v>0.03821656051</v>
      </c>
      <c r="T23" s="53">
        <f>IFERROR(__xludf.DUMMYFUNCTION("IF(FILTER('Pivot Table for acq weekly'!T:T,'Pivot Table for acq weekly'!$B:$B=$B23,'Pivot Table for acq weekly'!$A:$A=$A23)/$C23 = 0,"""",FILTER('Pivot Table for acq weekly'!T:T,'Pivot Table for acq weekly'!$B:$B=$B23,'Pivot Table for acq weekly'!$A:$A=$A"&amp;"23)/$C23)"),0.050955414012738856)</f>
        <v>0.05095541401</v>
      </c>
      <c r="U23" s="53">
        <f>IFERROR(__xludf.DUMMYFUNCTION("IF(FILTER('Pivot Table for acq weekly'!U:U,'Pivot Table for acq weekly'!$B:$B=$B23,'Pivot Table for acq weekly'!$A:$A=$A23)/$C23 = 0,"""",FILTER('Pivot Table for acq weekly'!U:U,'Pivot Table for acq weekly'!$B:$B=$B23,'Pivot Table for acq weekly'!$A:$A=$A"&amp;"23)/$C23)"),0.11146496815286625)</f>
        <v>0.1114649682</v>
      </c>
      <c r="V23" s="53">
        <f>IFERROR(__xludf.DUMMYFUNCTION("IF(FILTER('Pivot Table for acq weekly'!V:V,'Pivot Table for acq weekly'!$B:$B=$B23,'Pivot Table for acq weekly'!$A:$A=$A23)/$C23 = 0,"""",FILTER('Pivot Table for acq weekly'!V:V,'Pivot Table for acq weekly'!$B:$B=$B23,'Pivot Table for acq weekly'!$A:$A=$A"&amp;"23)/$C23)"),0.06050955414012739)</f>
        <v>0.06050955414</v>
      </c>
      <c r="W23" s="53">
        <f>IFERROR(__xludf.DUMMYFUNCTION("IF(FILTER('Pivot Table for acq weekly'!W:W,'Pivot Table for acq weekly'!$B:$B=$B23,'Pivot Table for acq weekly'!$A:$A=$A23)/$C23 = 0,"""",FILTER('Pivot Table for acq weekly'!W:W,'Pivot Table for acq weekly'!$B:$B=$B23,'Pivot Table for acq weekly'!$A:$A=$A"&amp;"23)/$C23)"),0.025477707006369428)</f>
        <v>0.02547770701</v>
      </c>
      <c r="X23" s="53">
        <f>IFERROR(__xludf.DUMMYFUNCTION("IF(FILTER('Pivot Table for acq weekly'!X:X,'Pivot Table for acq weekly'!$B:$B=$B23,'Pivot Table for acq weekly'!$A:$A=$A23)/$C23 = 0,"""",FILTER('Pivot Table for acq weekly'!X:X,'Pivot Table for acq weekly'!$B:$B=$B23,'Pivot Table for acq weekly'!$A:$A=$A"&amp;"23)/$C23)"),0.050955414012738856)</f>
        <v>0.05095541401</v>
      </c>
      <c r="Y23" s="53">
        <f>IFERROR(__xludf.DUMMYFUNCTION("IF(FILTER('Pivot Table for acq weekly'!Y:Y,'Pivot Table for acq weekly'!$B:$B=$B23,'Pivot Table for acq weekly'!$A:$A=$A23)/$C23 = 0,"""",FILTER('Pivot Table for acq weekly'!Y:Y,'Pivot Table for acq weekly'!$B:$B=$B23,'Pivot Table for acq weekly'!$A:$A=$A"&amp;"23)/$C23)"),0.028662420382165606)</f>
        <v>0.02866242038</v>
      </c>
      <c r="Z23" s="54"/>
    </row>
    <row r="24">
      <c r="A24" s="50">
        <v>5.0</v>
      </c>
      <c r="B24" s="51">
        <v>43261.0</v>
      </c>
      <c r="C24" s="52">
        <f>IFERROR(__xludf.DUMMYFUNCTION("FILTER('Pivot Table for acq weekly'!C:C,'Pivot Table for acq weekly'!$B:$B=$B24,'Pivot Table for acq weekly'!$A:$A=$A24)"),985.0)</f>
        <v>985</v>
      </c>
      <c r="D24" s="53">
        <f>IFERROR(__xludf.DUMMYFUNCTION("IF(FILTER('Pivot Table for acq weekly'!D:D,'Pivot Table for acq weekly'!$B:$B=$B24,'Pivot Table for acq weekly'!$A:$A=$A24)/$C24 = 0,"""",FILTER('Pivot Table for acq weekly'!D:D,'Pivot Table for acq weekly'!$B:$B=$B24,'Pivot Table for acq weekly'!$A:$A=$A"&amp;"24)/$C24)"),0.01015228426395939)</f>
        <v>0.01015228426</v>
      </c>
      <c r="E24" s="53">
        <f>IFERROR(__xludf.DUMMYFUNCTION("IF(FILTER('Pivot Table for acq weekly'!E:E,'Pivot Table for acq weekly'!$B:$B=$B24,'Pivot Table for acq weekly'!$A:$A=$A24)/$C24 = 0,"""",FILTER('Pivot Table for acq weekly'!E:E,'Pivot Table for acq weekly'!$B:$B=$B24,'Pivot Table for acq weekly'!$A:$A=$A"&amp;"24)/$C24)"),0.025380710659898477)</f>
        <v>0.02538071066</v>
      </c>
      <c r="F24" s="53">
        <f>IFERROR(__xludf.DUMMYFUNCTION("IF(FILTER('Pivot Table for acq weekly'!F:F,'Pivot Table for acq weekly'!$B:$B=$B24,'Pivot Table for acq weekly'!$A:$A=$A24)/$C24 = 0,"""",FILTER('Pivot Table for acq weekly'!F:F,'Pivot Table for acq weekly'!$B:$B=$B24,'Pivot Table for acq weekly'!$A:$A=$A"&amp;"24)/$C24)"),0.0416243654822335)</f>
        <v>0.04162436548</v>
      </c>
      <c r="G24" s="53">
        <f>IFERROR(__xludf.DUMMYFUNCTION("IF(FILTER('Pivot Table for acq weekly'!G:G,'Pivot Table for acq weekly'!$B:$B=$B24,'Pivot Table for acq weekly'!$A:$A=$A24)/$C24 = 0,"""",FILTER('Pivot Table for acq weekly'!G:G,'Pivot Table for acq weekly'!$B:$B=$B24,'Pivot Table for acq weekly'!$A:$A=$A"&amp;"24)/$C24)"),0.2152284263959391)</f>
        <v>0.2152284264</v>
      </c>
      <c r="H24" s="53">
        <f>IFERROR(__xludf.DUMMYFUNCTION("IF(FILTER('Pivot Table for acq weekly'!H:H,'Pivot Table for acq weekly'!$B:$B=$B24,'Pivot Table for acq weekly'!$A:$A=$A24)/$C24 = 0,"""",FILTER('Pivot Table for acq weekly'!H:H,'Pivot Table for acq weekly'!$B:$B=$B24,'Pivot Table for acq weekly'!$A:$A=$A"&amp;"24)/$C24)"),0.09847715736040609)</f>
        <v>0.09847715736</v>
      </c>
      <c r="I24" s="53">
        <f>IFERROR(__xludf.DUMMYFUNCTION("IF(FILTER('Pivot Table for acq weekly'!I:I,'Pivot Table for acq weekly'!$B:$B=$B24,'Pivot Table for acq weekly'!$A:$A=$A24)/$C24 = 0,"""",FILTER('Pivot Table for acq weekly'!I:I,'Pivot Table for acq weekly'!$B:$B=$B24,'Pivot Table for acq weekly'!$A:$A=$A"&amp;"24)/$C24)"),0.030456852791878174)</f>
        <v>0.03045685279</v>
      </c>
      <c r="J24" s="53">
        <f>IFERROR(__xludf.DUMMYFUNCTION("IF(FILTER('Pivot Table for acq weekly'!J:J,'Pivot Table for acq weekly'!$B:$B=$B24,'Pivot Table for acq weekly'!$A:$A=$A24)/$C24 = 0,"""",FILTER('Pivot Table for acq weekly'!J:J,'Pivot Table for acq weekly'!$B:$B=$B24,'Pivot Table for acq weekly'!$A:$A=$A"&amp;"24)/$C24)"),0.04365482233502538)</f>
        <v>0.04365482234</v>
      </c>
      <c r="K24" s="53">
        <f>IFERROR(__xludf.DUMMYFUNCTION("IF(FILTER('Pivot Table for acq weekly'!K:K,'Pivot Table for acq weekly'!$B:$B=$B24,'Pivot Table for acq weekly'!$A:$A=$A24)/$C24 = 0,"""",FILTER('Pivot Table for acq weekly'!K:K,'Pivot Table for acq weekly'!$B:$B=$B24,'Pivot Table for acq weekly'!$A:$A=$A"&amp;"24)/$C24)"),0.12588832487309645)</f>
        <v>0.1258883249</v>
      </c>
      <c r="L24" s="53">
        <f>IFERROR(__xludf.DUMMYFUNCTION("IF(FILTER('Pivot Table for acq weekly'!L:L,'Pivot Table for acq weekly'!$B:$B=$B24,'Pivot Table for acq weekly'!$A:$A=$A24)/$C24 = 0,"""",FILTER('Pivot Table for acq weekly'!L:L,'Pivot Table for acq weekly'!$B:$B=$B24,'Pivot Table for acq weekly'!$A:$A=$A"&amp;"24)/$C24)"),0.14111675126903553)</f>
        <v>0.1411167513</v>
      </c>
      <c r="M24" s="53">
        <f>IFERROR(__xludf.DUMMYFUNCTION("IF(FILTER('Pivot Table for acq weekly'!M:M,'Pivot Table for acq weekly'!$B:$B=$B24,'Pivot Table for acq weekly'!$A:$A=$A24)/$C24 = 0,"""",FILTER('Pivot Table for acq weekly'!M:M,'Pivot Table for acq weekly'!$B:$B=$B24,'Pivot Table for acq weekly'!$A:$A=$A"&amp;"24)/$C24)"),0.05177664974619289)</f>
        <v>0.05177664975</v>
      </c>
      <c r="N24" s="53">
        <f>IFERROR(__xludf.DUMMYFUNCTION("IF(FILTER('Pivot Table for acq weekly'!N:N,'Pivot Table for acq weekly'!$B:$B=$B24,'Pivot Table for acq weekly'!$A:$A=$A24)/$C24 = 0,"""",FILTER('Pivot Table for acq weekly'!N:N,'Pivot Table for acq weekly'!$B:$B=$B24,'Pivot Table for acq weekly'!$A:$A=$A"&amp;"24)/$C24)"),0.05177664974619289)</f>
        <v>0.05177664975</v>
      </c>
      <c r="O24" s="53">
        <f>IFERROR(__xludf.DUMMYFUNCTION("IF(FILTER('Pivot Table for acq weekly'!O:O,'Pivot Table for acq weekly'!$B:$B=$B24,'Pivot Table for acq weekly'!$A:$A=$A24)/$C24 = 0,"""",FILTER('Pivot Table for acq weekly'!O:O,'Pivot Table for acq weekly'!$B:$B=$B24,'Pivot Table for acq weekly'!$A:$A=$A"&amp;"24)/$C24)"),0.06395939086294417)</f>
        <v>0.06395939086</v>
      </c>
      <c r="P24" s="53">
        <f>IFERROR(__xludf.DUMMYFUNCTION("IF(FILTER('Pivot Table for acq weekly'!P:P,'Pivot Table for acq weekly'!$B:$B=$B24,'Pivot Table for acq weekly'!$A:$A=$A24)/$C24 = 0,"""",FILTER('Pivot Table for acq weekly'!P:P,'Pivot Table for acq weekly'!$B:$B=$B24,'Pivot Table for acq weekly'!$A:$A=$A"&amp;"24)/$C24)"),0.11472081218274112)</f>
        <v>0.1147208122</v>
      </c>
      <c r="Q24" s="53">
        <f>IFERROR(__xludf.DUMMYFUNCTION("IF(FILTER('Pivot Table for acq weekly'!Q:Q,'Pivot Table for acq weekly'!$B:$B=$B24,'Pivot Table for acq weekly'!$A:$A=$A24)/$C24 = 0,"""",FILTER('Pivot Table for acq weekly'!Q:Q,'Pivot Table for acq weekly'!$B:$B=$B24,'Pivot Table for acq weekly'!$A:$A=$A"&amp;"24)/$C24)"),0.047715736040609136)</f>
        <v>0.04771573604</v>
      </c>
      <c r="R24" s="53">
        <f>IFERROR(__xludf.DUMMYFUNCTION("IF(FILTER('Pivot Table for acq weekly'!R:R,'Pivot Table for acq weekly'!$B:$B=$B24,'Pivot Table for acq weekly'!$A:$A=$A24)/$C24 = 0,"""",FILTER('Pivot Table for acq weekly'!R:R,'Pivot Table for acq weekly'!$B:$B=$B24,'Pivot Table for acq weekly'!$A:$A=$A"&amp;"24)/$C24)"),0.03147208121827411)</f>
        <v>0.03147208122</v>
      </c>
      <c r="S24" s="53">
        <f>IFERROR(__xludf.DUMMYFUNCTION("IF(FILTER('Pivot Table for acq weekly'!S:S,'Pivot Table for acq weekly'!$B:$B=$B24,'Pivot Table for acq weekly'!$A:$A=$A24)/$C24 = 0,"""",FILTER('Pivot Table for acq weekly'!S:S,'Pivot Table for acq weekly'!$B:$B=$B24,'Pivot Table for acq weekly'!$A:$A=$A"&amp;"24)/$C24)"),0.04365482233502538)</f>
        <v>0.04365482234</v>
      </c>
      <c r="T24" s="53">
        <f>IFERROR(__xludf.DUMMYFUNCTION("IF(FILTER('Pivot Table for acq weekly'!T:T,'Pivot Table for acq weekly'!$B:$B=$B24,'Pivot Table for acq weekly'!$A:$A=$A24)/$C24 = 0,"""",FILTER('Pivot Table for acq weekly'!T:T,'Pivot Table for acq weekly'!$B:$B=$B24,'Pivot Table for acq weekly'!$A:$A=$A"&amp;"24)/$C24)"),0.09746192893401015)</f>
        <v>0.09746192893</v>
      </c>
      <c r="U24" s="53">
        <f>IFERROR(__xludf.DUMMYFUNCTION("IF(FILTER('Pivot Table for acq weekly'!U:U,'Pivot Table for acq weekly'!$B:$B=$B24,'Pivot Table for acq weekly'!$A:$A=$A24)/$C24 = 0,"""",FILTER('Pivot Table for acq weekly'!U:U,'Pivot Table for acq weekly'!$B:$B=$B24,'Pivot Table for acq weekly'!$A:$A=$A"&amp;"24)/$C24)"),0.07309644670050762)</f>
        <v>0.0730964467</v>
      </c>
      <c r="V24" s="53">
        <f>IFERROR(__xludf.DUMMYFUNCTION("IF(FILTER('Pivot Table for acq weekly'!V:V,'Pivot Table for acq weekly'!$B:$B=$B24,'Pivot Table for acq weekly'!$A:$A=$A24)/$C24 = 0,"""",FILTER('Pivot Table for acq weekly'!V:V,'Pivot Table for acq weekly'!$B:$B=$B24,'Pivot Table for acq weekly'!$A:$A=$A"&amp;"24)/$C24)"),0.026395939086294416)</f>
        <v>0.02639593909</v>
      </c>
      <c r="W24" s="53">
        <f>IFERROR(__xludf.DUMMYFUNCTION("IF(FILTER('Pivot Table for acq weekly'!W:W,'Pivot Table for acq weekly'!$B:$B=$B24,'Pivot Table for acq weekly'!$A:$A=$A24)/$C24 = 0,"""",FILTER('Pivot Table for acq weekly'!W:W,'Pivot Table for acq weekly'!$B:$B=$B24,'Pivot Table for acq weekly'!$A:$A=$A"&amp;"24)/$C24)"),0.046700507614213196)</f>
        <v>0.04670050761</v>
      </c>
      <c r="X24" s="53">
        <f>IFERROR(__xludf.DUMMYFUNCTION("IF(FILTER('Pivot Table for acq weekly'!X:X,'Pivot Table for acq weekly'!$B:$B=$B24,'Pivot Table for acq weekly'!$A:$A=$A24)/$C24 = 0,"""",FILTER('Pivot Table for acq weekly'!X:X,'Pivot Table for acq weekly'!$B:$B=$B24,'Pivot Table for acq weekly'!$A:$A=$A"&amp;"24)/$C24)"),0.009137055837563452)</f>
        <v>0.009137055838</v>
      </c>
      <c r="Y24" s="53" t="str">
        <f>IFERROR(__xludf.DUMMYFUNCTION("IF(FILTER('Pivot Table for acq weekly'!Y:Y,'Pivot Table for acq weekly'!$B:$B=$B24,'Pivot Table for acq weekly'!$A:$A=$A24)/$C24 = 0,"""",FILTER('Pivot Table for acq weekly'!Y:Y,'Pivot Table for acq weekly'!$B:$B=$B24,'Pivot Table for acq weekly'!$A:$A=$A"&amp;"24)/$C24)"),"")</f>
        <v/>
      </c>
      <c r="Z24" s="54"/>
    </row>
    <row r="25">
      <c r="A25" s="50">
        <v>5.0</v>
      </c>
      <c r="B25" s="51">
        <v>43268.0</v>
      </c>
      <c r="C25" s="52">
        <f>IFERROR(__xludf.DUMMYFUNCTION("FILTER('Pivot Table for acq weekly'!C:C,'Pivot Table for acq weekly'!$B:$B=$B25,'Pivot Table for acq weekly'!$A:$A=$A25)"),1011.0)</f>
        <v>1011</v>
      </c>
      <c r="D25" s="53">
        <f>IFERROR(__xludf.DUMMYFUNCTION("IF(FILTER('Pivot Table for acq weekly'!D:D,'Pivot Table for acq weekly'!$B:$B=$B25,'Pivot Table for acq weekly'!$A:$A=$A25)/$C25 = 0,"""",FILTER('Pivot Table for acq weekly'!D:D,'Pivot Table for acq weekly'!$B:$B=$B25,'Pivot Table for acq weekly'!$A:$A=$A"&amp;"25)/$C25)"),0.020771513353115726)</f>
        <v>0.02077151335</v>
      </c>
      <c r="E25" s="53">
        <f>IFERROR(__xludf.DUMMYFUNCTION("IF(FILTER('Pivot Table for acq weekly'!E:E,'Pivot Table for acq weekly'!$B:$B=$B25,'Pivot Table for acq weekly'!$A:$A=$A25)/$C25 = 0,"""",FILTER('Pivot Table for acq weekly'!E:E,'Pivot Table for acq weekly'!$B:$B=$B25,'Pivot Table for acq weekly'!$A:$A=$A"&amp;"25)/$C25)"),0.02274975272007913)</f>
        <v>0.02274975272</v>
      </c>
      <c r="F25" s="53">
        <f>IFERROR(__xludf.DUMMYFUNCTION("IF(FILTER('Pivot Table for acq weekly'!F:F,'Pivot Table for acq weekly'!$B:$B=$B25,'Pivot Table for acq weekly'!$A:$A=$A25)/$C25 = 0,"""",FILTER('Pivot Table for acq weekly'!F:F,'Pivot Table for acq weekly'!$B:$B=$B25,'Pivot Table for acq weekly'!$A:$A=$A"&amp;"25)/$C25)"),0.033630069238377844)</f>
        <v>0.03363006924</v>
      </c>
      <c r="G25" s="53">
        <f>IFERROR(__xludf.DUMMYFUNCTION("IF(FILTER('Pivot Table for acq weekly'!G:G,'Pivot Table for acq weekly'!$B:$B=$B25,'Pivot Table for acq weekly'!$A:$A=$A25)/$C25 = 0,"""",FILTER('Pivot Table for acq weekly'!G:G,'Pivot Table for acq weekly'!$B:$B=$B25,'Pivot Table for acq weekly'!$A:$A=$A"&amp;"25)/$C25)"),0.2215628090999011)</f>
        <v>0.2215628091</v>
      </c>
      <c r="H25" s="53">
        <f>IFERROR(__xludf.DUMMYFUNCTION("IF(FILTER('Pivot Table for acq weekly'!H:H,'Pivot Table for acq weekly'!$B:$B=$B25,'Pivot Table for acq weekly'!$A:$A=$A25)/$C25 = 0,"""",FILTER('Pivot Table for acq weekly'!H:H,'Pivot Table for acq weekly'!$B:$B=$B25,'Pivot Table for acq weekly'!$A:$A=$A"&amp;"25)/$C25)"),0.12660731948565776)</f>
        <v>0.1266073195</v>
      </c>
      <c r="I25" s="53">
        <f>IFERROR(__xludf.DUMMYFUNCTION("IF(FILTER('Pivot Table for acq weekly'!I:I,'Pivot Table for acq weekly'!$B:$B=$B25,'Pivot Table for acq weekly'!$A:$A=$A25)/$C25 = 0,"""",FILTER('Pivot Table for acq weekly'!I:I,'Pivot Table for acq weekly'!$B:$B=$B25,'Pivot Table for acq weekly'!$A:$A=$A"&amp;"25)/$C25)"),0.04648862512363996)</f>
        <v>0.04648862512</v>
      </c>
      <c r="J25" s="53">
        <f>IFERROR(__xludf.DUMMYFUNCTION("IF(FILTER('Pivot Table for acq weekly'!J:J,'Pivot Table for acq weekly'!$B:$B=$B25,'Pivot Table for acq weekly'!$A:$A=$A25)/$C25 = 0,"""",FILTER('Pivot Table for acq weekly'!J:J,'Pivot Table for acq weekly'!$B:$B=$B25,'Pivot Table for acq weekly'!$A:$A=$A"&amp;"25)/$C25)"),0.04648862512363996)</f>
        <v>0.04648862512</v>
      </c>
      <c r="K25" s="53">
        <f>IFERROR(__xludf.DUMMYFUNCTION("IF(FILTER('Pivot Table for acq weekly'!K:K,'Pivot Table for acq weekly'!$B:$B=$B25,'Pivot Table for acq weekly'!$A:$A=$A25)/$C25 = 0,"""",FILTER('Pivot Table for acq weekly'!K:K,'Pivot Table for acq weekly'!$B:$B=$B25,'Pivot Table for acq weekly'!$A:$A=$A"&amp;"25)/$C25)"),0.11177052423343224)</f>
        <v>0.1117705242</v>
      </c>
      <c r="L25" s="53">
        <f>IFERROR(__xludf.DUMMYFUNCTION("IF(FILTER('Pivot Table for acq weekly'!L:L,'Pivot Table for acq weekly'!$B:$B=$B25,'Pivot Table for acq weekly'!$A:$A=$A25)/$C25 = 0,"""",FILTER('Pivot Table for acq weekly'!L:L,'Pivot Table for acq weekly'!$B:$B=$B25,'Pivot Table for acq weekly'!$A:$A=$A"&amp;"25)/$C25)"),0.16221562809099901)</f>
        <v>0.1622156281</v>
      </c>
      <c r="M25" s="53">
        <f>IFERROR(__xludf.DUMMYFUNCTION("IF(FILTER('Pivot Table for acq weekly'!M:M,'Pivot Table for acq weekly'!$B:$B=$B25,'Pivot Table for acq weekly'!$A:$A=$A25)/$C25 = 0,"""",FILTER('Pivot Table for acq weekly'!M:M,'Pivot Table for acq weekly'!$B:$B=$B25,'Pivot Table for acq weekly'!$A:$A=$A"&amp;"25)/$C25)"),0.057368941641938676)</f>
        <v>0.05736894164</v>
      </c>
      <c r="N25" s="53">
        <f>IFERROR(__xludf.DUMMYFUNCTION("IF(FILTER('Pivot Table for acq weekly'!N:N,'Pivot Table for acq weekly'!$B:$B=$B25,'Pivot Table for acq weekly'!$A:$A=$A25)/$C25 = 0,"""",FILTER('Pivot Table for acq weekly'!N:N,'Pivot Table for acq weekly'!$B:$B=$B25,'Pivot Table for acq weekly'!$A:$A=$A"&amp;"25)/$C25)"),0.05637982195845697)</f>
        <v>0.05637982196</v>
      </c>
      <c r="O25" s="53">
        <f>IFERROR(__xludf.DUMMYFUNCTION("IF(FILTER('Pivot Table for acq weekly'!O:O,'Pivot Table for acq weekly'!$B:$B=$B25,'Pivot Table for acq weekly'!$A:$A=$A25)/$C25 = 0,"""",FILTER('Pivot Table for acq weekly'!O:O,'Pivot Table for acq weekly'!$B:$B=$B25,'Pivot Table for acq weekly'!$A:$A=$A"&amp;"25)/$C25)"),0.06330365974282888)</f>
        <v>0.06330365974</v>
      </c>
      <c r="P25" s="53">
        <f>IFERROR(__xludf.DUMMYFUNCTION("IF(FILTER('Pivot Table for acq weekly'!P:P,'Pivot Table for acq weekly'!$B:$B=$B25,'Pivot Table for acq weekly'!$A:$A=$A25)/$C25 = 0,"""",FILTER('Pivot Table for acq weekly'!P:P,'Pivot Table for acq weekly'!$B:$B=$B25,'Pivot Table for acq weekly'!$A:$A=$A"&amp;"25)/$C25)"),0.11671612265084075)</f>
        <v>0.1167161227</v>
      </c>
      <c r="Q25" s="53">
        <f>IFERROR(__xludf.DUMMYFUNCTION("IF(FILTER('Pivot Table for acq weekly'!Q:Q,'Pivot Table for acq weekly'!$B:$B=$B25,'Pivot Table for acq weekly'!$A:$A=$A25)/$C25 = 0,"""",FILTER('Pivot Table for acq weekly'!Q:Q,'Pivot Table for acq weekly'!$B:$B=$B25,'Pivot Table for acq weekly'!$A:$A=$A"&amp;"25)/$C25)"),0.04846686449060336)</f>
        <v>0.04846686449</v>
      </c>
      <c r="R25" s="53">
        <f>IFERROR(__xludf.DUMMYFUNCTION("IF(FILTER('Pivot Table for acq weekly'!R:R,'Pivot Table for acq weekly'!$B:$B=$B25,'Pivot Table for acq weekly'!$A:$A=$A25)/$C25 = 0,"""",FILTER('Pivot Table for acq weekly'!R:R,'Pivot Table for acq weekly'!$B:$B=$B25,'Pivot Table for acq weekly'!$A:$A=$A"&amp;"25)/$C25)"),0.058358061325420374)</f>
        <v>0.05835806133</v>
      </c>
      <c r="S25" s="53">
        <f>IFERROR(__xludf.DUMMYFUNCTION("IF(FILTER('Pivot Table for acq weekly'!S:S,'Pivot Table for acq weekly'!$B:$B=$B25,'Pivot Table for acq weekly'!$A:$A=$A25)/$C25 = 0,"""",FILTER('Pivot Table for acq weekly'!S:S,'Pivot Table for acq weekly'!$B:$B=$B25,'Pivot Table for acq weekly'!$A:$A=$A"&amp;"25)/$C25)"),0.05242334322453017)</f>
        <v>0.05242334322</v>
      </c>
      <c r="T25" s="53">
        <f>IFERROR(__xludf.DUMMYFUNCTION("IF(FILTER('Pivot Table for acq weekly'!T:T,'Pivot Table for acq weekly'!$B:$B=$B25,'Pivot Table for acq weekly'!$A:$A=$A25)/$C25 = 0,"""",FILTER('Pivot Table for acq weekly'!T:T,'Pivot Table for acq weekly'!$B:$B=$B25,'Pivot Table for acq weekly'!$A:$A=$A"&amp;"25)/$C25)"),0.06231454005934718)</f>
        <v>0.06231454006</v>
      </c>
      <c r="U25" s="53">
        <f>IFERROR(__xludf.DUMMYFUNCTION("IF(FILTER('Pivot Table for acq weekly'!U:U,'Pivot Table for acq weekly'!$B:$B=$B25,'Pivot Table for acq weekly'!$A:$A=$A25)/$C25 = 0,"""",FILTER('Pivot Table for acq weekly'!U:U,'Pivot Table for acq weekly'!$B:$B=$B25,'Pivot Table for acq weekly'!$A:$A=$A"&amp;"25)/$C25)"),0.09297725024727992)</f>
        <v>0.09297725025</v>
      </c>
      <c r="V25" s="53">
        <f>IFERROR(__xludf.DUMMYFUNCTION("IF(FILTER('Pivot Table for acq weekly'!V:V,'Pivot Table for acq weekly'!$B:$B=$B25,'Pivot Table for acq weekly'!$A:$A=$A25)/$C25 = 0,"""",FILTER('Pivot Table for acq weekly'!V:V,'Pivot Table for acq weekly'!$B:$B=$B25,'Pivot Table for acq weekly'!$A:$A=$A"&amp;"25)/$C25)"),0.03956478733926805)</f>
        <v>0.03956478734</v>
      </c>
      <c r="W25" s="53">
        <f>IFERROR(__xludf.DUMMYFUNCTION("IF(FILTER('Pivot Table for acq weekly'!W:W,'Pivot Table for acq weekly'!$B:$B=$B25,'Pivot Table for acq weekly'!$A:$A=$A25)/$C25 = 0,"""",FILTER('Pivot Table for acq weekly'!W:W,'Pivot Table for acq weekly'!$B:$B=$B25,'Pivot Table for acq weekly'!$A:$A=$A"&amp;"25)/$C25)"),0.012858555885262116)</f>
        <v>0.01285855589</v>
      </c>
      <c r="X25" s="53" t="str">
        <f>IFERROR(__xludf.DUMMYFUNCTION("IF(FILTER('Pivot Table for acq weekly'!X:X,'Pivot Table for acq weekly'!$B:$B=$B25,'Pivot Table for acq weekly'!$A:$A=$A25)/$C25 = 0,"""",FILTER('Pivot Table for acq weekly'!X:X,'Pivot Table for acq weekly'!$B:$B=$B25,'Pivot Table for acq weekly'!$A:$A=$A"&amp;"25)/$C25)"),"")</f>
        <v/>
      </c>
      <c r="Y25" s="53" t="str">
        <f>IFERROR(__xludf.DUMMYFUNCTION("IF(FILTER('Pivot Table for acq weekly'!Y:Y,'Pivot Table for acq weekly'!$B:$B=$B25,'Pivot Table for acq weekly'!$A:$A=$A25)/$C25 = 0,"""",FILTER('Pivot Table for acq weekly'!Y:Y,'Pivot Table for acq weekly'!$B:$B=$B25,'Pivot Table for acq weekly'!$A:$A=$A"&amp;"25)/$C25)"),"")</f>
        <v/>
      </c>
      <c r="Z25" s="54"/>
    </row>
    <row r="26">
      <c r="A26" s="50">
        <v>5.0</v>
      </c>
      <c r="B26" s="51">
        <v>43275.0</v>
      </c>
      <c r="C26" s="52">
        <f>IFERROR(__xludf.DUMMYFUNCTION("FILTER('Pivot Table for acq weekly'!C:C,'Pivot Table for acq weekly'!$B:$B=$B26,'Pivot Table for acq weekly'!$A:$A=$A26)"),920.0)</f>
        <v>920</v>
      </c>
      <c r="D26" s="53">
        <f>IFERROR(__xludf.DUMMYFUNCTION("IF(FILTER('Pivot Table for acq weekly'!D:D,'Pivot Table for acq weekly'!$B:$B=$B26,'Pivot Table for acq weekly'!$A:$A=$A26)/$C26 = 0,"""",FILTER('Pivot Table for acq weekly'!D:D,'Pivot Table for acq weekly'!$B:$B=$B26,'Pivot Table for acq weekly'!$A:$A=$A"&amp;"26)/$C26)"),0.02391304347826087)</f>
        <v>0.02391304348</v>
      </c>
      <c r="E26" s="53">
        <f>IFERROR(__xludf.DUMMYFUNCTION("IF(FILTER('Pivot Table for acq weekly'!E:E,'Pivot Table for acq weekly'!$B:$B=$B26,'Pivot Table for acq weekly'!$A:$A=$A26)/$C26 = 0,"""",FILTER('Pivot Table for acq weekly'!E:E,'Pivot Table for acq weekly'!$B:$B=$B26,'Pivot Table for acq weekly'!$A:$A=$A"&amp;"26)/$C26)"),0.02282608695652174)</f>
        <v>0.02282608696</v>
      </c>
      <c r="F26" s="53">
        <f>IFERROR(__xludf.DUMMYFUNCTION("IF(FILTER('Pivot Table for acq weekly'!F:F,'Pivot Table for acq weekly'!$B:$B=$B26,'Pivot Table for acq weekly'!$A:$A=$A26)/$C26 = 0,"""",FILTER('Pivot Table for acq weekly'!F:F,'Pivot Table for acq weekly'!$B:$B=$B26,'Pivot Table for acq weekly'!$A:$A=$A"&amp;"26)/$C26)"),0.059782608695652176)</f>
        <v>0.0597826087</v>
      </c>
      <c r="G26" s="53">
        <f>IFERROR(__xludf.DUMMYFUNCTION("IF(FILTER('Pivot Table for acq weekly'!G:G,'Pivot Table for acq weekly'!$B:$B=$B26,'Pivot Table for acq weekly'!$A:$A=$A26)/$C26 = 0,"""",FILTER('Pivot Table for acq weekly'!G:G,'Pivot Table for acq weekly'!$B:$B=$B26,'Pivot Table for acq weekly'!$A:$A=$A"&amp;"26)/$C26)"),0.20217391304347826)</f>
        <v>0.202173913</v>
      </c>
      <c r="H26" s="53">
        <f>IFERROR(__xludf.DUMMYFUNCTION("IF(FILTER('Pivot Table for acq weekly'!H:H,'Pivot Table for acq weekly'!$B:$B=$B26,'Pivot Table for acq weekly'!$A:$A=$A26)/$C26 = 0,"""",FILTER('Pivot Table for acq weekly'!H:H,'Pivot Table for acq weekly'!$B:$B=$B26,'Pivot Table for acq weekly'!$A:$A=$A"&amp;"26)/$C26)"),0.14130434782608695)</f>
        <v>0.1413043478</v>
      </c>
      <c r="I26" s="53">
        <f>IFERROR(__xludf.DUMMYFUNCTION("IF(FILTER('Pivot Table for acq weekly'!I:I,'Pivot Table for acq weekly'!$B:$B=$B26,'Pivot Table for acq weekly'!$A:$A=$A26)/$C26 = 0,"""",FILTER('Pivot Table for acq weekly'!I:I,'Pivot Table for acq weekly'!$B:$B=$B26,'Pivot Table for acq weekly'!$A:$A=$A"&amp;"26)/$C26)"),0.04021739130434782)</f>
        <v>0.0402173913</v>
      </c>
      <c r="J26" s="53">
        <f>IFERROR(__xludf.DUMMYFUNCTION("IF(FILTER('Pivot Table for acq weekly'!J:J,'Pivot Table for acq weekly'!$B:$B=$B26,'Pivot Table for acq weekly'!$A:$A=$A26)/$C26 = 0,"""",FILTER('Pivot Table for acq weekly'!J:J,'Pivot Table for acq weekly'!$B:$B=$B26,'Pivot Table for acq weekly'!$A:$A=$A"&amp;"26)/$C26)"),0.04782608695652174)</f>
        <v>0.04782608696</v>
      </c>
      <c r="K26" s="53">
        <f>IFERROR(__xludf.DUMMYFUNCTION("IF(FILTER('Pivot Table for acq weekly'!K:K,'Pivot Table for acq weekly'!$B:$B=$B26,'Pivot Table for acq weekly'!$A:$A=$A26)/$C26 = 0,"""",FILTER('Pivot Table for acq weekly'!K:K,'Pivot Table for acq weekly'!$B:$B=$B26,'Pivot Table for acq weekly'!$A:$A=$A"&amp;"26)/$C26)"),0.13695652173913042)</f>
        <v>0.1369565217</v>
      </c>
      <c r="L26" s="53">
        <f>IFERROR(__xludf.DUMMYFUNCTION("IF(FILTER('Pivot Table for acq weekly'!L:L,'Pivot Table for acq weekly'!$B:$B=$B26,'Pivot Table for acq weekly'!$A:$A=$A26)/$C26 = 0,"""",FILTER('Pivot Table for acq weekly'!L:L,'Pivot Table for acq weekly'!$B:$B=$B26,'Pivot Table for acq weekly'!$A:$A=$A"&amp;"26)/$C26)"),0.12717391304347825)</f>
        <v>0.127173913</v>
      </c>
      <c r="M26" s="53">
        <f>IFERROR(__xludf.DUMMYFUNCTION("IF(FILTER('Pivot Table for acq weekly'!M:M,'Pivot Table for acq weekly'!$B:$B=$B26,'Pivot Table for acq weekly'!$A:$A=$A26)/$C26 = 0,"""",FILTER('Pivot Table for acq weekly'!M:M,'Pivot Table for acq weekly'!$B:$B=$B26,'Pivot Table for acq weekly'!$A:$A=$A"&amp;"26)/$C26)"),0.05652173913043478)</f>
        <v>0.05652173913</v>
      </c>
      <c r="N26" s="53">
        <f>IFERROR(__xludf.DUMMYFUNCTION("IF(FILTER('Pivot Table for acq weekly'!N:N,'Pivot Table for acq weekly'!$B:$B=$B26,'Pivot Table for acq weekly'!$A:$A=$A26)/$C26 = 0,"""",FILTER('Pivot Table for acq weekly'!N:N,'Pivot Table for acq weekly'!$B:$B=$B26,'Pivot Table for acq weekly'!$A:$A=$A"&amp;"26)/$C26)"),0.05434782608695652)</f>
        <v>0.05434782609</v>
      </c>
      <c r="O26" s="53">
        <f>IFERROR(__xludf.DUMMYFUNCTION("IF(FILTER('Pivot Table for acq weekly'!O:O,'Pivot Table for acq weekly'!$B:$B=$B26,'Pivot Table for acq weekly'!$A:$A=$A26)/$C26 = 0,"""",FILTER('Pivot Table for acq weekly'!O:O,'Pivot Table for acq weekly'!$B:$B=$B26,'Pivot Table for acq weekly'!$A:$A=$A"&amp;"26)/$C26)"),0.05217391304347826)</f>
        <v>0.05217391304</v>
      </c>
      <c r="P26" s="53">
        <f>IFERROR(__xludf.DUMMYFUNCTION("IF(FILTER('Pivot Table for acq weekly'!P:P,'Pivot Table for acq weekly'!$B:$B=$B26,'Pivot Table for acq weekly'!$A:$A=$A26)/$C26 = 0,"""",FILTER('Pivot Table for acq weekly'!P:P,'Pivot Table for acq weekly'!$B:$B=$B26,'Pivot Table for acq weekly'!$A:$A=$A"&amp;"26)/$C26)"),0.08586956521739131)</f>
        <v>0.08586956522</v>
      </c>
      <c r="Q26" s="53">
        <f>IFERROR(__xludf.DUMMYFUNCTION("IF(FILTER('Pivot Table for acq weekly'!Q:Q,'Pivot Table for acq weekly'!$B:$B=$B26,'Pivot Table for acq weekly'!$A:$A=$A26)/$C26 = 0,"""",FILTER('Pivot Table for acq weekly'!Q:Q,'Pivot Table for acq weekly'!$B:$B=$B26,'Pivot Table for acq weekly'!$A:$A=$A"&amp;"26)/$C26)"),0.07717391304347826)</f>
        <v>0.07717391304</v>
      </c>
      <c r="R26" s="53">
        <f>IFERROR(__xludf.DUMMYFUNCTION("IF(FILTER('Pivot Table for acq weekly'!R:R,'Pivot Table for acq weekly'!$B:$B=$B26,'Pivot Table for acq weekly'!$A:$A=$A26)/$C26 = 0,"""",FILTER('Pivot Table for acq weekly'!R:R,'Pivot Table for acq weekly'!$B:$B=$B26,'Pivot Table for acq weekly'!$A:$A=$A"&amp;"26)/$C26)"),0.05)</f>
        <v>0.05</v>
      </c>
      <c r="S26" s="53">
        <f>IFERROR(__xludf.DUMMYFUNCTION("IF(FILTER('Pivot Table for acq weekly'!S:S,'Pivot Table for acq weekly'!$B:$B=$B26,'Pivot Table for acq weekly'!$A:$A=$A26)/$C26 = 0,"""",FILTER('Pivot Table for acq weekly'!S:S,'Pivot Table for acq weekly'!$B:$B=$B26,'Pivot Table for acq weekly'!$A:$A=$A"&amp;"26)/$C26)"),0.04891304347826087)</f>
        <v>0.04891304348</v>
      </c>
      <c r="T26" s="53">
        <f>IFERROR(__xludf.DUMMYFUNCTION("IF(FILTER('Pivot Table for acq weekly'!T:T,'Pivot Table for acq weekly'!$B:$B=$B26,'Pivot Table for acq weekly'!$A:$A=$A26)/$C26 = 0,"""",FILTER('Pivot Table for acq weekly'!T:T,'Pivot Table for acq weekly'!$B:$B=$B26,'Pivot Table for acq weekly'!$A:$A=$A"&amp;"26)/$C26)"),0.09239130434782608)</f>
        <v>0.09239130435</v>
      </c>
      <c r="U26" s="53">
        <f>IFERROR(__xludf.DUMMYFUNCTION("IF(FILTER('Pivot Table for acq weekly'!U:U,'Pivot Table for acq weekly'!$B:$B=$B26,'Pivot Table for acq weekly'!$A:$A=$A26)/$C26 = 0,"""",FILTER('Pivot Table for acq weekly'!U:U,'Pivot Table for acq weekly'!$B:$B=$B26,'Pivot Table for acq weekly'!$A:$A=$A"&amp;"26)/$C26)"),0.07391304347826087)</f>
        <v>0.07391304348</v>
      </c>
      <c r="V26" s="53">
        <f>IFERROR(__xludf.DUMMYFUNCTION("IF(FILTER('Pivot Table for acq weekly'!V:V,'Pivot Table for acq weekly'!$B:$B=$B26,'Pivot Table for acq weekly'!$A:$A=$A26)/$C26 = 0,"""",FILTER('Pivot Table for acq weekly'!V:V,'Pivot Table for acq weekly'!$B:$B=$B26,'Pivot Table for acq weekly'!$A:$A=$A"&amp;"26)/$C26)"),0.01847826086956522)</f>
        <v>0.01847826087</v>
      </c>
      <c r="W26" s="53" t="str">
        <f>IFERROR(__xludf.DUMMYFUNCTION("IF(FILTER('Pivot Table for acq weekly'!W:W,'Pivot Table for acq weekly'!$B:$B=$B26,'Pivot Table for acq weekly'!$A:$A=$A26)/$C26 = 0,"""",FILTER('Pivot Table for acq weekly'!W:W,'Pivot Table for acq weekly'!$B:$B=$B26,'Pivot Table for acq weekly'!$A:$A=$A"&amp;"26)/$C26)"),"")</f>
        <v/>
      </c>
      <c r="X26" s="53" t="str">
        <f>IFERROR(__xludf.DUMMYFUNCTION("IF(FILTER('Pivot Table for acq weekly'!X:X,'Pivot Table for acq weekly'!$B:$B=$B26,'Pivot Table for acq weekly'!$A:$A=$A26)/$C26 = 0,"""",FILTER('Pivot Table for acq weekly'!X:X,'Pivot Table for acq weekly'!$B:$B=$B26,'Pivot Table for acq weekly'!$A:$A=$A"&amp;"26)/$C26)"),"")</f>
        <v/>
      </c>
      <c r="Y26" s="53" t="str">
        <f>IFERROR(__xludf.DUMMYFUNCTION("IF(FILTER('Pivot Table for acq weekly'!Y:Y,'Pivot Table for acq weekly'!$B:$B=$B26,'Pivot Table for acq weekly'!$A:$A=$A26)/$C26 = 0,"""",FILTER('Pivot Table for acq weekly'!Y:Y,'Pivot Table for acq weekly'!$B:$B=$B26,'Pivot Table for acq weekly'!$A:$A=$A"&amp;"26)/$C26)"),"")</f>
        <v/>
      </c>
      <c r="Z26" s="54"/>
    </row>
    <row r="27">
      <c r="A27" s="50">
        <v>5.0</v>
      </c>
      <c r="B27" s="51">
        <v>43282.0</v>
      </c>
      <c r="C27" s="52">
        <f>IFERROR(__xludf.DUMMYFUNCTION("FILTER('Pivot Table for acq weekly'!C:C,'Pivot Table for acq weekly'!$B:$B=$B27,'Pivot Table for acq weekly'!$A:$A=$A27)"),1096.0)</f>
        <v>1096</v>
      </c>
      <c r="D27" s="53">
        <f>IFERROR(__xludf.DUMMYFUNCTION("IF(FILTER('Pivot Table for acq weekly'!D:D,'Pivot Table for acq weekly'!$B:$B=$B27,'Pivot Table for acq weekly'!$A:$A=$A27)/$C27 = 0,"""",FILTER('Pivot Table for acq weekly'!D:D,'Pivot Table for acq weekly'!$B:$B=$B27,'Pivot Table for acq weekly'!$A:$A=$A"&amp;"27)/$C27)"),0.014598540145985401)</f>
        <v>0.01459854015</v>
      </c>
      <c r="E27" s="53">
        <f>IFERROR(__xludf.DUMMYFUNCTION("IF(FILTER('Pivot Table for acq weekly'!E:E,'Pivot Table for acq weekly'!$B:$B=$B27,'Pivot Table for acq weekly'!$A:$A=$A27)/$C27 = 0,"""",FILTER('Pivot Table for acq weekly'!E:E,'Pivot Table for acq weekly'!$B:$B=$B27,'Pivot Table for acq weekly'!$A:$A=$A"&amp;"27)/$C27)"),0.02645985401459854)</f>
        <v>0.02645985401</v>
      </c>
      <c r="F27" s="53">
        <f>IFERROR(__xludf.DUMMYFUNCTION("IF(FILTER('Pivot Table for acq weekly'!F:F,'Pivot Table for acq weekly'!$B:$B=$B27,'Pivot Table for acq weekly'!$A:$A=$A27)/$C27 = 0,"""",FILTER('Pivot Table for acq weekly'!F:F,'Pivot Table for acq weekly'!$B:$B=$B27,'Pivot Table for acq weekly'!$A:$A=$A"&amp;"27)/$C27)"),0.06386861313868614)</f>
        <v>0.06386861314</v>
      </c>
      <c r="G27" s="53">
        <f>IFERROR(__xludf.DUMMYFUNCTION("IF(FILTER('Pivot Table for acq weekly'!G:G,'Pivot Table for acq weekly'!$B:$B=$B27,'Pivot Table for acq weekly'!$A:$A=$A27)/$C27 = 0,"""",FILTER('Pivot Table for acq weekly'!G:G,'Pivot Table for acq weekly'!$B:$B=$B27,'Pivot Table for acq weekly'!$A:$A=$A"&amp;"27)/$C27)"),0.2208029197080292)</f>
        <v>0.2208029197</v>
      </c>
      <c r="H27" s="53">
        <f>IFERROR(__xludf.DUMMYFUNCTION("IF(FILTER('Pivot Table for acq weekly'!H:H,'Pivot Table for acq weekly'!$B:$B=$B27,'Pivot Table for acq weekly'!$A:$A=$A27)/$C27 = 0,"""",FILTER('Pivot Table for acq weekly'!H:H,'Pivot Table for acq weekly'!$B:$B=$B27,'Pivot Table for acq weekly'!$A:$A=$A"&amp;"27)/$C27)"),0.13594890510948904)</f>
        <v>0.1359489051</v>
      </c>
      <c r="I27" s="53">
        <f>IFERROR(__xludf.DUMMYFUNCTION("IF(FILTER('Pivot Table for acq weekly'!I:I,'Pivot Table for acq weekly'!$B:$B=$B27,'Pivot Table for acq weekly'!$A:$A=$A27)/$C27 = 0,"""",FILTER('Pivot Table for acq weekly'!I:I,'Pivot Table for acq weekly'!$B:$B=$B27,'Pivot Table for acq weekly'!$A:$A=$A"&amp;"27)/$C27)"),0.037408759124087594)</f>
        <v>0.03740875912</v>
      </c>
      <c r="J27" s="53">
        <f>IFERROR(__xludf.DUMMYFUNCTION("IF(FILTER('Pivot Table for acq weekly'!J:J,'Pivot Table for acq weekly'!$B:$B=$B27,'Pivot Table for acq weekly'!$A:$A=$A27)/$C27 = 0,"""",FILTER('Pivot Table for acq weekly'!J:J,'Pivot Table for acq weekly'!$B:$B=$B27,'Pivot Table for acq weekly'!$A:$A=$A"&amp;"27)/$C27)"),0.04927007299270073)</f>
        <v>0.04927007299</v>
      </c>
      <c r="K27" s="53">
        <f>IFERROR(__xludf.DUMMYFUNCTION("IF(FILTER('Pivot Table for acq weekly'!K:K,'Pivot Table for acq weekly'!$B:$B=$B27,'Pivot Table for acq weekly'!$A:$A=$A27)/$C27 = 0,"""",FILTER('Pivot Table for acq weekly'!K:K,'Pivot Table for acq weekly'!$B:$B=$B27,'Pivot Table for acq weekly'!$A:$A=$A"&amp;"27)/$C27)"),0.14142335766423358)</f>
        <v>0.1414233577</v>
      </c>
      <c r="L27" s="53">
        <f>IFERROR(__xludf.DUMMYFUNCTION("IF(FILTER('Pivot Table for acq weekly'!L:L,'Pivot Table for acq weekly'!$B:$B=$B27,'Pivot Table for acq weekly'!$A:$A=$A27)/$C27 = 0,"""",FILTER('Pivot Table for acq weekly'!L:L,'Pivot Table for acq weekly'!$B:$B=$B27,'Pivot Table for acq weekly'!$A:$A=$A"&amp;"27)/$C27)"),0.16149635036496351)</f>
        <v>0.1614963504</v>
      </c>
      <c r="M27" s="53">
        <f>IFERROR(__xludf.DUMMYFUNCTION("IF(FILTER('Pivot Table for acq weekly'!M:M,'Pivot Table for acq weekly'!$B:$B=$B27,'Pivot Table for acq weekly'!$A:$A=$A27)/$C27 = 0,"""",FILTER('Pivot Table for acq weekly'!M:M,'Pivot Table for acq weekly'!$B:$B=$B27,'Pivot Table for acq weekly'!$A:$A=$A"&amp;"27)/$C27)"),0.060218978102189784)</f>
        <v>0.0602189781</v>
      </c>
      <c r="N27" s="53">
        <f>IFERROR(__xludf.DUMMYFUNCTION("IF(FILTER('Pivot Table for acq weekly'!N:N,'Pivot Table for acq weekly'!$B:$B=$B27,'Pivot Table for acq weekly'!$A:$A=$A27)/$C27 = 0,"""",FILTER('Pivot Table for acq weekly'!N:N,'Pivot Table for acq weekly'!$B:$B=$B27,'Pivot Table for acq weekly'!$A:$A=$A"&amp;"27)/$C27)"),0.05200729927007299)</f>
        <v>0.05200729927</v>
      </c>
      <c r="O27" s="53">
        <f>IFERROR(__xludf.DUMMYFUNCTION("IF(FILTER('Pivot Table for acq weekly'!O:O,'Pivot Table for acq weekly'!$B:$B=$B27,'Pivot Table for acq weekly'!$A:$A=$A27)/$C27 = 0,"""",FILTER('Pivot Table for acq weekly'!O:O,'Pivot Table for acq weekly'!$B:$B=$B27,'Pivot Table for acq weekly'!$A:$A=$A"&amp;"27)/$C27)"),0.04744525547445255)</f>
        <v>0.04744525547</v>
      </c>
      <c r="P27" s="53">
        <f>IFERROR(__xludf.DUMMYFUNCTION("IF(FILTER('Pivot Table for acq weekly'!P:P,'Pivot Table for acq weekly'!$B:$B=$B27,'Pivot Table for acq weekly'!$A:$A=$A27)/$C27 = 0,"""",FILTER('Pivot Table for acq weekly'!P:P,'Pivot Table for acq weekly'!$B:$B=$B27,'Pivot Table for acq weekly'!$A:$A=$A"&amp;"27)/$C27)"),0.16697080291970803)</f>
        <v>0.1669708029</v>
      </c>
      <c r="Q27" s="53">
        <f>IFERROR(__xludf.DUMMYFUNCTION("IF(FILTER('Pivot Table for acq weekly'!Q:Q,'Pivot Table for acq weekly'!$B:$B=$B27,'Pivot Table for acq weekly'!$A:$A=$A27)/$C27 = 0,"""",FILTER('Pivot Table for acq weekly'!Q:Q,'Pivot Table for acq weekly'!$B:$B=$B27,'Pivot Table for acq weekly'!$A:$A=$A"&amp;"27)/$C27)"),0.058394160583941604)</f>
        <v>0.05839416058</v>
      </c>
      <c r="R27" s="53">
        <f>IFERROR(__xludf.DUMMYFUNCTION("IF(FILTER('Pivot Table for acq weekly'!R:R,'Pivot Table for acq weekly'!$B:$B=$B27,'Pivot Table for acq weekly'!$A:$A=$A27)/$C27 = 0,"""",FILTER('Pivot Table for acq weekly'!R:R,'Pivot Table for acq weekly'!$B:$B=$B27,'Pivot Table for acq weekly'!$A:$A=$A"&amp;"27)/$C27)"),0.03375912408759124)</f>
        <v>0.03375912409</v>
      </c>
      <c r="S27" s="53">
        <f>IFERROR(__xludf.DUMMYFUNCTION("IF(FILTER('Pivot Table for acq weekly'!S:S,'Pivot Table for acq weekly'!$B:$B=$B27,'Pivot Table for acq weekly'!$A:$A=$A27)/$C27 = 0,"""",FILTER('Pivot Table for acq weekly'!S:S,'Pivot Table for acq weekly'!$B:$B=$B27,'Pivot Table for acq weekly'!$A:$A=$A"&amp;"27)/$C27)"),0.06386861313868614)</f>
        <v>0.06386861314</v>
      </c>
      <c r="T27" s="53">
        <f>IFERROR(__xludf.DUMMYFUNCTION("IF(FILTER('Pivot Table for acq weekly'!T:T,'Pivot Table for acq weekly'!$B:$B=$B27,'Pivot Table for acq weekly'!$A:$A=$A27)/$C27 = 0,"""",FILTER('Pivot Table for acq weekly'!T:T,'Pivot Table for acq weekly'!$B:$B=$B27,'Pivot Table for acq weekly'!$A:$A=$A"&amp;"27)/$C27)"),0.10583941605839416)</f>
        <v>0.1058394161</v>
      </c>
      <c r="U27" s="53">
        <f>IFERROR(__xludf.DUMMYFUNCTION("IF(FILTER('Pivot Table for acq weekly'!U:U,'Pivot Table for acq weekly'!$B:$B=$B27,'Pivot Table for acq weekly'!$A:$A=$A27)/$C27 = 0,"""",FILTER('Pivot Table for acq weekly'!U:U,'Pivot Table for acq weekly'!$B:$B=$B27,'Pivot Table for acq weekly'!$A:$A=$A"&amp;"27)/$C27)"),0.030109489051094892)</f>
        <v>0.03010948905</v>
      </c>
      <c r="V27" s="53" t="str">
        <f>IFERROR(__xludf.DUMMYFUNCTION("IF(FILTER('Pivot Table for acq weekly'!V:V,'Pivot Table for acq weekly'!$B:$B=$B27,'Pivot Table for acq weekly'!$A:$A=$A27)/$C27 = 0,"""",FILTER('Pivot Table for acq weekly'!V:V,'Pivot Table for acq weekly'!$B:$B=$B27,'Pivot Table for acq weekly'!$A:$A=$A"&amp;"27)/$C27)"),"")</f>
        <v/>
      </c>
      <c r="W27" s="53" t="str">
        <f>IFERROR(__xludf.DUMMYFUNCTION("IF(FILTER('Pivot Table for acq weekly'!W:W,'Pivot Table for acq weekly'!$B:$B=$B27,'Pivot Table for acq weekly'!$A:$A=$A27)/$C27 = 0,"""",FILTER('Pivot Table for acq weekly'!W:W,'Pivot Table for acq weekly'!$B:$B=$B27,'Pivot Table for acq weekly'!$A:$A=$A"&amp;"27)/$C27)"),"")</f>
        <v/>
      </c>
      <c r="X27" s="53" t="str">
        <f>IFERROR(__xludf.DUMMYFUNCTION("IF(FILTER('Pivot Table for acq weekly'!X:X,'Pivot Table for acq weekly'!$B:$B=$B27,'Pivot Table for acq weekly'!$A:$A=$A27)/$C27 = 0,"""",FILTER('Pivot Table for acq weekly'!X:X,'Pivot Table for acq weekly'!$B:$B=$B27,'Pivot Table for acq weekly'!$A:$A=$A"&amp;"27)/$C27)"),"")</f>
        <v/>
      </c>
      <c r="Y27" s="53" t="str">
        <f>IFERROR(__xludf.DUMMYFUNCTION("IF(FILTER('Pivot Table for acq weekly'!Y:Y,'Pivot Table for acq weekly'!$B:$B=$B27,'Pivot Table for acq weekly'!$A:$A=$A27)/$C27 = 0,"""",FILTER('Pivot Table for acq weekly'!Y:Y,'Pivot Table for acq weekly'!$B:$B=$B27,'Pivot Table for acq weekly'!$A:$A=$A"&amp;"27)/$C27)"),"")</f>
        <v/>
      </c>
      <c r="Z27" s="54"/>
    </row>
    <row r="28" hidden="1">
      <c r="A28" s="56">
        <v>6.0</v>
      </c>
      <c r="B28" s="30">
        <v>43254.0</v>
      </c>
      <c r="C28" s="57" t="str">
        <f>IFERROR(__xludf.DUMMYFUNCTION("FILTER('Pivot Table for acq weekly'!C:C,'Pivot Table for acq weekly'!$B:$B=$B28,'Pivot Table for acq weekly'!$A:$A=$A28)"),"#N/A")</f>
        <v>#N/A</v>
      </c>
      <c r="D28" s="58" t="str">
        <f>IFERROR(__xludf.DUMMYFUNCTION("IF(FILTER('Pivot Table for acq weekly'!D:D,'Pivot Table for acq weekly'!$B:$B=$B28,'Pivot Table for acq weekly'!$A:$A=$A28)/$C28 = 0,"""",FILTER('Pivot Table for acq weekly'!D:D,'Pivot Table for acq weekly'!$B:$B=$B28,'Pivot Table for acq weekly'!$A:$A=$A"&amp;"28)/$C28)"),"#N/A")</f>
        <v>#N/A</v>
      </c>
      <c r="E28" s="58" t="str">
        <f>IFERROR(__xludf.DUMMYFUNCTION("IF(FILTER('Pivot Table for acq weekly'!E:E,'Pivot Table for acq weekly'!$B:$B=$B28,'Pivot Table for acq weekly'!$A:$A=$A28)/$C28 = 0,"""",FILTER('Pivot Table for acq weekly'!E:E,'Pivot Table for acq weekly'!$B:$B=$B28,'Pivot Table for acq weekly'!$A:$A=$A"&amp;"28)/$C28)"),"#N/A")</f>
        <v>#N/A</v>
      </c>
      <c r="F28" s="58" t="str">
        <f>IFERROR(__xludf.DUMMYFUNCTION("IF(FILTER('Pivot Table for acq weekly'!F:F,'Pivot Table for acq weekly'!$B:$B=$B28,'Pivot Table for acq weekly'!$A:$A=$A28)/$C28 = 0,"""",FILTER('Pivot Table for acq weekly'!F:F,'Pivot Table for acq weekly'!$B:$B=$B28,'Pivot Table for acq weekly'!$A:$A=$A"&amp;"28)/$C28)"),"#N/A")</f>
        <v>#N/A</v>
      </c>
      <c r="G28" s="58" t="str">
        <f>IFERROR(__xludf.DUMMYFUNCTION("IF(FILTER('Pivot Table for acq weekly'!G:G,'Pivot Table for acq weekly'!$B:$B=$B28,'Pivot Table for acq weekly'!$A:$A=$A28)/$C28 = 0,"""",FILTER('Pivot Table for acq weekly'!G:G,'Pivot Table for acq weekly'!$B:$B=$B28,'Pivot Table for acq weekly'!$A:$A=$A"&amp;"28)/$C28)"),"#N/A")</f>
        <v>#N/A</v>
      </c>
      <c r="H28" s="58" t="str">
        <f>IFERROR(__xludf.DUMMYFUNCTION("IF(FILTER('Pivot Table for acq weekly'!H:H,'Pivot Table for acq weekly'!$B:$B=$B28,'Pivot Table for acq weekly'!$A:$A=$A28)/$C28 = 0,"""",FILTER('Pivot Table for acq weekly'!H:H,'Pivot Table for acq weekly'!$B:$B=$B28,'Pivot Table for acq weekly'!$A:$A=$A"&amp;"28)/$C28)"),"#N/A")</f>
        <v>#N/A</v>
      </c>
      <c r="I28" s="58" t="str">
        <f>IFERROR(__xludf.DUMMYFUNCTION("IF(FILTER('Pivot Table for acq weekly'!I:I,'Pivot Table for acq weekly'!$B:$B=$B28,'Pivot Table for acq weekly'!$A:$A=$A28)/$C28 = 0,"""",FILTER('Pivot Table for acq weekly'!I:I,'Pivot Table for acq weekly'!$B:$B=$B28,'Pivot Table for acq weekly'!$A:$A=$A"&amp;"28)/$C28)"),"#N/A")</f>
        <v>#N/A</v>
      </c>
      <c r="J28" s="58" t="str">
        <f>IFERROR(__xludf.DUMMYFUNCTION("IF(FILTER('Pivot Table for acq weekly'!J:J,'Pivot Table for acq weekly'!$B:$B=$B28,'Pivot Table for acq weekly'!$A:$A=$A28)/$C28 = 0,"""",FILTER('Pivot Table for acq weekly'!J:J,'Pivot Table for acq weekly'!$B:$B=$B28,'Pivot Table for acq weekly'!$A:$A=$A"&amp;"28)/$C28)"),"#N/A")</f>
        <v>#N/A</v>
      </c>
      <c r="K28" s="58" t="str">
        <f>IFERROR(__xludf.DUMMYFUNCTION("IF(FILTER('Pivot Table for acq weekly'!K:K,'Pivot Table for acq weekly'!$B:$B=$B28,'Pivot Table for acq weekly'!$A:$A=$A28)/$C28 = 0,"""",FILTER('Pivot Table for acq weekly'!K:K,'Pivot Table for acq weekly'!$B:$B=$B28,'Pivot Table for acq weekly'!$A:$A=$A"&amp;"28)/$C28)"),"#N/A")</f>
        <v>#N/A</v>
      </c>
      <c r="L28" s="58" t="str">
        <f>IFERROR(__xludf.DUMMYFUNCTION("IF(FILTER('Pivot Table for acq weekly'!L:L,'Pivot Table for acq weekly'!$B:$B=$B28,'Pivot Table for acq weekly'!$A:$A=$A28)/$C28 = 0,"""",FILTER('Pivot Table for acq weekly'!L:L,'Pivot Table for acq weekly'!$B:$B=$B28,'Pivot Table for acq weekly'!$A:$A=$A"&amp;"28)/$C28)"),"#N/A")</f>
        <v>#N/A</v>
      </c>
      <c r="M28" s="58" t="str">
        <f>IFERROR(__xludf.DUMMYFUNCTION("IF(FILTER('Pivot Table for acq weekly'!M:M,'Pivot Table for acq weekly'!$B:$B=$B28,'Pivot Table for acq weekly'!$A:$A=$A28)/$C28 = 0,"""",FILTER('Pivot Table for acq weekly'!M:M,'Pivot Table for acq weekly'!$B:$B=$B28,'Pivot Table for acq weekly'!$A:$A=$A"&amp;"28)/$C28)"),"#N/A")</f>
        <v>#N/A</v>
      </c>
      <c r="N28" s="58" t="str">
        <f>IFERROR(__xludf.DUMMYFUNCTION("IF(FILTER('Pivot Table for acq weekly'!N:N,'Pivot Table for acq weekly'!$B:$B=$B28,'Pivot Table for acq weekly'!$A:$A=$A28)/$C28 = 0,"""",FILTER('Pivot Table for acq weekly'!N:N,'Pivot Table for acq weekly'!$B:$B=$B28,'Pivot Table for acq weekly'!$A:$A=$A"&amp;"28)/$C28)"),"#N/A")</f>
        <v>#N/A</v>
      </c>
      <c r="O28" s="58" t="str">
        <f>IFERROR(__xludf.DUMMYFUNCTION("IF(FILTER('Pivot Table for acq weekly'!O:O,'Pivot Table for acq weekly'!$B:$B=$B28,'Pivot Table for acq weekly'!$A:$A=$A28)/$C28 = 0,"""",FILTER('Pivot Table for acq weekly'!O:O,'Pivot Table for acq weekly'!$B:$B=$B28,'Pivot Table for acq weekly'!$A:$A=$A"&amp;"28)/$C28)"),"#N/A")</f>
        <v>#N/A</v>
      </c>
      <c r="P28" s="58" t="str">
        <f>IFERROR(__xludf.DUMMYFUNCTION("IF(FILTER('Pivot Table for acq weekly'!P:P,'Pivot Table for acq weekly'!$B:$B=$B28,'Pivot Table for acq weekly'!$A:$A=$A28)/$C28 = 0,"""",FILTER('Pivot Table for acq weekly'!P:P,'Pivot Table for acq weekly'!$B:$B=$B28,'Pivot Table for acq weekly'!$A:$A=$A"&amp;"28)/$C28)"),"#N/A")</f>
        <v>#N/A</v>
      </c>
      <c r="Q28" s="58" t="str">
        <f>IFERROR(__xludf.DUMMYFUNCTION("IF(FILTER('Pivot Table for acq weekly'!Q:Q,'Pivot Table for acq weekly'!$B:$B=$B28,'Pivot Table for acq weekly'!$A:$A=$A28)/$C28 = 0,"""",FILTER('Pivot Table for acq weekly'!Q:Q,'Pivot Table for acq weekly'!$B:$B=$B28,'Pivot Table for acq weekly'!$A:$A=$A"&amp;"28)/$C28)"),"#N/A")</f>
        <v>#N/A</v>
      </c>
      <c r="R28" s="58" t="str">
        <f>IFERROR(__xludf.DUMMYFUNCTION("IF(FILTER('Pivot Table for acq weekly'!R:R,'Pivot Table for acq weekly'!$B:$B=$B28,'Pivot Table for acq weekly'!$A:$A=$A28)/$C28 = 0,"""",FILTER('Pivot Table for acq weekly'!R:R,'Pivot Table for acq weekly'!$B:$B=$B28,'Pivot Table for acq weekly'!$A:$A=$A"&amp;"28)/$C28)"),"#N/A")</f>
        <v>#N/A</v>
      </c>
      <c r="S28" s="58" t="str">
        <f>IFERROR(__xludf.DUMMYFUNCTION("IF(FILTER('Pivot Table for acq weekly'!S:S,'Pivot Table for acq weekly'!$B:$B=$B28,'Pivot Table for acq weekly'!$A:$A=$A28)/$C28 = 0,"""",FILTER('Pivot Table for acq weekly'!S:S,'Pivot Table for acq weekly'!$B:$B=$B28,'Pivot Table for acq weekly'!$A:$A=$A"&amp;"28)/$C28)"),"#N/A")</f>
        <v>#N/A</v>
      </c>
      <c r="T28" s="58" t="str">
        <f>IFERROR(__xludf.DUMMYFUNCTION("IF(FILTER('Pivot Table for acq weekly'!T:T,'Pivot Table for acq weekly'!$B:$B=$B28,'Pivot Table for acq weekly'!$A:$A=$A28)/$C28 = 0,"""",FILTER('Pivot Table for acq weekly'!T:T,'Pivot Table for acq weekly'!$B:$B=$B28,'Pivot Table for acq weekly'!$A:$A=$A"&amp;"28)/$C28)"),"#N/A")</f>
        <v>#N/A</v>
      </c>
      <c r="U28" s="58" t="str">
        <f>IFERROR(__xludf.DUMMYFUNCTION("IF(FILTER('Pivot Table for acq weekly'!U:U,'Pivot Table for acq weekly'!$B:$B=$B28,'Pivot Table for acq weekly'!$A:$A=$A28)/$C28 = 0,"""",FILTER('Pivot Table for acq weekly'!U:U,'Pivot Table for acq weekly'!$B:$B=$B28,'Pivot Table for acq weekly'!$A:$A=$A"&amp;"28)/$C28)"),"#N/A")</f>
        <v>#N/A</v>
      </c>
      <c r="V28" s="58" t="str">
        <f>IFERROR(__xludf.DUMMYFUNCTION("IF(FILTER('Pivot Table for acq weekly'!V:V,'Pivot Table for acq weekly'!$B:$B=$B28,'Pivot Table for acq weekly'!$A:$A=$A28)/$C28 = 0,"""",FILTER('Pivot Table for acq weekly'!V:V,'Pivot Table for acq weekly'!$B:$B=$B28,'Pivot Table for acq weekly'!$A:$A=$A"&amp;"28)/$C28)"),"#N/A")</f>
        <v>#N/A</v>
      </c>
      <c r="W28" s="58" t="str">
        <f>IFERROR(__xludf.DUMMYFUNCTION("IF(FILTER('Pivot Table for acq weekly'!W:W,'Pivot Table for acq weekly'!$B:$B=$B28,'Pivot Table for acq weekly'!$A:$A=$A28)/$C28 = 0,"""",FILTER('Pivot Table for acq weekly'!W:W,'Pivot Table for acq weekly'!$B:$B=$B28,'Pivot Table for acq weekly'!$A:$A=$A"&amp;"28)/$C28)"),"#N/A")</f>
        <v>#N/A</v>
      </c>
      <c r="X28" s="58" t="str">
        <f>IFERROR(__xludf.DUMMYFUNCTION("IF(FILTER('Pivot Table for acq weekly'!X:X,'Pivot Table for acq weekly'!$B:$B=$B28,'Pivot Table for acq weekly'!$A:$A=$A28)/$C28 = 0,"""",FILTER('Pivot Table for acq weekly'!X:X,'Pivot Table for acq weekly'!$B:$B=$B28,'Pivot Table for acq weekly'!$A:$A=$A"&amp;"28)/$C28)"),"#N/A")</f>
        <v>#N/A</v>
      </c>
      <c r="Y28" s="58" t="str">
        <f>IFERROR(__xludf.DUMMYFUNCTION("IF(FILTER('Pivot Table for acq weekly'!Y:Y,'Pivot Table for acq weekly'!$B:$B=$B28,'Pivot Table for acq weekly'!$A:$A=$A28)/$C28 = 0,"""",FILTER('Pivot Table for acq weekly'!Y:Y,'Pivot Table for acq weekly'!$B:$B=$B28,'Pivot Table for acq weekly'!$A:$A=$A"&amp;"28)/$C28)"),"#N/A")</f>
        <v>#N/A</v>
      </c>
    </row>
    <row r="29" hidden="1">
      <c r="A29" s="56">
        <v>6.0</v>
      </c>
      <c r="B29" s="30">
        <v>43261.0</v>
      </c>
      <c r="C29" s="57" t="str">
        <f>IFERROR(__xludf.DUMMYFUNCTION("FILTER('Pivot Table for acq weekly'!C:C,'Pivot Table for acq weekly'!$B:$B=$B29,'Pivot Table for acq weekly'!$A:$A=$A29)"),"#N/A")</f>
        <v>#N/A</v>
      </c>
      <c r="D29" s="58" t="str">
        <f>IFERROR(__xludf.DUMMYFUNCTION("IF(FILTER('Pivot Table for acq weekly'!D:D,'Pivot Table for acq weekly'!$B:$B=$B29,'Pivot Table for acq weekly'!$A:$A=$A29)/$C29 = 0,"""",FILTER('Pivot Table for acq weekly'!D:D,'Pivot Table for acq weekly'!$B:$B=$B29,'Pivot Table for acq weekly'!$A:$A=$A"&amp;"29)/$C29)"),"#N/A")</f>
        <v>#N/A</v>
      </c>
      <c r="E29" s="58" t="str">
        <f>IFERROR(__xludf.DUMMYFUNCTION("IF(FILTER('Pivot Table for acq weekly'!E:E,'Pivot Table for acq weekly'!$B:$B=$B29,'Pivot Table for acq weekly'!$A:$A=$A29)/$C29 = 0,"""",FILTER('Pivot Table for acq weekly'!E:E,'Pivot Table for acq weekly'!$B:$B=$B29,'Pivot Table for acq weekly'!$A:$A=$A"&amp;"29)/$C29)"),"#N/A")</f>
        <v>#N/A</v>
      </c>
      <c r="F29" s="58" t="str">
        <f>IFERROR(__xludf.DUMMYFUNCTION("IF(FILTER('Pivot Table for acq weekly'!F:F,'Pivot Table for acq weekly'!$B:$B=$B29,'Pivot Table for acq weekly'!$A:$A=$A29)/$C29 = 0,"""",FILTER('Pivot Table for acq weekly'!F:F,'Pivot Table for acq weekly'!$B:$B=$B29,'Pivot Table for acq weekly'!$A:$A=$A"&amp;"29)/$C29)"),"#N/A")</f>
        <v>#N/A</v>
      </c>
      <c r="G29" s="58" t="str">
        <f>IFERROR(__xludf.DUMMYFUNCTION("IF(FILTER('Pivot Table for acq weekly'!G:G,'Pivot Table for acq weekly'!$B:$B=$B29,'Pivot Table for acq weekly'!$A:$A=$A29)/$C29 = 0,"""",FILTER('Pivot Table for acq weekly'!G:G,'Pivot Table for acq weekly'!$B:$B=$B29,'Pivot Table for acq weekly'!$A:$A=$A"&amp;"29)/$C29)"),"#N/A")</f>
        <v>#N/A</v>
      </c>
      <c r="H29" s="58" t="str">
        <f>IFERROR(__xludf.DUMMYFUNCTION("IF(FILTER('Pivot Table for acq weekly'!H:H,'Pivot Table for acq weekly'!$B:$B=$B29,'Pivot Table for acq weekly'!$A:$A=$A29)/$C29 = 0,"""",FILTER('Pivot Table for acq weekly'!H:H,'Pivot Table for acq weekly'!$B:$B=$B29,'Pivot Table for acq weekly'!$A:$A=$A"&amp;"29)/$C29)"),"#N/A")</f>
        <v>#N/A</v>
      </c>
      <c r="I29" s="58" t="str">
        <f>IFERROR(__xludf.DUMMYFUNCTION("IF(FILTER('Pivot Table for acq weekly'!I:I,'Pivot Table for acq weekly'!$B:$B=$B29,'Pivot Table for acq weekly'!$A:$A=$A29)/$C29 = 0,"""",FILTER('Pivot Table for acq weekly'!I:I,'Pivot Table for acq weekly'!$B:$B=$B29,'Pivot Table for acq weekly'!$A:$A=$A"&amp;"29)/$C29)"),"#N/A")</f>
        <v>#N/A</v>
      </c>
      <c r="J29" s="58" t="str">
        <f>IFERROR(__xludf.DUMMYFUNCTION("IF(FILTER('Pivot Table for acq weekly'!J:J,'Pivot Table for acq weekly'!$B:$B=$B29,'Pivot Table for acq weekly'!$A:$A=$A29)/$C29 = 0,"""",FILTER('Pivot Table for acq weekly'!J:J,'Pivot Table for acq weekly'!$B:$B=$B29,'Pivot Table for acq weekly'!$A:$A=$A"&amp;"29)/$C29)"),"#N/A")</f>
        <v>#N/A</v>
      </c>
      <c r="K29" s="58" t="str">
        <f>IFERROR(__xludf.DUMMYFUNCTION("IF(FILTER('Pivot Table for acq weekly'!K:K,'Pivot Table for acq weekly'!$B:$B=$B29,'Pivot Table for acq weekly'!$A:$A=$A29)/$C29 = 0,"""",FILTER('Pivot Table for acq weekly'!K:K,'Pivot Table for acq weekly'!$B:$B=$B29,'Pivot Table for acq weekly'!$A:$A=$A"&amp;"29)/$C29)"),"#N/A")</f>
        <v>#N/A</v>
      </c>
      <c r="L29" s="58" t="str">
        <f>IFERROR(__xludf.DUMMYFUNCTION("IF(FILTER('Pivot Table for acq weekly'!L:L,'Pivot Table for acq weekly'!$B:$B=$B29,'Pivot Table for acq weekly'!$A:$A=$A29)/$C29 = 0,"""",FILTER('Pivot Table for acq weekly'!L:L,'Pivot Table for acq weekly'!$B:$B=$B29,'Pivot Table for acq weekly'!$A:$A=$A"&amp;"29)/$C29)"),"#N/A")</f>
        <v>#N/A</v>
      </c>
      <c r="M29" s="58" t="str">
        <f>IFERROR(__xludf.DUMMYFUNCTION("IF(FILTER('Pivot Table for acq weekly'!M:M,'Pivot Table for acq weekly'!$B:$B=$B29,'Pivot Table for acq weekly'!$A:$A=$A29)/$C29 = 0,"""",FILTER('Pivot Table for acq weekly'!M:M,'Pivot Table for acq weekly'!$B:$B=$B29,'Pivot Table for acq weekly'!$A:$A=$A"&amp;"29)/$C29)"),"#N/A")</f>
        <v>#N/A</v>
      </c>
      <c r="N29" s="58" t="str">
        <f>IFERROR(__xludf.DUMMYFUNCTION("IF(FILTER('Pivot Table for acq weekly'!N:N,'Pivot Table for acq weekly'!$B:$B=$B29,'Pivot Table for acq weekly'!$A:$A=$A29)/$C29 = 0,"""",FILTER('Pivot Table for acq weekly'!N:N,'Pivot Table for acq weekly'!$B:$B=$B29,'Pivot Table for acq weekly'!$A:$A=$A"&amp;"29)/$C29)"),"#N/A")</f>
        <v>#N/A</v>
      </c>
      <c r="O29" s="58" t="str">
        <f>IFERROR(__xludf.DUMMYFUNCTION("IF(FILTER('Pivot Table for acq weekly'!O:O,'Pivot Table for acq weekly'!$B:$B=$B29,'Pivot Table for acq weekly'!$A:$A=$A29)/$C29 = 0,"""",FILTER('Pivot Table for acq weekly'!O:O,'Pivot Table for acq weekly'!$B:$B=$B29,'Pivot Table for acq weekly'!$A:$A=$A"&amp;"29)/$C29)"),"#N/A")</f>
        <v>#N/A</v>
      </c>
      <c r="P29" s="58" t="str">
        <f>IFERROR(__xludf.DUMMYFUNCTION("IF(FILTER('Pivot Table for acq weekly'!P:P,'Pivot Table for acq weekly'!$B:$B=$B29,'Pivot Table for acq weekly'!$A:$A=$A29)/$C29 = 0,"""",FILTER('Pivot Table for acq weekly'!P:P,'Pivot Table for acq weekly'!$B:$B=$B29,'Pivot Table for acq weekly'!$A:$A=$A"&amp;"29)/$C29)"),"#N/A")</f>
        <v>#N/A</v>
      </c>
      <c r="Q29" s="58" t="str">
        <f>IFERROR(__xludf.DUMMYFUNCTION("IF(FILTER('Pivot Table for acq weekly'!Q:Q,'Pivot Table for acq weekly'!$B:$B=$B29,'Pivot Table for acq weekly'!$A:$A=$A29)/$C29 = 0,"""",FILTER('Pivot Table for acq weekly'!Q:Q,'Pivot Table for acq weekly'!$B:$B=$B29,'Pivot Table for acq weekly'!$A:$A=$A"&amp;"29)/$C29)"),"#N/A")</f>
        <v>#N/A</v>
      </c>
      <c r="R29" s="58" t="str">
        <f>IFERROR(__xludf.DUMMYFUNCTION("IF(FILTER('Pivot Table for acq weekly'!R:R,'Pivot Table for acq weekly'!$B:$B=$B29,'Pivot Table for acq weekly'!$A:$A=$A29)/$C29 = 0,"""",FILTER('Pivot Table for acq weekly'!R:R,'Pivot Table for acq weekly'!$B:$B=$B29,'Pivot Table for acq weekly'!$A:$A=$A"&amp;"29)/$C29)"),"#N/A")</f>
        <v>#N/A</v>
      </c>
      <c r="S29" s="58" t="str">
        <f>IFERROR(__xludf.DUMMYFUNCTION("IF(FILTER('Pivot Table for acq weekly'!S:S,'Pivot Table for acq weekly'!$B:$B=$B29,'Pivot Table for acq weekly'!$A:$A=$A29)/$C29 = 0,"""",FILTER('Pivot Table for acq weekly'!S:S,'Pivot Table for acq weekly'!$B:$B=$B29,'Pivot Table for acq weekly'!$A:$A=$A"&amp;"29)/$C29)"),"#N/A")</f>
        <v>#N/A</v>
      </c>
      <c r="T29" s="58" t="str">
        <f>IFERROR(__xludf.DUMMYFUNCTION("IF(FILTER('Pivot Table for acq weekly'!T:T,'Pivot Table for acq weekly'!$B:$B=$B29,'Pivot Table for acq weekly'!$A:$A=$A29)/$C29 = 0,"""",FILTER('Pivot Table for acq weekly'!T:T,'Pivot Table for acq weekly'!$B:$B=$B29,'Pivot Table for acq weekly'!$A:$A=$A"&amp;"29)/$C29)"),"#N/A")</f>
        <v>#N/A</v>
      </c>
      <c r="U29" s="58" t="str">
        <f>IFERROR(__xludf.DUMMYFUNCTION("IF(FILTER('Pivot Table for acq weekly'!U:U,'Pivot Table for acq weekly'!$B:$B=$B29,'Pivot Table for acq weekly'!$A:$A=$A29)/$C29 = 0,"""",FILTER('Pivot Table for acq weekly'!U:U,'Pivot Table for acq weekly'!$B:$B=$B29,'Pivot Table for acq weekly'!$A:$A=$A"&amp;"29)/$C29)"),"#N/A")</f>
        <v>#N/A</v>
      </c>
      <c r="V29" s="58" t="str">
        <f>IFERROR(__xludf.DUMMYFUNCTION("IF(FILTER('Pivot Table for acq weekly'!V:V,'Pivot Table for acq weekly'!$B:$B=$B29,'Pivot Table for acq weekly'!$A:$A=$A29)/$C29 = 0,"""",FILTER('Pivot Table for acq weekly'!V:V,'Pivot Table for acq weekly'!$B:$B=$B29,'Pivot Table for acq weekly'!$A:$A=$A"&amp;"29)/$C29)"),"#N/A")</f>
        <v>#N/A</v>
      </c>
      <c r="W29" s="58" t="str">
        <f>IFERROR(__xludf.DUMMYFUNCTION("IF(FILTER('Pivot Table for acq weekly'!W:W,'Pivot Table for acq weekly'!$B:$B=$B29,'Pivot Table for acq weekly'!$A:$A=$A29)/$C29 = 0,"""",FILTER('Pivot Table for acq weekly'!W:W,'Pivot Table for acq weekly'!$B:$B=$B29,'Pivot Table for acq weekly'!$A:$A=$A"&amp;"29)/$C29)"),"#N/A")</f>
        <v>#N/A</v>
      </c>
      <c r="X29" s="58" t="str">
        <f>IFERROR(__xludf.DUMMYFUNCTION("IF(FILTER('Pivot Table for acq weekly'!X:X,'Pivot Table for acq weekly'!$B:$B=$B29,'Pivot Table for acq weekly'!$A:$A=$A29)/$C29 = 0,"""",FILTER('Pivot Table for acq weekly'!X:X,'Pivot Table for acq weekly'!$B:$B=$B29,'Pivot Table for acq weekly'!$A:$A=$A"&amp;"29)/$C29)"),"#N/A")</f>
        <v>#N/A</v>
      </c>
      <c r="Y29" s="58" t="str">
        <f>IFERROR(__xludf.DUMMYFUNCTION("IF(FILTER('Pivot Table for acq weekly'!Y:Y,'Pivot Table for acq weekly'!$B:$B=$B29,'Pivot Table for acq weekly'!$A:$A=$A29)/$C29 = 0,"""",FILTER('Pivot Table for acq weekly'!Y:Y,'Pivot Table for acq weekly'!$B:$B=$B29,'Pivot Table for acq weekly'!$A:$A=$A"&amp;"29)/$C29)"),"#N/A")</f>
        <v>#N/A</v>
      </c>
    </row>
    <row r="30" hidden="1">
      <c r="A30" s="56">
        <v>6.0</v>
      </c>
      <c r="B30" s="30">
        <v>43268.0</v>
      </c>
      <c r="C30" s="57" t="str">
        <f>IFERROR(__xludf.DUMMYFUNCTION("FILTER('Pivot Table for acq weekly'!C:C,'Pivot Table for acq weekly'!$B:$B=$B30,'Pivot Table for acq weekly'!$A:$A=$A30)"),"#N/A")</f>
        <v>#N/A</v>
      </c>
      <c r="D30" s="58" t="str">
        <f>IFERROR(__xludf.DUMMYFUNCTION("IF(FILTER('Pivot Table for acq weekly'!D:D,'Pivot Table for acq weekly'!$B:$B=$B30,'Pivot Table for acq weekly'!$A:$A=$A30)/$C30 = 0,"""",FILTER('Pivot Table for acq weekly'!D:D,'Pivot Table for acq weekly'!$B:$B=$B30,'Pivot Table for acq weekly'!$A:$A=$A"&amp;"30)/$C30)"),"#N/A")</f>
        <v>#N/A</v>
      </c>
      <c r="E30" s="58" t="str">
        <f>IFERROR(__xludf.DUMMYFUNCTION("IF(FILTER('Pivot Table for acq weekly'!E:E,'Pivot Table for acq weekly'!$B:$B=$B30,'Pivot Table for acq weekly'!$A:$A=$A30)/$C30 = 0,"""",FILTER('Pivot Table for acq weekly'!E:E,'Pivot Table for acq weekly'!$B:$B=$B30,'Pivot Table for acq weekly'!$A:$A=$A"&amp;"30)/$C30)"),"#N/A")</f>
        <v>#N/A</v>
      </c>
      <c r="F30" s="58" t="str">
        <f>IFERROR(__xludf.DUMMYFUNCTION("IF(FILTER('Pivot Table for acq weekly'!F:F,'Pivot Table for acq weekly'!$B:$B=$B30,'Pivot Table for acq weekly'!$A:$A=$A30)/$C30 = 0,"""",FILTER('Pivot Table for acq weekly'!F:F,'Pivot Table for acq weekly'!$B:$B=$B30,'Pivot Table for acq weekly'!$A:$A=$A"&amp;"30)/$C30)"),"#N/A")</f>
        <v>#N/A</v>
      </c>
      <c r="G30" s="58" t="str">
        <f>IFERROR(__xludf.DUMMYFUNCTION("IF(FILTER('Pivot Table for acq weekly'!G:G,'Pivot Table for acq weekly'!$B:$B=$B30,'Pivot Table for acq weekly'!$A:$A=$A30)/$C30 = 0,"""",FILTER('Pivot Table for acq weekly'!G:G,'Pivot Table for acq weekly'!$B:$B=$B30,'Pivot Table for acq weekly'!$A:$A=$A"&amp;"30)/$C30)"),"#N/A")</f>
        <v>#N/A</v>
      </c>
      <c r="H30" s="58" t="str">
        <f>IFERROR(__xludf.DUMMYFUNCTION("IF(FILTER('Pivot Table for acq weekly'!H:H,'Pivot Table for acq weekly'!$B:$B=$B30,'Pivot Table for acq weekly'!$A:$A=$A30)/$C30 = 0,"""",FILTER('Pivot Table for acq weekly'!H:H,'Pivot Table for acq weekly'!$B:$B=$B30,'Pivot Table for acq weekly'!$A:$A=$A"&amp;"30)/$C30)"),"#N/A")</f>
        <v>#N/A</v>
      </c>
      <c r="I30" s="58" t="str">
        <f>IFERROR(__xludf.DUMMYFUNCTION("IF(FILTER('Pivot Table for acq weekly'!I:I,'Pivot Table for acq weekly'!$B:$B=$B30,'Pivot Table for acq weekly'!$A:$A=$A30)/$C30 = 0,"""",FILTER('Pivot Table for acq weekly'!I:I,'Pivot Table for acq weekly'!$B:$B=$B30,'Pivot Table for acq weekly'!$A:$A=$A"&amp;"30)/$C30)"),"#N/A")</f>
        <v>#N/A</v>
      </c>
      <c r="J30" s="58" t="str">
        <f>IFERROR(__xludf.DUMMYFUNCTION("IF(FILTER('Pivot Table for acq weekly'!J:J,'Pivot Table for acq weekly'!$B:$B=$B30,'Pivot Table for acq weekly'!$A:$A=$A30)/$C30 = 0,"""",FILTER('Pivot Table for acq weekly'!J:J,'Pivot Table for acq weekly'!$B:$B=$B30,'Pivot Table for acq weekly'!$A:$A=$A"&amp;"30)/$C30)"),"#N/A")</f>
        <v>#N/A</v>
      </c>
      <c r="K30" s="58" t="str">
        <f>IFERROR(__xludf.DUMMYFUNCTION("IF(FILTER('Pivot Table for acq weekly'!K:K,'Pivot Table for acq weekly'!$B:$B=$B30,'Pivot Table for acq weekly'!$A:$A=$A30)/$C30 = 0,"""",FILTER('Pivot Table for acq weekly'!K:K,'Pivot Table for acq weekly'!$B:$B=$B30,'Pivot Table for acq weekly'!$A:$A=$A"&amp;"30)/$C30)"),"#N/A")</f>
        <v>#N/A</v>
      </c>
      <c r="L30" s="58" t="str">
        <f>IFERROR(__xludf.DUMMYFUNCTION("IF(FILTER('Pivot Table for acq weekly'!L:L,'Pivot Table for acq weekly'!$B:$B=$B30,'Pivot Table for acq weekly'!$A:$A=$A30)/$C30 = 0,"""",FILTER('Pivot Table for acq weekly'!L:L,'Pivot Table for acq weekly'!$B:$B=$B30,'Pivot Table for acq weekly'!$A:$A=$A"&amp;"30)/$C30)"),"#N/A")</f>
        <v>#N/A</v>
      </c>
      <c r="M30" s="58" t="str">
        <f>IFERROR(__xludf.DUMMYFUNCTION("IF(FILTER('Pivot Table for acq weekly'!M:M,'Pivot Table for acq weekly'!$B:$B=$B30,'Pivot Table for acq weekly'!$A:$A=$A30)/$C30 = 0,"""",FILTER('Pivot Table for acq weekly'!M:M,'Pivot Table for acq weekly'!$B:$B=$B30,'Pivot Table for acq weekly'!$A:$A=$A"&amp;"30)/$C30)"),"#N/A")</f>
        <v>#N/A</v>
      </c>
      <c r="N30" s="58" t="str">
        <f>IFERROR(__xludf.DUMMYFUNCTION("IF(FILTER('Pivot Table for acq weekly'!N:N,'Pivot Table for acq weekly'!$B:$B=$B30,'Pivot Table for acq weekly'!$A:$A=$A30)/$C30 = 0,"""",FILTER('Pivot Table for acq weekly'!N:N,'Pivot Table for acq weekly'!$B:$B=$B30,'Pivot Table for acq weekly'!$A:$A=$A"&amp;"30)/$C30)"),"#N/A")</f>
        <v>#N/A</v>
      </c>
      <c r="O30" s="58" t="str">
        <f>IFERROR(__xludf.DUMMYFUNCTION("IF(FILTER('Pivot Table for acq weekly'!O:O,'Pivot Table for acq weekly'!$B:$B=$B30,'Pivot Table for acq weekly'!$A:$A=$A30)/$C30 = 0,"""",FILTER('Pivot Table for acq weekly'!O:O,'Pivot Table for acq weekly'!$B:$B=$B30,'Pivot Table for acq weekly'!$A:$A=$A"&amp;"30)/$C30)"),"#N/A")</f>
        <v>#N/A</v>
      </c>
      <c r="P30" s="58" t="str">
        <f>IFERROR(__xludf.DUMMYFUNCTION("IF(FILTER('Pivot Table for acq weekly'!P:P,'Pivot Table for acq weekly'!$B:$B=$B30,'Pivot Table for acq weekly'!$A:$A=$A30)/$C30 = 0,"""",FILTER('Pivot Table for acq weekly'!P:P,'Pivot Table for acq weekly'!$B:$B=$B30,'Pivot Table for acq weekly'!$A:$A=$A"&amp;"30)/$C30)"),"#N/A")</f>
        <v>#N/A</v>
      </c>
      <c r="Q30" s="58" t="str">
        <f>IFERROR(__xludf.DUMMYFUNCTION("IF(FILTER('Pivot Table for acq weekly'!Q:Q,'Pivot Table for acq weekly'!$B:$B=$B30,'Pivot Table for acq weekly'!$A:$A=$A30)/$C30 = 0,"""",FILTER('Pivot Table for acq weekly'!Q:Q,'Pivot Table for acq weekly'!$B:$B=$B30,'Pivot Table for acq weekly'!$A:$A=$A"&amp;"30)/$C30)"),"#N/A")</f>
        <v>#N/A</v>
      </c>
      <c r="R30" s="58" t="str">
        <f>IFERROR(__xludf.DUMMYFUNCTION("IF(FILTER('Pivot Table for acq weekly'!R:R,'Pivot Table for acq weekly'!$B:$B=$B30,'Pivot Table for acq weekly'!$A:$A=$A30)/$C30 = 0,"""",FILTER('Pivot Table for acq weekly'!R:R,'Pivot Table for acq weekly'!$B:$B=$B30,'Pivot Table for acq weekly'!$A:$A=$A"&amp;"30)/$C30)"),"#N/A")</f>
        <v>#N/A</v>
      </c>
      <c r="S30" s="58" t="str">
        <f>IFERROR(__xludf.DUMMYFUNCTION("IF(FILTER('Pivot Table for acq weekly'!S:S,'Pivot Table for acq weekly'!$B:$B=$B30,'Pivot Table for acq weekly'!$A:$A=$A30)/$C30 = 0,"""",FILTER('Pivot Table for acq weekly'!S:S,'Pivot Table for acq weekly'!$B:$B=$B30,'Pivot Table for acq weekly'!$A:$A=$A"&amp;"30)/$C30)"),"#N/A")</f>
        <v>#N/A</v>
      </c>
      <c r="T30" s="58" t="str">
        <f>IFERROR(__xludf.DUMMYFUNCTION("IF(FILTER('Pivot Table for acq weekly'!T:T,'Pivot Table for acq weekly'!$B:$B=$B30,'Pivot Table for acq weekly'!$A:$A=$A30)/$C30 = 0,"""",FILTER('Pivot Table for acq weekly'!T:T,'Pivot Table for acq weekly'!$B:$B=$B30,'Pivot Table for acq weekly'!$A:$A=$A"&amp;"30)/$C30)"),"#N/A")</f>
        <v>#N/A</v>
      </c>
      <c r="U30" s="58" t="str">
        <f>IFERROR(__xludf.DUMMYFUNCTION("IF(FILTER('Pivot Table for acq weekly'!U:U,'Pivot Table for acq weekly'!$B:$B=$B30,'Pivot Table for acq weekly'!$A:$A=$A30)/$C30 = 0,"""",FILTER('Pivot Table for acq weekly'!U:U,'Pivot Table for acq weekly'!$B:$B=$B30,'Pivot Table for acq weekly'!$A:$A=$A"&amp;"30)/$C30)"),"#N/A")</f>
        <v>#N/A</v>
      </c>
      <c r="V30" s="58" t="str">
        <f>IFERROR(__xludf.DUMMYFUNCTION("IF(FILTER('Pivot Table for acq weekly'!V:V,'Pivot Table for acq weekly'!$B:$B=$B30,'Pivot Table for acq weekly'!$A:$A=$A30)/$C30 = 0,"""",FILTER('Pivot Table for acq weekly'!V:V,'Pivot Table for acq weekly'!$B:$B=$B30,'Pivot Table for acq weekly'!$A:$A=$A"&amp;"30)/$C30)"),"#N/A")</f>
        <v>#N/A</v>
      </c>
      <c r="W30" s="58" t="str">
        <f>IFERROR(__xludf.DUMMYFUNCTION("IF(FILTER('Pivot Table for acq weekly'!W:W,'Pivot Table for acq weekly'!$B:$B=$B30,'Pivot Table for acq weekly'!$A:$A=$A30)/$C30 = 0,"""",FILTER('Pivot Table for acq weekly'!W:W,'Pivot Table for acq weekly'!$B:$B=$B30,'Pivot Table for acq weekly'!$A:$A=$A"&amp;"30)/$C30)"),"#N/A")</f>
        <v>#N/A</v>
      </c>
      <c r="X30" s="58" t="str">
        <f>IFERROR(__xludf.DUMMYFUNCTION("IF(FILTER('Pivot Table for acq weekly'!X:X,'Pivot Table for acq weekly'!$B:$B=$B30,'Pivot Table for acq weekly'!$A:$A=$A30)/$C30 = 0,"""",FILTER('Pivot Table for acq weekly'!X:X,'Pivot Table for acq weekly'!$B:$B=$B30,'Pivot Table for acq weekly'!$A:$A=$A"&amp;"30)/$C30)"),"#N/A")</f>
        <v>#N/A</v>
      </c>
      <c r="Y30" s="58" t="str">
        <f>IFERROR(__xludf.DUMMYFUNCTION("IF(FILTER('Pivot Table for acq weekly'!Y:Y,'Pivot Table for acq weekly'!$B:$B=$B30,'Pivot Table for acq weekly'!$A:$A=$A30)/$C30 = 0,"""",FILTER('Pivot Table for acq weekly'!Y:Y,'Pivot Table for acq weekly'!$B:$B=$B30,'Pivot Table for acq weekly'!$A:$A=$A"&amp;"30)/$C30)"),"#N/A")</f>
        <v>#N/A</v>
      </c>
    </row>
    <row r="31" hidden="1">
      <c r="A31" s="56">
        <v>6.0</v>
      </c>
      <c r="B31" s="30">
        <v>43275.0</v>
      </c>
      <c r="C31" s="57" t="str">
        <f>IFERROR(__xludf.DUMMYFUNCTION("FILTER('Pivot Table for acq weekly'!C:C,'Pivot Table for acq weekly'!$B:$B=$B31,'Pivot Table for acq weekly'!$A:$A=$A31)"),"#N/A")</f>
        <v>#N/A</v>
      </c>
      <c r="D31" s="58" t="str">
        <f>IFERROR(__xludf.DUMMYFUNCTION("IF(FILTER('Pivot Table for acq weekly'!D:D,'Pivot Table for acq weekly'!$B:$B=$B31,'Pivot Table for acq weekly'!$A:$A=$A31)/$C31 = 0,"""",FILTER('Pivot Table for acq weekly'!D:D,'Pivot Table for acq weekly'!$B:$B=$B31,'Pivot Table for acq weekly'!$A:$A=$A"&amp;"31)/$C31)"),"#N/A")</f>
        <v>#N/A</v>
      </c>
      <c r="E31" s="58" t="str">
        <f>IFERROR(__xludf.DUMMYFUNCTION("IF(FILTER('Pivot Table for acq weekly'!E:E,'Pivot Table for acq weekly'!$B:$B=$B31,'Pivot Table for acq weekly'!$A:$A=$A31)/$C31 = 0,"""",FILTER('Pivot Table for acq weekly'!E:E,'Pivot Table for acq weekly'!$B:$B=$B31,'Pivot Table for acq weekly'!$A:$A=$A"&amp;"31)/$C31)"),"#N/A")</f>
        <v>#N/A</v>
      </c>
      <c r="F31" s="58" t="str">
        <f>IFERROR(__xludf.DUMMYFUNCTION("IF(FILTER('Pivot Table for acq weekly'!F:F,'Pivot Table for acq weekly'!$B:$B=$B31,'Pivot Table for acq weekly'!$A:$A=$A31)/$C31 = 0,"""",FILTER('Pivot Table for acq weekly'!F:F,'Pivot Table for acq weekly'!$B:$B=$B31,'Pivot Table for acq weekly'!$A:$A=$A"&amp;"31)/$C31)"),"#N/A")</f>
        <v>#N/A</v>
      </c>
      <c r="G31" s="58" t="str">
        <f>IFERROR(__xludf.DUMMYFUNCTION("IF(FILTER('Pivot Table for acq weekly'!G:G,'Pivot Table for acq weekly'!$B:$B=$B31,'Pivot Table for acq weekly'!$A:$A=$A31)/$C31 = 0,"""",FILTER('Pivot Table for acq weekly'!G:G,'Pivot Table for acq weekly'!$B:$B=$B31,'Pivot Table for acq weekly'!$A:$A=$A"&amp;"31)/$C31)"),"#N/A")</f>
        <v>#N/A</v>
      </c>
      <c r="H31" s="58" t="str">
        <f>IFERROR(__xludf.DUMMYFUNCTION("IF(FILTER('Pivot Table for acq weekly'!H:H,'Pivot Table for acq weekly'!$B:$B=$B31,'Pivot Table for acq weekly'!$A:$A=$A31)/$C31 = 0,"""",FILTER('Pivot Table for acq weekly'!H:H,'Pivot Table for acq weekly'!$B:$B=$B31,'Pivot Table for acq weekly'!$A:$A=$A"&amp;"31)/$C31)"),"#N/A")</f>
        <v>#N/A</v>
      </c>
      <c r="I31" s="58" t="str">
        <f>IFERROR(__xludf.DUMMYFUNCTION("IF(FILTER('Pivot Table for acq weekly'!I:I,'Pivot Table for acq weekly'!$B:$B=$B31,'Pivot Table for acq weekly'!$A:$A=$A31)/$C31 = 0,"""",FILTER('Pivot Table for acq weekly'!I:I,'Pivot Table for acq weekly'!$B:$B=$B31,'Pivot Table for acq weekly'!$A:$A=$A"&amp;"31)/$C31)"),"#N/A")</f>
        <v>#N/A</v>
      </c>
      <c r="J31" s="58" t="str">
        <f>IFERROR(__xludf.DUMMYFUNCTION("IF(FILTER('Pivot Table for acq weekly'!J:J,'Pivot Table for acq weekly'!$B:$B=$B31,'Pivot Table for acq weekly'!$A:$A=$A31)/$C31 = 0,"""",FILTER('Pivot Table for acq weekly'!J:J,'Pivot Table for acq weekly'!$B:$B=$B31,'Pivot Table for acq weekly'!$A:$A=$A"&amp;"31)/$C31)"),"#N/A")</f>
        <v>#N/A</v>
      </c>
      <c r="K31" s="58" t="str">
        <f>IFERROR(__xludf.DUMMYFUNCTION("IF(FILTER('Pivot Table for acq weekly'!K:K,'Pivot Table for acq weekly'!$B:$B=$B31,'Pivot Table for acq weekly'!$A:$A=$A31)/$C31 = 0,"""",FILTER('Pivot Table for acq weekly'!K:K,'Pivot Table for acq weekly'!$B:$B=$B31,'Pivot Table for acq weekly'!$A:$A=$A"&amp;"31)/$C31)"),"#N/A")</f>
        <v>#N/A</v>
      </c>
      <c r="L31" s="58" t="str">
        <f>IFERROR(__xludf.DUMMYFUNCTION("IF(FILTER('Pivot Table for acq weekly'!L:L,'Pivot Table for acq weekly'!$B:$B=$B31,'Pivot Table for acq weekly'!$A:$A=$A31)/$C31 = 0,"""",FILTER('Pivot Table for acq weekly'!L:L,'Pivot Table for acq weekly'!$B:$B=$B31,'Pivot Table for acq weekly'!$A:$A=$A"&amp;"31)/$C31)"),"#N/A")</f>
        <v>#N/A</v>
      </c>
      <c r="M31" s="58" t="str">
        <f>IFERROR(__xludf.DUMMYFUNCTION("IF(FILTER('Pivot Table for acq weekly'!M:M,'Pivot Table for acq weekly'!$B:$B=$B31,'Pivot Table for acq weekly'!$A:$A=$A31)/$C31 = 0,"""",FILTER('Pivot Table for acq weekly'!M:M,'Pivot Table for acq weekly'!$B:$B=$B31,'Pivot Table for acq weekly'!$A:$A=$A"&amp;"31)/$C31)"),"#N/A")</f>
        <v>#N/A</v>
      </c>
      <c r="N31" s="58" t="str">
        <f>IFERROR(__xludf.DUMMYFUNCTION("IF(FILTER('Pivot Table for acq weekly'!N:N,'Pivot Table for acq weekly'!$B:$B=$B31,'Pivot Table for acq weekly'!$A:$A=$A31)/$C31 = 0,"""",FILTER('Pivot Table for acq weekly'!N:N,'Pivot Table for acq weekly'!$B:$B=$B31,'Pivot Table for acq weekly'!$A:$A=$A"&amp;"31)/$C31)"),"#N/A")</f>
        <v>#N/A</v>
      </c>
      <c r="O31" s="58" t="str">
        <f>IFERROR(__xludf.DUMMYFUNCTION("IF(FILTER('Pivot Table for acq weekly'!O:O,'Pivot Table for acq weekly'!$B:$B=$B31,'Pivot Table for acq weekly'!$A:$A=$A31)/$C31 = 0,"""",FILTER('Pivot Table for acq weekly'!O:O,'Pivot Table for acq weekly'!$B:$B=$B31,'Pivot Table for acq weekly'!$A:$A=$A"&amp;"31)/$C31)"),"#N/A")</f>
        <v>#N/A</v>
      </c>
      <c r="P31" s="58" t="str">
        <f>IFERROR(__xludf.DUMMYFUNCTION("IF(FILTER('Pivot Table for acq weekly'!P:P,'Pivot Table for acq weekly'!$B:$B=$B31,'Pivot Table for acq weekly'!$A:$A=$A31)/$C31 = 0,"""",FILTER('Pivot Table for acq weekly'!P:P,'Pivot Table for acq weekly'!$B:$B=$B31,'Pivot Table for acq weekly'!$A:$A=$A"&amp;"31)/$C31)"),"#N/A")</f>
        <v>#N/A</v>
      </c>
      <c r="Q31" s="58" t="str">
        <f>IFERROR(__xludf.DUMMYFUNCTION("IF(FILTER('Pivot Table for acq weekly'!Q:Q,'Pivot Table for acq weekly'!$B:$B=$B31,'Pivot Table for acq weekly'!$A:$A=$A31)/$C31 = 0,"""",FILTER('Pivot Table for acq weekly'!Q:Q,'Pivot Table for acq weekly'!$B:$B=$B31,'Pivot Table for acq weekly'!$A:$A=$A"&amp;"31)/$C31)"),"#N/A")</f>
        <v>#N/A</v>
      </c>
      <c r="R31" s="58" t="str">
        <f>IFERROR(__xludf.DUMMYFUNCTION("IF(FILTER('Pivot Table for acq weekly'!R:R,'Pivot Table for acq weekly'!$B:$B=$B31,'Pivot Table for acq weekly'!$A:$A=$A31)/$C31 = 0,"""",FILTER('Pivot Table for acq weekly'!R:R,'Pivot Table for acq weekly'!$B:$B=$B31,'Pivot Table for acq weekly'!$A:$A=$A"&amp;"31)/$C31)"),"#N/A")</f>
        <v>#N/A</v>
      </c>
      <c r="S31" s="58" t="str">
        <f>IFERROR(__xludf.DUMMYFUNCTION("IF(FILTER('Pivot Table for acq weekly'!S:S,'Pivot Table for acq weekly'!$B:$B=$B31,'Pivot Table for acq weekly'!$A:$A=$A31)/$C31 = 0,"""",FILTER('Pivot Table for acq weekly'!S:S,'Pivot Table for acq weekly'!$B:$B=$B31,'Pivot Table for acq weekly'!$A:$A=$A"&amp;"31)/$C31)"),"#N/A")</f>
        <v>#N/A</v>
      </c>
      <c r="T31" s="58" t="str">
        <f>IFERROR(__xludf.DUMMYFUNCTION("IF(FILTER('Pivot Table for acq weekly'!T:T,'Pivot Table for acq weekly'!$B:$B=$B31,'Pivot Table for acq weekly'!$A:$A=$A31)/$C31 = 0,"""",FILTER('Pivot Table for acq weekly'!T:T,'Pivot Table for acq weekly'!$B:$B=$B31,'Pivot Table for acq weekly'!$A:$A=$A"&amp;"31)/$C31)"),"#N/A")</f>
        <v>#N/A</v>
      </c>
      <c r="U31" s="58" t="str">
        <f>IFERROR(__xludf.DUMMYFUNCTION("IF(FILTER('Pivot Table for acq weekly'!U:U,'Pivot Table for acq weekly'!$B:$B=$B31,'Pivot Table for acq weekly'!$A:$A=$A31)/$C31 = 0,"""",FILTER('Pivot Table for acq weekly'!U:U,'Pivot Table for acq weekly'!$B:$B=$B31,'Pivot Table for acq weekly'!$A:$A=$A"&amp;"31)/$C31)"),"#N/A")</f>
        <v>#N/A</v>
      </c>
      <c r="V31" s="58" t="str">
        <f>IFERROR(__xludf.DUMMYFUNCTION("IF(FILTER('Pivot Table for acq weekly'!V:V,'Pivot Table for acq weekly'!$B:$B=$B31,'Pivot Table for acq weekly'!$A:$A=$A31)/$C31 = 0,"""",FILTER('Pivot Table for acq weekly'!V:V,'Pivot Table for acq weekly'!$B:$B=$B31,'Pivot Table for acq weekly'!$A:$A=$A"&amp;"31)/$C31)"),"#N/A")</f>
        <v>#N/A</v>
      </c>
      <c r="W31" s="58" t="str">
        <f>IFERROR(__xludf.DUMMYFUNCTION("IF(FILTER('Pivot Table for acq weekly'!W:W,'Pivot Table for acq weekly'!$B:$B=$B31,'Pivot Table for acq weekly'!$A:$A=$A31)/$C31 = 0,"""",FILTER('Pivot Table for acq weekly'!W:W,'Pivot Table for acq weekly'!$B:$B=$B31,'Pivot Table for acq weekly'!$A:$A=$A"&amp;"31)/$C31)"),"#N/A")</f>
        <v>#N/A</v>
      </c>
      <c r="X31" s="58" t="str">
        <f>IFERROR(__xludf.DUMMYFUNCTION("IF(FILTER('Pivot Table for acq weekly'!X:X,'Pivot Table for acq weekly'!$B:$B=$B31,'Pivot Table for acq weekly'!$A:$A=$A31)/$C31 = 0,"""",FILTER('Pivot Table for acq weekly'!X:X,'Pivot Table for acq weekly'!$B:$B=$B31,'Pivot Table for acq weekly'!$A:$A=$A"&amp;"31)/$C31)"),"#N/A")</f>
        <v>#N/A</v>
      </c>
      <c r="Y31" s="58" t="str">
        <f>IFERROR(__xludf.DUMMYFUNCTION("IF(FILTER('Pivot Table for acq weekly'!Y:Y,'Pivot Table for acq weekly'!$B:$B=$B31,'Pivot Table for acq weekly'!$A:$A=$A31)/$C31 = 0,"""",FILTER('Pivot Table for acq weekly'!Y:Y,'Pivot Table for acq weekly'!$B:$B=$B31,'Pivot Table for acq weekly'!$A:$A=$A"&amp;"31)/$C31)"),"#N/A")</f>
        <v>#N/A</v>
      </c>
    </row>
    <row r="32" hidden="1">
      <c r="A32" s="56">
        <v>6.0</v>
      </c>
      <c r="B32" s="30">
        <v>43282.0</v>
      </c>
      <c r="C32" s="57" t="str">
        <f>IFERROR(__xludf.DUMMYFUNCTION("FILTER('Pivot Table for acq weekly'!C:C,'Pivot Table for acq weekly'!$B:$B=$B32,'Pivot Table for acq weekly'!$A:$A=$A32)"),"#N/A")</f>
        <v>#N/A</v>
      </c>
      <c r="D32" s="58" t="str">
        <f>IFERROR(__xludf.DUMMYFUNCTION("IF(FILTER('Pivot Table for acq weekly'!D:D,'Pivot Table for acq weekly'!$B:$B=$B32,'Pivot Table for acq weekly'!$A:$A=$A32)/$C32 = 0,"""",FILTER('Pivot Table for acq weekly'!D:D,'Pivot Table for acq weekly'!$B:$B=$B32,'Pivot Table for acq weekly'!$A:$A=$A"&amp;"32)/$C32)"),"#N/A")</f>
        <v>#N/A</v>
      </c>
      <c r="E32" s="58" t="str">
        <f>IFERROR(__xludf.DUMMYFUNCTION("IF(FILTER('Pivot Table for acq weekly'!E:E,'Pivot Table for acq weekly'!$B:$B=$B32,'Pivot Table for acq weekly'!$A:$A=$A32)/$C32 = 0,"""",FILTER('Pivot Table for acq weekly'!E:E,'Pivot Table for acq weekly'!$B:$B=$B32,'Pivot Table for acq weekly'!$A:$A=$A"&amp;"32)/$C32)"),"#N/A")</f>
        <v>#N/A</v>
      </c>
      <c r="F32" s="58" t="str">
        <f>IFERROR(__xludf.DUMMYFUNCTION("IF(FILTER('Pivot Table for acq weekly'!F:F,'Pivot Table for acq weekly'!$B:$B=$B32,'Pivot Table for acq weekly'!$A:$A=$A32)/$C32 = 0,"""",FILTER('Pivot Table for acq weekly'!F:F,'Pivot Table for acq weekly'!$B:$B=$B32,'Pivot Table for acq weekly'!$A:$A=$A"&amp;"32)/$C32)"),"#N/A")</f>
        <v>#N/A</v>
      </c>
      <c r="G32" s="58" t="str">
        <f>IFERROR(__xludf.DUMMYFUNCTION("IF(FILTER('Pivot Table for acq weekly'!G:G,'Pivot Table for acq weekly'!$B:$B=$B32,'Pivot Table for acq weekly'!$A:$A=$A32)/$C32 = 0,"""",FILTER('Pivot Table for acq weekly'!G:G,'Pivot Table for acq weekly'!$B:$B=$B32,'Pivot Table for acq weekly'!$A:$A=$A"&amp;"32)/$C32)"),"#N/A")</f>
        <v>#N/A</v>
      </c>
      <c r="H32" s="58" t="str">
        <f>IFERROR(__xludf.DUMMYFUNCTION("IF(FILTER('Pivot Table for acq weekly'!H:H,'Pivot Table for acq weekly'!$B:$B=$B32,'Pivot Table for acq weekly'!$A:$A=$A32)/$C32 = 0,"""",FILTER('Pivot Table for acq weekly'!H:H,'Pivot Table for acq weekly'!$B:$B=$B32,'Pivot Table for acq weekly'!$A:$A=$A"&amp;"32)/$C32)"),"#N/A")</f>
        <v>#N/A</v>
      </c>
      <c r="I32" s="58" t="str">
        <f>IFERROR(__xludf.DUMMYFUNCTION("IF(FILTER('Pivot Table for acq weekly'!I:I,'Pivot Table for acq weekly'!$B:$B=$B32,'Pivot Table for acq weekly'!$A:$A=$A32)/$C32 = 0,"""",FILTER('Pivot Table for acq weekly'!I:I,'Pivot Table for acq weekly'!$B:$B=$B32,'Pivot Table for acq weekly'!$A:$A=$A"&amp;"32)/$C32)"),"#N/A")</f>
        <v>#N/A</v>
      </c>
      <c r="J32" s="58" t="str">
        <f>IFERROR(__xludf.DUMMYFUNCTION("IF(FILTER('Pivot Table for acq weekly'!J:J,'Pivot Table for acq weekly'!$B:$B=$B32,'Pivot Table for acq weekly'!$A:$A=$A32)/$C32 = 0,"""",FILTER('Pivot Table for acq weekly'!J:J,'Pivot Table for acq weekly'!$B:$B=$B32,'Pivot Table for acq weekly'!$A:$A=$A"&amp;"32)/$C32)"),"#N/A")</f>
        <v>#N/A</v>
      </c>
      <c r="K32" s="58" t="str">
        <f>IFERROR(__xludf.DUMMYFUNCTION("IF(FILTER('Pivot Table for acq weekly'!K:K,'Pivot Table for acq weekly'!$B:$B=$B32,'Pivot Table for acq weekly'!$A:$A=$A32)/$C32 = 0,"""",FILTER('Pivot Table for acq weekly'!K:K,'Pivot Table for acq weekly'!$B:$B=$B32,'Pivot Table for acq weekly'!$A:$A=$A"&amp;"32)/$C32)"),"#N/A")</f>
        <v>#N/A</v>
      </c>
      <c r="L32" s="58" t="str">
        <f>IFERROR(__xludf.DUMMYFUNCTION("IF(FILTER('Pivot Table for acq weekly'!L:L,'Pivot Table for acq weekly'!$B:$B=$B32,'Pivot Table for acq weekly'!$A:$A=$A32)/$C32 = 0,"""",FILTER('Pivot Table for acq weekly'!L:L,'Pivot Table for acq weekly'!$B:$B=$B32,'Pivot Table for acq weekly'!$A:$A=$A"&amp;"32)/$C32)"),"#N/A")</f>
        <v>#N/A</v>
      </c>
      <c r="M32" s="58" t="str">
        <f>IFERROR(__xludf.DUMMYFUNCTION("IF(FILTER('Pivot Table for acq weekly'!M:M,'Pivot Table for acq weekly'!$B:$B=$B32,'Pivot Table for acq weekly'!$A:$A=$A32)/$C32 = 0,"""",FILTER('Pivot Table for acq weekly'!M:M,'Pivot Table for acq weekly'!$B:$B=$B32,'Pivot Table for acq weekly'!$A:$A=$A"&amp;"32)/$C32)"),"#N/A")</f>
        <v>#N/A</v>
      </c>
      <c r="N32" s="58" t="str">
        <f>IFERROR(__xludf.DUMMYFUNCTION("IF(FILTER('Pivot Table for acq weekly'!N:N,'Pivot Table for acq weekly'!$B:$B=$B32,'Pivot Table for acq weekly'!$A:$A=$A32)/$C32 = 0,"""",FILTER('Pivot Table for acq weekly'!N:N,'Pivot Table for acq weekly'!$B:$B=$B32,'Pivot Table for acq weekly'!$A:$A=$A"&amp;"32)/$C32)"),"#N/A")</f>
        <v>#N/A</v>
      </c>
      <c r="O32" s="58" t="str">
        <f>IFERROR(__xludf.DUMMYFUNCTION("IF(FILTER('Pivot Table for acq weekly'!O:O,'Pivot Table for acq weekly'!$B:$B=$B32,'Pivot Table for acq weekly'!$A:$A=$A32)/$C32 = 0,"""",FILTER('Pivot Table for acq weekly'!O:O,'Pivot Table for acq weekly'!$B:$B=$B32,'Pivot Table for acq weekly'!$A:$A=$A"&amp;"32)/$C32)"),"#N/A")</f>
        <v>#N/A</v>
      </c>
      <c r="P32" s="58" t="str">
        <f>IFERROR(__xludf.DUMMYFUNCTION("IF(FILTER('Pivot Table for acq weekly'!P:P,'Pivot Table for acq weekly'!$B:$B=$B32,'Pivot Table for acq weekly'!$A:$A=$A32)/$C32 = 0,"""",FILTER('Pivot Table for acq weekly'!P:P,'Pivot Table for acq weekly'!$B:$B=$B32,'Pivot Table for acq weekly'!$A:$A=$A"&amp;"32)/$C32)"),"#N/A")</f>
        <v>#N/A</v>
      </c>
      <c r="Q32" s="58" t="str">
        <f>IFERROR(__xludf.DUMMYFUNCTION("IF(FILTER('Pivot Table for acq weekly'!Q:Q,'Pivot Table for acq weekly'!$B:$B=$B32,'Pivot Table for acq weekly'!$A:$A=$A32)/$C32 = 0,"""",FILTER('Pivot Table for acq weekly'!Q:Q,'Pivot Table for acq weekly'!$B:$B=$B32,'Pivot Table for acq weekly'!$A:$A=$A"&amp;"32)/$C32)"),"#N/A")</f>
        <v>#N/A</v>
      </c>
      <c r="R32" s="58" t="str">
        <f>IFERROR(__xludf.DUMMYFUNCTION("IF(FILTER('Pivot Table for acq weekly'!R:R,'Pivot Table for acq weekly'!$B:$B=$B32,'Pivot Table for acq weekly'!$A:$A=$A32)/$C32 = 0,"""",FILTER('Pivot Table for acq weekly'!R:R,'Pivot Table for acq weekly'!$B:$B=$B32,'Pivot Table for acq weekly'!$A:$A=$A"&amp;"32)/$C32)"),"#N/A")</f>
        <v>#N/A</v>
      </c>
      <c r="S32" s="58" t="str">
        <f>IFERROR(__xludf.DUMMYFUNCTION("IF(FILTER('Pivot Table for acq weekly'!S:S,'Pivot Table for acq weekly'!$B:$B=$B32,'Pivot Table for acq weekly'!$A:$A=$A32)/$C32 = 0,"""",FILTER('Pivot Table for acq weekly'!S:S,'Pivot Table for acq weekly'!$B:$B=$B32,'Pivot Table for acq weekly'!$A:$A=$A"&amp;"32)/$C32)"),"#N/A")</f>
        <v>#N/A</v>
      </c>
      <c r="T32" s="58" t="str">
        <f>IFERROR(__xludf.DUMMYFUNCTION("IF(FILTER('Pivot Table for acq weekly'!T:T,'Pivot Table for acq weekly'!$B:$B=$B32,'Pivot Table for acq weekly'!$A:$A=$A32)/$C32 = 0,"""",FILTER('Pivot Table for acq weekly'!T:T,'Pivot Table for acq weekly'!$B:$B=$B32,'Pivot Table for acq weekly'!$A:$A=$A"&amp;"32)/$C32)"),"#N/A")</f>
        <v>#N/A</v>
      </c>
      <c r="U32" s="58" t="str">
        <f>IFERROR(__xludf.DUMMYFUNCTION("IF(FILTER('Pivot Table for acq weekly'!U:U,'Pivot Table for acq weekly'!$B:$B=$B32,'Pivot Table for acq weekly'!$A:$A=$A32)/$C32 = 0,"""",FILTER('Pivot Table for acq weekly'!U:U,'Pivot Table for acq weekly'!$B:$B=$B32,'Pivot Table for acq weekly'!$A:$A=$A"&amp;"32)/$C32)"),"#N/A")</f>
        <v>#N/A</v>
      </c>
      <c r="V32" s="58" t="str">
        <f>IFERROR(__xludf.DUMMYFUNCTION("IF(FILTER('Pivot Table for acq weekly'!V:V,'Pivot Table for acq weekly'!$B:$B=$B32,'Pivot Table for acq weekly'!$A:$A=$A32)/$C32 = 0,"""",FILTER('Pivot Table for acq weekly'!V:V,'Pivot Table for acq weekly'!$B:$B=$B32,'Pivot Table for acq weekly'!$A:$A=$A"&amp;"32)/$C32)"),"#N/A")</f>
        <v>#N/A</v>
      </c>
      <c r="W32" s="58" t="str">
        <f>IFERROR(__xludf.DUMMYFUNCTION("IF(FILTER('Pivot Table for acq weekly'!W:W,'Pivot Table for acq weekly'!$B:$B=$B32,'Pivot Table for acq weekly'!$A:$A=$A32)/$C32 = 0,"""",FILTER('Pivot Table for acq weekly'!W:W,'Pivot Table for acq weekly'!$B:$B=$B32,'Pivot Table for acq weekly'!$A:$A=$A"&amp;"32)/$C32)"),"#N/A")</f>
        <v>#N/A</v>
      </c>
      <c r="X32" s="58" t="str">
        <f>IFERROR(__xludf.DUMMYFUNCTION("IF(FILTER('Pivot Table for acq weekly'!X:X,'Pivot Table for acq weekly'!$B:$B=$B32,'Pivot Table for acq weekly'!$A:$A=$A32)/$C32 = 0,"""",FILTER('Pivot Table for acq weekly'!X:X,'Pivot Table for acq weekly'!$B:$B=$B32,'Pivot Table for acq weekly'!$A:$A=$A"&amp;"32)/$C32)"),"#N/A")</f>
        <v>#N/A</v>
      </c>
      <c r="Y32" s="58" t="str">
        <f>IFERROR(__xludf.DUMMYFUNCTION("IF(FILTER('Pivot Table for acq weekly'!Y:Y,'Pivot Table for acq weekly'!$B:$B=$B32,'Pivot Table for acq weekly'!$A:$A=$A32)/$C32 = 0,"""",FILTER('Pivot Table for acq weekly'!Y:Y,'Pivot Table for acq weekly'!$B:$B=$B32,'Pivot Table for acq weekly'!$A:$A=$A"&amp;"32)/$C32)"),"#N/A")</f>
        <v>#N/A</v>
      </c>
    </row>
    <row r="33">
      <c r="A33" s="56">
        <v>7.0</v>
      </c>
      <c r="B33" s="30">
        <v>43254.0</v>
      </c>
      <c r="C33" s="57">
        <f>IFERROR(__xludf.DUMMYFUNCTION("FILTER('Pivot Table for acq weekly'!C:C,'Pivot Table for acq weekly'!$B:$B=$B33,'Pivot Table for acq weekly'!$A:$A=$A33)"),448.0)</f>
        <v>448</v>
      </c>
      <c r="D33" s="58">
        <f>IFERROR(__xludf.DUMMYFUNCTION("IF(FILTER('Pivot Table for acq weekly'!D:D,'Pivot Table for acq weekly'!$B:$B=$B33,'Pivot Table for acq weekly'!$A:$A=$A33)/$C33 = 0,"""",FILTER('Pivot Table for acq weekly'!D:D,'Pivot Table for acq weekly'!$B:$B=$B33,'Pivot Table for acq weekly'!$A:$A=$A"&amp;"33)/$C33)"),0.029017857142857144)</f>
        <v>0.02901785714</v>
      </c>
      <c r="E33" s="58">
        <f>IFERROR(__xludf.DUMMYFUNCTION("IF(FILTER('Pivot Table for acq weekly'!E:E,'Pivot Table for acq weekly'!$B:$B=$B33,'Pivot Table for acq weekly'!$A:$A=$A33)/$C33 = 0,"""",FILTER('Pivot Table for acq weekly'!E:E,'Pivot Table for acq weekly'!$B:$B=$B33,'Pivot Table for acq weekly'!$A:$A=$A"&amp;"33)/$C33)"),0.022321428571428572)</f>
        <v>0.02232142857</v>
      </c>
      <c r="F33" s="58">
        <f>IFERROR(__xludf.DUMMYFUNCTION("IF(FILTER('Pivot Table for acq weekly'!F:F,'Pivot Table for acq weekly'!$B:$B=$B33,'Pivot Table for acq weekly'!$A:$A=$A33)/$C33 = 0,"""",FILTER('Pivot Table for acq weekly'!F:F,'Pivot Table for acq weekly'!$B:$B=$B33,'Pivot Table for acq weekly'!$A:$A=$A"&amp;"33)/$C33)"),0.03794642857142857)</f>
        <v>0.03794642857</v>
      </c>
      <c r="G33" s="58">
        <f>IFERROR(__xludf.DUMMYFUNCTION("IF(FILTER('Pivot Table for acq weekly'!G:G,'Pivot Table for acq weekly'!$B:$B=$B33,'Pivot Table for acq weekly'!$A:$A=$A33)/$C33 = 0,"""",FILTER('Pivot Table for acq weekly'!G:G,'Pivot Table for acq weekly'!$B:$B=$B33,'Pivot Table for acq weekly'!$A:$A=$A"&amp;"33)/$C33)"),0.046875)</f>
        <v>0.046875</v>
      </c>
      <c r="H33" s="58">
        <f>IFERROR(__xludf.DUMMYFUNCTION("IF(FILTER('Pivot Table for acq weekly'!H:H,'Pivot Table for acq weekly'!$B:$B=$B33,'Pivot Table for acq weekly'!$A:$A=$A33)/$C33 = 0,"""",FILTER('Pivot Table for acq weekly'!H:H,'Pivot Table for acq weekly'!$B:$B=$B33,'Pivot Table for acq weekly'!$A:$A=$A"&amp;"33)/$C33)"),0.26785714285714285)</f>
        <v>0.2678571429</v>
      </c>
      <c r="I33" s="58">
        <f>IFERROR(__xludf.DUMMYFUNCTION("IF(FILTER('Pivot Table for acq weekly'!I:I,'Pivot Table for acq weekly'!$B:$B=$B33,'Pivot Table for acq weekly'!$A:$A=$A33)/$C33 = 0,"""",FILTER('Pivot Table for acq weekly'!I:I,'Pivot Table for acq weekly'!$B:$B=$B33,'Pivot Table for acq weekly'!$A:$A=$A"&amp;"33)/$C33)"),0.06919642857142858)</f>
        <v>0.06919642857</v>
      </c>
      <c r="J33" s="58">
        <f>IFERROR(__xludf.DUMMYFUNCTION("IF(FILTER('Pivot Table for acq weekly'!J:J,'Pivot Table for acq weekly'!$B:$B=$B33,'Pivot Table for acq weekly'!$A:$A=$A33)/$C33 = 0,"""",FILTER('Pivot Table for acq weekly'!J:J,'Pivot Table for acq weekly'!$B:$B=$B33,'Pivot Table for acq weekly'!$A:$A=$A"&amp;"33)/$C33)"),0.03125)</f>
        <v>0.03125</v>
      </c>
      <c r="K33" s="58">
        <f>IFERROR(__xludf.DUMMYFUNCTION("IF(FILTER('Pivot Table for acq weekly'!K:K,'Pivot Table for acq weekly'!$B:$B=$B33,'Pivot Table for acq weekly'!$A:$A=$A33)/$C33 = 0,"""",FILTER('Pivot Table for acq weekly'!K:K,'Pivot Table for acq weekly'!$B:$B=$B33,'Pivot Table for acq weekly'!$A:$A=$A"&amp;"33)/$C33)"),0.044642857142857144)</f>
        <v>0.04464285714</v>
      </c>
      <c r="L33" s="58">
        <f>IFERROR(__xludf.DUMMYFUNCTION("IF(FILTER('Pivot Table for acq weekly'!L:L,'Pivot Table for acq weekly'!$B:$B=$B33,'Pivot Table for acq weekly'!$A:$A=$A33)/$C33 = 0,"""",FILTER('Pivot Table for acq weekly'!L:L,'Pivot Table for acq weekly'!$B:$B=$B33,'Pivot Table for acq weekly'!$A:$A=$A"&amp;"33)/$C33)"),0.19866071428571427)</f>
        <v>0.1986607143</v>
      </c>
      <c r="M33" s="58">
        <f>IFERROR(__xludf.DUMMYFUNCTION("IF(FILTER('Pivot Table for acq weekly'!M:M,'Pivot Table for acq weekly'!$B:$B=$B33,'Pivot Table for acq weekly'!$A:$A=$A33)/$C33 = 0,"""",FILTER('Pivot Table for acq weekly'!M:M,'Pivot Table for acq weekly'!$B:$B=$B33,'Pivot Table for acq weekly'!$A:$A=$A"&amp;"33)/$C33)"),0.05580357142857143)</f>
        <v>0.05580357143</v>
      </c>
      <c r="N33" s="58">
        <f>IFERROR(__xludf.DUMMYFUNCTION("IF(FILTER('Pivot Table for acq weekly'!N:N,'Pivot Table for acq weekly'!$B:$B=$B33,'Pivot Table for acq weekly'!$A:$A=$A33)/$C33 = 0,"""",FILTER('Pivot Table for acq weekly'!N:N,'Pivot Table for acq weekly'!$B:$B=$B33,'Pivot Table for acq weekly'!$A:$A=$A"&amp;"33)/$C33)"),0.044642857142857144)</f>
        <v>0.04464285714</v>
      </c>
      <c r="O33" s="58">
        <f>IFERROR(__xludf.DUMMYFUNCTION("IF(FILTER('Pivot Table for acq weekly'!O:O,'Pivot Table for acq weekly'!$B:$B=$B33,'Pivot Table for acq weekly'!$A:$A=$A33)/$C33 = 0,"""",FILTER('Pivot Table for acq weekly'!O:O,'Pivot Table for acq weekly'!$B:$B=$B33,'Pivot Table for acq weekly'!$A:$A=$A"&amp;"33)/$C33)"),0.05357142857142857)</f>
        <v>0.05357142857</v>
      </c>
      <c r="P33" s="58">
        <f>IFERROR(__xludf.DUMMYFUNCTION("IF(FILTER('Pivot Table for acq weekly'!P:P,'Pivot Table for acq weekly'!$B:$B=$B33,'Pivot Table for acq weekly'!$A:$A=$A33)/$C33 = 0,"""",FILTER('Pivot Table for acq weekly'!P:P,'Pivot Table for acq weekly'!$B:$B=$B33,'Pivot Table for acq weekly'!$A:$A=$A"&amp;"33)/$C33)"),0.09821428571428571)</f>
        <v>0.09821428571</v>
      </c>
      <c r="Q33" s="58">
        <f>IFERROR(__xludf.DUMMYFUNCTION("IF(FILTER('Pivot Table for acq weekly'!Q:Q,'Pivot Table for acq weekly'!$B:$B=$B33,'Pivot Table for acq weekly'!$A:$A=$A33)/$C33 = 0,"""",FILTER('Pivot Table for acq weekly'!Q:Q,'Pivot Table for acq weekly'!$B:$B=$B33,'Pivot Table for acq weekly'!$A:$A=$A"&amp;"33)/$C33)"),0.08928571428571429)</f>
        <v>0.08928571429</v>
      </c>
      <c r="R33" s="58">
        <f>IFERROR(__xludf.DUMMYFUNCTION("IF(FILTER('Pivot Table for acq weekly'!R:R,'Pivot Table for acq weekly'!$B:$B=$B33,'Pivot Table for acq weekly'!$A:$A=$A33)/$C33 = 0,"""",FILTER('Pivot Table for acq weekly'!R:R,'Pivot Table for acq weekly'!$B:$B=$B33,'Pivot Table for acq weekly'!$A:$A=$A"&amp;"33)/$C33)"),0.05133928571428571)</f>
        <v>0.05133928571</v>
      </c>
      <c r="S33" s="58">
        <f>IFERROR(__xludf.DUMMYFUNCTION("IF(FILTER('Pivot Table for acq weekly'!S:S,'Pivot Table for acq weekly'!$B:$B=$B33,'Pivot Table for acq weekly'!$A:$A=$A33)/$C33 = 0,"""",FILTER('Pivot Table for acq weekly'!S:S,'Pivot Table for acq weekly'!$B:$B=$B33,'Pivot Table for acq weekly'!$A:$A=$A"&amp;"33)/$C33)"),0.046875)</f>
        <v>0.046875</v>
      </c>
      <c r="T33" s="58">
        <f>IFERROR(__xludf.DUMMYFUNCTION("IF(FILTER('Pivot Table for acq weekly'!T:T,'Pivot Table for acq weekly'!$B:$B=$B33,'Pivot Table for acq weekly'!$A:$A=$A33)/$C33 = 0,"""",FILTER('Pivot Table for acq weekly'!T:T,'Pivot Table for acq weekly'!$B:$B=$B33,'Pivot Table for acq weekly'!$A:$A=$A"&amp;"33)/$C33)"),0.05580357142857143)</f>
        <v>0.05580357143</v>
      </c>
      <c r="U33" s="58">
        <f>IFERROR(__xludf.DUMMYFUNCTION("IF(FILTER('Pivot Table for acq weekly'!U:U,'Pivot Table for acq weekly'!$B:$B=$B33,'Pivot Table for acq weekly'!$A:$A=$A33)/$C33 = 0,"""",FILTER('Pivot Table for acq weekly'!U:U,'Pivot Table for acq weekly'!$B:$B=$B33,'Pivot Table for acq weekly'!$A:$A=$A"&amp;"33)/$C33)"),0.09598214285714286)</f>
        <v>0.09598214286</v>
      </c>
      <c r="V33" s="58">
        <f>IFERROR(__xludf.DUMMYFUNCTION("IF(FILTER('Pivot Table for acq weekly'!V:V,'Pivot Table for acq weekly'!$B:$B=$B33,'Pivot Table for acq weekly'!$A:$A=$A33)/$C33 = 0,"""",FILTER('Pivot Table for acq weekly'!V:V,'Pivot Table for acq weekly'!$B:$B=$B33,'Pivot Table for acq weekly'!$A:$A=$A"&amp;"33)/$C33)"),0.03125)</f>
        <v>0.03125</v>
      </c>
      <c r="W33" s="58">
        <f>IFERROR(__xludf.DUMMYFUNCTION("IF(FILTER('Pivot Table for acq weekly'!W:W,'Pivot Table for acq weekly'!$B:$B=$B33,'Pivot Table for acq weekly'!$A:$A=$A33)/$C33 = 0,"""",FILTER('Pivot Table for acq weekly'!W:W,'Pivot Table for acq weekly'!$B:$B=$B33,'Pivot Table for acq weekly'!$A:$A=$A"&amp;"33)/$C33)"),0.05357142857142857)</f>
        <v>0.05357142857</v>
      </c>
      <c r="X33" s="58">
        <f>IFERROR(__xludf.DUMMYFUNCTION("IF(FILTER('Pivot Table for acq weekly'!X:X,'Pivot Table for acq weekly'!$B:$B=$B33,'Pivot Table for acq weekly'!$A:$A=$A33)/$C33 = 0,"""",FILTER('Pivot Table for acq weekly'!X:X,'Pivot Table for acq weekly'!$B:$B=$B33,'Pivot Table for acq weekly'!$A:$A=$A"&amp;"33)/$C33)"),0.05133928571428571)</f>
        <v>0.05133928571</v>
      </c>
      <c r="Y33" s="58">
        <f>IFERROR(__xludf.DUMMYFUNCTION("IF(FILTER('Pivot Table for acq weekly'!Y:Y,'Pivot Table for acq weekly'!$B:$B=$B33,'Pivot Table for acq weekly'!$A:$A=$A33)/$C33 = 0,"""",FILTER('Pivot Table for acq weekly'!Y:Y,'Pivot Table for acq weekly'!$B:$B=$B33,'Pivot Table for acq weekly'!$A:$A=$A"&amp;"33)/$C33)"),0.026785714285714284)</f>
        <v>0.02678571429</v>
      </c>
    </row>
    <row r="34">
      <c r="A34" s="56">
        <v>7.0</v>
      </c>
      <c r="B34" s="30">
        <v>43261.0</v>
      </c>
      <c r="C34" s="57">
        <f>IFERROR(__xludf.DUMMYFUNCTION("FILTER('Pivot Table for acq weekly'!C:C,'Pivot Table for acq weekly'!$B:$B=$B34,'Pivot Table for acq weekly'!$A:$A=$A34)"),1184.0)</f>
        <v>1184</v>
      </c>
      <c r="D34" s="58">
        <f>IFERROR(__xludf.DUMMYFUNCTION("IF(FILTER('Pivot Table for acq weekly'!D:D,'Pivot Table for acq weekly'!$B:$B=$B34,'Pivot Table for acq weekly'!$A:$A=$A34)/$C34 = 0,"""",FILTER('Pivot Table for acq weekly'!D:D,'Pivot Table for acq weekly'!$B:$B=$B34,'Pivot Table for acq weekly'!$A:$A=$A"&amp;"34)/$C34)"),0.02364864864864865)</f>
        <v>0.02364864865</v>
      </c>
      <c r="E34" s="58">
        <f>IFERROR(__xludf.DUMMYFUNCTION("IF(FILTER('Pivot Table for acq weekly'!E:E,'Pivot Table for acq weekly'!$B:$B=$B34,'Pivot Table for acq weekly'!$A:$A=$A34)/$C34 = 0,"""",FILTER('Pivot Table for acq weekly'!E:E,'Pivot Table for acq weekly'!$B:$B=$B34,'Pivot Table for acq weekly'!$A:$A=$A"&amp;"34)/$C34)"),0.026182432432432432)</f>
        <v>0.02618243243</v>
      </c>
      <c r="F34" s="58">
        <f>IFERROR(__xludf.DUMMYFUNCTION("IF(FILTER('Pivot Table for acq weekly'!F:F,'Pivot Table for acq weekly'!$B:$B=$B34,'Pivot Table for acq weekly'!$A:$A=$A34)/$C34 = 0,"""",FILTER('Pivot Table for acq weekly'!F:F,'Pivot Table for acq weekly'!$B:$B=$B34,'Pivot Table for acq weekly'!$A:$A=$A"&amp;"34)/$C34)"),0.06503378378378379)</f>
        <v>0.06503378378</v>
      </c>
      <c r="G34" s="58">
        <f>IFERROR(__xludf.DUMMYFUNCTION("IF(FILTER('Pivot Table for acq weekly'!G:G,'Pivot Table for acq weekly'!$B:$B=$B34,'Pivot Table for acq weekly'!$A:$A=$A34)/$C34 = 0,"""",FILTER('Pivot Table for acq weekly'!G:G,'Pivot Table for acq weekly'!$B:$B=$B34,'Pivot Table for acq weekly'!$A:$A=$A"&amp;"34)/$C34)"),0.23986486486486486)</f>
        <v>0.2398648649</v>
      </c>
      <c r="H34" s="58">
        <f>IFERROR(__xludf.DUMMYFUNCTION("IF(FILTER('Pivot Table for acq weekly'!H:H,'Pivot Table for acq weekly'!$B:$B=$B34,'Pivot Table for acq weekly'!$A:$A=$A34)/$C34 = 0,"""",FILTER('Pivot Table for acq weekly'!H:H,'Pivot Table for acq weekly'!$B:$B=$B34,'Pivot Table for acq weekly'!$A:$A=$A"&amp;"34)/$C34)"),0.11317567567567567)</f>
        <v>0.1131756757</v>
      </c>
      <c r="I34" s="58">
        <f>IFERROR(__xludf.DUMMYFUNCTION("IF(FILTER('Pivot Table for acq weekly'!I:I,'Pivot Table for acq weekly'!$B:$B=$B34,'Pivot Table for acq weekly'!$A:$A=$A34)/$C34 = 0,"""",FILTER('Pivot Table for acq weekly'!I:I,'Pivot Table for acq weekly'!$B:$B=$B34,'Pivot Table for acq weekly'!$A:$A=$A"&amp;"34)/$C34)"),0.03885135135135135)</f>
        <v>0.03885135135</v>
      </c>
      <c r="J34" s="58">
        <f>IFERROR(__xludf.DUMMYFUNCTION("IF(FILTER('Pivot Table for acq weekly'!J:J,'Pivot Table for acq weekly'!$B:$B=$B34,'Pivot Table for acq weekly'!$A:$A=$A34)/$C34 = 0,"""",FILTER('Pivot Table for acq weekly'!J:J,'Pivot Table for acq weekly'!$B:$B=$B34,'Pivot Table for acq weekly'!$A:$A=$A"&amp;"34)/$C34)"),0.041385135135135136)</f>
        <v>0.04138513514</v>
      </c>
      <c r="K34" s="58">
        <f>IFERROR(__xludf.DUMMYFUNCTION("IF(FILTER('Pivot Table for acq weekly'!K:K,'Pivot Table for acq weekly'!$B:$B=$B34,'Pivot Table for acq weekly'!$A:$A=$A34)/$C34 = 0,"""",FILTER('Pivot Table for acq weekly'!K:K,'Pivot Table for acq weekly'!$B:$B=$B34,'Pivot Table for acq weekly'!$A:$A=$A"&amp;"34)/$C34)"),0.12331081081081081)</f>
        <v>0.1233108108</v>
      </c>
      <c r="L34" s="58">
        <f>IFERROR(__xludf.DUMMYFUNCTION("IF(FILTER('Pivot Table for acq weekly'!L:L,'Pivot Table for acq weekly'!$B:$B=$B34,'Pivot Table for acq weekly'!$A:$A=$A34)/$C34 = 0,"""",FILTER('Pivot Table for acq weekly'!L:L,'Pivot Table for acq weekly'!$B:$B=$B34,'Pivot Table for acq weekly'!$A:$A=$A"&amp;"34)/$C34)"),0.13851351351351351)</f>
        <v>0.1385135135</v>
      </c>
      <c r="M34" s="58">
        <f>IFERROR(__xludf.DUMMYFUNCTION("IF(FILTER('Pivot Table for acq weekly'!M:M,'Pivot Table for acq weekly'!$B:$B=$B34,'Pivot Table for acq weekly'!$A:$A=$A34)/$C34 = 0,"""",FILTER('Pivot Table for acq weekly'!M:M,'Pivot Table for acq weekly'!$B:$B=$B34,'Pivot Table for acq weekly'!$A:$A=$A"&amp;"34)/$C34)"),0.05067567567567568)</f>
        <v>0.05067567568</v>
      </c>
      <c r="N34" s="58">
        <f>IFERROR(__xludf.DUMMYFUNCTION("IF(FILTER('Pivot Table for acq weekly'!N:N,'Pivot Table for acq weekly'!$B:$B=$B34,'Pivot Table for acq weekly'!$A:$A=$A34)/$C34 = 0,"""",FILTER('Pivot Table for acq weekly'!N:N,'Pivot Table for acq weekly'!$B:$B=$B34,'Pivot Table for acq weekly'!$A:$A=$A"&amp;"34)/$C34)"),0.05067567567567568)</f>
        <v>0.05067567568</v>
      </c>
      <c r="O34" s="58">
        <f>IFERROR(__xludf.DUMMYFUNCTION("IF(FILTER('Pivot Table for acq weekly'!O:O,'Pivot Table for acq weekly'!$B:$B=$B34,'Pivot Table for acq weekly'!$A:$A=$A34)/$C34 = 0,"""",FILTER('Pivot Table for acq weekly'!O:O,'Pivot Table for acq weekly'!$B:$B=$B34,'Pivot Table for acq weekly'!$A:$A=$A"&amp;"34)/$C34)"),0.06925675675675676)</f>
        <v>0.06925675676</v>
      </c>
      <c r="P34" s="58">
        <f>IFERROR(__xludf.DUMMYFUNCTION("IF(FILTER('Pivot Table for acq weekly'!P:P,'Pivot Table for acq weekly'!$B:$B=$B34,'Pivot Table for acq weekly'!$A:$A=$A34)/$C34 = 0,"""",FILTER('Pivot Table for acq weekly'!P:P,'Pivot Table for acq weekly'!$B:$B=$B34,'Pivot Table for acq weekly'!$A:$A=$A"&amp;"34)/$C34)"),0.1266891891891892)</f>
        <v>0.1266891892</v>
      </c>
      <c r="Q34" s="58">
        <f>IFERROR(__xludf.DUMMYFUNCTION("IF(FILTER('Pivot Table for acq weekly'!Q:Q,'Pivot Table for acq weekly'!$B:$B=$B34,'Pivot Table for acq weekly'!$A:$A=$A34)/$C34 = 0,"""",FILTER('Pivot Table for acq weekly'!Q:Q,'Pivot Table for acq weekly'!$B:$B=$B34,'Pivot Table for acq weekly'!$A:$A=$A"&amp;"34)/$C34)"),0.059966216216216214)</f>
        <v>0.05996621622</v>
      </c>
      <c r="R34" s="58">
        <f>IFERROR(__xludf.DUMMYFUNCTION("IF(FILTER('Pivot Table for acq weekly'!R:R,'Pivot Table for acq weekly'!$B:$B=$B34,'Pivot Table for acq weekly'!$A:$A=$A34)/$C34 = 0,"""",FILTER('Pivot Table for acq weekly'!R:R,'Pivot Table for acq weekly'!$B:$B=$B34,'Pivot Table for acq weekly'!$A:$A=$A"&amp;"34)/$C34)"),0.026182432432432432)</f>
        <v>0.02618243243</v>
      </c>
      <c r="S34" s="58">
        <f>IFERROR(__xludf.DUMMYFUNCTION("IF(FILTER('Pivot Table for acq weekly'!S:S,'Pivot Table for acq weekly'!$B:$B=$B34,'Pivot Table for acq weekly'!$A:$A=$A34)/$C34 = 0,"""",FILTER('Pivot Table for acq weekly'!S:S,'Pivot Table for acq weekly'!$B:$B=$B34,'Pivot Table for acq weekly'!$A:$A=$A"&amp;"34)/$C34)"),0.05067567567567568)</f>
        <v>0.05067567568</v>
      </c>
      <c r="T34" s="58">
        <f>IFERROR(__xludf.DUMMYFUNCTION("IF(FILTER('Pivot Table for acq weekly'!T:T,'Pivot Table for acq weekly'!$B:$B=$B34,'Pivot Table for acq weekly'!$A:$A=$A34)/$C34 = 0,"""",FILTER('Pivot Table for acq weekly'!T:T,'Pivot Table for acq weekly'!$B:$B=$B34,'Pivot Table for acq weekly'!$A:$A=$A"&amp;"34)/$C34)"),0.08445945945945946)</f>
        <v>0.08445945946</v>
      </c>
      <c r="U34" s="58">
        <f>IFERROR(__xludf.DUMMYFUNCTION("IF(FILTER('Pivot Table for acq weekly'!U:U,'Pivot Table for acq weekly'!$B:$B=$B34,'Pivot Table for acq weekly'!$A:$A=$A34)/$C34 = 0,"""",FILTER('Pivot Table for acq weekly'!U:U,'Pivot Table for acq weekly'!$B:$B=$B34,'Pivot Table for acq weekly'!$A:$A=$A"&amp;"34)/$C34)"),0.07347972972972973)</f>
        <v>0.07347972973</v>
      </c>
      <c r="V34" s="58">
        <f>IFERROR(__xludf.DUMMYFUNCTION("IF(FILTER('Pivot Table for acq weekly'!V:V,'Pivot Table for acq weekly'!$B:$B=$B34,'Pivot Table for acq weekly'!$A:$A=$A34)/$C34 = 0,"""",FILTER('Pivot Table for acq weekly'!V:V,'Pivot Table for acq weekly'!$B:$B=$B34,'Pivot Table for acq weekly'!$A:$A=$A"&amp;"34)/$C34)"),0.04222972972972973)</f>
        <v>0.04222972973</v>
      </c>
      <c r="W34" s="58">
        <f>IFERROR(__xludf.DUMMYFUNCTION("IF(FILTER('Pivot Table for acq weekly'!W:W,'Pivot Table for acq weekly'!$B:$B=$B34,'Pivot Table for acq weekly'!$A:$A=$A34)/$C34 = 0,"""",FILTER('Pivot Table for acq weekly'!W:W,'Pivot Table for acq weekly'!$B:$B=$B34,'Pivot Table for acq weekly'!$A:$A=$A"&amp;"34)/$C34)"),0.04814189189189189)</f>
        <v>0.04814189189</v>
      </c>
      <c r="X34" s="58">
        <f>IFERROR(__xludf.DUMMYFUNCTION("IF(FILTER('Pivot Table for acq weekly'!X:X,'Pivot Table for acq weekly'!$B:$B=$B34,'Pivot Table for acq weekly'!$A:$A=$A34)/$C34 = 0,"""",FILTER('Pivot Table for acq weekly'!X:X,'Pivot Table for acq weekly'!$B:$B=$B34,'Pivot Table for acq weekly'!$A:$A=$A"&amp;"34)/$C34)"),0.015202702702702704)</f>
        <v>0.0152027027</v>
      </c>
      <c r="Y34" s="58" t="str">
        <f>IFERROR(__xludf.DUMMYFUNCTION("IF(FILTER('Pivot Table for acq weekly'!Y:Y,'Pivot Table for acq weekly'!$B:$B=$B34,'Pivot Table for acq weekly'!$A:$A=$A34)/$C34 = 0,"""",FILTER('Pivot Table for acq weekly'!Y:Y,'Pivot Table for acq weekly'!$B:$B=$B34,'Pivot Table for acq weekly'!$A:$A=$A"&amp;"34)/$C34)"),"")</f>
        <v/>
      </c>
    </row>
    <row r="35">
      <c r="A35" s="56">
        <v>7.0</v>
      </c>
      <c r="B35" s="30">
        <v>43268.0</v>
      </c>
      <c r="C35" s="57">
        <f>IFERROR(__xludf.DUMMYFUNCTION("FILTER('Pivot Table for acq weekly'!C:C,'Pivot Table for acq weekly'!$B:$B=$B35,'Pivot Table for acq weekly'!$A:$A=$A35)"),1266.0)</f>
        <v>1266</v>
      </c>
      <c r="D35" s="58">
        <f>IFERROR(__xludf.DUMMYFUNCTION("IF(FILTER('Pivot Table for acq weekly'!D:D,'Pivot Table for acq weekly'!$B:$B=$B35,'Pivot Table for acq weekly'!$A:$A=$A35)/$C35 = 0,"""",FILTER('Pivot Table for acq weekly'!D:D,'Pivot Table for acq weekly'!$B:$B=$B35,'Pivot Table for acq weekly'!$A:$A=$A"&amp;"35)/$C35)"),0.02764612954186414)</f>
        <v>0.02764612954</v>
      </c>
      <c r="E35" s="58">
        <f>IFERROR(__xludf.DUMMYFUNCTION("IF(FILTER('Pivot Table for acq weekly'!E:E,'Pivot Table for acq weekly'!$B:$B=$B35,'Pivot Table for acq weekly'!$A:$A=$A35)/$C35 = 0,"""",FILTER('Pivot Table for acq weekly'!E:E,'Pivot Table for acq weekly'!$B:$B=$B35,'Pivot Table for acq weekly'!$A:$A=$A"&amp;"35)/$C35)"),0.022116903633491312)</f>
        <v>0.02211690363</v>
      </c>
      <c r="F35" s="58">
        <f>IFERROR(__xludf.DUMMYFUNCTION("IF(FILTER('Pivot Table for acq weekly'!F:F,'Pivot Table for acq weekly'!$B:$B=$B35,'Pivot Table for acq weekly'!$A:$A=$A35)/$C35 = 0,"""",FILTER('Pivot Table for acq weekly'!F:F,'Pivot Table for acq weekly'!$B:$B=$B35,'Pivot Table for acq weekly'!$A:$A=$A"&amp;"35)/$C35)"),0.052132701421800945)</f>
        <v>0.05213270142</v>
      </c>
      <c r="G35" s="58">
        <f>IFERROR(__xludf.DUMMYFUNCTION("IF(FILTER('Pivot Table for acq weekly'!G:G,'Pivot Table for acq weekly'!$B:$B=$B35,'Pivot Table for acq weekly'!$A:$A=$A35)/$C35 = 0,"""",FILTER('Pivot Table for acq weekly'!G:G,'Pivot Table for acq weekly'!$B:$B=$B35,'Pivot Table for acq weekly'!$A:$A=$A"&amp;"35)/$C35)"),0.24723538704581358)</f>
        <v>0.247235387</v>
      </c>
      <c r="H35" s="58">
        <f>IFERROR(__xludf.DUMMYFUNCTION("IF(FILTER('Pivot Table for acq weekly'!H:H,'Pivot Table for acq weekly'!$B:$B=$B35,'Pivot Table for acq weekly'!$A:$A=$A35)/$C35 = 0,"""",FILTER('Pivot Table for acq weekly'!H:H,'Pivot Table for acq weekly'!$B:$B=$B35,'Pivot Table for acq weekly'!$A:$A=$A"&amp;"35)/$C35)"),0.11216429699842022)</f>
        <v>0.112164297</v>
      </c>
      <c r="I35" s="58">
        <f>IFERROR(__xludf.DUMMYFUNCTION("IF(FILTER('Pivot Table for acq weekly'!I:I,'Pivot Table for acq weekly'!$B:$B=$B35,'Pivot Table for acq weekly'!$A:$A=$A35)/$C35 = 0,"""",FILTER('Pivot Table for acq weekly'!I:I,'Pivot Table for acq weekly'!$B:$B=$B35,'Pivot Table for acq weekly'!$A:$A=$A"&amp;"35)/$C35)"),0.04344391785150079)</f>
        <v>0.04344391785</v>
      </c>
      <c r="J35" s="58">
        <f>IFERROR(__xludf.DUMMYFUNCTION("IF(FILTER('Pivot Table for acq weekly'!J:J,'Pivot Table for acq weekly'!$B:$B=$B35,'Pivot Table for acq weekly'!$A:$A=$A35)/$C35 = 0,"""",FILTER('Pivot Table for acq weekly'!J:J,'Pivot Table for acq weekly'!$B:$B=$B35,'Pivot Table for acq weekly'!$A:$A=$A"&amp;"35)/$C35)"),0.05924170616113744)</f>
        <v>0.05924170616</v>
      </c>
      <c r="K35" s="58">
        <f>IFERROR(__xludf.DUMMYFUNCTION("IF(FILTER('Pivot Table for acq weekly'!K:K,'Pivot Table for acq weekly'!$B:$B=$B35,'Pivot Table for acq weekly'!$A:$A=$A35)/$C35 = 0,"""",FILTER('Pivot Table for acq weekly'!K:K,'Pivot Table for acq weekly'!$B:$B=$B35,'Pivot Table for acq weekly'!$A:$A=$A"&amp;"35)/$C35)"),0.1334913112164297)</f>
        <v>0.1334913112</v>
      </c>
      <c r="L35" s="58">
        <f>IFERROR(__xludf.DUMMYFUNCTION("IF(FILTER('Pivot Table for acq weekly'!L:L,'Pivot Table for acq weekly'!$B:$B=$B35,'Pivot Table for acq weekly'!$A:$A=$A35)/$C35 = 0,"""",FILTER('Pivot Table for acq weekly'!L:L,'Pivot Table for acq weekly'!$B:$B=$B35,'Pivot Table for acq weekly'!$A:$A=$A"&amp;"35)/$C35)"),0.1287519747235387)</f>
        <v>0.1287519747</v>
      </c>
      <c r="M35" s="58">
        <f>IFERROR(__xludf.DUMMYFUNCTION("IF(FILTER('Pivot Table for acq weekly'!M:M,'Pivot Table for acq weekly'!$B:$B=$B35,'Pivot Table for acq weekly'!$A:$A=$A35)/$C35 = 0,"""",FILTER('Pivot Table for acq weekly'!M:M,'Pivot Table for acq weekly'!$B:$B=$B35,'Pivot Table for acq weekly'!$A:$A=$A"&amp;"35)/$C35)"),0.05292259083728278)</f>
        <v>0.05292259084</v>
      </c>
      <c r="N35" s="58">
        <f>IFERROR(__xludf.DUMMYFUNCTION("IF(FILTER('Pivot Table for acq weekly'!N:N,'Pivot Table for acq weekly'!$B:$B=$B35,'Pivot Table for acq weekly'!$A:$A=$A35)/$C35 = 0,"""",FILTER('Pivot Table for acq weekly'!N:N,'Pivot Table for acq weekly'!$B:$B=$B35,'Pivot Table for acq weekly'!$A:$A=$A"&amp;"35)/$C35)"),0.05134281200631911)</f>
        <v>0.05134281201</v>
      </c>
      <c r="O35" s="58">
        <f>IFERROR(__xludf.DUMMYFUNCTION("IF(FILTER('Pivot Table for acq weekly'!O:O,'Pivot Table for acq weekly'!$B:$B=$B35,'Pivot Table for acq weekly'!$A:$A=$A35)/$C35 = 0,"""",FILTER('Pivot Table for acq weekly'!O:O,'Pivot Table for acq weekly'!$B:$B=$B35,'Pivot Table for acq weekly'!$A:$A=$A"&amp;"35)/$C35)"),0.08609794628751975)</f>
        <v>0.08609794629</v>
      </c>
      <c r="P35" s="58">
        <f>IFERROR(__xludf.DUMMYFUNCTION("IF(FILTER('Pivot Table for acq weekly'!P:P,'Pivot Table for acq weekly'!$B:$B=$B35,'Pivot Table for acq weekly'!$A:$A=$A35)/$C35 = 0,"""",FILTER('Pivot Table for acq weekly'!P:P,'Pivot Table for acq weekly'!$B:$B=$B35,'Pivot Table for acq weekly'!$A:$A=$A"&amp;"35)/$C35)"),0.12322274881516587)</f>
        <v>0.1232227488</v>
      </c>
      <c r="Q35" s="58">
        <f>IFERROR(__xludf.DUMMYFUNCTION("IF(FILTER('Pivot Table for acq weekly'!Q:Q,'Pivot Table for acq weekly'!$B:$B=$B35,'Pivot Table for acq weekly'!$A:$A=$A35)/$C35 = 0,"""",FILTER('Pivot Table for acq weekly'!Q:Q,'Pivot Table for acq weekly'!$B:$B=$B35,'Pivot Table for acq weekly'!$A:$A=$A"&amp;"35)/$C35)"),0.035545023696682464)</f>
        <v>0.0355450237</v>
      </c>
      <c r="R35" s="58">
        <f>IFERROR(__xludf.DUMMYFUNCTION("IF(FILTER('Pivot Table for acq weekly'!R:R,'Pivot Table for acq weekly'!$B:$B=$B35,'Pivot Table for acq weekly'!$A:$A=$A35)/$C35 = 0,"""",FILTER('Pivot Table for acq weekly'!R:R,'Pivot Table for acq weekly'!$B:$B=$B35,'Pivot Table for acq weekly'!$A:$A=$A"&amp;"35)/$C35)"),0.05687203791469194)</f>
        <v>0.05687203791</v>
      </c>
      <c r="S35" s="58">
        <f>IFERROR(__xludf.DUMMYFUNCTION("IF(FILTER('Pivot Table for acq weekly'!S:S,'Pivot Table for acq weekly'!$B:$B=$B35,'Pivot Table for acq weekly'!$A:$A=$A35)/$C35 = 0,"""",FILTER('Pivot Table for acq weekly'!S:S,'Pivot Table for acq weekly'!$B:$B=$B35,'Pivot Table for acq weekly'!$A:$A=$A"&amp;"35)/$C35)"),0.05608214849921011)</f>
        <v>0.0560821485</v>
      </c>
      <c r="T35" s="58">
        <f>IFERROR(__xludf.DUMMYFUNCTION("IF(FILTER('Pivot Table for acq weekly'!T:T,'Pivot Table for acq weekly'!$B:$B=$B35,'Pivot Table for acq weekly'!$A:$A=$A35)/$C35 = 0,"""",FILTER('Pivot Table for acq weekly'!T:T,'Pivot Table for acq weekly'!$B:$B=$B35,'Pivot Table for acq weekly'!$A:$A=$A"&amp;"35)/$C35)"),0.08767772511848342)</f>
        <v>0.08767772512</v>
      </c>
      <c r="U35" s="58">
        <f>IFERROR(__xludf.DUMMYFUNCTION("IF(FILTER('Pivot Table for acq weekly'!U:U,'Pivot Table for acq weekly'!$B:$B=$B35,'Pivot Table for acq weekly'!$A:$A=$A35)/$C35 = 0,"""",FILTER('Pivot Table for acq weekly'!U:U,'Pivot Table for acq weekly'!$B:$B=$B35,'Pivot Table for acq weekly'!$A:$A=$A"&amp;"35)/$C35)"),0.06635071090047394)</f>
        <v>0.0663507109</v>
      </c>
      <c r="V35" s="58">
        <f>IFERROR(__xludf.DUMMYFUNCTION("IF(FILTER('Pivot Table for acq weekly'!V:V,'Pivot Table for acq weekly'!$B:$B=$B35,'Pivot Table for acq weekly'!$A:$A=$A35)/$C35 = 0,"""",FILTER('Pivot Table for acq weekly'!V:V,'Pivot Table for acq weekly'!$B:$B=$B35,'Pivot Table for acq weekly'!$A:$A=$A"&amp;"35)/$C35)"),0.045813586097946286)</f>
        <v>0.0458135861</v>
      </c>
      <c r="W35" s="58">
        <f>IFERROR(__xludf.DUMMYFUNCTION("IF(FILTER('Pivot Table for acq weekly'!W:W,'Pivot Table for acq weekly'!$B:$B=$B35,'Pivot Table for acq weekly'!$A:$A=$A35)/$C35 = 0,"""",FILTER('Pivot Table for acq weekly'!W:W,'Pivot Table for acq weekly'!$B:$B=$B35,'Pivot Table for acq weekly'!$A:$A=$A"&amp;"35)/$C35)"),0.014218009478672985)</f>
        <v>0.01421800948</v>
      </c>
      <c r="X35" s="58" t="str">
        <f>IFERROR(__xludf.DUMMYFUNCTION("IF(FILTER('Pivot Table for acq weekly'!X:X,'Pivot Table for acq weekly'!$B:$B=$B35,'Pivot Table for acq weekly'!$A:$A=$A35)/$C35 = 0,"""",FILTER('Pivot Table for acq weekly'!X:X,'Pivot Table for acq weekly'!$B:$B=$B35,'Pivot Table for acq weekly'!$A:$A=$A"&amp;"35)/$C35)"),"")</f>
        <v/>
      </c>
      <c r="Y35" s="58" t="str">
        <f>IFERROR(__xludf.DUMMYFUNCTION("IF(FILTER('Pivot Table for acq weekly'!Y:Y,'Pivot Table for acq weekly'!$B:$B=$B35,'Pivot Table for acq weekly'!$A:$A=$A35)/$C35 = 0,"""",FILTER('Pivot Table for acq weekly'!Y:Y,'Pivot Table for acq weekly'!$B:$B=$B35,'Pivot Table for acq weekly'!$A:$A=$A"&amp;"35)/$C35)"),"")</f>
        <v/>
      </c>
    </row>
    <row r="36">
      <c r="A36" s="56">
        <v>7.0</v>
      </c>
      <c r="B36" s="30">
        <v>43275.0</v>
      </c>
      <c r="C36" s="57">
        <f>IFERROR(__xludf.DUMMYFUNCTION("FILTER('Pivot Table for acq weekly'!C:C,'Pivot Table for acq weekly'!$B:$B=$B36,'Pivot Table for acq weekly'!$A:$A=$A36)"),1231.0)</f>
        <v>1231</v>
      </c>
      <c r="D36" s="58">
        <f>IFERROR(__xludf.DUMMYFUNCTION("IF(FILTER('Pivot Table for acq weekly'!D:D,'Pivot Table for acq weekly'!$B:$B=$B36,'Pivot Table for acq weekly'!$A:$A=$A36)/$C36 = 0,"""",FILTER('Pivot Table for acq weekly'!D:D,'Pivot Table for acq weekly'!$B:$B=$B36,'Pivot Table for acq weekly'!$A:$A=$A"&amp;"36)/$C36)"),0.022745735174654752)</f>
        <v>0.02274573517</v>
      </c>
      <c r="E36" s="58">
        <f>IFERROR(__xludf.DUMMYFUNCTION("IF(FILTER('Pivot Table for acq weekly'!E:E,'Pivot Table for acq weekly'!$B:$B=$B36,'Pivot Table for acq weekly'!$A:$A=$A36)/$C36 = 0,"""",FILTER('Pivot Table for acq weekly'!E:E,'Pivot Table for acq weekly'!$B:$B=$B36,'Pivot Table for acq weekly'!$A:$A=$A"&amp;"36)/$C36)"),0.02843216896831844)</f>
        <v>0.02843216897</v>
      </c>
      <c r="F36" s="58">
        <f>IFERROR(__xludf.DUMMYFUNCTION("IF(FILTER('Pivot Table for acq weekly'!F:F,'Pivot Table for acq weekly'!$B:$B=$B36,'Pivot Table for acq weekly'!$A:$A=$A36)/$C36 = 0,"""",FILTER('Pivot Table for acq weekly'!F:F,'Pivot Table for acq weekly'!$B:$B=$B36,'Pivot Table for acq weekly'!$A:$A=$A"&amp;"36)/$C36)"),0.06173842404549147)</f>
        <v>0.06173842405</v>
      </c>
      <c r="G36" s="58">
        <f>IFERROR(__xludf.DUMMYFUNCTION("IF(FILTER('Pivot Table for acq weekly'!G:G,'Pivot Table for acq weekly'!$B:$B=$B36,'Pivot Table for acq weekly'!$A:$A=$A36)/$C36 = 0,"""",FILTER('Pivot Table for acq weekly'!G:G,'Pivot Table for acq weekly'!$B:$B=$B36,'Pivot Table for acq weekly'!$A:$A=$A"&amp;"36)/$C36)"),0.21445978878960195)</f>
        <v>0.2144597888</v>
      </c>
      <c r="H36" s="58">
        <f>IFERROR(__xludf.DUMMYFUNCTION("IF(FILTER('Pivot Table for acq weekly'!H:H,'Pivot Table for acq weekly'!$B:$B=$B36,'Pivot Table for acq weekly'!$A:$A=$A36)/$C36 = 0,"""",FILTER('Pivot Table for acq weekly'!H:H,'Pivot Table for acq weekly'!$B:$B=$B36,'Pivot Table for acq weekly'!$A:$A=$A"&amp;"36)/$C36)"),0.12753858651502845)</f>
        <v>0.1275385865</v>
      </c>
      <c r="I36" s="58">
        <f>IFERROR(__xludf.DUMMYFUNCTION("IF(FILTER('Pivot Table for acq weekly'!I:I,'Pivot Table for acq weekly'!$B:$B=$B36,'Pivot Table for acq weekly'!$A:$A=$A36)/$C36 = 0,"""",FILTER('Pivot Table for acq weekly'!I:I,'Pivot Table for acq weekly'!$B:$B=$B36,'Pivot Table for acq weekly'!$A:$A=$A"&amp;"36)/$C36)"),0.047116165718927704)</f>
        <v>0.04711616572</v>
      </c>
      <c r="J36" s="58">
        <f>IFERROR(__xludf.DUMMYFUNCTION("IF(FILTER('Pivot Table for acq weekly'!J:J,'Pivot Table for acq weekly'!$B:$B=$B36,'Pivot Table for acq weekly'!$A:$A=$A36)/$C36 = 0,"""",FILTER('Pivot Table for acq weekly'!J:J,'Pivot Table for acq weekly'!$B:$B=$B36,'Pivot Table for acq weekly'!$A:$A=$A"&amp;"36)/$C36)"),0.05280259951259139)</f>
        <v>0.05280259951</v>
      </c>
      <c r="K36" s="58">
        <f>IFERROR(__xludf.DUMMYFUNCTION("IF(FILTER('Pivot Table for acq weekly'!K:K,'Pivot Table for acq weekly'!$B:$B=$B36,'Pivot Table for acq weekly'!$A:$A=$A36)/$C36 = 0,"""",FILTER('Pivot Table for acq weekly'!K:K,'Pivot Table for acq weekly'!$B:$B=$B36,'Pivot Table for acq weekly'!$A:$A=$A"&amp;"36)/$C36)"),0.13809910641754672)</f>
        <v>0.1380991064</v>
      </c>
      <c r="L36" s="58">
        <f>IFERROR(__xludf.DUMMYFUNCTION("IF(FILTER('Pivot Table for acq weekly'!L:L,'Pivot Table for acq weekly'!$B:$B=$B36,'Pivot Table for acq weekly'!$A:$A=$A36)/$C36 = 0,"""",FILTER('Pivot Table for acq weekly'!L:L,'Pivot Table for acq weekly'!$B:$B=$B36,'Pivot Table for acq weekly'!$A:$A=$A"&amp;"36)/$C36)"),0.12347684809098294)</f>
        <v>0.1234768481</v>
      </c>
      <c r="M36" s="58">
        <f>IFERROR(__xludf.DUMMYFUNCTION("IF(FILTER('Pivot Table for acq weekly'!M:M,'Pivot Table for acq weekly'!$B:$B=$B36,'Pivot Table for acq weekly'!$A:$A=$A36)/$C36 = 0,"""",FILTER('Pivot Table for acq weekly'!M:M,'Pivot Table for acq weekly'!$B:$B=$B36,'Pivot Table for acq weekly'!$A:$A=$A"&amp;"36)/$C36)"),0.06011372867587327)</f>
        <v>0.06011372868</v>
      </c>
      <c r="N36" s="58">
        <f>IFERROR(__xludf.DUMMYFUNCTION("IF(FILTER('Pivot Table for acq weekly'!N:N,'Pivot Table for acq weekly'!$B:$B=$B36,'Pivot Table for acq weekly'!$A:$A=$A36)/$C36 = 0,"""",FILTER('Pivot Table for acq weekly'!N:N,'Pivot Table for acq weekly'!$B:$B=$B36,'Pivot Table for acq weekly'!$A:$A=$A"&amp;"36)/$C36)"),0.05199025182778229)</f>
        <v>0.05199025183</v>
      </c>
      <c r="O36" s="58">
        <f>IFERROR(__xludf.DUMMYFUNCTION("IF(FILTER('Pivot Table for acq weekly'!O:O,'Pivot Table for acq weekly'!$B:$B=$B36,'Pivot Table for acq weekly'!$A:$A=$A36)/$C36 = 0,"""",FILTER('Pivot Table for acq weekly'!O:O,'Pivot Table for acq weekly'!$B:$B=$B36,'Pivot Table for acq weekly'!$A:$A=$A"&amp;"36)/$C36)"),0.05117790414297319)</f>
        <v>0.05117790414</v>
      </c>
      <c r="P36" s="58">
        <f>IFERROR(__xludf.DUMMYFUNCTION("IF(FILTER('Pivot Table for acq weekly'!P:P,'Pivot Table for acq weekly'!$B:$B=$B36,'Pivot Table for acq weekly'!$A:$A=$A36)/$C36 = 0,"""",FILTER('Pivot Table for acq weekly'!P:P,'Pivot Table for acq weekly'!$B:$B=$B36,'Pivot Table for acq weekly'!$A:$A=$A"&amp;"36)/$C36)"),0.10804224207961008)</f>
        <v>0.1080422421</v>
      </c>
      <c r="Q36" s="58">
        <f>IFERROR(__xludf.DUMMYFUNCTION("IF(FILTER('Pivot Table for acq weekly'!Q:Q,'Pivot Table for acq weekly'!$B:$B=$B36,'Pivot Table for acq weekly'!$A:$A=$A36)/$C36 = 0,"""",FILTER('Pivot Table for acq weekly'!Q:Q,'Pivot Table for acq weekly'!$B:$B=$B36,'Pivot Table for acq weekly'!$A:$A=$A"&amp;"36)/$C36)"),0.07636068237205523)</f>
        <v>0.07636068237</v>
      </c>
      <c r="R36" s="58">
        <f>IFERROR(__xludf.DUMMYFUNCTION("IF(FILTER('Pivot Table for acq weekly'!R:R,'Pivot Table for acq weekly'!$B:$B=$B36,'Pivot Table for acq weekly'!$A:$A=$A36)/$C36 = 0,"""",FILTER('Pivot Table for acq weekly'!R:R,'Pivot Table for acq weekly'!$B:$B=$B36,'Pivot Table for acq weekly'!$A:$A=$A"&amp;"36)/$C36)"),0.0463038180341186)</f>
        <v>0.04630381803</v>
      </c>
      <c r="S36" s="58">
        <f>IFERROR(__xludf.DUMMYFUNCTION("IF(FILTER('Pivot Table for acq weekly'!S:S,'Pivot Table for acq weekly'!$B:$B=$B36,'Pivot Table for acq weekly'!$A:$A=$A36)/$C36 = 0,"""",FILTER('Pivot Table for acq weekly'!S:S,'Pivot Table for acq weekly'!$B:$B=$B36,'Pivot Table for acq weekly'!$A:$A=$A"&amp;"36)/$C36)"),0.05280259951259139)</f>
        <v>0.05280259951</v>
      </c>
      <c r="T36" s="58">
        <f>IFERROR(__xludf.DUMMYFUNCTION("IF(FILTER('Pivot Table for acq weekly'!T:T,'Pivot Table for acq weekly'!$B:$B=$B36,'Pivot Table for acq weekly'!$A:$A=$A36)/$C36 = 0,"""",FILTER('Pivot Table for acq weekly'!T:T,'Pivot Table for acq weekly'!$B:$B=$B36,'Pivot Table for acq weekly'!$A:$A=$A"&amp;"36)/$C36)"),0.0966693744922827)</f>
        <v>0.09666937449</v>
      </c>
      <c r="U36" s="58">
        <f>IFERROR(__xludf.DUMMYFUNCTION("IF(FILTER('Pivot Table for acq weekly'!U:U,'Pivot Table for acq weekly'!$B:$B=$B36,'Pivot Table for acq weekly'!$A:$A=$A36)/$C36 = 0,"""",FILTER('Pivot Table for acq weekly'!U:U,'Pivot Table for acq weekly'!$B:$B=$B36,'Pivot Table for acq weekly'!$A:$A=$A"&amp;"36)/$C36)"),0.07229894394800974)</f>
        <v>0.07229894395</v>
      </c>
      <c r="V36" s="58">
        <f>IFERROR(__xludf.DUMMYFUNCTION("IF(FILTER('Pivot Table for acq weekly'!V:V,'Pivot Table for acq weekly'!$B:$B=$B36,'Pivot Table for acq weekly'!$A:$A=$A36)/$C36 = 0,"""",FILTER('Pivot Table for acq weekly'!V:V,'Pivot Table for acq weekly'!$B:$B=$B36,'Pivot Table for acq weekly'!$A:$A=$A"&amp;"36)/$C36)"),0.012185215272136474)</f>
        <v>0.01218521527</v>
      </c>
      <c r="W36" s="58" t="str">
        <f>IFERROR(__xludf.DUMMYFUNCTION("IF(FILTER('Pivot Table for acq weekly'!W:W,'Pivot Table for acq weekly'!$B:$B=$B36,'Pivot Table for acq weekly'!$A:$A=$A36)/$C36 = 0,"""",FILTER('Pivot Table for acq weekly'!W:W,'Pivot Table for acq weekly'!$B:$B=$B36,'Pivot Table for acq weekly'!$A:$A=$A"&amp;"36)/$C36)"),"")</f>
        <v/>
      </c>
      <c r="X36" s="58" t="str">
        <f>IFERROR(__xludf.DUMMYFUNCTION("IF(FILTER('Pivot Table for acq weekly'!X:X,'Pivot Table for acq weekly'!$B:$B=$B36,'Pivot Table for acq weekly'!$A:$A=$A36)/$C36 = 0,"""",FILTER('Pivot Table for acq weekly'!X:X,'Pivot Table for acq weekly'!$B:$B=$B36,'Pivot Table for acq weekly'!$A:$A=$A"&amp;"36)/$C36)"),"")</f>
        <v/>
      </c>
      <c r="Y36" s="58" t="str">
        <f>IFERROR(__xludf.DUMMYFUNCTION("IF(FILTER('Pivot Table for acq weekly'!Y:Y,'Pivot Table for acq weekly'!$B:$B=$B36,'Pivot Table for acq weekly'!$A:$A=$A36)/$C36 = 0,"""",FILTER('Pivot Table for acq weekly'!Y:Y,'Pivot Table for acq weekly'!$B:$B=$B36,'Pivot Table for acq weekly'!$A:$A=$A"&amp;"36)/$C36)"),"")</f>
        <v/>
      </c>
    </row>
    <row r="37">
      <c r="A37" s="56">
        <v>7.0</v>
      </c>
      <c r="B37" s="30">
        <v>43282.0</v>
      </c>
      <c r="C37" s="57">
        <f>IFERROR(__xludf.DUMMYFUNCTION("FILTER('Pivot Table for acq weekly'!C:C,'Pivot Table for acq weekly'!$B:$B=$B37,'Pivot Table for acq weekly'!$A:$A=$A37)"),1435.0)</f>
        <v>1435</v>
      </c>
      <c r="D37" s="58">
        <f>IFERROR(__xludf.DUMMYFUNCTION("IF(FILTER('Pivot Table for acq weekly'!D:D,'Pivot Table for acq weekly'!$B:$B=$B37,'Pivot Table for acq weekly'!$A:$A=$A37)/$C37 = 0,"""",FILTER('Pivot Table for acq weekly'!D:D,'Pivot Table for acq weekly'!$B:$B=$B37,'Pivot Table for acq weekly'!$A:$A=$A"&amp;"37)/$C37)"),0.022996515679442508)</f>
        <v>0.02299651568</v>
      </c>
      <c r="E37" s="58">
        <f>IFERROR(__xludf.DUMMYFUNCTION("IF(FILTER('Pivot Table for acq weekly'!E:E,'Pivot Table for acq weekly'!$B:$B=$B37,'Pivot Table for acq weekly'!$A:$A=$A37)/$C37 = 0,"""",FILTER('Pivot Table for acq weekly'!E:E,'Pivot Table for acq weekly'!$B:$B=$B37,'Pivot Table for acq weekly'!$A:$A=$A"&amp;"37)/$C37)"),0.03554006968641115)</f>
        <v>0.03554006969</v>
      </c>
      <c r="F37" s="58">
        <f>IFERROR(__xludf.DUMMYFUNCTION("IF(FILTER('Pivot Table for acq weekly'!F:F,'Pivot Table for acq weekly'!$B:$B=$B37,'Pivot Table for acq weekly'!$A:$A=$A37)/$C37 = 0,"""",FILTER('Pivot Table for acq weekly'!F:F,'Pivot Table for acq weekly'!$B:$B=$B37,'Pivot Table for acq weekly'!$A:$A=$A"&amp;"37)/$C37)"),0.04808362369337979)</f>
        <v>0.04808362369</v>
      </c>
      <c r="G37" s="58">
        <f>IFERROR(__xludf.DUMMYFUNCTION("IF(FILTER('Pivot Table for acq weekly'!G:G,'Pivot Table for acq weekly'!$B:$B=$B37,'Pivot Table for acq weekly'!$A:$A=$A37)/$C37 = 0,"""",FILTER('Pivot Table for acq weekly'!G:G,'Pivot Table for acq weekly'!$B:$B=$B37,'Pivot Table for acq weekly'!$A:$A=$A"&amp;"37)/$C37)"),0.1951219512195122)</f>
        <v>0.1951219512</v>
      </c>
      <c r="H37" s="58">
        <f>IFERROR(__xludf.DUMMYFUNCTION("IF(FILTER('Pivot Table for acq weekly'!H:H,'Pivot Table for acq weekly'!$B:$B=$B37,'Pivot Table for acq weekly'!$A:$A=$A37)/$C37 = 0,"""",FILTER('Pivot Table for acq weekly'!H:H,'Pivot Table for acq weekly'!$B:$B=$B37,'Pivot Table for acq weekly'!$A:$A=$A"&amp;"37)/$C37)"),0.1421602787456446)</f>
        <v>0.1421602787</v>
      </c>
      <c r="I37" s="58">
        <f>IFERROR(__xludf.DUMMYFUNCTION("IF(FILTER('Pivot Table for acq weekly'!I:I,'Pivot Table for acq weekly'!$B:$B=$B37,'Pivot Table for acq weekly'!$A:$A=$A37)/$C37 = 0,"""",FILTER('Pivot Table for acq weekly'!I:I,'Pivot Table for acq weekly'!$B:$B=$B37,'Pivot Table for acq weekly'!$A:$A=$A"&amp;"37)/$C37)"),0.03414634146341464)</f>
        <v>0.03414634146</v>
      </c>
      <c r="J37" s="58">
        <f>IFERROR(__xludf.DUMMYFUNCTION("IF(FILTER('Pivot Table for acq weekly'!J:J,'Pivot Table for acq weekly'!$B:$B=$B37,'Pivot Table for acq weekly'!$A:$A=$A37)/$C37 = 0,"""",FILTER('Pivot Table for acq weekly'!J:J,'Pivot Table for acq weekly'!$B:$B=$B37,'Pivot Table for acq weekly'!$A:$A=$A"&amp;"37)/$C37)"),0.04250871080139373)</f>
        <v>0.0425087108</v>
      </c>
      <c r="K37" s="58">
        <f>IFERROR(__xludf.DUMMYFUNCTION("IF(FILTER('Pivot Table for acq weekly'!K:K,'Pivot Table for acq weekly'!$B:$B=$B37,'Pivot Table for acq weekly'!$A:$A=$A37)/$C37 = 0,"""",FILTER('Pivot Table for acq weekly'!K:K,'Pivot Table for acq weekly'!$B:$B=$B37,'Pivot Table for acq weekly'!$A:$A=$A"&amp;"37)/$C37)"),0.13588850174216027)</f>
        <v>0.1358885017</v>
      </c>
      <c r="L37" s="58">
        <f>IFERROR(__xludf.DUMMYFUNCTION("IF(FILTER('Pivot Table for acq weekly'!L:L,'Pivot Table for acq weekly'!$B:$B=$B37,'Pivot Table for acq weekly'!$A:$A=$A37)/$C37 = 0,"""",FILTER('Pivot Table for acq weekly'!L:L,'Pivot Table for acq weekly'!$B:$B=$B37,'Pivot Table for acq weekly'!$A:$A=$A"&amp;"37)/$C37)"),0.13031358885017422)</f>
        <v>0.1303135889</v>
      </c>
      <c r="M37" s="58">
        <f>IFERROR(__xludf.DUMMYFUNCTION("IF(FILTER('Pivot Table for acq weekly'!M:M,'Pivot Table for acq weekly'!$B:$B=$B37,'Pivot Table for acq weekly'!$A:$A=$A37)/$C37 = 0,"""",FILTER('Pivot Table for acq weekly'!M:M,'Pivot Table for acq weekly'!$B:$B=$B37,'Pivot Table for acq weekly'!$A:$A=$A"&amp;"37)/$C37)"),0.049477351916376304)</f>
        <v>0.04947735192</v>
      </c>
      <c r="N37" s="58">
        <f>IFERROR(__xludf.DUMMYFUNCTION("IF(FILTER('Pivot Table for acq weekly'!N:N,'Pivot Table for acq weekly'!$B:$B=$B37,'Pivot Table for acq weekly'!$A:$A=$A37)/$C37 = 0,"""",FILTER('Pivot Table for acq weekly'!N:N,'Pivot Table for acq weekly'!$B:$B=$B37,'Pivot Table for acq weekly'!$A:$A=$A"&amp;"37)/$C37)"),0.047386759581881537)</f>
        <v>0.04738675958</v>
      </c>
      <c r="O37" s="58">
        <f>IFERROR(__xludf.DUMMYFUNCTION("IF(FILTER('Pivot Table for acq weekly'!O:O,'Pivot Table for acq weekly'!$B:$B=$B37,'Pivot Table for acq weekly'!$A:$A=$A37)/$C37 = 0,"""",FILTER('Pivot Table for acq weekly'!O:O,'Pivot Table for acq weekly'!$B:$B=$B37,'Pivot Table for acq weekly'!$A:$A=$A"&amp;"37)/$C37)"),0.046689895470383276)</f>
        <v>0.04668989547</v>
      </c>
      <c r="P37" s="58">
        <f>IFERROR(__xludf.DUMMYFUNCTION("IF(FILTER('Pivot Table for acq weekly'!P:P,'Pivot Table for acq weekly'!$B:$B=$B37,'Pivot Table for acq weekly'!$A:$A=$A37)/$C37 = 0,"""",FILTER('Pivot Table for acq weekly'!P:P,'Pivot Table for acq weekly'!$B:$B=$B37,'Pivot Table for acq weekly'!$A:$A=$A"&amp;"37)/$C37)"),0.1240418118466899)</f>
        <v>0.1240418118</v>
      </c>
      <c r="Q37" s="58">
        <f>IFERROR(__xludf.DUMMYFUNCTION("IF(FILTER('Pivot Table for acq weekly'!Q:Q,'Pivot Table for acq weekly'!$B:$B=$B37,'Pivot Table for acq weekly'!$A:$A=$A37)/$C37 = 0,"""",FILTER('Pivot Table for acq weekly'!Q:Q,'Pivot Table for acq weekly'!$B:$B=$B37,'Pivot Table for acq weekly'!$A:$A=$A"&amp;"37)/$C37)"),0.050174216027874564)</f>
        <v>0.05017421603</v>
      </c>
      <c r="R37" s="58">
        <f>IFERROR(__xludf.DUMMYFUNCTION("IF(FILTER('Pivot Table for acq weekly'!R:R,'Pivot Table for acq weekly'!$B:$B=$B37,'Pivot Table for acq weekly'!$A:$A=$A37)/$C37 = 0,"""",FILTER('Pivot Table for acq weekly'!R:R,'Pivot Table for acq weekly'!$B:$B=$B37,'Pivot Table for acq weekly'!$A:$A=$A"&amp;"37)/$C37)"),0.03484320557491289)</f>
        <v>0.03484320557</v>
      </c>
      <c r="S37" s="58">
        <f>IFERROR(__xludf.DUMMYFUNCTION("IF(FILTER('Pivot Table for acq weekly'!S:S,'Pivot Table for acq weekly'!$B:$B=$B37,'Pivot Table for acq weekly'!$A:$A=$A37)/$C37 = 0,"""",FILTER('Pivot Table for acq weekly'!S:S,'Pivot Table for acq weekly'!$B:$B=$B37,'Pivot Table for acq weekly'!$A:$A=$A"&amp;"37)/$C37)"),0.045993031358885016)</f>
        <v>0.04599303136</v>
      </c>
      <c r="T37" s="58">
        <f>IFERROR(__xludf.DUMMYFUNCTION("IF(FILTER('Pivot Table for acq weekly'!T:T,'Pivot Table for acq weekly'!$B:$B=$B37,'Pivot Table for acq weekly'!$A:$A=$A37)/$C37 = 0,"""",FILTER('Pivot Table for acq weekly'!T:T,'Pivot Table for acq weekly'!$B:$B=$B37,'Pivot Table for acq weekly'!$A:$A=$A"&amp;"37)/$C37)"),0.08571428571428572)</f>
        <v>0.08571428571</v>
      </c>
      <c r="U37" s="58">
        <f>IFERROR(__xludf.DUMMYFUNCTION("IF(FILTER('Pivot Table for acq weekly'!U:U,'Pivot Table for acq weekly'!$B:$B=$B37,'Pivot Table for acq weekly'!$A:$A=$A37)/$C37 = 0,"""",FILTER('Pivot Table for acq weekly'!U:U,'Pivot Table for acq weekly'!$B:$B=$B37,'Pivot Table for acq weekly'!$A:$A=$A"&amp;"37)/$C37)"),0.018815331010452963)</f>
        <v>0.01881533101</v>
      </c>
      <c r="V37" s="58" t="str">
        <f>IFERROR(__xludf.DUMMYFUNCTION("IF(FILTER('Pivot Table for acq weekly'!V:V,'Pivot Table for acq weekly'!$B:$B=$B37,'Pivot Table for acq weekly'!$A:$A=$A37)/$C37 = 0,"""",FILTER('Pivot Table for acq weekly'!V:V,'Pivot Table for acq weekly'!$B:$B=$B37,'Pivot Table for acq weekly'!$A:$A=$A"&amp;"37)/$C37)"),"")</f>
        <v/>
      </c>
      <c r="W37" s="58" t="str">
        <f>IFERROR(__xludf.DUMMYFUNCTION("IF(FILTER('Pivot Table for acq weekly'!W:W,'Pivot Table for acq weekly'!$B:$B=$B37,'Pivot Table for acq weekly'!$A:$A=$A37)/$C37 = 0,"""",FILTER('Pivot Table for acq weekly'!W:W,'Pivot Table for acq weekly'!$B:$B=$B37,'Pivot Table for acq weekly'!$A:$A=$A"&amp;"37)/$C37)"),"")</f>
        <v/>
      </c>
      <c r="X37" s="58" t="str">
        <f>IFERROR(__xludf.DUMMYFUNCTION("IF(FILTER('Pivot Table for acq weekly'!X:X,'Pivot Table for acq weekly'!$B:$B=$B37,'Pivot Table for acq weekly'!$A:$A=$A37)/$C37 = 0,"""",FILTER('Pivot Table for acq weekly'!X:X,'Pivot Table for acq weekly'!$B:$B=$B37,'Pivot Table for acq weekly'!$A:$A=$A"&amp;"37)/$C37)"),"")</f>
        <v/>
      </c>
      <c r="Y37" s="58" t="str">
        <f>IFERROR(__xludf.DUMMYFUNCTION("IF(FILTER('Pivot Table for acq weekly'!Y:Y,'Pivot Table for acq weekly'!$B:$B=$B37,'Pivot Table for acq weekly'!$A:$A=$A37)/$C37 = 0,"""",FILTER('Pivot Table for acq weekly'!Y:Y,'Pivot Table for acq weekly'!$B:$B=$B37,'Pivot Table for acq weekly'!$A:$A=$A"&amp;"37)/$C37)"),"")</f>
        <v/>
      </c>
    </row>
    <row r="38" hidden="1">
      <c r="A38" s="56">
        <v>8.0</v>
      </c>
      <c r="B38" s="30">
        <v>43254.0</v>
      </c>
      <c r="C38" s="57" t="str">
        <f>IFERROR(__xludf.DUMMYFUNCTION("FILTER('Pivot Table for acq weekly'!C:C,'Pivot Table for acq weekly'!$B:$B=$B38,'Pivot Table for acq weekly'!$A:$A=$A38)"),"#N/A")</f>
        <v>#N/A</v>
      </c>
      <c r="D38" s="58" t="str">
        <f>IFERROR(__xludf.DUMMYFUNCTION("IF(FILTER('Pivot Table for acq weekly'!D:D,'Pivot Table for acq weekly'!$B:$B=$B38,'Pivot Table for acq weekly'!$A:$A=$A38)/$C38 = 0,"""",FILTER('Pivot Table for acq weekly'!D:D,'Pivot Table for acq weekly'!$B:$B=$B38,'Pivot Table for acq weekly'!$A:$A=$A"&amp;"38)/$C38)"),"#N/A")</f>
        <v>#N/A</v>
      </c>
      <c r="E38" s="58" t="str">
        <f>IFERROR(__xludf.DUMMYFUNCTION("IF(FILTER('Pivot Table for acq weekly'!E:E,'Pivot Table for acq weekly'!$B:$B=$B38,'Pivot Table for acq weekly'!$A:$A=$A38)/$C38 = 0,"""",FILTER('Pivot Table for acq weekly'!E:E,'Pivot Table for acq weekly'!$B:$B=$B38,'Pivot Table for acq weekly'!$A:$A=$A"&amp;"38)/$C38)"),"#N/A")</f>
        <v>#N/A</v>
      </c>
      <c r="F38" s="58" t="str">
        <f>IFERROR(__xludf.DUMMYFUNCTION("IF(FILTER('Pivot Table for acq weekly'!F:F,'Pivot Table for acq weekly'!$B:$B=$B38,'Pivot Table for acq weekly'!$A:$A=$A38)/$C38 = 0,"""",FILTER('Pivot Table for acq weekly'!F:F,'Pivot Table for acq weekly'!$B:$B=$B38,'Pivot Table for acq weekly'!$A:$A=$A"&amp;"38)/$C38)"),"#N/A")</f>
        <v>#N/A</v>
      </c>
      <c r="G38" s="58" t="str">
        <f>IFERROR(__xludf.DUMMYFUNCTION("IF(FILTER('Pivot Table for acq weekly'!G:G,'Pivot Table for acq weekly'!$B:$B=$B38,'Pivot Table for acq weekly'!$A:$A=$A38)/$C38 = 0,"""",FILTER('Pivot Table for acq weekly'!G:G,'Pivot Table for acq weekly'!$B:$B=$B38,'Pivot Table for acq weekly'!$A:$A=$A"&amp;"38)/$C38)"),"#N/A")</f>
        <v>#N/A</v>
      </c>
      <c r="H38" s="58" t="str">
        <f>IFERROR(__xludf.DUMMYFUNCTION("IF(FILTER('Pivot Table for acq weekly'!H:H,'Pivot Table for acq weekly'!$B:$B=$B38,'Pivot Table for acq weekly'!$A:$A=$A38)/$C38 = 0,"""",FILTER('Pivot Table for acq weekly'!H:H,'Pivot Table for acq weekly'!$B:$B=$B38,'Pivot Table for acq weekly'!$A:$A=$A"&amp;"38)/$C38)"),"#N/A")</f>
        <v>#N/A</v>
      </c>
      <c r="I38" s="58" t="str">
        <f>IFERROR(__xludf.DUMMYFUNCTION("IF(FILTER('Pivot Table for acq weekly'!I:I,'Pivot Table for acq weekly'!$B:$B=$B38,'Pivot Table for acq weekly'!$A:$A=$A38)/$C38 = 0,"""",FILTER('Pivot Table for acq weekly'!I:I,'Pivot Table for acq weekly'!$B:$B=$B38,'Pivot Table for acq weekly'!$A:$A=$A"&amp;"38)/$C38)"),"#N/A")</f>
        <v>#N/A</v>
      </c>
      <c r="J38" s="58" t="str">
        <f>IFERROR(__xludf.DUMMYFUNCTION("IF(FILTER('Pivot Table for acq weekly'!J:J,'Pivot Table for acq weekly'!$B:$B=$B38,'Pivot Table for acq weekly'!$A:$A=$A38)/$C38 = 0,"""",FILTER('Pivot Table for acq weekly'!J:J,'Pivot Table for acq weekly'!$B:$B=$B38,'Pivot Table for acq weekly'!$A:$A=$A"&amp;"38)/$C38)"),"#N/A")</f>
        <v>#N/A</v>
      </c>
      <c r="K38" s="58" t="str">
        <f>IFERROR(__xludf.DUMMYFUNCTION("IF(FILTER('Pivot Table for acq weekly'!K:K,'Pivot Table for acq weekly'!$B:$B=$B38,'Pivot Table for acq weekly'!$A:$A=$A38)/$C38 = 0,"""",FILTER('Pivot Table for acq weekly'!K:K,'Pivot Table for acq weekly'!$B:$B=$B38,'Pivot Table for acq weekly'!$A:$A=$A"&amp;"38)/$C38)"),"#N/A")</f>
        <v>#N/A</v>
      </c>
      <c r="L38" s="58" t="str">
        <f>IFERROR(__xludf.DUMMYFUNCTION("IF(FILTER('Pivot Table for acq weekly'!L:L,'Pivot Table for acq weekly'!$B:$B=$B38,'Pivot Table for acq weekly'!$A:$A=$A38)/$C38 = 0,"""",FILTER('Pivot Table for acq weekly'!L:L,'Pivot Table for acq weekly'!$B:$B=$B38,'Pivot Table for acq weekly'!$A:$A=$A"&amp;"38)/$C38)"),"#N/A")</f>
        <v>#N/A</v>
      </c>
      <c r="M38" s="58" t="str">
        <f>IFERROR(__xludf.DUMMYFUNCTION("IF(FILTER('Pivot Table for acq weekly'!M:M,'Pivot Table for acq weekly'!$B:$B=$B38,'Pivot Table for acq weekly'!$A:$A=$A38)/$C38 = 0,"""",FILTER('Pivot Table for acq weekly'!M:M,'Pivot Table for acq weekly'!$B:$B=$B38,'Pivot Table for acq weekly'!$A:$A=$A"&amp;"38)/$C38)"),"#N/A")</f>
        <v>#N/A</v>
      </c>
      <c r="N38" s="58" t="str">
        <f>IFERROR(__xludf.DUMMYFUNCTION("IF(FILTER('Pivot Table for acq weekly'!N:N,'Pivot Table for acq weekly'!$B:$B=$B38,'Pivot Table for acq weekly'!$A:$A=$A38)/$C38 = 0,"""",FILTER('Pivot Table for acq weekly'!N:N,'Pivot Table for acq weekly'!$B:$B=$B38,'Pivot Table for acq weekly'!$A:$A=$A"&amp;"38)/$C38)"),"#N/A")</f>
        <v>#N/A</v>
      </c>
      <c r="O38" s="58" t="str">
        <f>IFERROR(__xludf.DUMMYFUNCTION("IF(FILTER('Pivot Table for acq weekly'!O:O,'Pivot Table for acq weekly'!$B:$B=$B38,'Pivot Table for acq weekly'!$A:$A=$A38)/$C38 = 0,"""",FILTER('Pivot Table for acq weekly'!O:O,'Pivot Table for acq weekly'!$B:$B=$B38,'Pivot Table for acq weekly'!$A:$A=$A"&amp;"38)/$C38)"),"#N/A")</f>
        <v>#N/A</v>
      </c>
      <c r="P38" s="58" t="str">
        <f>IFERROR(__xludf.DUMMYFUNCTION("IF(FILTER('Pivot Table for acq weekly'!P:P,'Pivot Table for acq weekly'!$B:$B=$B38,'Pivot Table for acq weekly'!$A:$A=$A38)/$C38 = 0,"""",FILTER('Pivot Table for acq weekly'!P:P,'Pivot Table for acq weekly'!$B:$B=$B38,'Pivot Table for acq weekly'!$A:$A=$A"&amp;"38)/$C38)"),"#N/A")</f>
        <v>#N/A</v>
      </c>
      <c r="Q38" s="58" t="str">
        <f>IFERROR(__xludf.DUMMYFUNCTION("IF(FILTER('Pivot Table for acq weekly'!Q:Q,'Pivot Table for acq weekly'!$B:$B=$B38,'Pivot Table for acq weekly'!$A:$A=$A38)/$C38 = 0,"""",FILTER('Pivot Table for acq weekly'!Q:Q,'Pivot Table for acq weekly'!$B:$B=$B38,'Pivot Table for acq weekly'!$A:$A=$A"&amp;"38)/$C38)"),"#N/A")</f>
        <v>#N/A</v>
      </c>
      <c r="R38" s="58" t="str">
        <f>IFERROR(__xludf.DUMMYFUNCTION("IF(FILTER('Pivot Table for acq weekly'!R:R,'Pivot Table for acq weekly'!$B:$B=$B38,'Pivot Table for acq weekly'!$A:$A=$A38)/$C38 = 0,"""",FILTER('Pivot Table for acq weekly'!R:R,'Pivot Table for acq weekly'!$B:$B=$B38,'Pivot Table for acq weekly'!$A:$A=$A"&amp;"38)/$C38)"),"#N/A")</f>
        <v>#N/A</v>
      </c>
      <c r="S38" s="58" t="str">
        <f>IFERROR(__xludf.DUMMYFUNCTION("IF(FILTER('Pivot Table for acq weekly'!S:S,'Pivot Table for acq weekly'!$B:$B=$B38,'Pivot Table for acq weekly'!$A:$A=$A38)/$C38 = 0,"""",FILTER('Pivot Table for acq weekly'!S:S,'Pivot Table for acq weekly'!$B:$B=$B38,'Pivot Table for acq weekly'!$A:$A=$A"&amp;"38)/$C38)"),"#N/A")</f>
        <v>#N/A</v>
      </c>
      <c r="T38" s="58" t="str">
        <f>IFERROR(__xludf.DUMMYFUNCTION("IF(FILTER('Pivot Table for acq weekly'!T:T,'Pivot Table for acq weekly'!$B:$B=$B38,'Pivot Table for acq weekly'!$A:$A=$A38)/$C38 = 0,"""",FILTER('Pivot Table for acq weekly'!T:T,'Pivot Table for acq weekly'!$B:$B=$B38,'Pivot Table for acq weekly'!$A:$A=$A"&amp;"38)/$C38)"),"#N/A")</f>
        <v>#N/A</v>
      </c>
      <c r="U38" s="58" t="str">
        <f>IFERROR(__xludf.DUMMYFUNCTION("IF(FILTER('Pivot Table for acq weekly'!U:U,'Pivot Table for acq weekly'!$B:$B=$B38,'Pivot Table for acq weekly'!$A:$A=$A38)/$C38 = 0,"""",FILTER('Pivot Table for acq weekly'!U:U,'Pivot Table for acq weekly'!$B:$B=$B38,'Pivot Table for acq weekly'!$A:$A=$A"&amp;"38)/$C38)"),"#N/A")</f>
        <v>#N/A</v>
      </c>
      <c r="V38" s="58" t="str">
        <f>IFERROR(__xludf.DUMMYFUNCTION("IF(FILTER('Pivot Table for acq weekly'!V:V,'Pivot Table for acq weekly'!$B:$B=$B38,'Pivot Table for acq weekly'!$A:$A=$A38)/$C38 = 0,"""",FILTER('Pivot Table for acq weekly'!V:V,'Pivot Table for acq weekly'!$B:$B=$B38,'Pivot Table for acq weekly'!$A:$A=$A"&amp;"38)/$C38)"),"#N/A")</f>
        <v>#N/A</v>
      </c>
      <c r="W38" s="58" t="str">
        <f>IFERROR(__xludf.DUMMYFUNCTION("IF(FILTER('Pivot Table for acq weekly'!W:W,'Pivot Table for acq weekly'!$B:$B=$B38,'Pivot Table for acq weekly'!$A:$A=$A38)/$C38 = 0,"""",FILTER('Pivot Table for acq weekly'!W:W,'Pivot Table for acq weekly'!$B:$B=$B38,'Pivot Table for acq weekly'!$A:$A=$A"&amp;"38)/$C38)"),"#N/A")</f>
        <v>#N/A</v>
      </c>
      <c r="X38" s="58" t="str">
        <f>IFERROR(__xludf.DUMMYFUNCTION("IF(FILTER('Pivot Table for acq weekly'!X:X,'Pivot Table for acq weekly'!$B:$B=$B38,'Pivot Table for acq weekly'!$A:$A=$A38)/$C38 = 0,"""",FILTER('Pivot Table for acq weekly'!X:X,'Pivot Table for acq weekly'!$B:$B=$B38,'Pivot Table for acq weekly'!$A:$A=$A"&amp;"38)/$C38)"),"#N/A")</f>
        <v>#N/A</v>
      </c>
      <c r="Y38" s="58" t="str">
        <f>IFERROR(__xludf.DUMMYFUNCTION("IF(FILTER('Pivot Table for acq weekly'!Y:Y,'Pivot Table for acq weekly'!$B:$B=$B38,'Pivot Table for acq weekly'!$A:$A=$A38)/$C38 = 0,"""",FILTER('Pivot Table for acq weekly'!Y:Y,'Pivot Table for acq weekly'!$B:$B=$B38,'Pivot Table for acq weekly'!$A:$A=$A"&amp;"38)/$C38)"),"#N/A")</f>
        <v>#N/A</v>
      </c>
    </row>
    <row r="39" hidden="1">
      <c r="A39" s="56">
        <v>8.0</v>
      </c>
      <c r="B39" s="30">
        <v>43261.0</v>
      </c>
      <c r="C39" s="57" t="str">
        <f>IFERROR(__xludf.DUMMYFUNCTION("FILTER('Pivot Table for acq weekly'!C:C,'Pivot Table for acq weekly'!$B:$B=$B39,'Pivot Table for acq weekly'!$A:$A=$A39)"),"#N/A")</f>
        <v>#N/A</v>
      </c>
      <c r="D39" s="58" t="str">
        <f>IFERROR(__xludf.DUMMYFUNCTION("IF(FILTER('Pivot Table for acq weekly'!D:D,'Pivot Table for acq weekly'!$B:$B=$B39,'Pivot Table for acq weekly'!$A:$A=$A39)/$C39 = 0,"""",FILTER('Pivot Table for acq weekly'!D:D,'Pivot Table for acq weekly'!$B:$B=$B39,'Pivot Table for acq weekly'!$A:$A=$A"&amp;"39)/$C39)"),"#N/A")</f>
        <v>#N/A</v>
      </c>
      <c r="E39" s="58" t="str">
        <f>IFERROR(__xludf.DUMMYFUNCTION("IF(FILTER('Pivot Table for acq weekly'!E:E,'Pivot Table for acq weekly'!$B:$B=$B39,'Pivot Table for acq weekly'!$A:$A=$A39)/$C39 = 0,"""",FILTER('Pivot Table for acq weekly'!E:E,'Pivot Table for acq weekly'!$B:$B=$B39,'Pivot Table for acq weekly'!$A:$A=$A"&amp;"39)/$C39)"),"#N/A")</f>
        <v>#N/A</v>
      </c>
      <c r="F39" s="58" t="str">
        <f>IFERROR(__xludf.DUMMYFUNCTION("IF(FILTER('Pivot Table for acq weekly'!F:F,'Pivot Table for acq weekly'!$B:$B=$B39,'Pivot Table for acq weekly'!$A:$A=$A39)/$C39 = 0,"""",FILTER('Pivot Table for acq weekly'!F:F,'Pivot Table for acq weekly'!$B:$B=$B39,'Pivot Table for acq weekly'!$A:$A=$A"&amp;"39)/$C39)"),"#N/A")</f>
        <v>#N/A</v>
      </c>
      <c r="G39" s="58" t="str">
        <f>IFERROR(__xludf.DUMMYFUNCTION("IF(FILTER('Pivot Table for acq weekly'!G:G,'Pivot Table for acq weekly'!$B:$B=$B39,'Pivot Table for acq weekly'!$A:$A=$A39)/$C39 = 0,"""",FILTER('Pivot Table for acq weekly'!G:G,'Pivot Table for acq weekly'!$B:$B=$B39,'Pivot Table for acq weekly'!$A:$A=$A"&amp;"39)/$C39)"),"#N/A")</f>
        <v>#N/A</v>
      </c>
      <c r="H39" s="58" t="str">
        <f>IFERROR(__xludf.DUMMYFUNCTION("IF(FILTER('Pivot Table for acq weekly'!H:H,'Pivot Table for acq weekly'!$B:$B=$B39,'Pivot Table for acq weekly'!$A:$A=$A39)/$C39 = 0,"""",FILTER('Pivot Table for acq weekly'!H:H,'Pivot Table for acq weekly'!$B:$B=$B39,'Pivot Table for acq weekly'!$A:$A=$A"&amp;"39)/$C39)"),"#N/A")</f>
        <v>#N/A</v>
      </c>
      <c r="I39" s="58" t="str">
        <f>IFERROR(__xludf.DUMMYFUNCTION("IF(FILTER('Pivot Table for acq weekly'!I:I,'Pivot Table for acq weekly'!$B:$B=$B39,'Pivot Table for acq weekly'!$A:$A=$A39)/$C39 = 0,"""",FILTER('Pivot Table for acq weekly'!I:I,'Pivot Table for acq weekly'!$B:$B=$B39,'Pivot Table for acq weekly'!$A:$A=$A"&amp;"39)/$C39)"),"#N/A")</f>
        <v>#N/A</v>
      </c>
      <c r="J39" s="58" t="str">
        <f>IFERROR(__xludf.DUMMYFUNCTION("IF(FILTER('Pivot Table for acq weekly'!J:J,'Pivot Table for acq weekly'!$B:$B=$B39,'Pivot Table for acq weekly'!$A:$A=$A39)/$C39 = 0,"""",FILTER('Pivot Table for acq weekly'!J:J,'Pivot Table for acq weekly'!$B:$B=$B39,'Pivot Table for acq weekly'!$A:$A=$A"&amp;"39)/$C39)"),"#N/A")</f>
        <v>#N/A</v>
      </c>
      <c r="K39" s="58" t="str">
        <f>IFERROR(__xludf.DUMMYFUNCTION("IF(FILTER('Pivot Table for acq weekly'!K:K,'Pivot Table for acq weekly'!$B:$B=$B39,'Pivot Table for acq weekly'!$A:$A=$A39)/$C39 = 0,"""",FILTER('Pivot Table for acq weekly'!K:K,'Pivot Table for acq weekly'!$B:$B=$B39,'Pivot Table for acq weekly'!$A:$A=$A"&amp;"39)/$C39)"),"#N/A")</f>
        <v>#N/A</v>
      </c>
      <c r="L39" s="58" t="str">
        <f>IFERROR(__xludf.DUMMYFUNCTION("IF(FILTER('Pivot Table for acq weekly'!L:L,'Pivot Table for acq weekly'!$B:$B=$B39,'Pivot Table for acq weekly'!$A:$A=$A39)/$C39 = 0,"""",FILTER('Pivot Table for acq weekly'!L:L,'Pivot Table for acq weekly'!$B:$B=$B39,'Pivot Table for acq weekly'!$A:$A=$A"&amp;"39)/$C39)"),"#N/A")</f>
        <v>#N/A</v>
      </c>
      <c r="M39" s="58" t="str">
        <f>IFERROR(__xludf.DUMMYFUNCTION("IF(FILTER('Pivot Table for acq weekly'!M:M,'Pivot Table for acq weekly'!$B:$B=$B39,'Pivot Table for acq weekly'!$A:$A=$A39)/$C39 = 0,"""",FILTER('Pivot Table for acq weekly'!M:M,'Pivot Table for acq weekly'!$B:$B=$B39,'Pivot Table for acq weekly'!$A:$A=$A"&amp;"39)/$C39)"),"#N/A")</f>
        <v>#N/A</v>
      </c>
      <c r="N39" s="58" t="str">
        <f>IFERROR(__xludf.DUMMYFUNCTION("IF(FILTER('Pivot Table for acq weekly'!N:N,'Pivot Table for acq weekly'!$B:$B=$B39,'Pivot Table for acq weekly'!$A:$A=$A39)/$C39 = 0,"""",FILTER('Pivot Table for acq weekly'!N:N,'Pivot Table for acq weekly'!$B:$B=$B39,'Pivot Table for acq weekly'!$A:$A=$A"&amp;"39)/$C39)"),"#N/A")</f>
        <v>#N/A</v>
      </c>
      <c r="O39" s="58" t="str">
        <f>IFERROR(__xludf.DUMMYFUNCTION("IF(FILTER('Pivot Table for acq weekly'!O:O,'Pivot Table for acq weekly'!$B:$B=$B39,'Pivot Table for acq weekly'!$A:$A=$A39)/$C39 = 0,"""",FILTER('Pivot Table for acq weekly'!O:O,'Pivot Table for acq weekly'!$B:$B=$B39,'Pivot Table for acq weekly'!$A:$A=$A"&amp;"39)/$C39)"),"#N/A")</f>
        <v>#N/A</v>
      </c>
      <c r="P39" s="58" t="str">
        <f>IFERROR(__xludf.DUMMYFUNCTION("IF(FILTER('Pivot Table for acq weekly'!P:P,'Pivot Table for acq weekly'!$B:$B=$B39,'Pivot Table for acq weekly'!$A:$A=$A39)/$C39 = 0,"""",FILTER('Pivot Table for acq weekly'!P:P,'Pivot Table for acq weekly'!$B:$B=$B39,'Pivot Table for acq weekly'!$A:$A=$A"&amp;"39)/$C39)"),"#N/A")</f>
        <v>#N/A</v>
      </c>
      <c r="Q39" s="58" t="str">
        <f>IFERROR(__xludf.DUMMYFUNCTION("IF(FILTER('Pivot Table for acq weekly'!Q:Q,'Pivot Table for acq weekly'!$B:$B=$B39,'Pivot Table for acq weekly'!$A:$A=$A39)/$C39 = 0,"""",FILTER('Pivot Table for acq weekly'!Q:Q,'Pivot Table for acq weekly'!$B:$B=$B39,'Pivot Table for acq weekly'!$A:$A=$A"&amp;"39)/$C39)"),"#N/A")</f>
        <v>#N/A</v>
      </c>
      <c r="R39" s="58" t="str">
        <f>IFERROR(__xludf.DUMMYFUNCTION("IF(FILTER('Pivot Table for acq weekly'!R:R,'Pivot Table for acq weekly'!$B:$B=$B39,'Pivot Table for acq weekly'!$A:$A=$A39)/$C39 = 0,"""",FILTER('Pivot Table for acq weekly'!R:R,'Pivot Table for acq weekly'!$B:$B=$B39,'Pivot Table for acq weekly'!$A:$A=$A"&amp;"39)/$C39)"),"#N/A")</f>
        <v>#N/A</v>
      </c>
      <c r="S39" s="58" t="str">
        <f>IFERROR(__xludf.DUMMYFUNCTION("IF(FILTER('Pivot Table for acq weekly'!S:S,'Pivot Table for acq weekly'!$B:$B=$B39,'Pivot Table for acq weekly'!$A:$A=$A39)/$C39 = 0,"""",FILTER('Pivot Table for acq weekly'!S:S,'Pivot Table for acq weekly'!$B:$B=$B39,'Pivot Table for acq weekly'!$A:$A=$A"&amp;"39)/$C39)"),"#N/A")</f>
        <v>#N/A</v>
      </c>
      <c r="T39" s="58" t="str">
        <f>IFERROR(__xludf.DUMMYFUNCTION("IF(FILTER('Pivot Table for acq weekly'!T:T,'Pivot Table for acq weekly'!$B:$B=$B39,'Pivot Table for acq weekly'!$A:$A=$A39)/$C39 = 0,"""",FILTER('Pivot Table for acq weekly'!T:T,'Pivot Table for acq weekly'!$B:$B=$B39,'Pivot Table for acq weekly'!$A:$A=$A"&amp;"39)/$C39)"),"#N/A")</f>
        <v>#N/A</v>
      </c>
      <c r="U39" s="58" t="str">
        <f>IFERROR(__xludf.DUMMYFUNCTION("IF(FILTER('Pivot Table for acq weekly'!U:U,'Pivot Table for acq weekly'!$B:$B=$B39,'Pivot Table for acq weekly'!$A:$A=$A39)/$C39 = 0,"""",FILTER('Pivot Table for acq weekly'!U:U,'Pivot Table for acq weekly'!$B:$B=$B39,'Pivot Table for acq weekly'!$A:$A=$A"&amp;"39)/$C39)"),"#N/A")</f>
        <v>#N/A</v>
      </c>
      <c r="V39" s="58" t="str">
        <f>IFERROR(__xludf.DUMMYFUNCTION("IF(FILTER('Pivot Table for acq weekly'!V:V,'Pivot Table for acq weekly'!$B:$B=$B39,'Pivot Table for acq weekly'!$A:$A=$A39)/$C39 = 0,"""",FILTER('Pivot Table for acq weekly'!V:V,'Pivot Table for acq weekly'!$B:$B=$B39,'Pivot Table for acq weekly'!$A:$A=$A"&amp;"39)/$C39)"),"#N/A")</f>
        <v>#N/A</v>
      </c>
      <c r="W39" s="58" t="str">
        <f>IFERROR(__xludf.DUMMYFUNCTION("IF(FILTER('Pivot Table for acq weekly'!W:W,'Pivot Table for acq weekly'!$B:$B=$B39,'Pivot Table for acq weekly'!$A:$A=$A39)/$C39 = 0,"""",FILTER('Pivot Table for acq weekly'!W:W,'Pivot Table for acq weekly'!$B:$B=$B39,'Pivot Table for acq weekly'!$A:$A=$A"&amp;"39)/$C39)"),"#N/A")</f>
        <v>#N/A</v>
      </c>
      <c r="X39" s="58" t="str">
        <f>IFERROR(__xludf.DUMMYFUNCTION("IF(FILTER('Pivot Table for acq weekly'!X:X,'Pivot Table for acq weekly'!$B:$B=$B39,'Pivot Table for acq weekly'!$A:$A=$A39)/$C39 = 0,"""",FILTER('Pivot Table for acq weekly'!X:X,'Pivot Table for acq weekly'!$B:$B=$B39,'Pivot Table for acq weekly'!$A:$A=$A"&amp;"39)/$C39)"),"#N/A")</f>
        <v>#N/A</v>
      </c>
      <c r="Y39" s="58" t="str">
        <f>IFERROR(__xludf.DUMMYFUNCTION("IF(FILTER('Pivot Table for acq weekly'!Y:Y,'Pivot Table for acq weekly'!$B:$B=$B39,'Pivot Table for acq weekly'!$A:$A=$A39)/$C39 = 0,"""",FILTER('Pivot Table for acq weekly'!Y:Y,'Pivot Table for acq weekly'!$B:$B=$B39,'Pivot Table for acq weekly'!$A:$A=$A"&amp;"39)/$C39)"),"#N/A")</f>
        <v>#N/A</v>
      </c>
    </row>
    <row r="40" hidden="1">
      <c r="A40" s="56">
        <v>8.0</v>
      </c>
      <c r="B40" s="30">
        <v>43268.0</v>
      </c>
      <c r="C40" s="57" t="str">
        <f>IFERROR(__xludf.DUMMYFUNCTION("FILTER('Pivot Table for acq weekly'!C:C,'Pivot Table for acq weekly'!$B:$B=$B40,'Pivot Table for acq weekly'!$A:$A=$A40)"),"#N/A")</f>
        <v>#N/A</v>
      </c>
      <c r="D40" s="58" t="str">
        <f>IFERROR(__xludf.DUMMYFUNCTION("IF(FILTER('Pivot Table for acq weekly'!D:D,'Pivot Table for acq weekly'!$B:$B=$B40,'Pivot Table for acq weekly'!$A:$A=$A40)/$C40 = 0,"""",FILTER('Pivot Table for acq weekly'!D:D,'Pivot Table for acq weekly'!$B:$B=$B40,'Pivot Table for acq weekly'!$A:$A=$A"&amp;"40)/$C40)"),"#N/A")</f>
        <v>#N/A</v>
      </c>
      <c r="E40" s="58" t="str">
        <f>IFERROR(__xludf.DUMMYFUNCTION("IF(FILTER('Pivot Table for acq weekly'!E:E,'Pivot Table for acq weekly'!$B:$B=$B40,'Pivot Table for acq weekly'!$A:$A=$A40)/$C40 = 0,"""",FILTER('Pivot Table for acq weekly'!E:E,'Pivot Table for acq weekly'!$B:$B=$B40,'Pivot Table for acq weekly'!$A:$A=$A"&amp;"40)/$C40)"),"#N/A")</f>
        <v>#N/A</v>
      </c>
      <c r="F40" s="58" t="str">
        <f>IFERROR(__xludf.DUMMYFUNCTION("IF(FILTER('Pivot Table for acq weekly'!F:F,'Pivot Table for acq weekly'!$B:$B=$B40,'Pivot Table for acq weekly'!$A:$A=$A40)/$C40 = 0,"""",FILTER('Pivot Table for acq weekly'!F:F,'Pivot Table for acq weekly'!$B:$B=$B40,'Pivot Table for acq weekly'!$A:$A=$A"&amp;"40)/$C40)"),"#N/A")</f>
        <v>#N/A</v>
      </c>
      <c r="G40" s="58" t="str">
        <f>IFERROR(__xludf.DUMMYFUNCTION("IF(FILTER('Pivot Table for acq weekly'!G:G,'Pivot Table for acq weekly'!$B:$B=$B40,'Pivot Table for acq weekly'!$A:$A=$A40)/$C40 = 0,"""",FILTER('Pivot Table for acq weekly'!G:G,'Pivot Table for acq weekly'!$B:$B=$B40,'Pivot Table for acq weekly'!$A:$A=$A"&amp;"40)/$C40)"),"#N/A")</f>
        <v>#N/A</v>
      </c>
      <c r="H40" s="58" t="str">
        <f>IFERROR(__xludf.DUMMYFUNCTION("IF(FILTER('Pivot Table for acq weekly'!H:H,'Pivot Table for acq weekly'!$B:$B=$B40,'Pivot Table for acq weekly'!$A:$A=$A40)/$C40 = 0,"""",FILTER('Pivot Table for acq weekly'!H:H,'Pivot Table for acq weekly'!$B:$B=$B40,'Pivot Table for acq weekly'!$A:$A=$A"&amp;"40)/$C40)"),"#N/A")</f>
        <v>#N/A</v>
      </c>
      <c r="I40" s="58" t="str">
        <f>IFERROR(__xludf.DUMMYFUNCTION("IF(FILTER('Pivot Table for acq weekly'!I:I,'Pivot Table for acq weekly'!$B:$B=$B40,'Pivot Table for acq weekly'!$A:$A=$A40)/$C40 = 0,"""",FILTER('Pivot Table for acq weekly'!I:I,'Pivot Table for acq weekly'!$B:$B=$B40,'Pivot Table for acq weekly'!$A:$A=$A"&amp;"40)/$C40)"),"#N/A")</f>
        <v>#N/A</v>
      </c>
      <c r="J40" s="58" t="str">
        <f>IFERROR(__xludf.DUMMYFUNCTION("IF(FILTER('Pivot Table for acq weekly'!J:J,'Pivot Table for acq weekly'!$B:$B=$B40,'Pivot Table for acq weekly'!$A:$A=$A40)/$C40 = 0,"""",FILTER('Pivot Table for acq weekly'!J:J,'Pivot Table for acq weekly'!$B:$B=$B40,'Pivot Table for acq weekly'!$A:$A=$A"&amp;"40)/$C40)"),"#N/A")</f>
        <v>#N/A</v>
      </c>
      <c r="K40" s="58" t="str">
        <f>IFERROR(__xludf.DUMMYFUNCTION("IF(FILTER('Pivot Table for acq weekly'!K:K,'Pivot Table for acq weekly'!$B:$B=$B40,'Pivot Table for acq weekly'!$A:$A=$A40)/$C40 = 0,"""",FILTER('Pivot Table for acq weekly'!K:K,'Pivot Table for acq weekly'!$B:$B=$B40,'Pivot Table for acq weekly'!$A:$A=$A"&amp;"40)/$C40)"),"#N/A")</f>
        <v>#N/A</v>
      </c>
      <c r="L40" s="58" t="str">
        <f>IFERROR(__xludf.DUMMYFUNCTION("IF(FILTER('Pivot Table for acq weekly'!L:L,'Pivot Table for acq weekly'!$B:$B=$B40,'Pivot Table for acq weekly'!$A:$A=$A40)/$C40 = 0,"""",FILTER('Pivot Table for acq weekly'!L:L,'Pivot Table for acq weekly'!$B:$B=$B40,'Pivot Table for acq weekly'!$A:$A=$A"&amp;"40)/$C40)"),"#N/A")</f>
        <v>#N/A</v>
      </c>
      <c r="M40" s="58" t="str">
        <f>IFERROR(__xludf.DUMMYFUNCTION("IF(FILTER('Pivot Table for acq weekly'!M:M,'Pivot Table for acq weekly'!$B:$B=$B40,'Pivot Table for acq weekly'!$A:$A=$A40)/$C40 = 0,"""",FILTER('Pivot Table for acq weekly'!M:M,'Pivot Table for acq weekly'!$B:$B=$B40,'Pivot Table for acq weekly'!$A:$A=$A"&amp;"40)/$C40)"),"#N/A")</f>
        <v>#N/A</v>
      </c>
      <c r="N40" s="58" t="str">
        <f>IFERROR(__xludf.DUMMYFUNCTION("IF(FILTER('Pivot Table for acq weekly'!N:N,'Pivot Table for acq weekly'!$B:$B=$B40,'Pivot Table for acq weekly'!$A:$A=$A40)/$C40 = 0,"""",FILTER('Pivot Table for acq weekly'!N:N,'Pivot Table for acq weekly'!$B:$B=$B40,'Pivot Table for acq weekly'!$A:$A=$A"&amp;"40)/$C40)"),"#N/A")</f>
        <v>#N/A</v>
      </c>
      <c r="O40" s="58" t="str">
        <f>IFERROR(__xludf.DUMMYFUNCTION("IF(FILTER('Pivot Table for acq weekly'!O:O,'Pivot Table for acq weekly'!$B:$B=$B40,'Pivot Table for acq weekly'!$A:$A=$A40)/$C40 = 0,"""",FILTER('Pivot Table for acq weekly'!O:O,'Pivot Table for acq weekly'!$B:$B=$B40,'Pivot Table for acq weekly'!$A:$A=$A"&amp;"40)/$C40)"),"#N/A")</f>
        <v>#N/A</v>
      </c>
      <c r="P40" s="58" t="str">
        <f>IFERROR(__xludf.DUMMYFUNCTION("IF(FILTER('Pivot Table for acq weekly'!P:P,'Pivot Table for acq weekly'!$B:$B=$B40,'Pivot Table for acq weekly'!$A:$A=$A40)/$C40 = 0,"""",FILTER('Pivot Table for acq weekly'!P:P,'Pivot Table for acq weekly'!$B:$B=$B40,'Pivot Table for acq weekly'!$A:$A=$A"&amp;"40)/$C40)"),"#N/A")</f>
        <v>#N/A</v>
      </c>
      <c r="Q40" s="58" t="str">
        <f>IFERROR(__xludf.DUMMYFUNCTION("IF(FILTER('Pivot Table for acq weekly'!Q:Q,'Pivot Table for acq weekly'!$B:$B=$B40,'Pivot Table for acq weekly'!$A:$A=$A40)/$C40 = 0,"""",FILTER('Pivot Table for acq weekly'!Q:Q,'Pivot Table for acq weekly'!$B:$B=$B40,'Pivot Table for acq weekly'!$A:$A=$A"&amp;"40)/$C40)"),"#N/A")</f>
        <v>#N/A</v>
      </c>
      <c r="R40" s="58" t="str">
        <f>IFERROR(__xludf.DUMMYFUNCTION("IF(FILTER('Pivot Table for acq weekly'!R:R,'Pivot Table for acq weekly'!$B:$B=$B40,'Pivot Table for acq weekly'!$A:$A=$A40)/$C40 = 0,"""",FILTER('Pivot Table for acq weekly'!R:R,'Pivot Table for acq weekly'!$B:$B=$B40,'Pivot Table for acq weekly'!$A:$A=$A"&amp;"40)/$C40)"),"#N/A")</f>
        <v>#N/A</v>
      </c>
      <c r="S40" s="58" t="str">
        <f>IFERROR(__xludf.DUMMYFUNCTION("IF(FILTER('Pivot Table for acq weekly'!S:S,'Pivot Table for acq weekly'!$B:$B=$B40,'Pivot Table for acq weekly'!$A:$A=$A40)/$C40 = 0,"""",FILTER('Pivot Table for acq weekly'!S:S,'Pivot Table for acq weekly'!$B:$B=$B40,'Pivot Table for acq weekly'!$A:$A=$A"&amp;"40)/$C40)"),"#N/A")</f>
        <v>#N/A</v>
      </c>
      <c r="T40" s="58" t="str">
        <f>IFERROR(__xludf.DUMMYFUNCTION("IF(FILTER('Pivot Table for acq weekly'!T:T,'Pivot Table for acq weekly'!$B:$B=$B40,'Pivot Table for acq weekly'!$A:$A=$A40)/$C40 = 0,"""",FILTER('Pivot Table for acq weekly'!T:T,'Pivot Table for acq weekly'!$B:$B=$B40,'Pivot Table for acq weekly'!$A:$A=$A"&amp;"40)/$C40)"),"#N/A")</f>
        <v>#N/A</v>
      </c>
      <c r="U40" s="58" t="str">
        <f>IFERROR(__xludf.DUMMYFUNCTION("IF(FILTER('Pivot Table for acq weekly'!U:U,'Pivot Table for acq weekly'!$B:$B=$B40,'Pivot Table for acq weekly'!$A:$A=$A40)/$C40 = 0,"""",FILTER('Pivot Table for acq weekly'!U:U,'Pivot Table for acq weekly'!$B:$B=$B40,'Pivot Table for acq weekly'!$A:$A=$A"&amp;"40)/$C40)"),"#N/A")</f>
        <v>#N/A</v>
      </c>
      <c r="V40" s="58" t="str">
        <f>IFERROR(__xludf.DUMMYFUNCTION("IF(FILTER('Pivot Table for acq weekly'!V:V,'Pivot Table for acq weekly'!$B:$B=$B40,'Pivot Table for acq weekly'!$A:$A=$A40)/$C40 = 0,"""",FILTER('Pivot Table for acq weekly'!V:V,'Pivot Table for acq weekly'!$B:$B=$B40,'Pivot Table for acq weekly'!$A:$A=$A"&amp;"40)/$C40)"),"#N/A")</f>
        <v>#N/A</v>
      </c>
      <c r="W40" s="58" t="str">
        <f>IFERROR(__xludf.DUMMYFUNCTION("IF(FILTER('Pivot Table for acq weekly'!W:W,'Pivot Table for acq weekly'!$B:$B=$B40,'Pivot Table for acq weekly'!$A:$A=$A40)/$C40 = 0,"""",FILTER('Pivot Table for acq weekly'!W:W,'Pivot Table for acq weekly'!$B:$B=$B40,'Pivot Table for acq weekly'!$A:$A=$A"&amp;"40)/$C40)"),"#N/A")</f>
        <v>#N/A</v>
      </c>
      <c r="X40" s="58" t="str">
        <f>IFERROR(__xludf.DUMMYFUNCTION("IF(FILTER('Pivot Table for acq weekly'!X:X,'Pivot Table for acq weekly'!$B:$B=$B40,'Pivot Table for acq weekly'!$A:$A=$A40)/$C40 = 0,"""",FILTER('Pivot Table for acq weekly'!X:X,'Pivot Table for acq weekly'!$B:$B=$B40,'Pivot Table for acq weekly'!$A:$A=$A"&amp;"40)/$C40)"),"#N/A")</f>
        <v>#N/A</v>
      </c>
      <c r="Y40" s="58" t="str">
        <f>IFERROR(__xludf.DUMMYFUNCTION("IF(FILTER('Pivot Table for acq weekly'!Y:Y,'Pivot Table for acq weekly'!$B:$B=$B40,'Pivot Table for acq weekly'!$A:$A=$A40)/$C40 = 0,"""",FILTER('Pivot Table for acq weekly'!Y:Y,'Pivot Table for acq weekly'!$B:$B=$B40,'Pivot Table for acq weekly'!$A:$A=$A"&amp;"40)/$C40)"),"#N/A")</f>
        <v>#N/A</v>
      </c>
    </row>
    <row r="41" hidden="1">
      <c r="A41" s="56">
        <v>8.0</v>
      </c>
      <c r="B41" s="30">
        <v>43275.0</v>
      </c>
      <c r="C41" s="57" t="str">
        <f>IFERROR(__xludf.DUMMYFUNCTION("FILTER('Pivot Table for acq weekly'!C:C,'Pivot Table for acq weekly'!$B:$B=$B41,'Pivot Table for acq weekly'!$A:$A=$A41)"),"#N/A")</f>
        <v>#N/A</v>
      </c>
      <c r="D41" s="58" t="str">
        <f>IFERROR(__xludf.DUMMYFUNCTION("IF(FILTER('Pivot Table for acq weekly'!D:D,'Pivot Table for acq weekly'!$B:$B=$B41,'Pivot Table for acq weekly'!$A:$A=$A41)/$C41 = 0,"""",FILTER('Pivot Table for acq weekly'!D:D,'Pivot Table for acq weekly'!$B:$B=$B41,'Pivot Table for acq weekly'!$A:$A=$A"&amp;"41)/$C41)"),"#N/A")</f>
        <v>#N/A</v>
      </c>
      <c r="E41" s="58" t="str">
        <f>IFERROR(__xludf.DUMMYFUNCTION("IF(FILTER('Pivot Table for acq weekly'!E:E,'Pivot Table for acq weekly'!$B:$B=$B41,'Pivot Table for acq weekly'!$A:$A=$A41)/$C41 = 0,"""",FILTER('Pivot Table for acq weekly'!E:E,'Pivot Table for acq weekly'!$B:$B=$B41,'Pivot Table for acq weekly'!$A:$A=$A"&amp;"41)/$C41)"),"#N/A")</f>
        <v>#N/A</v>
      </c>
      <c r="F41" s="58" t="str">
        <f>IFERROR(__xludf.DUMMYFUNCTION("IF(FILTER('Pivot Table for acq weekly'!F:F,'Pivot Table for acq weekly'!$B:$B=$B41,'Pivot Table for acq weekly'!$A:$A=$A41)/$C41 = 0,"""",FILTER('Pivot Table for acq weekly'!F:F,'Pivot Table for acq weekly'!$B:$B=$B41,'Pivot Table for acq weekly'!$A:$A=$A"&amp;"41)/$C41)"),"#N/A")</f>
        <v>#N/A</v>
      </c>
      <c r="G41" s="58" t="str">
        <f>IFERROR(__xludf.DUMMYFUNCTION("IF(FILTER('Pivot Table for acq weekly'!G:G,'Pivot Table for acq weekly'!$B:$B=$B41,'Pivot Table for acq weekly'!$A:$A=$A41)/$C41 = 0,"""",FILTER('Pivot Table for acq weekly'!G:G,'Pivot Table for acq weekly'!$B:$B=$B41,'Pivot Table for acq weekly'!$A:$A=$A"&amp;"41)/$C41)"),"#N/A")</f>
        <v>#N/A</v>
      </c>
      <c r="H41" s="58" t="str">
        <f>IFERROR(__xludf.DUMMYFUNCTION("IF(FILTER('Pivot Table for acq weekly'!H:H,'Pivot Table for acq weekly'!$B:$B=$B41,'Pivot Table for acq weekly'!$A:$A=$A41)/$C41 = 0,"""",FILTER('Pivot Table for acq weekly'!H:H,'Pivot Table for acq weekly'!$B:$B=$B41,'Pivot Table for acq weekly'!$A:$A=$A"&amp;"41)/$C41)"),"#N/A")</f>
        <v>#N/A</v>
      </c>
      <c r="I41" s="58" t="str">
        <f>IFERROR(__xludf.DUMMYFUNCTION("IF(FILTER('Pivot Table for acq weekly'!I:I,'Pivot Table for acq weekly'!$B:$B=$B41,'Pivot Table for acq weekly'!$A:$A=$A41)/$C41 = 0,"""",FILTER('Pivot Table for acq weekly'!I:I,'Pivot Table for acq weekly'!$B:$B=$B41,'Pivot Table for acq weekly'!$A:$A=$A"&amp;"41)/$C41)"),"#N/A")</f>
        <v>#N/A</v>
      </c>
      <c r="J41" s="58" t="str">
        <f>IFERROR(__xludf.DUMMYFUNCTION("IF(FILTER('Pivot Table for acq weekly'!J:J,'Pivot Table for acq weekly'!$B:$B=$B41,'Pivot Table for acq weekly'!$A:$A=$A41)/$C41 = 0,"""",FILTER('Pivot Table for acq weekly'!J:J,'Pivot Table for acq weekly'!$B:$B=$B41,'Pivot Table for acq weekly'!$A:$A=$A"&amp;"41)/$C41)"),"#N/A")</f>
        <v>#N/A</v>
      </c>
      <c r="K41" s="58" t="str">
        <f>IFERROR(__xludf.DUMMYFUNCTION("IF(FILTER('Pivot Table for acq weekly'!K:K,'Pivot Table for acq weekly'!$B:$B=$B41,'Pivot Table for acq weekly'!$A:$A=$A41)/$C41 = 0,"""",FILTER('Pivot Table for acq weekly'!K:K,'Pivot Table for acq weekly'!$B:$B=$B41,'Pivot Table for acq weekly'!$A:$A=$A"&amp;"41)/$C41)"),"#N/A")</f>
        <v>#N/A</v>
      </c>
      <c r="L41" s="58" t="str">
        <f>IFERROR(__xludf.DUMMYFUNCTION("IF(FILTER('Pivot Table for acq weekly'!L:L,'Pivot Table for acq weekly'!$B:$B=$B41,'Pivot Table for acq weekly'!$A:$A=$A41)/$C41 = 0,"""",FILTER('Pivot Table for acq weekly'!L:L,'Pivot Table for acq weekly'!$B:$B=$B41,'Pivot Table for acq weekly'!$A:$A=$A"&amp;"41)/$C41)"),"#N/A")</f>
        <v>#N/A</v>
      </c>
      <c r="M41" s="58" t="str">
        <f>IFERROR(__xludf.DUMMYFUNCTION("IF(FILTER('Pivot Table for acq weekly'!M:M,'Pivot Table for acq weekly'!$B:$B=$B41,'Pivot Table for acq weekly'!$A:$A=$A41)/$C41 = 0,"""",FILTER('Pivot Table for acq weekly'!M:M,'Pivot Table for acq weekly'!$B:$B=$B41,'Pivot Table for acq weekly'!$A:$A=$A"&amp;"41)/$C41)"),"#N/A")</f>
        <v>#N/A</v>
      </c>
      <c r="N41" s="58" t="str">
        <f>IFERROR(__xludf.DUMMYFUNCTION("IF(FILTER('Pivot Table for acq weekly'!N:N,'Pivot Table for acq weekly'!$B:$B=$B41,'Pivot Table for acq weekly'!$A:$A=$A41)/$C41 = 0,"""",FILTER('Pivot Table for acq weekly'!N:N,'Pivot Table for acq weekly'!$B:$B=$B41,'Pivot Table for acq weekly'!$A:$A=$A"&amp;"41)/$C41)"),"#N/A")</f>
        <v>#N/A</v>
      </c>
      <c r="O41" s="58" t="str">
        <f>IFERROR(__xludf.DUMMYFUNCTION("IF(FILTER('Pivot Table for acq weekly'!O:O,'Pivot Table for acq weekly'!$B:$B=$B41,'Pivot Table for acq weekly'!$A:$A=$A41)/$C41 = 0,"""",FILTER('Pivot Table for acq weekly'!O:O,'Pivot Table for acq weekly'!$B:$B=$B41,'Pivot Table for acq weekly'!$A:$A=$A"&amp;"41)/$C41)"),"#N/A")</f>
        <v>#N/A</v>
      </c>
      <c r="P41" s="58" t="str">
        <f>IFERROR(__xludf.DUMMYFUNCTION("IF(FILTER('Pivot Table for acq weekly'!P:P,'Pivot Table for acq weekly'!$B:$B=$B41,'Pivot Table for acq weekly'!$A:$A=$A41)/$C41 = 0,"""",FILTER('Pivot Table for acq weekly'!P:P,'Pivot Table for acq weekly'!$B:$B=$B41,'Pivot Table for acq weekly'!$A:$A=$A"&amp;"41)/$C41)"),"#N/A")</f>
        <v>#N/A</v>
      </c>
      <c r="Q41" s="58" t="str">
        <f>IFERROR(__xludf.DUMMYFUNCTION("IF(FILTER('Pivot Table for acq weekly'!Q:Q,'Pivot Table for acq weekly'!$B:$B=$B41,'Pivot Table for acq weekly'!$A:$A=$A41)/$C41 = 0,"""",FILTER('Pivot Table for acq weekly'!Q:Q,'Pivot Table for acq weekly'!$B:$B=$B41,'Pivot Table for acq weekly'!$A:$A=$A"&amp;"41)/$C41)"),"#N/A")</f>
        <v>#N/A</v>
      </c>
      <c r="R41" s="58" t="str">
        <f>IFERROR(__xludf.DUMMYFUNCTION("IF(FILTER('Pivot Table for acq weekly'!R:R,'Pivot Table for acq weekly'!$B:$B=$B41,'Pivot Table for acq weekly'!$A:$A=$A41)/$C41 = 0,"""",FILTER('Pivot Table for acq weekly'!R:R,'Pivot Table for acq weekly'!$B:$B=$B41,'Pivot Table for acq weekly'!$A:$A=$A"&amp;"41)/$C41)"),"#N/A")</f>
        <v>#N/A</v>
      </c>
      <c r="S41" s="58" t="str">
        <f>IFERROR(__xludf.DUMMYFUNCTION("IF(FILTER('Pivot Table for acq weekly'!S:S,'Pivot Table for acq weekly'!$B:$B=$B41,'Pivot Table for acq weekly'!$A:$A=$A41)/$C41 = 0,"""",FILTER('Pivot Table for acq weekly'!S:S,'Pivot Table for acq weekly'!$B:$B=$B41,'Pivot Table for acq weekly'!$A:$A=$A"&amp;"41)/$C41)"),"#N/A")</f>
        <v>#N/A</v>
      </c>
      <c r="T41" s="58" t="str">
        <f>IFERROR(__xludf.DUMMYFUNCTION("IF(FILTER('Pivot Table for acq weekly'!T:T,'Pivot Table for acq weekly'!$B:$B=$B41,'Pivot Table for acq weekly'!$A:$A=$A41)/$C41 = 0,"""",FILTER('Pivot Table for acq weekly'!T:T,'Pivot Table for acq weekly'!$B:$B=$B41,'Pivot Table for acq weekly'!$A:$A=$A"&amp;"41)/$C41)"),"#N/A")</f>
        <v>#N/A</v>
      </c>
      <c r="U41" s="58" t="str">
        <f>IFERROR(__xludf.DUMMYFUNCTION("IF(FILTER('Pivot Table for acq weekly'!U:U,'Pivot Table for acq weekly'!$B:$B=$B41,'Pivot Table for acq weekly'!$A:$A=$A41)/$C41 = 0,"""",FILTER('Pivot Table for acq weekly'!U:U,'Pivot Table for acq weekly'!$B:$B=$B41,'Pivot Table for acq weekly'!$A:$A=$A"&amp;"41)/$C41)"),"#N/A")</f>
        <v>#N/A</v>
      </c>
      <c r="V41" s="58" t="str">
        <f>IFERROR(__xludf.DUMMYFUNCTION("IF(FILTER('Pivot Table for acq weekly'!V:V,'Pivot Table for acq weekly'!$B:$B=$B41,'Pivot Table for acq weekly'!$A:$A=$A41)/$C41 = 0,"""",FILTER('Pivot Table for acq weekly'!V:V,'Pivot Table for acq weekly'!$B:$B=$B41,'Pivot Table for acq weekly'!$A:$A=$A"&amp;"41)/$C41)"),"#N/A")</f>
        <v>#N/A</v>
      </c>
      <c r="W41" s="58" t="str">
        <f>IFERROR(__xludf.DUMMYFUNCTION("IF(FILTER('Pivot Table for acq weekly'!W:W,'Pivot Table for acq weekly'!$B:$B=$B41,'Pivot Table for acq weekly'!$A:$A=$A41)/$C41 = 0,"""",FILTER('Pivot Table for acq weekly'!W:W,'Pivot Table for acq weekly'!$B:$B=$B41,'Pivot Table for acq weekly'!$A:$A=$A"&amp;"41)/$C41)"),"#N/A")</f>
        <v>#N/A</v>
      </c>
      <c r="X41" s="58" t="str">
        <f>IFERROR(__xludf.DUMMYFUNCTION("IF(FILTER('Pivot Table for acq weekly'!X:X,'Pivot Table for acq weekly'!$B:$B=$B41,'Pivot Table for acq weekly'!$A:$A=$A41)/$C41 = 0,"""",FILTER('Pivot Table for acq weekly'!X:X,'Pivot Table for acq weekly'!$B:$B=$B41,'Pivot Table for acq weekly'!$A:$A=$A"&amp;"41)/$C41)"),"#N/A")</f>
        <v>#N/A</v>
      </c>
      <c r="Y41" s="58" t="str">
        <f>IFERROR(__xludf.DUMMYFUNCTION("IF(FILTER('Pivot Table for acq weekly'!Y:Y,'Pivot Table for acq weekly'!$B:$B=$B41,'Pivot Table for acq weekly'!$A:$A=$A41)/$C41 = 0,"""",FILTER('Pivot Table for acq weekly'!Y:Y,'Pivot Table for acq weekly'!$B:$B=$B41,'Pivot Table for acq weekly'!$A:$A=$A"&amp;"41)/$C41)"),"#N/A")</f>
        <v>#N/A</v>
      </c>
    </row>
    <row r="42" hidden="1">
      <c r="A42" s="56">
        <v>8.0</v>
      </c>
      <c r="B42" s="30">
        <v>43282.0</v>
      </c>
      <c r="C42" s="57" t="str">
        <f>IFERROR(__xludf.DUMMYFUNCTION("FILTER('Pivot Table for acq weekly'!C:C,'Pivot Table for acq weekly'!$B:$B=$B42,'Pivot Table for acq weekly'!$A:$A=$A42)"),"#N/A")</f>
        <v>#N/A</v>
      </c>
      <c r="D42" s="58" t="str">
        <f>IFERROR(__xludf.DUMMYFUNCTION("IF(FILTER('Pivot Table for acq weekly'!D:D,'Pivot Table for acq weekly'!$B:$B=$B42,'Pivot Table for acq weekly'!$A:$A=$A42)/$C42 = 0,"""",FILTER('Pivot Table for acq weekly'!D:D,'Pivot Table for acq weekly'!$B:$B=$B42,'Pivot Table for acq weekly'!$A:$A=$A"&amp;"42)/$C42)"),"#N/A")</f>
        <v>#N/A</v>
      </c>
      <c r="E42" s="58" t="str">
        <f>IFERROR(__xludf.DUMMYFUNCTION("IF(FILTER('Pivot Table for acq weekly'!E:E,'Pivot Table for acq weekly'!$B:$B=$B42,'Pivot Table for acq weekly'!$A:$A=$A42)/$C42 = 0,"""",FILTER('Pivot Table for acq weekly'!E:E,'Pivot Table for acq weekly'!$B:$B=$B42,'Pivot Table for acq weekly'!$A:$A=$A"&amp;"42)/$C42)"),"#N/A")</f>
        <v>#N/A</v>
      </c>
      <c r="F42" s="58" t="str">
        <f>IFERROR(__xludf.DUMMYFUNCTION("IF(FILTER('Pivot Table for acq weekly'!F:F,'Pivot Table for acq weekly'!$B:$B=$B42,'Pivot Table for acq weekly'!$A:$A=$A42)/$C42 = 0,"""",FILTER('Pivot Table for acq weekly'!F:F,'Pivot Table for acq weekly'!$B:$B=$B42,'Pivot Table for acq weekly'!$A:$A=$A"&amp;"42)/$C42)"),"#N/A")</f>
        <v>#N/A</v>
      </c>
      <c r="G42" s="58" t="str">
        <f>IFERROR(__xludf.DUMMYFUNCTION("IF(FILTER('Pivot Table for acq weekly'!G:G,'Pivot Table for acq weekly'!$B:$B=$B42,'Pivot Table for acq weekly'!$A:$A=$A42)/$C42 = 0,"""",FILTER('Pivot Table for acq weekly'!G:G,'Pivot Table for acq weekly'!$B:$B=$B42,'Pivot Table for acq weekly'!$A:$A=$A"&amp;"42)/$C42)"),"#N/A")</f>
        <v>#N/A</v>
      </c>
      <c r="H42" s="58" t="str">
        <f>IFERROR(__xludf.DUMMYFUNCTION("IF(FILTER('Pivot Table for acq weekly'!H:H,'Pivot Table for acq weekly'!$B:$B=$B42,'Pivot Table for acq weekly'!$A:$A=$A42)/$C42 = 0,"""",FILTER('Pivot Table for acq weekly'!H:H,'Pivot Table for acq weekly'!$B:$B=$B42,'Pivot Table for acq weekly'!$A:$A=$A"&amp;"42)/$C42)"),"#N/A")</f>
        <v>#N/A</v>
      </c>
      <c r="I42" s="58" t="str">
        <f>IFERROR(__xludf.DUMMYFUNCTION("IF(FILTER('Pivot Table for acq weekly'!I:I,'Pivot Table for acq weekly'!$B:$B=$B42,'Pivot Table for acq weekly'!$A:$A=$A42)/$C42 = 0,"""",FILTER('Pivot Table for acq weekly'!I:I,'Pivot Table for acq weekly'!$B:$B=$B42,'Pivot Table for acq weekly'!$A:$A=$A"&amp;"42)/$C42)"),"#N/A")</f>
        <v>#N/A</v>
      </c>
      <c r="J42" s="58" t="str">
        <f>IFERROR(__xludf.DUMMYFUNCTION("IF(FILTER('Pivot Table for acq weekly'!J:J,'Pivot Table for acq weekly'!$B:$B=$B42,'Pivot Table for acq weekly'!$A:$A=$A42)/$C42 = 0,"""",FILTER('Pivot Table for acq weekly'!J:J,'Pivot Table for acq weekly'!$B:$B=$B42,'Pivot Table for acq weekly'!$A:$A=$A"&amp;"42)/$C42)"),"#N/A")</f>
        <v>#N/A</v>
      </c>
      <c r="K42" s="58" t="str">
        <f>IFERROR(__xludf.DUMMYFUNCTION("IF(FILTER('Pivot Table for acq weekly'!K:K,'Pivot Table for acq weekly'!$B:$B=$B42,'Pivot Table for acq weekly'!$A:$A=$A42)/$C42 = 0,"""",FILTER('Pivot Table for acq weekly'!K:K,'Pivot Table for acq weekly'!$B:$B=$B42,'Pivot Table for acq weekly'!$A:$A=$A"&amp;"42)/$C42)"),"#N/A")</f>
        <v>#N/A</v>
      </c>
      <c r="L42" s="58" t="str">
        <f>IFERROR(__xludf.DUMMYFUNCTION("IF(FILTER('Pivot Table for acq weekly'!L:L,'Pivot Table for acq weekly'!$B:$B=$B42,'Pivot Table for acq weekly'!$A:$A=$A42)/$C42 = 0,"""",FILTER('Pivot Table for acq weekly'!L:L,'Pivot Table for acq weekly'!$B:$B=$B42,'Pivot Table for acq weekly'!$A:$A=$A"&amp;"42)/$C42)"),"#N/A")</f>
        <v>#N/A</v>
      </c>
      <c r="M42" s="58" t="str">
        <f>IFERROR(__xludf.DUMMYFUNCTION("IF(FILTER('Pivot Table for acq weekly'!M:M,'Pivot Table for acq weekly'!$B:$B=$B42,'Pivot Table for acq weekly'!$A:$A=$A42)/$C42 = 0,"""",FILTER('Pivot Table for acq weekly'!M:M,'Pivot Table for acq weekly'!$B:$B=$B42,'Pivot Table for acq weekly'!$A:$A=$A"&amp;"42)/$C42)"),"#N/A")</f>
        <v>#N/A</v>
      </c>
      <c r="N42" s="58" t="str">
        <f>IFERROR(__xludf.DUMMYFUNCTION("IF(FILTER('Pivot Table for acq weekly'!N:N,'Pivot Table for acq weekly'!$B:$B=$B42,'Pivot Table for acq weekly'!$A:$A=$A42)/$C42 = 0,"""",FILTER('Pivot Table for acq weekly'!N:N,'Pivot Table for acq weekly'!$B:$B=$B42,'Pivot Table for acq weekly'!$A:$A=$A"&amp;"42)/$C42)"),"#N/A")</f>
        <v>#N/A</v>
      </c>
      <c r="O42" s="58" t="str">
        <f>IFERROR(__xludf.DUMMYFUNCTION("IF(FILTER('Pivot Table for acq weekly'!O:O,'Pivot Table for acq weekly'!$B:$B=$B42,'Pivot Table for acq weekly'!$A:$A=$A42)/$C42 = 0,"""",FILTER('Pivot Table for acq weekly'!O:O,'Pivot Table for acq weekly'!$B:$B=$B42,'Pivot Table for acq weekly'!$A:$A=$A"&amp;"42)/$C42)"),"#N/A")</f>
        <v>#N/A</v>
      </c>
      <c r="P42" s="58" t="str">
        <f>IFERROR(__xludf.DUMMYFUNCTION("IF(FILTER('Pivot Table for acq weekly'!P:P,'Pivot Table for acq weekly'!$B:$B=$B42,'Pivot Table for acq weekly'!$A:$A=$A42)/$C42 = 0,"""",FILTER('Pivot Table for acq weekly'!P:P,'Pivot Table for acq weekly'!$B:$B=$B42,'Pivot Table for acq weekly'!$A:$A=$A"&amp;"42)/$C42)"),"#N/A")</f>
        <v>#N/A</v>
      </c>
      <c r="Q42" s="58" t="str">
        <f>IFERROR(__xludf.DUMMYFUNCTION("IF(FILTER('Pivot Table for acq weekly'!Q:Q,'Pivot Table for acq weekly'!$B:$B=$B42,'Pivot Table for acq weekly'!$A:$A=$A42)/$C42 = 0,"""",FILTER('Pivot Table for acq weekly'!Q:Q,'Pivot Table for acq weekly'!$B:$B=$B42,'Pivot Table for acq weekly'!$A:$A=$A"&amp;"42)/$C42)"),"#N/A")</f>
        <v>#N/A</v>
      </c>
      <c r="R42" s="58" t="str">
        <f>IFERROR(__xludf.DUMMYFUNCTION("IF(FILTER('Pivot Table for acq weekly'!R:R,'Pivot Table for acq weekly'!$B:$B=$B42,'Pivot Table for acq weekly'!$A:$A=$A42)/$C42 = 0,"""",FILTER('Pivot Table for acq weekly'!R:R,'Pivot Table for acq weekly'!$B:$B=$B42,'Pivot Table for acq weekly'!$A:$A=$A"&amp;"42)/$C42)"),"#N/A")</f>
        <v>#N/A</v>
      </c>
      <c r="S42" s="58" t="str">
        <f>IFERROR(__xludf.DUMMYFUNCTION("IF(FILTER('Pivot Table for acq weekly'!S:S,'Pivot Table for acq weekly'!$B:$B=$B42,'Pivot Table for acq weekly'!$A:$A=$A42)/$C42 = 0,"""",FILTER('Pivot Table for acq weekly'!S:S,'Pivot Table for acq weekly'!$B:$B=$B42,'Pivot Table for acq weekly'!$A:$A=$A"&amp;"42)/$C42)"),"#N/A")</f>
        <v>#N/A</v>
      </c>
      <c r="T42" s="58" t="str">
        <f>IFERROR(__xludf.DUMMYFUNCTION("IF(FILTER('Pivot Table for acq weekly'!T:T,'Pivot Table for acq weekly'!$B:$B=$B42,'Pivot Table for acq weekly'!$A:$A=$A42)/$C42 = 0,"""",FILTER('Pivot Table for acq weekly'!T:T,'Pivot Table for acq weekly'!$B:$B=$B42,'Pivot Table for acq weekly'!$A:$A=$A"&amp;"42)/$C42)"),"#N/A")</f>
        <v>#N/A</v>
      </c>
      <c r="U42" s="58" t="str">
        <f>IFERROR(__xludf.DUMMYFUNCTION("IF(FILTER('Pivot Table for acq weekly'!U:U,'Pivot Table for acq weekly'!$B:$B=$B42,'Pivot Table for acq weekly'!$A:$A=$A42)/$C42 = 0,"""",FILTER('Pivot Table for acq weekly'!U:U,'Pivot Table for acq weekly'!$B:$B=$B42,'Pivot Table for acq weekly'!$A:$A=$A"&amp;"42)/$C42)"),"#N/A")</f>
        <v>#N/A</v>
      </c>
      <c r="V42" s="58" t="str">
        <f>IFERROR(__xludf.DUMMYFUNCTION("IF(FILTER('Pivot Table for acq weekly'!V:V,'Pivot Table for acq weekly'!$B:$B=$B42,'Pivot Table for acq weekly'!$A:$A=$A42)/$C42 = 0,"""",FILTER('Pivot Table for acq weekly'!V:V,'Pivot Table for acq weekly'!$B:$B=$B42,'Pivot Table for acq weekly'!$A:$A=$A"&amp;"42)/$C42)"),"#N/A")</f>
        <v>#N/A</v>
      </c>
      <c r="W42" s="58" t="str">
        <f>IFERROR(__xludf.DUMMYFUNCTION("IF(FILTER('Pivot Table for acq weekly'!W:W,'Pivot Table for acq weekly'!$B:$B=$B42,'Pivot Table for acq weekly'!$A:$A=$A42)/$C42 = 0,"""",FILTER('Pivot Table for acq weekly'!W:W,'Pivot Table for acq weekly'!$B:$B=$B42,'Pivot Table for acq weekly'!$A:$A=$A"&amp;"42)/$C42)"),"#N/A")</f>
        <v>#N/A</v>
      </c>
      <c r="X42" s="58" t="str">
        <f>IFERROR(__xludf.DUMMYFUNCTION("IF(FILTER('Pivot Table for acq weekly'!X:X,'Pivot Table for acq weekly'!$B:$B=$B42,'Pivot Table for acq weekly'!$A:$A=$A42)/$C42 = 0,"""",FILTER('Pivot Table for acq weekly'!X:X,'Pivot Table for acq weekly'!$B:$B=$B42,'Pivot Table for acq weekly'!$A:$A=$A"&amp;"42)/$C42)"),"#N/A")</f>
        <v>#N/A</v>
      </c>
      <c r="Y42" s="58" t="str">
        <f>IFERROR(__xludf.DUMMYFUNCTION("IF(FILTER('Pivot Table for acq weekly'!Y:Y,'Pivot Table for acq weekly'!$B:$B=$B42,'Pivot Table for acq weekly'!$A:$A=$A42)/$C42 = 0,"""",FILTER('Pivot Table for acq weekly'!Y:Y,'Pivot Table for acq weekly'!$B:$B=$B42,'Pivot Table for acq weekly'!$A:$A=$A"&amp;"42)/$C42)"),"#N/A")</f>
        <v>#N/A</v>
      </c>
    </row>
    <row r="43" hidden="1">
      <c r="A43" s="56">
        <v>9.0</v>
      </c>
      <c r="B43" s="30">
        <v>43254.0</v>
      </c>
      <c r="C43" s="57" t="str">
        <f>IFERROR(__xludf.DUMMYFUNCTION("FILTER('Pivot Table for acq weekly'!C:C,'Pivot Table for acq weekly'!$B:$B=$B43,'Pivot Table for acq weekly'!$A:$A=$A43)"),"#N/A")</f>
        <v>#N/A</v>
      </c>
      <c r="D43" s="58" t="str">
        <f>IFERROR(__xludf.DUMMYFUNCTION("IF(FILTER('Pivot Table for acq weekly'!D:D,'Pivot Table for acq weekly'!$B:$B=$B43,'Pivot Table for acq weekly'!$A:$A=$A43)/$C43 = 0,"""",FILTER('Pivot Table for acq weekly'!D:D,'Pivot Table for acq weekly'!$B:$B=$B43,'Pivot Table for acq weekly'!$A:$A=$A"&amp;"43)/$C43)"),"#N/A")</f>
        <v>#N/A</v>
      </c>
      <c r="E43" s="58" t="str">
        <f>IFERROR(__xludf.DUMMYFUNCTION("IF(FILTER('Pivot Table for acq weekly'!E:E,'Pivot Table for acq weekly'!$B:$B=$B43,'Pivot Table for acq weekly'!$A:$A=$A43)/$C43 = 0,"""",FILTER('Pivot Table for acq weekly'!E:E,'Pivot Table for acq weekly'!$B:$B=$B43,'Pivot Table for acq weekly'!$A:$A=$A"&amp;"43)/$C43)"),"#N/A")</f>
        <v>#N/A</v>
      </c>
      <c r="F43" s="58" t="str">
        <f>IFERROR(__xludf.DUMMYFUNCTION("IF(FILTER('Pivot Table for acq weekly'!F:F,'Pivot Table for acq weekly'!$B:$B=$B43,'Pivot Table for acq weekly'!$A:$A=$A43)/$C43 = 0,"""",FILTER('Pivot Table for acq weekly'!F:F,'Pivot Table for acq weekly'!$B:$B=$B43,'Pivot Table for acq weekly'!$A:$A=$A"&amp;"43)/$C43)"),"#N/A")</f>
        <v>#N/A</v>
      </c>
      <c r="G43" s="58" t="str">
        <f>IFERROR(__xludf.DUMMYFUNCTION("IF(FILTER('Pivot Table for acq weekly'!G:G,'Pivot Table for acq weekly'!$B:$B=$B43,'Pivot Table for acq weekly'!$A:$A=$A43)/$C43 = 0,"""",FILTER('Pivot Table for acq weekly'!G:G,'Pivot Table for acq weekly'!$B:$B=$B43,'Pivot Table for acq weekly'!$A:$A=$A"&amp;"43)/$C43)"),"#N/A")</f>
        <v>#N/A</v>
      </c>
      <c r="H43" s="58" t="str">
        <f>IFERROR(__xludf.DUMMYFUNCTION("IF(FILTER('Pivot Table for acq weekly'!H:H,'Pivot Table for acq weekly'!$B:$B=$B43,'Pivot Table for acq weekly'!$A:$A=$A43)/$C43 = 0,"""",FILTER('Pivot Table for acq weekly'!H:H,'Pivot Table for acq weekly'!$B:$B=$B43,'Pivot Table for acq weekly'!$A:$A=$A"&amp;"43)/$C43)"),"#N/A")</f>
        <v>#N/A</v>
      </c>
      <c r="I43" s="58" t="str">
        <f>IFERROR(__xludf.DUMMYFUNCTION("IF(FILTER('Pivot Table for acq weekly'!I:I,'Pivot Table for acq weekly'!$B:$B=$B43,'Pivot Table for acq weekly'!$A:$A=$A43)/$C43 = 0,"""",FILTER('Pivot Table for acq weekly'!I:I,'Pivot Table for acq weekly'!$B:$B=$B43,'Pivot Table for acq weekly'!$A:$A=$A"&amp;"43)/$C43)"),"#N/A")</f>
        <v>#N/A</v>
      </c>
      <c r="J43" s="58" t="str">
        <f>IFERROR(__xludf.DUMMYFUNCTION("IF(FILTER('Pivot Table for acq weekly'!J:J,'Pivot Table for acq weekly'!$B:$B=$B43,'Pivot Table for acq weekly'!$A:$A=$A43)/$C43 = 0,"""",FILTER('Pivot Table for acq weekly'!J:J,'Pivot Table for acq weekly'!$B:$B=$B43,'Pivot Table for acq weekly'!$A:$A=$A"&amp;"43)/$C43)"),"#N/A")</f>
        <v>#N/A</v>
      </c>
      <c r="K43" s="58" t="str">
        <f>IFERROR(__xludf.DUMMYFUNCTION("IF(FILTER('Pivot Table for acq weekly'!K:K,'Pivot Table for acq weekly'!$B:$B=$B43,'Pivot Table for acq weekly'!$A:$A=$A43)/$C43 = 0,"""",FILTER('Pivot Table for acq weekly'!K:K,'Pivot Table for acq weekly'!$B:$B=$B43,'Pivot Table for acq weekly'!$A:$A=$A"&amp;"43)/$C43)"),"#N/A")</f>
        <v>#N/A</v>
      </c>
      <c r="L43" s="58" t="str">
        <f>IFERROR(__xludf.DUMMYFUNCTION("IF(FILTER('Pivot Table for acq weekly'!L:L,'Pivot Table for acq weekly'!$B:$B=$B43,'Pivot Table for acq weekly'!$A:$A=$A43)/$C43 = 0,"""",FILTER('Pivot Table for acq weekly'!L:L,'Pivot Table for acq weekly'!$B:$B=$B43,'Pivot Table for acq weekly'!$A:$A=$A"&amp;"43)/$C43)"),"#N/A")</f>
        <v>#N/A</v>
      </c>
      <c r="M43" s="58" t="str">
        <f>IFERROR(__xludf.DUMMYFUNCTION("IF(FILTER('Pivot Table for acq weekly'!M:M,'Pivot Table for acq weekly'!$B:$B=$B43,'Pivot Table for acq weekly'!$A:$A=$A43)/$C43 = 0,"""",FILTER('Pivot Table for acq weekly'!M:M,'Pivot Table for acq weekly'!$B:$B=$B43,'Pivot Table for acq weekly'!$A:$A=$A"&amp;"43)/$C43)"),"#N/A")</f>
        <v>#N/A</v>
      </c>
      <c r="N43" s="58" t="str">
        <f>IFERROR(__xludf.DUMMYFUNCTION("IF(FILTER('Pivot Table for acq weekly'!N:N,'Pivot Table for acq weekly'!$B:$B=$B43,'Pivot Table for acq weekly'!$A:$A=$A43)/$C43 = 0,"""",FILTER('Pivot Table for acq weekly'!N:N,'Pivot Table for acq weekly'!$B:$B=$B43,'Pivot Table for acq weekly'!$A:$A=$A"&amp;"43)/$C43)"),"#N/A")</f>
        <v>#N/A</v>
      </c>
      <c r="O43" s="58" t="str">
        <f>IFERROR(__xludf.DUMMYFUNCTION("IF(FILTER('Pivot Table for acq weekly'!O:O,'Pivot Table for acq weekly'!$B:$B=$B43,'Pivot Table for acq weekly'!$A:$A=$A43)/$C43 = 0,"""",FILTER('Pivot Table for acq weekly'!O:O,'Pivot Table for acq weekly'!$B:$B=$B43,'Pivot Table for acq weekly'!$A:$A=$A"&amp;"43)/$C43)"),"#N/A")</f>
        <v>#N/A</v>
      </c>
      <c r="P43" s="58" t="str">
        <f>IFERROR(__xludf.DUMMYFUNCTION("IF(FILTER('Pivot Table for acq weekly'!P:P,'Pivot Table for acq weekly'!$B:$B=$B43,'Pivot Table for acq weekly'!$A:$A=$A43)/$C43 = 0,"""",FILTER('Pivot Table for acq weekly'!P:P,'Pivot Table for acq weekly'!$B:$B=$B43,'Pivot Table for acq weekly'!$A:$A=$A"&amp;"43)/$C43)"),"#N/A")</f>
        <v>#N/A</v>
      </c>
      <c r="Q43" s="58" t="str">
        <f>IFERROR(__xludf.DUMMYFUNCTION("IF(FILTER('Pivot Table for acq weekly'!Q:Q,'Pivot Table for acq weekly'!$B:$B=$B43,'Pivot Table for acq weekly'!$A:$A=$A43)/$C43 = 0,"""",FILTER('Pivot Table for acq weekly'!Q:Q,'Pivot Table for acq weekly'!$B:$B=$B43,'Pivot Table for acq weekly'!$A:$A=$A"&amp;"43)/$C43)"),"#N/A")</f>
        <v>#N/A</v>
      </c>
      <c r="R43" s="58" t="str">
        <f>IFERROR(__xludf.DUMMYFUNCTION("IF(FILTER('Pivot Table for acq weekly'!R:R,'Pivot Table for acq weekly'!$B:$B=$B43,'Pivot Table for acq weekly'!$A:$A=$A43)/$C43 = 0,"""",FILTER('Pivot Table for acq weekly'!R:R,'Pivot Table for acq weekly'!$B:$B=$B43,'Pivot Table for acq weekly'!$A:$A=$A"&amp;"43)/$C43)"),"#N/A")</f>
        <v>#N/A</v>
      </c>
      <c r="S43" s="58" t="str">
        <f>IFERROR(__xludf.DUMMYFUNCTION("IF(FILTER('Pivot Table for acq weekly'!S:S,'Pivot Table for acq weekly'!$B:$B=$B43,'Pivot Table for acq weekly'!$A:$A=$A43)/$C43 = 0,"""",FILTER('Pivot Table for acq weekly'!S:S,'Pivot Table for acq weekly'!$B:$B=$B43,'Pivot Table for acq weekly'!$A:$A=$A"&amp;"43)/$C43)"),"#N/A")</f>
        <v>#N/A</v>
      </c>
      <c r="T43" s="58" t="str">
        <f>IFERROR(__xludf.DUMMYFUNCTION("IF(FILTER('Pivot Table for acq weekly'!T:T,'Pivot Table for acq weekly'!$B:$B=$B43,'Pivot Table for acq weekly'!$A:$A=$A43)/$C43 = 0,"""",FILTER('Pivot Table for acq weekly'!T:T,'Pivot Table for acq weekly'!$B:$B=$B43,'Pivot Table for acq weekly'!$A:$A=$A"&amp;"43)/$C43)"),"#N/A")</f>
        <v>#N/A</v>
      </c>
      <c r="U43" s="58" t="str">
        <f>IFERROR(__xludf.DUMMYFUNCTION("IF(FILTER('Pivot Table for acq weekly'!U:U,'Pivot Table for acq weekly'!$B:$B=$B43,'Pivot Table for acq weekly'!$A:$A=$A43)/$C43 = 0,"""",FILTER('Pivot Table for acq weekly'!U:U,'Pivot Table for acq weekly'!$B:$B=$B43,'Pivot Table for acq weekly'!$A:$A=$A"&amp;"43)/$C43)"),"#N/A")</f>
        <v>#N/A</v>
      </c>
      <c r="V43" s="58" t="str">
        <f>IFERROR(__xludf.DUMMYFUNCTION("IF(FILTER('Pivot Table for acq weekly'!V:V,'Pivot Table for acq weekly'!$B:$B=$B43,'Pivot Table for acq weekly'!$A:$A=$A43)/$C43 = 0,"""",FILTER('Pivot Table for acq weekly'!V:V,'Pivot Table for acq weekly'!$B:$B=$B43,'Pivot Table for acq weekly'!$A:$A=$A"&amp;"43)/$C43)"),"#N/A")</f>
        <v>#N/A</v>
      </c>
      <c r="W43" s="58" t="str">
        <f>IFERROR(__xludf.DUMMYFUNCTION("IF(FILTER('Pivot Table for acq weekly'!W:W,'Pivot Table for acq weekly'!$B:$B=$B43,'Pivot Table for acq weekly'!$A:$A=$A43)/$C43 = 0,"""",FILTER('Pivot Table for acq weekly'!W:W,'Pivot Table for acq weekly'!$B:$B=$B43,'Pivot Table for acq weekly'!$A:$A=$A"&amp;"43)/$C43)"),"#N/A")</f>
        <v>#N/A</v>
      </c>
      <c r="X43" s="58" t="str">
        <f>IFERROR(__xludf.DUMMYFUNCTION("IF(FILTER('Pivot Table for acq weekly'!X:X,'Pivot Table for acq weekly'!$B:$B=$B43,'Pivot Table for acq weekly'!$A:$A=$A43)/$C43 = 0,"""",FILTER('Pivot Table for acq weekly'!X:X,'Pivot Table for acq weekly'!$B:$B=$B43,'Pivot Table for acq weekly'!$A:$A=$A"&amp;"43)/$C43)"),"#N/A")</f>
        <v>#N/A</v>
      </c>
      <c r="Y43" s="58" t="str">
        <f>IFERROR(__xludf.DUMMYFUNCTION("IF(FILTER('Pivot Table for acq weekly'!Y:Y,'Pivot Table for acq weekly'!$B:$B=$B43,'Pivot Table for acq weekly'!$A:$A=$A43)/$C43 = 0,"""",FILTER('Pivot Table for acq weekly'!Y:Y,'Pivot Table for acq weekly'!$B:$B=$B43,'Pivot Table for acq weekly'!$A:$A=$A"&amp;"43)/$C43)"),"#N/A")</f>
        <v>#N/A</v>
      </c>
    </row>
    <row r="44" hidden="1">
      <c r="A44" s="56">
        <v>9.0</v>
      </c>
      <c r="B44" s="30">
        <v>43261.0</v>
      </c>
      <c r="C44" s="57" t="str">
        <f>IFERROR(__xludf.DUMMYFUNCTION("FILTER('Pivot Table for acq weekly'!C:C,'Pivot Table for acq weekly'!$B:$B=$B44,'Pivot Table for acq weekly'!$A:$A=$A44)"),"#N/A")</f>
        <v>#N/A</v>
      </c>
      <c r="D44" s="58" t="str">
        <f>IFERROR(__xludf.DUMMYFUNCTION("IF(FILTER('Pivot Table for acq weekly'!D:D,'Pivot Table for acq weekly'!$B:$B=$B44,'Pivot Table for acq weekly'!$A:$A=$A44)/$C44 = 0,"""",FILTER('Pivot Table for acq weekly'!D:D,'Pivot Table for acq weekly'!$B:$B=$B44,'Pivot Table for acq weekly'!$A:$A=$A"&amp;"44)/$C44)"),"#N/A")</f>
        <v>#N/A</v>
      </c>
      <c r="E44" s="58" t="str">
        <f>IFERROR(__xludf.DUMMYFUNCTION("IF(FILTER('Pivot Table for acq weekly'!E:E,'Pivot Table for acq weekly'!$B:$B=$B44,'Pivot Table for acq weekly'!$A:$A=$A44)/$C44 = 0,"""",FILTER('Pivot Table for acq weekly'!E:E,'Pivot Table for acq weekly'!$B:$B=$B44,'Pivot Table for acq weekly'!$A:$A=$A"&amp;"44)/$C44)"),"#N/A")</f>
        <v>#N/A</v>
      </c>
      <c r="F44" s="58" t="str">
        <f>IFERROR(__xludf.DUMMYFUNCTION("IF(FILTER('Pivot Table for acq weekly'!F:F,'Pivot Table for acq weekly'!$B:$B=$B44,'Pivot Table for acq weekly'!$A:$A=$A44)/$C44 = 0,"""",FILTER('Pivot Table for acq weekly'!F:F,'Pivot Table for acq weekly'!$B:$B=$B44,'Pivot Table for acq weekly'!$A:$A=$A"&amp;"44)/$C44)"),"#N/A")</f>
        <v>#N/A</v>
      </c>
      <c r="G44" s="58" t="str">
        <f>IFERROR(__xludf.DUMMYFUNCTION("IF(FILTER('Pivot Table for acq weekly'!G:G,'Pivot Table for acq weekly'!$B:$B=$B44,'Pivot Table for acq weekly'!$A:$A=$A44)/$C44 = 0,"""",FILTER('Pivot Table for acq weekly'!G:G,'Pivot Table for acq weekly'!$B:$B=$B44,'Pivot Table for acq weekly'!$A:$A=$A"&amp;"44)/$C44)"),"#N/A")</f>
        <v>#N/A</v>
      </c>
      <c r="H44" s="58" t="str">
        <f>IFERROR(__xludf.DUMMYFUNCTION("IF(FILTER('Pivot Table for acq weekly'!H:H,'Pivot Table for acq weekly'!$B:$B=$B44,'Pivot Table for acq weekly'!$A:$A=$A44)/$C44 = 0,"""",FILTER('Pivot Table for acq weekly'!H:H,'Pivot Table for acq weekly'!$B:$B=$B44,'Pivot Table for acq weekly'!$A:$A=$A"&amp;"44)/$C44)"),"#N/A")</f>
        <v>#N/A</v>
      </c>
      <c r="I44" s="58" t="str">
        <f>IFERROR(__xludf.DUMMYFUNCTION("IF(FILTER('Pivot Table for acq weekly'!I:I,'Pivot Table for acq weekly'!$B:$B=$B44,'Pivot Table for acq weekly'!$A:$A=$A44)/$C44 = 0,"""",FILTER('Pivot Table for acq weekly'!I:I,'Pivot Table for acq weekly'!$B:$B=$B44,'Pivot Table for acq weekly'!$A:$A=$A"&amp;"44)/$C44)"),"#N/A")</f>
        <v>#N/A</v>
      </c>
      <c r="J44" s="58" t="str">
        <f>IFERROR(__xludf.DUMMYFUNCTION("IF(FILTER('Pivot Table for acq weekly'!J:J,'Pivot Table for acq weekly'!$B:$B=$B44,'Pivot Table for acq weekly'!$A:$A=$A44)/$C44 = 0,"""",FILTER('Pivot Table for acq weekly'!J:J,'Pivot Table for acq weekly'!$B:$B=$B44,'Pivot Table for acq weekly'!$A:$A=$A"&amp;"44)/$C44)"),"#N/A")</f>
        <v>#N/A</v>
      </c>
      <c r="K44" s="58" t="str">
        <f>IFERROR(__xludf.DUMMYFUNCTION("IF(FILTER('Pivot Table for acq weekly'!K:K,'Pivot Table for acq weekly'!$B:$B=$B44,'Pivot Table for acq weekly'!$A:$A=$A44)/$C44 = 0,"""",FILTER('Pivot Table for acq weekly'!K:K,'Pivot Table for acq weekly'!$B:$B=$B44,'Pivot Table for acq weekly'!$A:$A=$A"&amp;"44)/$C44)"),"#N/A")</f>
        <v>#N/A</v>
      </c>
      <c r="L44" s="58" t="str">
        <f>IFERROR(__xludf.DUMMYFUNCTION("IF(FILTER('Pivot Table for acq weekly'!L:L,'Pivot Table for acq weekly'!$B:$B=$B44,'Pivot Table for acq weekly'!$A:$A=$A44)/$C44 = 0,"""",FILTER('Pivot Table for acq weekly'!L:L,'Pivot Table for acq weekly'!$B:$B=$B44,'Pivot Table for acq weekly'!$A:$A=$A"&amp;"44)/$C44)"),"#N/A")</f>
        <v>#N/A</v>
      </c>
      <c r="M44" s="58" t="str">
        <f>IFERROR(__xludf.DUMMYFUNCTION("IF(FILTER('Pivot Table for acq weekly'!M:M,'Pivot Table for acq weekly'!$B:$B=$B44,'Pivot Table for acq weekly'!$A:$A=$A44)/$C44 = 0,"""",FILTER('Pivot Table for acq weekly'!M:M,'Pivot Table for acq weekly'!$B:$B=$B44,'Pivot Table for acq weekly'!$A:$A=$A"&amp;"44)/$C44)"),"#N/A")</f>
        <v>#N/A</v>
      </c>
      <c r="N44" s="58" t="str">
        <f>IFERROR(__xludf.DUMMYFUNCTION("IF(FILTER('Pivot Table for acq weekly'!N:N,'Pivot Table for acq weekly'!$B:$B=$B44,'Pivot Table for acq weekly'!$A:$A=$A44)/$C44 = 0,"""",FILTER('Pivot Table for acq weekly'!N:N,'Pivot Table for acq weekly'!$B:$B=$B44,'Pivot Table for acq weekly'!$A:$A=$A"&amp;"44)/$C44)"),"#N/A")</f>
        <v>#N/A</v>
      </c>
      <c r="O44" s="58" t="str">
        <f>IFERROR(__xludf.DUMMYFUNCTION("IF(FILTER('Pivot Table for acq weekly'!O:O,'Pivot Table for acq weekly'!$B:$B=$B44,'Pivot Table for acq weekly'!$A:$A=$A44)/$C44 = 0,"""",FILTER('Pivot Table for acq weekly'!O:O,'Pivot Table for acq weekly'!$B:$B=$B44,'Pivot Table for acq weekly'!$A:$A=$A"&amp;"44)/$C44)"),"#N/A")</f>
        <v>#N/A</v>
      </c>
      <c r="P44" s="58" t="str">
        <f>IFERROR(__xludf.DUMMYFUNCTION("IF(FILTER('Pivot Table for acq weekly'!P:P,'Pivot Table for acq weekly'!$B:$B=$B44,'Pivot Table for acq weekly'!$A:$A=$A44)/$C44 = 0,"""",FILTER('Pivot Table for acq weekly'!P:P,'Pivot Table for acq weekly'!$B:$B=$B44,'Pivot Table for acq weekly'!$A:$A=$A"&amp;"44)/$C44)"),"#N/A")</f>
        <v>#N/A</v>
      </c>
      <c r="Q44" s="58" t="str">
        <f>IFERROR(__xludf.DUMMYFUNCTION("IF(FILTER('Pivot Table for acq weekly'!Q:Q,'Pivot Table for acq weekly'!$B:$B=$B44,'Pivot Table for acq weekly'!$A:$A=$A44)/$C44 = 0,"""",FILTER('Pivot Table for acq weekly'!Q:Q,'Pivot Table for acq weekly'!$B:$B=$B44,'Pivot Table for acq weekly'!$A:$A=$A"&amp;"44)/$C44)"),"#N/A")</f>
        <v>#N/A</v>
      </c>
      <c r="R44" s="58" t="str">
        <f>IFERROR(__xludf.DUMMYFUNCTION("IF(FILTER('Pivot Table for acq weekly'!R:R,'Pivot Table for acq weekly'!$B:$B=$B44,'Pivot Table for acq weekly'!$A:$A=$A44)/$C44 = 0,"""",FILTER('Pivot Table for acq weekly'!R:R,'Pivot Table for acq weekly'!$B:$B=$B44,'Pivot Table for acq weekly'!$A:$A=$A"&amp;"44)/$C44)"),"#N/A")</f>
        <v>#N/A</v>
      </c>
      <c r="S44" s="58" t="str">
        <f>IFERROR(__xludf.DUMMYFUNCTION("IF(FILTER('Pivot Table for acq weekly'!S:S,'Pivot Table for acq weekly'!$B:$B=$B44,'Pivot Table for acq weekly'!$A:$A=$A44)/$C44 = 0,"""",FILTER('Pivot Table for acq weekly'!S:S,'Pivot Table for acq weekly'!$B:$B=$B44,'Pivot Table for acq weekly'!$A:$A=$A"&amp;"44)/$C44)"),"#N/A")</f>
        <v>#N/A</v>
      </c>
      <c r="T44" s="58" t="str">
        <f>IFERROR(__xludf.DUMMYFUNCTION("IF(FILTER('Pivot Table for acq weekly'!T:T,'Pivot Table for acq weekly'!$B:$B=$B44,'Pivot Table for acq weekly'!$A:$A=$A44)/$C44 = 0,"""",FILTER('Pivot Table for acq weekly'!T:T,'Pivot Table for acq weekly'!$B:$B=$B44,'Pivot Table for acq weekly'!$A:$A=$A"&amp;"44)/$C44)"),"#N/A")</f>
        <v>#N/A</v>
      </c>
      <c r="U44" s="58" t="str">
        <f>IFERROR(__xludf.DUMMYFUNCTION("IF(FILTER('Pivot Table for acq weekly'!U:U,'Pivot Table for acq weekly'!$B:$B=$B44,'Pivot Table for acq weekly'!$A:$A=$A44)/$C44 = 0,"""",FILTER('Pivot Table for acq weekly'!U:U,'Pivot Table for acq weekly'!$B:$B=$B44,'Pivot Table for acq weekly'!$A:$A=$A"&amp;"44)/$C44)"),"#N/A")</f>
        <v>#N/A</v>
      </c>
      <c r="V44" s="58" t="str">
        <f>IFERROR(__xludf.DUMMYFUNCTION("IF(FILTER('Pivot Table for acq weekly'!V:V,'Pivot Table for acq weekly'!$B:$B=$B44,'Pivot Table for acq weekly'!$A:$A=$A44)/$C44 = 0,"""",FILTER('Pivot Table for acq weekly'!V:V,'Pivot Table for acq weekly'!$B:$B=$B44,'Pivot Table for acq weekly'!$A:$A=$A"&amp;"44)/$C44)"),"#N/A")</f>
        <v>#N/A</v>
      </c>
      <c r="W44" s="58" t="str">
        <f>IFERROR(__xludf.DUMMYFUNCTION("IF(FILTER('Pivot Table for acq weekly'!W:W,'Pivot Table for acq weekly'!$B:$B=$B44,'Pivot Table for acq weekly'!$A:$A=$A44)/$C44 = 0,"""",FILTER('Pivot Table for acq weekly'!W:W,'Pivot Table for acq weekly'!$B:$B=$B44,'Pivot Table for acq weekly'!$A:$A=$A"&amp;"44)/$C44)"),"#N/A")</f>
        <v>#N/A</v>
      </c>
      <c r="X44" s="58" t="str">
        <f>IFERROR(__xludf.DUMMYFUNCTION("IF(FILTER('Pivot Table for acq weekly'!X:X,'Pivot Table for acq weekly'!$B:$B=$B44,'Pivot Table for acq weekly'!$A:$A=$A44)/$C44 = 0,"""",FILTER('Pivot Table for acq weekly'!X:X,'Pivot Table for acq weekly'!$B:$B=$B44,'Pivot Table for acq weekly'!$A:$A=$A"&amp;"44)/$C44)"),"#N/A")</f>
        <v>#N/A</v>
      </c>
      <c r="Y44" s="58" t="str">
        <f>IFERROR(__xludf.DUMMYFUNCTION("IF(FILTER('Pivot Table for acq weekly'!Y:Y,'Pivot Table for acq weekly'!$B:$B=$B44,'Pivot Table for acq weekly'!$A:$A=$A44)/$C44 = 0,"""",FILTER('Pivot Table for acq weekly'!Y:Y,'Pivot Table for acq weekly'!$B:$B=$B44,'Pivot Table for acq weekly'!$A:$A=$A"&amp;"44)/$C44)"),"#N/A")</f>
        <v>#N/A</v>
      </c>
    </row>
    <row r="45" hidden="1">
      <c r="A45" s="56">
        <v>9.0</v>
      </c>
      <c r="B45" s="30">
        <v>43268.0</v>
      </c>
      <c r="C45" s="57" t="str">
        <f>IFERROR(__xludf.DUMMYFUNCTION("FILTER('Pivot Table for acq weekly'!C:C,'Pivot Table for acq weekly'!$B:$B=$B45,'Pivot Table for acq weekly'!$A:$A=$A45)"),"#N/A")</f>
        <v>#N/A</v>
      </c>
      <c r="D45" s="58" t="str">
        <f>IFERROR(__xludf.DUMMYFUNCTION("IF(FILTER('Pivot Table for acq weekly'!D:D,'Pivot Table for acq weekly'!$B:$B=$B45,'Pivot Table for acq weekly'!$A:$A=$A45)/$C45 = 0,"""",FILTER('Pivot Table for acq weekly'!D:D,'Pivot Table for acq weekly'!$B:$B=$B45,'Pivot Table for acq weekly'!$A:$A=$A"&amp;"45)/$C45)"),"#N/A")</f>
        <v>#N/A</v>
      </c>
      <c r="E45" s="58" t="str">
        <f>IFERROR(__xludf.DUMMYFUNCTION("IF(FILTER('Pivot Table for acq weekly'!E:E,'Pivot Table for acq weekly'!$B:$B=$B45,'Pivot Table for acq weekly'!$A:$A=$A45)/$C45 = 0,"""",FILTER('Pivot Table for acq weekly'!E:E,'Pivot Table for acq weekly'!$B:$B=$B45,'Pivot Table for acq weekly'!$A:$A=$A"&amp;"45)/$C45)"),"#N/A")</f>
        <v>#N/A</v>
      </c>
      <c r="F45" s="58" t="str">
        <f>IFERROR(__xludf.DUMMYFUNCTION("IF(FILTER('Pivot Table for acq weekly'!F:F,'Pivot Table for acq weekly'!$B:$B=$B45,'Pivot Table for acq weekly'!$A:$A=$A45)/$C45 = 0,"""",FILTER('Pivot Table for acq weekly'!F:F,'Pivot Table for acq weekly'!$B:$B=$B45,'Pivot Table for acq weekly'!$A:$A=$A"&amp;"45)/$C45)"),"#N/A")</f>
        <v>#N/A</v>
      </c>
      <c r="G45" s="58" t="str">
        <f>IFERROR(__xludf.DUMMYFUNCTION("IF(FILTER('Pivot Table for acq weekly'!G:G,'Pivot Table for acq weekly'!$B:$B=$B45,'Pivot Table for acq weekly'!$A:$A=$A45)/$C45 = 0,"""",FILTER('Pivot Table for acq weekly'!G:G,'Pivot Table for acq weekly'!$B:$B=$B45,'Pivot Table for acq weekly'!$A:$A=$A"&amp;"45)/$C45)"),"#N/A")</f>
        <v>#N/A</v>
      </c>
      <c r="H45" s="58" t="str">
        <f>IFERROR(__xludf.DUMMYFUNCTION("IF(FILTER('Pivot Table for acq weekly'!H:H,'Pivot Table for acq weekly'!$B:$B=$B45,'Pivot Table for acq weekly'!$A:$A=$A45)/$C45 = 0,"""",FILTER('Pivot Table for acq weekly'!H:H,'Pivot Table for acq weekly'!$B:$B=$B45,'Pivot Table for acq weekly'!$A:$A=$A"&amp;"45)/$C45)"),"#N/A")</f>
        <v>#N/A</v>
      </c>
      <c r="I45" s="58" t="str">
        <f>IFERROR(__xludf.DUMMYFUNCTION("IF(FILTER('Pivot Table for acq weekly'!I:I,'Pivot Table for acq weekly'!$B:$B=$B45,'Pivot Table for acq weekly'!$A:$A=$A45)/$C45 = 0,"""",FILTER('Pivot Table for acq weekly'!I:I,'Pivot Table for acq weekly'!$B:$B=$B45,'Pivot Table for acq weekly'!$A:$A=$A"&amp;"45)/$C45)"),"#N/A")</f>
        <v>#N/A</v>
      </c>
      <c r="J45" s="58" t="str">
        <f>IFERROR(__xludf.DUMMYFUNCTION("IF(FILTER('Pivot Table for acq weekly'!J:J,'Pivot Table for acq weekly'!$B:$B=$B45,'Pivot Table for acq weekly'!$A:$A=$A45)/$C45 = 0,"""",FILTER('Pivot Table for acq weekly'!J:J,'Pivot Table for acq weekly'!$B:$B=$B45,'Pivot Table for acq weekly'!$A:$A=$A"&amp;"45)/$C45)"),"#N/A")</f>
        <v>#N/A</v>
      </c>
      <c r="K45" s="58" t="str">
        <f>IFERROR(__xludf.DUMMYFUNCTION("IF(FILTER('Pivot Table for acq weekly'!K:K,'Pivot Table for acq weekly'!$B:$B=$B45,'Pivot Table for acq weekly'!$A:$A=$A45)/$C45 = 0,"""",FILTER('Pivot Table for acq weekly'!K:K,'Pivot Table for acq weekly'!$B:$B=$B45,'Pivot Table for acq weekly'!$A:$A=$A"&amp;"45)/$C45)"),"#N/A")</f>
        <v>#N/A</v>
      </c>
      <c r="L45" s="58" t="str">
        <f>IFERROR(__xludf.DUMMYFUNCTION("IF(FILTER('Pivot Table for acq weekly'!L:L,'Pivot Table for acq weekly'!$B:$B=$B45,'Pivot Table for acq weekly'!$A:$A=$A45)/$C45 = 0,"""",FILTER('Pivot Table for acq weekly'!L:L,'Pivot Table for acq weekly'!$B:$B=$B45,'Pivot Table for acq weekly'!$A:$A=$A"&amp;"45)/$C45)"),"#N/A")</f>
        <v>#N/A</v>
      </c>
      <c r="M45" s="58" t="str">
        <f>IFERROR(__xludf.DUMMYFUNCTION("IF(FILTER('Pivot Table for acq weekly'!M:M,'Pivot Table for acq weekly'!$B:$B=$B45,'Pivot Table for acq weekly'!$A:$A=$A45)/$C45 = 0,"""",FILTER('Pivot Table for acq weekly'!M:M,'Pivot Table for acq weekly'!$B:$B=$B45,'Pivot Table for acq weekly'!$A:$A=$A"&amp;"45)/$C45)"),"#N/A")</f>
        <v>#N/A</v>
      </c>
      <c r="N45" s="58" t="str">
        <f>IFERROR(__xludf.DUMMYFUNCTION("IF(FILTER('Pivot Table for acq weekly'!N:N,'Pivot Table for acq weekly'!$B:$B=$B45,'Pivot Table for acq weekly'!$A:$A=$A45)/$C45 = 0,"""",FILTER('Pivot Table for acq weekly'!N:N,'Pivot Table for acq weekly'!$B:$B=$B45,'Pivot Table for acq weekly'!$A:$A=$A"&amp;"45)/$C45)"),"#N/A")</f>
        <v>#N/A</v>
      </c>
      <c r="O45" s="58" t="str">
        <f>IFERROR(__xludf.DUMMYFUNCTION("IF(FILTER('Pivot Table for acq weekly'!O:O,'Pivot Table for acq weekly'!$B:$B=$B45,'Pivot Table for acq weekly'!$A:$A=$A45)/$C45 = 0,"""",FILTER('Pivot Table for acq weekly'!O:O,'Pivot Table for acq weekly'!$B:$B=$B45,'Pivot Table for acq weekly'!$A:$A=$A"&amp;"45)/$C45)"),"#N/A")</f>
        <v>#N/A</v>
      </c>
      <c r="P45" s="58" t="str">
        <f>IFERROR(__xludf.DUMMYFUNCTION("IF(FILTER('Pivot Table for acq weekly'!P:P,'Pivot Table for acq weekly'!$B:$B=$B45,'Pivot Table for acq weekly'!$A:$A=$A45)/$C45 = 0,"""",FILTER('Pivot Table for acq weekly'!P:P,'Pivot Table for acq weekly'!$B:$B=$B45,'Pivot Table for acq weekly'!$A:$A=$A"&amp;"45)/$C45)"),"#N/A")</f>
        <v>#N/A</v>
      </c>
      <c r="Q45" s="58" t="str">
        <f>IFERROR(__xludf.DUMMYFUNCTION("IF(FILTER('Pivot Table for acq weekly'!Q:Q,'Pivot Table for acq weekly'!$B:$B=$B45,'Pivot Table for acq weekly'!$A:$A=$A45)/$C45 = 0,"""",FILTER('Pivot Table for acq weekly'!Q:Q,'Pivot Table for acq weekly'!$B:$B=$B45,'Pivot Table for acq weekly'!$A:$A=$A"&amp;"45)/$C45)"),"#N/A")</f>
        <v>#N/A</v>
      </c>
      <c r="R45" s="58" t="str">
        <f>IFERROR(__xludf.DUMMYFUNCTION("IF(FILTER('Pivot Table for acq weekly'!R:R,'Pivot Table for acq weekly'!$B:$B=$B45,'Pivot Table for acq weekly'!$A:$A=$A45)/$C45 = 0,"""",FILTER('Pivot Table for acq weekly'!R:R,'Pivot Table for acq weekly'!$B:$B=$B45,'Pivot Table for acq weekly'!$A:$A=$A"&amp;"45)/$C45)"),"#N/A")</f>
        <v>#N/A</v>
      </c>
      <c r="S45" s="58" t="str">
        <f>IFERROR(__xludf.DUMMYFUNCTION("IF(FILTER('Pivot Table for acq weekly'!S:S,'Pivot Table for acq weekly'!$B:$B=$B45,'Pivot Table for acq weekly'!$A:$A=$A45)/$C45 = 0,"""",FILTER('Pivot Table for acq weekly'!S:S,'Pivot Table for acq weekly'!$B:$B=$B45,'Pivot Table for acq weekly'!$A:$A=$A"&amp;"45)/$C45)"),"#N/A")</f>
        <v>#N/A</v>
      </c>
      <c r="T45" s="58" t="str">
        <f>IFERROR(__xludf.DUMMYFUNCTION("IF(FILTER('Pivot Table for acq weekly'!T:T,'Pivot Table for acq weekly'!$B:$B=$B45,'Pivot Table for acq weekly'!$A:$A=$A45)/$C45 = 0,"""",FILTER('Pivot Table for acq weekly'!T:T,'Pivot Table for acq weekly'!$B:$B=$B45,'Pivot Table for acq weekly'!$A:$A=$A"&amp;"45)/$C45)"),"#N/A")</f>
        <v>#N/A</v>
      </c>
      <c r="U45" s="58" t="str">
        <f>IFERROR(__xludf.DUMMYFUNCTION("IF(FILTER('Pivot Table for acq weekly'!U:U,'Pivot Table for acq weekly'!$B:$B=$B45,'Pivot Table for acq weekly'!$A:$A=$A45)/$C45 = 0,"""",FILTER('Pivot Table for acq weekly'!U:U,'Pivot Table for acq weekly'!$B:$B=$B45,'Pivot Table for acq weekly'!$A:$A=$A"&amp;"45)/$C45)"),"#N/A")</f>
        <v>#N/A</v>
      </c>
      <c r="V45" s="58" t="str">
        <f>IFERROR(__xludf.DUMMYFUNCTION("IF(FILTER('Pivot Table for acq weekly'!V:V,'Pivot Table for acq weekly'!$B:$B=$B45,'Pivot Table for acq weekly'!$A:$A=$A45)/$C45 = 0,"""",FILTER('Pivot Table for acq weekly'!V:V,'Pivot Table for acq weekly'!$B:$B=$B45,'Pivot Table for acq weekly'!$A:$A=$A"&amp;"45)/$C45)"),"#N/A")</f>
        <v>#N/A</v>
      </c>
      <c r="W45" s="58" t="str">
        <f>IFERROR(__xludf.DUMMYFUNCTION("IF(FILTER('Pivot Table for acq weekly'!W:W,'Pivot Table for acq weekly'!$B:$B=$B45,'Pivot Table for acq weekly'!$A:$A=$A45)/$C45 = 0,"""",FILTER('Pivot Table for acq weekly'!W:W,'Pivot Table for acq weekly'!$B:$B=$B45,'Pivot Table for acq weekly'!$A:$A=$A"&amp;"45)/$C45)"),"#N/A")</f>
        <v>#N/A</v>
      </c>
      <c r="X45" s="58" t="str">
        <f>IFERROR(__xludf.DUMMYFUNCTION("IF(FILTER('Pivot Table for acq weekly'!X:X,'Pivot Table for acq weekly'!$B:$B=$B45,'Pivot Table for acq weekly'!$A:$A=$A45)/$C45 = 0,"""",FILTER('Pivot Table for acq weekly'!X:X,'Pivot Table for acq weekly'!$B:$B=$B45,'Pivot Table for acq weekly'!$A:$A=$A"&amp;"45)/$C45)"),"#N/A")</f>
        <v>#N/A</v>
      </c>
      <c r="Y45" s="58" t="str">
        <f>IFERROR(__xludf.DUMMYFUNCTION("IF(FILTER('Pivot Table for acq weekly'!Y:Y,'Pivot Table for acq weekly'!$B:$B=$B45,'Pivot Table for acq weekly'!$A:$A=$A45)/$C45 = 0,"""",FILTER('Pivot Table for acq weekly'!Y:Y,'Pivot Table for acq weekly'!$B:$B=$B45,'Pivot Table for acq weekly'!$A:$A=$A"&amp;"45)/$C45)"),"#N/A")</f>
        <v>#N/A</v>
      </c>
    </row>
    <row r="46" hidden="1">
      <c r="A46" s="56">
        <v>9.0</v>
      </c>
      <c r="B46" s="30">
        <v>43275.0</v>
      </c>
      <c r="C46" s="57" t="str">
        <f>IFERROR(__xludf.DUMMYFUNCTION("FILTER('Pivot Table for acq weekly'!C:C,'Pivot Table for acq weekly'!$B:$B=$B46,'Pivot Table for acq weekly'!$A:$A=$A46)"),"#N/A")</f>
        <v>#N/A</v>
      </c>
      <c r="D46" s="58" t="str">
        <f>IFERROR(__xludf.DUMMYFUNCTION("IF(FILTER('Pivot Table for acq weekly'!D:D,'Pivot Table for acq weekly'!$B:$B=$B46,'Pivot Table for acq weekly'!$A:$A=$A46)/$C46 = 0,"""",FILTER('Pivot Table for acq weekly'!D:D,'Pivot Table for acq weekly'!$B:$B=$B46,'Pivot Table for acq weekly'!$A:$A=$A"&amp;"46)/$C46)"),"#N/A")</f>
        <v>#N/A</v>
      </c>
      <c r="E46" s="58" t="str">
        <f>IFERROR(__xludf.DUMMYFUNCTION("IF(FILTER('Pivot Table for acq weekly'!E:E,'Pivot Table for acq weekly'!$B:$B=$B46,'Pivot Table for acq weekly'!$A:$A=$A46)/$C46 = 0,"""",FILTER('Pivot Table for acq weekly'!E:E,'Pivot Table for acq weekly'!$B:$B=$B46,'Pivot Table for acq weekly'!$A:$A=$A"&amp;"46)/$C46)"),"#N/A")</f>
        <v>#N/A</v>
      </c>
      <c r="F46" s="58" t="str">
        <f>IFERROR(__xludf.DUMMYFUNCTION("IF(FILTER('Pivot Table for acq weekly'!F:F,'Pivot Table for acq weekly'!$B:$B=$B46,'Pivot Table for acq weekly'!$A:$A=$A46)/$C46 = 0,"""",FILTER('Pivot Table for acq weekly'!F:F,'Pivot Table for acq weekly'!$B:$B=$B46,'Pivot Table for acq weekly'!$A:$A=$A"&amp;"46)/$C46)"),"#N/A")</f>
        <v>#N/A</v>
      </c>
      <c r="G46" s="58" t="str">
        <f>IFERROR(__xludf.DUMMYFUNCTION("IF(FILTER('Pivot Table for acq weekly'!G:G,'Pivot Table for acq weekly'!$B:$B=$B46,'Pivot Table for acq weekly'!$A:$A=$A46)/$C46 = 0,"""",FILTER('Pivot Table for acq weekly'!G:G,'Pivot Table for acq weekly'!$B:$B=$B46,'Pivot Table for acq weekly'!$A:$A=$A"&amp;"46)/$C46)"),"#N/A")</f>
        <v>#N/A</v>
      </c>
      <c r="H46" s="58" t="str">
        <f>IFERROR(__xludf.DUMMYFUNCTION("IF(FILTER('Pivot Table for acq weekly'!H:H,'Pivot Table for acq weekly'!$B:$B=$B46,'Pivot Table for acq weekly'!$A:$A=$A46)/$C46 = 0,"""",FILTER('Pivot Table for acq weekly'!H:H,'Pivot Table for acq weekly'!$B:$B=$B46,'Pivot Table for acq weekly'!$A:$A=$A"&amp;"46)/$C46)"),"#N/A")</f>
        <v>#N/A</v>
      </c>
      <c r="I46" s="58" t="str">
        <f>IFERROR(__xludf.DUMMYFUNCTION("IF(FILTER('Pivot Table for acq weekly'!I:I,'Pivot Table for acq weekly'!$B:$B=$B46,'Pivot Table for acq weekly'!$A:$A=$A46)/$C46 = 0,"""",FILTER('Pivot Table for acq weekly'!I:I,'Pivot Table for acq weekly'!$B:$B=$B46,'Pivot Table for acq weekly'!$A:$A=$A"&amp;"46)/$C46)"),"#N/A")</f>
        <v>#N/A</v>
      </c>
      <c r="J46" s="58" t="str">
        <f>IFERROR(__xludf.DUMMYFUNCTION("IF(FILTER('Pivot Table for acq weekly'!J:J,'Pivot Table for acq weekly'!$B:$B=$B46,'Pivot Table for acq weekly'!$A:$A=$A46)/$C46 = 0,"""",FILTER('Pivot Table for acq weekly'!J:J,'Pivot Table for acq weekly'!$B:$B=$B46,'Pivot Table for acq weekly'!$A:$A=$A"&amp;"46)/$C46)"),"#N/A")</f>
        <v>#N/A</v>
      </c>
      <c r="K46" s="58" t="str">
        <f>IFERROR(__xludf.DUMMYFUNCTION("IF(FILTER('Pivot Table for acq weekly'!K:K,'Pivot Table for acq weekly'!$B:$B=$B46,'Pivot Table for acq weekly'!$A:$A=$A46)/$C46 = 0,"""",FILTER('Pivot Table for acq weekly'!K:K,'Pivot Table for acq weekly'!$B:$B=$B46,'Pivot Table for acq weekly'!$A:$A=$A"&amp;"46)/$C46)"),"#N/A")</f>
        <v>#N/A</v>
      </c>
      <c r="L46" s="58" t="str">
        <f>IFERROR(__xludf.DUMMYFUNCTION("IF(FILTER('Pivot Table for acq weekly'!L:L,'Pivot Table for acq weekly'!$B:$B=$B46,'Pivot Table for acq weekly'!$A:$A=$A46)/$C46 = 0,"""",FILTER('Pivot Table for acq weekly'!L:L,'Pivot Table for acq weekly'!$B:$B=$B46,'Pivot Table for acq weekly'!$A:$A=$A"&amp;"46)/$C46)"),"#N/A")</f>
        <v>#N/A</v>
      </c>
      <c r="M46" s="58" t="str">
        <f>IFERROR(__xludf.DUMMYFUNCTION("IF(FILTER('Pivot Table for acq weekly'!M:M,'Pivot Table for acq weekly'!$B:$B=$B46,'Pivot Table for acq weekly'!$A:$A=$A46)/$C46 = 0,"""",FILTER('Pivot Table for acq weekly'!M:M,'Pivot Table for acq weekly'!$B:$B=$B46,'Pivot Table for acq weekly'!$A:$A=$A"&amp;"46)/$C46)"),"#N/A")</f>
        <v>#N/A</v>
      </c>
      <c r="N46" s="58" t="str">
        <f>IFERROR(__xludf.DUMMYFUNCTION("IF(FILTER('Pivot Table for acq weekly'!N:N,'Pivot Table for acq weekly'!$B:$B=$B46,'Pivot Table for acq weekly'!$A:$A=$A46)/$C46 = 0,"""",FILTER('Pivot Table for acq weekly'!N:N,'Pivot Table for acq weekly'!$B:$B=$B46,'Pivot Table for acq weekly'!$A:$A=$A"&amp;"46)/$C46)"),"#N/A")</f>
        <v>#N/A</v>
      </c>
      <c r="O46" s="58" t="str">
        <f>IFERROR(__xludf.DUMMYFUNCTION("IF(FILTER('Pivot Table for acq weekly'!O:O,'Pivot Table for acq weekly'!$B:$B=$B46,'Pivot Table for acq weekly'!$A:$A=$A46)/$C46 = 0,"""",FILTER('Pivot Table for acq weekly'!O:O,'Pivot Table for acq weekly'!$B:$B=$B46,'Pivot Table for acq weekly'!$A:$A=$A"&amp;"46)/$C46)"),"#N/A")</f>
        <v>#N/A</v>
      </c>
      <c r="P46" s="58" t="str">
        <f>IFERROR(__xludf.DUMMYFUNCTION("IF(FILTER('Pivot Table for acq weekly'!P:P,'Pivot Table for acq weekly'!$B:$B=$B46,'Pivot Table for acq weekly'!$A:$A=$A46)/$C46 = 0,"""",FILTER('Pivot Table for acq weekly'!P:P,'Pivot Table for acq weekly'!$B:$B=$B46,'Pivot Table for acq weekly'!$A:$A=$A"&amp;"46)/$C46)"),"#N/A")</f>
        <v>#N/A</v>
      </c>
      <c r="Q46" s="58" t="str">
        <f>IFERROR(__xludf.DUMMYFUNCTION("IF(FILTER('Pivot Table for acq weekly'!Q:Q,'Pivot Table for acq weekly'!$B:$B=$B46,'Pivot Table for acq weekly'!$A:$A=$A46)/$C46 = 0,"""",FILTER('Pivot Table for acq weekly'!Q:Q,'Pivot Table for acq weekly'!$B:$B=$B46,'Pivot Table for acq weekly'!$A:$A=$A"&amp;"46)/$C46)"),"#N/A")</f>
        <v>#N/A</v>
      </c>
      <c r="R46" s="58" t="str">
        <f>IFERROR(__xludf.DUMMYFUNCTION("IF(FILTER('Pivot Table for acq weekly'!R:R,'Pivot Table for acq weekly'!$B:$B=$B46,'Pivot Table for acq weekly'!$A:$A=$A46)/$C46 = 0,"""",FILTER('Pivot Table for acq weekly'!R:R,'Pivot Table for acq weekly'!$B:$B=$B46,'Pivot Table for acq weekly'!$A:$A=$A"&amp;"46)/$C46)"),"#N/A")</f>
        <v>#N/A</v>
      </c>
      <c r="S46" s="58" t="str">
        <f>IFERROR(__xludf.DUMMYFUNCTION("IF(FILTER('Pivot Table for acq weekly'!S:S,'Pivot Table for acq weekly'!$B:$B=$B46,'Pivot Table for acq weekly'!$A:$A=$A46)/$C46 = 0,"""",FILTER('Pivot Table for acq weekly'!S:S,'Pivot Table for acq weekly'!$B:$B=$B46,'Pivot Table for acq weekly'!$A:$A=$A"&amp;"46)/$C46)"),"#N/A")</f>
        <v>#N/A</v>
      </c>
      <c r="T46" s="58" t="str">
        <f>IFERROR(__xludf.DUMMYFUNCTION("IF(FILTER('Pivot Table for acq weekly'!T:T,'Pivot Table for acq weekly'!$B:$B=$B46,'Pivot Table for acq weekly'!$A:$A=$A46)/$C46 = 0,"""",FILTER('Pivot Table for acq weekly'!T:T,'Pivot Table for acq weekly'!$B:$B=$B46,'Pivot Table for acq weekly'!$A:$A=$A"&amp;"46)/$C46)"),"#N/A")</f>
        <v>#N/A</v>
      </c>
      <c r="U46" s="58" t="str">
        <f>IFERROR(__xludf.DUMMYFUNCTION("IF(FILTER('Pivot Table for acq weekly'!U:U,'Pivot Table for acq weekly'!$B:$B=$B46,'Pivot Table for acq weekly'!$A:$A=$A46)/$C46 = 0,"""",FILTER('Pivot Table for acq weekly'!U:U,'Pivot Table for acq weekly'!$B:$B=$B46,'Pivot Table for acq weekly'!$A:$A=$A"&amp;"46)/$C46)"),"#N/A")</f>
        <v>#N/A</v>
      </c>
      <c r="V46" s="58" t="str">
        <f>IFERROR(__xludf.DUMMYFUNCTION("IF(FILTER('Pivot Table for acq weekly'!V:V,'Pivot Table for acq weekly'!$B:$B=$B46,'Pivot Table for acq weekly'!$A:$A=$A46)/$C46 = 0,"""",FILTER('Pivot Table for acq weekly'!V:V,'Pivot Table for acq weekly'!$B:$B=$B46,'Pivot Table for acq weekly'!$A:$A=$A"&amp;"46)/$C46)"),"#N/A")</f>
        <v>#N/A</v>
      </c>
      <c r="W46" s="58" t="str">
        <f>IFERROR(__xludf.DUMMYFUNCTION("IF(FILTER('Pivot Table for acq weekly'!W:W,'Pivot Table for acq weekly'!$B:$B=$B46,'Pivot Table for acq weekly'!$A:$A=$A46)/$C46 = 0,"""",FILTER('Pivot Table for acq weekly'!W:W,'Pivot Table for acq weekly'!$B:$B=$B46,'Pivot Table for acq weekly'!$A:$A=$A"&amp;"46)/$C46)"),"#N/A")</f>
        <v>#N/A</v>
      </c>
      <c r="X46" s="58" t="str">
        <f>IFERROR(__xludf.DUMMYFUNCTION("IF(FILTER('Pivot Table for acq weekly'!X:X,'Pivot Table for acq weekly'!$B:$B=$B46,'Pivot Table for acq weekly'!$A:$A=$A46)/$C46 = 0,"""",FILTER('Pivot Table for acq weekly'!X:X,'Pivot Table for acq weekly'!$B:$B=$B46,'Pivot Table for acq weekly'!$A:$A=$A"&amp;"46)/$C46)"),"#N/A")</f>
        <v>#N/A</v>
      </c>
      <c r="Y46" s="58" t="str">
        <f>IFERROR(__xludf.DUMMYFUNCTION("IF(FILTER('Pivot Table for acq weekly'!Y:Y,'Pivot Table for acq weekly'!$B:$B=$B46,'Pivot Table for acq weekly'!$A:$A=$A46)/$C46 = 0,"""",FILTER('Pivot Table for acq weekly'!Y:Y,'Pivot Table for acq weekly'!$B:$B=$B46,'Pivot Table for acq weekly'!$A:$A=$A"&amp;"46)/$C46)"),"#N/A")</f>
        <v>#N/A</v>
      </c>
    </row>
    <row r="47" hidden="1">
      <c r="A47" s="56">
        <v>9.0</v>
      </c>
      <c r="B47" s="30">
        <v>43282.0</v>
      </c>
      <c r="C47" s="57" t="str">
        <f>IFERROR(__xludf.DUMMYFUNCTION("FILTER('Pivot Table for acq weekly'!C:C,'Pivot Table for acq weekly'!$B:$B=$B47,'Pivot Table for acq weekly'!$A:$A=$A47)"),"#N/A")</f>
        <v>#N/A</v>
      </c>
      <c r="D47" s="58" t="str">
        <f>IFERROR(__xludf.DUMMYFUNCTION("IF(FILTER('Pivot Table for acq weekly'!D:D,'Pivot Table for acq weekly'!$B:$B=$B47,'Pivot Table for acq weekly'!$A:$A=$A47)/$C47 = 0,"""",FILTER('Pivot Table for acq weekly'!D:D,'Pivot Table for acq weekly'!$B:$B=$B47,'Pivot Table for acq weekly'!$A:$A=$A"&amp;"47)/$C47)"),"#N/A")</f>
        <v>#N/A</v>
      </c>
      <c r="E47" s="58" t="str">
        <f>IFERROR(__xludf.DUMMYFUNCTION("IF(FILTER('Pivot Table for acq weekly'!E:E,'Pivot Table for acq weekly'!$B:$B=$B47,'Pivot Table for acq weekly'!$A:$A=$A47)/$C47 = 0,"""",FILTER('Pivot Table for acq weekly'!E:E,'Pivot Table for acq weekly'!$B:$B=$B47,'Pivot Table for acq weekly'!$A:$A=$A"&amp;"47)/$C47)"),"#N/A")</f>
        <v>#N/A</v>
      </c>
      <c r="F47" s="58" t="str">
        <f>IFERROR(__xludf.DUMMYFUNCTION("IF(FILTER('Pivot Table for acq weekly'!F:F,'Pivot Table for acq weekly'!$B:$B=$B47,'Pivot Table for acq weekly'!$A:$A=$A47)/$C47 = 0,"""",FILTER('Pivot Table for acq weekly'!F:F,'Pivot Table for acq weekly'!$B:$B=$B47,'Pivot Table for acq weekly'!$A:$A=$A"&amp;"47)/$C47)"),"#N/A")</f>
        <v>#N/A</v>
      </c>
      <c r="G47" s="58" t="str">
        <f>IFERROR(__xludf.DUMMYFUNCTION("IF(FILTER('Pivot Table for acq weekly'!G:G,'Pivot Table for acq weekly'!$B:$B=$B47,'Pivot Table for acq weekly'!$A:$A=$A47)/$C47 = 0,"""",FILTER('Pivot Table for acq weekly'!G:G,'Pivot Table for acq weekly'!$B:$B=$B47,'Pivot Table for acq weekly'!$A:$A=$A"&amp;"47)/$C47)"),"#N/A")</f>
        <v>#N/A</v>
      </c>
      <c r="H47" s="58" t="str">
        <f>IFERROR(__xludf.DUMMYFUNCTION("IF(FILTER('Pivot Table for acq weekly'!H:H,'Pivot Table for acq weekly'!$B:$B=$B47,'Pivot Table for acq weekly'!$A:$A=$A47)/$C47 = 0,"""",FILTER('Pivot Table for acq weekly'!H:H,'Pivot Table for acq weekly'!$B:$B=$B47,'Pivot Table for acq weekly'!$A:$A=$A"&amp;"47)/$C47)"),"#N/A")</f>
        <v>#N/A</v>
      </c>
      <c r="I47" s="58" t="str">
        <f>IFERROR(__xludf.DUMMYFUNCTION("IF(FILTER('Pivot Table for acq weekly'!I:I,'Pivot Table for acq weekly'!$B:$B=$B47,'Pivot Table for acq weekly'!$A:$A=$A47)/$C47 = 0,"""",FILTER('Pivot Table for acq weekly'!I:I,'Pivot Table for acq weekly'!$B:$B=$B47,'Pivot Table for acq weekly'!$A:$A=$A"&amp;"47)/$C47)"),"#N/A")</f>
        <v>#N/A</v>
      </c>
      <c r="J47" s="58" t="str">
        <f>IFERROR(__xludf.DUMMYFUNCTION("IF(FILTER('Pivot Table for acq weekly'!J:J,'Pivot Table for acq weekly'!$B:$B=$B47,'Pivot Table for acq weekly'!$A:$A=$A47)/$C47 = 0,"""",FILTER('Pivot Table for acq weekly'!J:J,'Pivot Table for acq weekly'!$B:$B=$B47,'Pivot Table for acq weekly'!$A:$A=$A"&amp;"47)/$C47)"),"#N/A")</f>
        <v>#N/A</v>
      </c>
      <c r="K47" s="58" t="str">
        <f>IFERROR(__xludf.DUMMYFUNCTION("IF(FILTER('Pivot Table for acq weekly'!K:K,'Pivot Table for acq weekly'!$B:$B=$B47,'Pivot Table for acq weekly'!$A:$A=$A47)/$C47 = 0,"""",FILTER('Pivot Table for acq weekly'!K:K,'Pivot Table for acq weekly'!$B:$B=$B47,'Pivot Table for acq weekly'!$A:$A=$A"&amp;"47)/$C47)"),"#N/A")</f>
        <v>#N/A</v>
      </c>
      <c r="L47" s="58" t="str">
        <f>IFERROR(__xludf.DUMMYFUNCTION("IF(FILTER('Pivot Table for acq weekly'!L:L,'Pivot Table for acq weekly'!$B:$B=$B47,'Pivot Table for acq weekly'!$A:$A=$A47)/$C47 = 0,"""",FILTER('Pivot Table for acq weekly'!L:L,'Pivot Table for acq weekly'!$B:$B=$B47,'Pivot Table for acq weekly'!$A:$A=$A"&amp;"47)/$C47)"),"#N/A")</f>
        <v>#N/A</v>
      </c>
      <c r="M47" s="58" t="str">
        <f>IFERROR(__xludf.DUMMYFUNCTION("IF(FILTER('Pivot Table for acq weekly'!M:M,'Pivot Table for acq weekly'!$B:$B=$B47,'Pivot Table for acq weekly'!$A:$A=$A47)/$C47 = 0,"""",FILTER('Pivot Table for acq weekly'!M:M,'Pivot Table for acq weekly'!$B:$B=$B47,'Pivot Table for acq weekly'!$A:$A=$A"&amp;"47)/$C47)"),"#N/A")</f>
        <v>#N/A</v>
      </c>
      <c r="N47" s="58" t="str">
        <f>IFERROR(__xludf.DUMMYFUNCTION("IF(FILTER('Pivot Table for acq weekly'!N:N,'Pivot Table for acq weekly'!$B:$B=$B47,'Pivot Table for acq weekly'!$A:$A=$A47)/$C47 = 0,"""",FILTER('Pivot Table for acq weekly'!N:N,'Pivot Table for acq weekly'!$B:$B=$B47,'Pivot Table for acq weekly'!$A:$A=$A"&amp;"47)/$C47)"),"#N/A")</f>
        <v>#N/A</v>
      </c>
      <c r="O47" s="58" t="str">
        <f>IFERROR(__xludf.DUMMYFUNCTION("IF(FILTER('Pivot Table for acq weekly'!O:O,'Pivot Table for acq weekly'!$B:$B=$B47,'Pivot Table for acq weekly'!$A:$A=$A47)/$C47 = 0,"""",FILTER('Pivot Table for acq weekly'!O:O,'Pivot Table for acq weekly'!$B:$B=$B47,'Pivot Table for acq weekly'!$A:$A=$A"&amp;"47)/$C47)"),"#N/A")</f>
        <v>#N/A</v>
      </c>
      <c r="P47" s="58" t="str">
        <f>IFERROR(__xludf.DUMMYFUNCTION("IF(FILTER('Pivot Table for acq weekly'!P:P,'Pivot Table for acq weekly'!$B:$B=$B47,'Pivot Table for acq weekly'!$A:$A=$A47)/$C47 = 0,"""",FILTER('Pivot Table for acq weekly'!P:P,'Pivot Table for acq weekly'!$B:$B=$B47,'Pivot Table for acq weekly'!$A:$A=$A"&amp;"47)/$C47)"),"#N/A")</f>
        <v>#N/A</v>
      </c>
      <c r="Q47" s="58" t="str">
        <f>IFERROR(__xludf.DUMMYFUNCTION("IF(FILTER('Pivot Table for acq weekly'!Q:Q,'Pivot Table for acq weekly'!$B:$B=$B47,'Pivot Table for acq weekly'!$A:$A=$A47)/$C47 = 0,"""",FILTER('Pivot Table for acq weekly'!Q:Q,'Pivot Table for acq weekly'!$B:$B=$B47,'Pivot Table for acq weekly'!$A:$A=$A"&amp;"47)/$C47)"),"#N/A")</f>
        <v>#N/A</v>
      </c>
      <c r="R47" s="58" t="str">
        <f>IFERROR(__xludf.DUMMYFUNCTION("IF(FILTER('Pivot Table for acq weekly'!R:R,'Pivot Table for acq weekly'!$B:$B=$B47,'Pivot Table for acq weekly'!$A:$A=$A47)/$C47 = 0,"""",FILTER('Pivot Table for acq weekly'!R:R,'Pivot Table for acq weekly'!$B:$B=$B47,'Pivot Table for acq weekly'!$A:$A=$A"&amp;"47)/$C47)"),"#N/A")</f>
        <v>#N/A</v>
      </c>
      <c r="S47" s="58" t="str">
        <f>IFERROR(__xludf.DUMMYFUNCTION("IF(FILTER('Pivot Table for acq weekly'!S:S,'Pivot Table for acq weekly'!$B:$B=$B47,'Pivot Table for acq weekly'!$A:$A=$A47)/$C47 = 0,"""",FILTER('Pivot Table for acq weekly'!S:S,'Pivot Table for acq weekly'!$B:$B=$B47,'Pivot Table for acq weekly'!$A:$A=$A"&amp;"47)/$C47)"),"#N/A")</f>
        <v>#N/A</v>
      </c>
      <c r="T47" s="58" t="str">
        <f>IFERROR(__xludf.DUMMYFUNCTION("IF(FILTER('Pivot Table for acq weekly'!T:T,'Pivot Table for acq weekly'!$B:$B=$B47,'Pivot Table for acq weekly'!$A:$A=$A47)/$C47 = 0,"""",FILTER('Pivot Table for acq weekly'!T:T,'Pivot Table for acq weekly'!$B:$B=$B47,'Pivot Table for acq weekly'!$A:$A=$A"&amp;"47)/$C47)"),"#N/A")</f>
        <v>#N/A</v>
      </c>
      <c r="U47" s="58" t="str">
        <f>IFERROR(__xludf.DUMMYFUNCTION("IF(FILTER('Pivot Table for acq weekly'!U:U,'Pivot Table for acq weekly'!$B:$B=$B47,'Pivot Table for acq weekly'!$A:$A=$A47)/$C47 = 0,"""",FILTER('Pivot Table for acq weekly'!U:U,'Pivot Table for acq weekly'!$B:$B=$B47,'Pivot Table for acq weekly'!$A:$A=$A"&amp;"47)/$C47)"),"#N/A")</f>
        <v>#N/A</v>
      </c>
      <c r="V47" s="58" t="str">
        <f>IFERROR(__xludf.DUMMYFUNCTION("IF(FILTER('Pivot Table for acq weekly'!V:V,'Pivot Table for acq weekly'!$B:$B=$B47,'Pivot Table for acq weekly'!$A:$A=$A47)/$C47 = 0,"""",FILTER('Pivot Table for acq weekly'!V:V,'Pivot Table for acq weekly'!$B:$B=$B47,'Pivot Table for acq weekly'!$A:$A=$A"&amp;"47)/$C47)"),"#N/A")</f>
        <v>#N/A</v>
      </c>
      <c r="W47" s="58" t="str">
        <f>IFERROR(__xludf.DUMMYFUNCTION("IF(FILTER('Pivot Table for acq weekly'!W:W,'Pivot Table for acq weekly'!$B:$B=$B47,'Pivot Table for acq weekly'!$A:$A=$A47)/$C47 = 0,"""",FILTER('Pivot Table for acq weekly'!W:W,'Pivot Table for acq weekly'!$B:$B=$B47,'Pivot Table for acq weekly'!$A:$A=$A"&amp;"47)/$C47)"),"#N/A")</f>
        <v>#N/A</v>
      </c>
      <c r="X47" s="58" t="str">
        <f>IFERROR(__xludf.DUMMYFUNCTION("IF(FILTER('Pivot Table for acq weekly'!X:X,'Pivot Table for acq weekly'!$B:$B=$B47,'Pivot Table for acq weekly'!$A:$A=$A47)/$C47 = 0,"""",FILTER('Pivot Table for acq weekly'!X:X,'Pivot Table for acq weekly'!$B:$B=$B47,'Pivot Table for acq weekly'!$A:$A=$A"&amp;"47)/$C47)"),"#N/A")</f>
        <v>#N/A</v>
      </c>
      <c r="Y47" s="58" t="str">
        <f>IFERROR(__xludf.DUMMYFUNCTION("IF(FILTER('Pivot Table for acq weekly'!Y:Y,'Pivot Table for acq weekly'!$B:$B=$B47,'Pivot Table for acq weekly'!$A:$A=$A47)/$C47 = 0,"""",FILTER('Pivot Table for acq weekly'!Y:Y,'Pivot Table for acq weekly'!$B:$B=$B47,'Pivot Table for acq weekly'!$A:$A=$A"&amp;"47)/$C47)"),"#N/A")</f>
        <v>#N/A</v>
      </c>
    </row>
    <row r="48" hidden="1">
      <c r="A48" s="56">
        <v>10.0</v>
      </c>
      <c r="B48" s="30">
        <v>43254.0</v>
      </c>
      <c r="C48" s="57" t="str">
        <f>IFERROR(__xludf.DUMMYFUNCTION("FILTER('Pivot Table for acq weekly'!C:C,'Pivot Table for acq weekly'!$B:$B=$B48,'Pivot Table for acq weekly'!$A:$A=$A48)"),"#N/A")</f>
        <v>#N/A</v>
      </c>
      <c r="D48" s="58" t="str">
        <f>IFERROR(__xludf.DUMMYFUNCTION("IF(FILTER('Pivot Table for acq weekly'!D:D,'Pivot Table for acq weekly'!$B:$B=$B48,'Pivot Table for acq weekly'!$A:$A=$A48)/$C48 = 0,"""",FILTER('Pivot Table for acq weekly'!D:D,'Pivot Table for acq weekly'!$B:$B=$B48,'Pivot Table for acq weekly'!$A:$A=$A"&amp;"48)/$C48)"),"#N/A")</f>
        <v>#N/A</v>
      </c>
      <c r="E48" s="58" t="str">
        <f>IFERROR(__xludf.DUMMYFUNCTION("IF(FILTER('Pivot Table for acq weekly'!E:E,'Pivot Table for acq weekly'!$B:$B=$B48,'Pivot Table for acq weekly'!$A:$A=$A48)/$C48 = 0,"""",FILTER('Pivot Table for acq weekly'!E:E,'Pivot Table for acq weekly'!$B:$B=$B48,'Pivot Table for acq weekly'!$A:$A=$A"&amp;"48)/$C48)"),"#N/A")</f>
        <v>#N/A</v>
      </c>
      <c r="F48" s="58" t="str">
        <f>IFERROR(__xludf.DUMMYFUNCTION("IF(FILTER('Pivot Table for acq weekly'!F:F,'Pivot Table for acq weekly'!$B:$B=$B48,'Pivot Table for acq weekly'!$A:$A=$A48)/$C48 = 0,"""",FILTER('Pivot Table for acq weekly'!F:F,'Pivot Table for acq weekly'!$B:$B=$B48,'Pivot Table for acq weekly'!$A:$A=$A"&amp;"48)/$C48)"),"#N/A")</f>
        <v>#N/A</v>
      </c>
      <c r="G48" s="58" t="str">
        <f>IFERROR(__xludf.DUMMYFUNCTION("IF(FILTER('Pivot Table for acq weekly'!G:G,'Pivot Table for acq weekly'!$B:$B=$B48,'Pivot Table for acq weekly'!$A:$A=$A48)/$C48 = 0,"""",FILTER('Pivot Table for acq weekly'!G:G,'Pivot Table for acq weekly'!$B:$B=$B48,'Pivot Table for acq weekly'!$A:$A=$A"&amp;"48)/$C48)"),"#N/A")</f>
        <v>#N/A</v>
      </c>
      <c r="H48" s="58" t="str">
        <f>IFERROR(__xludf.DUMMYFUNCTION("IF(FILTER('Pivot Table for acq weekly'!H:H,'Pivot Table for acq weekly'!$B:$B=$B48,'Pivot Table for acq weekly'!$A:$A=$A48)/$C48 = 0,"""",FILTER('Pivot Table for acq weekly'!H:H,'Pivot Table for acq weekly'!$B:$B=$B48,'Pivot Table for acq weekly'!$A:$A=$A"&amp;"48)/$C48)"),"#N/A")</f>
        <v>#N/A</v>
      </c>
      <c r="I48" s="58" t="str">
        <f>IFERROR(__xludf.DUMMYFUNCTION("IF(FILTER('Pivot Table for acq weekly'!I:I,'Pivot Table for acq weekly'!$B:$B=$B48,'Pivot Table for acq weekly'!$A:$A=$A48)/$C48 = 0,"""",FILTER('Pivot Table for acq weekly'!I:I,'Pivot Table for acq weekly'!$B:$B=$B48,'Pivot Table for acq weekly'!$A:$A=$A"&amp;"48)/$C48)"),"#N/A")</f>
        <v>#N/A</v>
      </c>
      <c r="J48" s="58" t="str">
        <f>IFERROR(__xludf.DUMMYFUNCTION("IF(FILTER('Pivot Table for acq weekly'!J:J,'Pivot Table for acq weekly'!$B:$B=$B48,'Pivot Table for acq weekly'!$A:$A=$A48)/$C48 = 0,"""",FILTER('Pivot Table for acq weekly'!J:J,'Pivot Table for acq weekly'!$B:$B=$B48,'Pivot Table for acq weekly'!$A:$A=$A"&amp;"48)/$C48)"),"#N/A")</f>
        <v>#N/A</v>
      </c>
      <c r="K48" s="58" t="str">
        <f>IFERROR(__xludf.DUMMYFUNCTION("IF(FILTER('Pivot Table for acq weekly'!K:K,'Pivot Table for acq weekly'!$B:$B=$B48,'Pivot Table for acq weekly'!$A:$A=$A48)/$C48 = 0,"""",FILTER('Pivot Table for acq weekly'!K:K,'Pivot Table for acq weekly'!$B:$B=$B48,'Pivot Table for acq weekly'!$A:$A=$A"&amp;"48)/$C48)"),"#N/A")</f>
        <v>#N/A</v>
      </c>
      <c r="L48" s="58" t="str">
        <f>IFERROR(__xludf.DUMMYFUNCTION("IF(FILTER('Pivot Table for acq weekly'!L:L,'Pivot Table for acq weekly'!$B:$B=$B48,'Pivot Table for acq weekly'!$A:$A=$A48)/$C48 = 0,"""",FILTER('Pivot Table for acq weekly'!L:L,'Pivot Table for acq weekly'!$B:$B=$B48,'Pivot Table for acq weekly'!$A:$A=$A"&amp;"48)/$C48)"),"#N/A")</f>
        <v>#N/A</v>
      </c>
      <c r="M48" s="58" t="str">
        <f>IFERROR(__xludf.DUMMYFUNCTION("IF(FILTER('Pivot Table for acq weekly'!M:M,'Pivot Table for acq weekly'!$B:$B=$B48,'Pivot Table for acq weekly'!$A:$A=$A48)/$C48 = 0,"""",FILTER('Pivot Table for acq weekly'!M:M,'Pivot Table for acq weekly'!$B:$B=$B48,'Pivot Table for acq weekly'!$A:$A=$A"&amp;"48)/$C48)"),"#N/A")</f>
        <v>#N/A</v>
      </c>
      <c r="N48" s="58" t="str">
        <f>IFERROR(__xludf.DUMMYFUNCTION("IF(FILTER('Pivot Table for acq weekly'!N:N,'Pivot Table for acq weekly'!$B:$B=$B48,'Pivot Table for acq weekly'!$A:$A=$A48)/$C48 = 0,"""",FILTER('Pivot Table for acq weekly'!N:N,'Pivot Table for acq weekly'!$B:$B=$B48,'Pivot Table for acq weekly'!$A:$A=$A"&amp;"48)/$C48)"),"#N/A")</f>
        <v>#N/A</v>
      </c>
      <c r="O48" s="58" t="str">
        <f>IFERROR(__xludf.DUMMYFUNCTION("IF(FILTER('Pivot Table for acq weekly'!O:O,'Pivot Table for acq weekly'!$B:$B=$B48,'Pivot Table for acq weekly'!$A:$A=$A48)/$C48 = 0,"""",FILTER('Pivot Table for acq weekly'!O:O,'Pivot Table for acq weekly'!$B:$B=$B48,'Pivot Table for acq weekly'!$A:$A=$A"&amp;"48)/$C48)"),"#N/A")</f>
        <v>#N/A</v>
      </c>
      <c r="P48" s="58" t="str">
        <f>IFERROR(__xludf.DUMMYFUNCTION("IF(FILTER('Pivot Table for acq weekly'!P:P,'Pivot Table for acq weekly'!$B:$B=$B48,'Pivot Table for acq weekly'!$A:$A=$A48)/$C48 = 0,"""",FILTER('Pivot Table for acq weekly'!P:P,'Pivot Table for acq weekly'!$B:$B=$B48,'Pivot Table for acq weekly'!$A:$A=$A"&amp;"48)/$C48)"),"#N/A")</f>
        <v>#N/A</v>
      </c>
      <c r="Q48" s="58" t="str">
        <f>IFERROR(__xludf.DUMMYFUNCTION("IF(FILTER('Pivot Table for acq weekly'!Q:Q,'Pivot Table for acq weekly'!$B:$B=$B48,'Pivot Table for acq weekly'!$A:$A=$A48)/$C48 = 0,"""",FILTER('Pivot Table for acq weekly'!Q:Q,'Pivot Table for acq weekly'!$B:$B=$B48,'Pivot Table for acq weekly'!$A:$A=$A"&amp;"48)/$C48)"),"#N/A")</f>
        <v>#N/A</v>
      </c>
      <c r="R48" s="58" t="str">
        <f>IFERROR(__xludf.DUMMYFUNCTION("IF(FILTER('Pivot Table for acq weekly'!R:R,'Pivot Table for acq weekly'!$B:$B=$B48,'Pivot Table for acq weekly'!$A:$A=$A48)/$C48 = 0,"""",FILTER('Pivot Table for acq weekly'!R:R,'Pivot Table for acq weekly'!$B:$B=$B48,'Pivot Table for acq weekly'!$A:$A=$A"&amp;"48)/$C48)"),"#N/A")</f>
        <v>#N/A</v>
      </c>
      <c r="S48" s="58" t="str">
        <f>IFERROR(__xludf.DUMMYFUNCTION("IF(FILTER('Pivot Table for acq weekly'!S:S,'Pivot Table for acq weekly'!$B:$B=$B48,'Pivot Table for acq weekly'!$A:$A=$A48)/$C48 = 0,"""",FILTER('Pivot Table for acq weekly'!S:S,'Pivot Table for acq weekly'!$B:$B=$B48,'Pivot Table for acq weekly'!$A:$A=$A"&amp;"48)/$C48)"),"#N/A")</f>
        <v>#N/A</v>
      </c>
      <c r="T48" s="58" t="str">
        <f>IFERROR(__xludf.DUMMYFUNCTION("IF(FILTER('Pivot Table for acq weekly'!T:T,'Pivot Table for acq weekly'!$B:$B=$B48,'Pivot Table for acq weekly'!$A:$A=$A48)/$C48 = 0,"""",FILTER('Pivot Table for acq weekly'!T:T,'Pivot Table for acq weekly'!$B:$B=$B48,'Pivot Table for acq weekly'!$A:$A=$A"&amp;"48)/$C48)"),"#N/A")</f>
        <v>#N/A</v>
      </c>
      <c r="U48" s="58" t="str">
        <f>IFERROR(__xludf.DUMMYFUNCTION("IF(FILTER('Pivot Table for acq weekly'!U:U,'Pivot Table for acq weekly'!$B:$B=$B48,'Pivot Table for acq weekly'!$A:$A=$A48)/$C48 = 0,"""",FILTER('Pivot Table for acq weekly'!U:U,'Pivot Table for acq weekly'!$B:$B=$B48,'Pivot Table for acq weekly'!$A:$A=$A"&amp;"48)/$C48)"),"#N/A")</f>
        <v>#N/A</v>
      </c>
      <c r="V48" s="58" t="str">
        <f>IFERROR(__xludf.DUMMYFUNCTION("IF(FILTER('Pivot Table for acq weekly'!V:V,'Pivot Table for acq weekly'!$B:$B=$B48,'Pivot Table for acq weekly'!$A:$A=$A48)/$C48 = 0,"""",FILTER('Pivot Table for acq weekly'!V:V,'Pivot Table for acq weekly'!$B:$B=$B48,'Pivot Table for acq weekly'!$A:$A=$A"&amp;"48)/$C48)"),"#N/A")</f>
        <v>#N/A</v>
      </c>
      <c r="W48" s="58" t="str">
        <f>IFERROR(__xludf.DUMMYFUNCTION("IF(FILTER('Pivot Table for acq weekly'!W:W,'Pivot Table for acq weekly'!$B:$B=$B48,'Pivot Table for acq weekly'!$A:$A=$A48)/$C48 = 0,"""",FILTER('Pivot Table for acq weekly'!W:W,'Pivot Table for acq weekly'!$B:$B=$B48,'Pivot Table for acq weekly'!$A:$A=$A"&amp;"48)/$C48)"),"#N/A")</f>
        <v>#N/A</v>
      </c>
      <c r="X48" s="58" t="str">
        <f>IFERROR(__xludf.DUMMYFUNCTION("IF(FILTER('Pivot Table for acq weekly'!X:X,'Pivot Table for acq weekly'!$B:$B=$B48,'Pivot Table for acq weekly'!$A:$A=$A48)/$C48 = 0,"""",FILTER('Pivot Table for acq weekly'!X:X,'Pivot Table for acq weekly'!$B:$B=$B48,'Pivot Table for acq weekly'!$A:$A=$A"&amp;"48)/$C48)"),"#N/A")</f>
        <v>#N/A</v>
      </c>
      <c r="Y48" s="58" t="str">
        <f>IFERROR(__xludf.DUMMYFUNCTION("IF(FILTER('Pivot Table for acq weekly'!Y:Y,'Pivot Table for acq weekly'!$B:$B=$B48,'Pivot Table for acq weekly'!$A:$A=$A48)/$C48 = 0,"""",FILTER('Pivot Table for acq weekly'!Y:Y,'Pivot Table for acq weekly'!$B:$B=$B48,'Pivot Table for acq weekly'!$A:$A=$A"&amp;"48)/$C48)"),"#N/A")</f>
        <v>#N/A</v>
      </c>
    </row>
    <row r="49" hidden="1">
      <c r="A49" s="56">
        <v>10.0</v>
      </c>
      <c r="B49" s="30">
        <v>43261.0</v>
      </c>
      <c r="C49" s="57" t="str">
        <f>IFERROR(__xludf.DUMMYFUNCTION("FILTER('Pivot Table for acq weekly'!C:C,'Pivot Table for acq weekly'!$B:$B=$B49,'Pivot Table for acq weekly'!$A:$A=$A49)"),"#N/A")</f>
        <v>#N/A</v>
      </c>
      <c r="D49" s="58" t="str">
        <f>IFERROR(__xludf.DUMMYFUNCTION("IF(FILTER('Pivot Table for acq weekly'!D:D,'Pivot Table for acq weekly'!$B:$B=$B49,'Pivot Table for acq weekly'!$A:$A=$A49)/$C49 = 0,"""",FILTER('Pivot Table for acq weekly'!D:D,'Pivot Table for acq weekly'!$B:$B=$B49,'Pivot Table for acq weekly'!$A:$A=$A"&amp;"49)/$C49)"),"#N/A")</f>
        <v>#N/A</v>
      </c>
      <c r="E49" s="58" t="str">
        <f>IFERROR(__xludf.DUMMYFUNCTION("IF(FILTER('Pivot Table for acq weekly'!E:E,'Pivot Table for acq weekly'!$B:$B=$B49,'Pivot Table for acq weekly'!$A:$A=$A49)/$C49 = 0,"""",FILTER('Pivot Table for acq weekly'!E:E,'Pivot Table for acq weekly'!$B:$B=$B49,'Pivot Table for acq weekly'!$A:$A=$A"&amp;"49)/$C49)"),"#N/A")</f>
        <v>#N/A</v>
      </c>
      <c r="F49" s="58" t="str">
        <f>IFERROR(__xludf.DUMMYFUNCTION("IF(FILTER('Pivot Table for acq weekly'!F:F,'Pivot Table for acq weekly'!$B:$B=$B49,'Pivot Table for acq weekly'!$A:$A=$A49)/$C49 = 0,"""",FILTER('Pivot Table for acq weekly'!F:F,'Pivot Table for acq weekly'!$B:$B=$B49,'Pivot Table for acq weekly'!$A:$A=$A"&amp;"49)/$C49)"),"#N/A")</f>
        <v>#N/A</v>
      </c>
      <c r="G49" s="58" t="str">
        <f>IFERROR(__xludf.DUMMYFUNCTION("IF(FILTER('Pivot Table for acq weekly'!G:G,'Pivot Table for acq weekly'!$B:$B=$B49,'Pivot Table for acq weekly'!$A:$A=$A49)/$C49 = 0,"""",FILTER('Pivot Table for acq weekly'!G:G,'Pivot Table for acq weekly'!$B:$B=$B49,'Pivot Table for acq weekly'!$A:$A=$A"&amp;"49)/$C49)"),"#N/A")</f>
        <v>#N/A</v>
      </c>
      <c r="H49" s="58" t="str">
        <f>IFERROR(__xludf.DUMMYFUNCTION("IF(FILTER('Pivot Table for acq weekly'!H:H,'Pivot Table for acq weekly'!$B:$B=$B49,'Pivot Table for acq weekly'!$A:$A=$A49)/$C49 = 0,"""",FILTER('Pivot Table for acq weekly'!H:H,'Pivot Table for acq weekly'!$B:$B=$B49,'Pivot Table for acq weekly'!$A:$A=$A"&amp;"49)/$C49)"),"#N/A")</f>
        <v>#N/A</v>
      </c>
      <c r="I49" s="58" t="str">
        <f>IFERROR(__xludf.DUMMYFUNCTION("IF(FILTER('Pivot Table for acq weekly'!I:I,'Pivot Table for acq weekly'!$B:$B=$B49,'Pivot Table for acq weekly'!$A:$A=$A49)/$C49 = 0,"""",FILTER('Pivot Table for acq weekly'!I:I,'Pivot Table for acq weekly'!$B:$B=$B49,'Pivot Table for acq weekly'!$A:$A=$A"&amp;"49)/$C49)"),"#N/A")</f>
        <v>#N/A</v>
      </c>
      <c r="J49" s="58" t="str">
        <f>IFERROR(__xludf.DUMMYFUNCTION("IF(FILTER('Pivot Table for acq weekly'!J:J,'Pivot Table for acq weekly'!$B:$B=$B49,'Pivot Table for acq weekly'!$A:$A=$A49)/$C49 = 0,"""",FILTER('Pivot Table for acq weekly'!J:J,'Pivot Table for acq weekly'!$B:$B=$B49,'Pivot Table for acq weekly'!$A:$A=$A"&amp;"49)/$C49)"),"#N/A")</f>
        <v>#N/A</v>
      </c>
      <c r="K49" s="58" t="str">
        <f>IFERROR(__xludf.DUMMYFUNCTION("IF(FILTER('Pivot Table for acq weekly'!K:K,'Pivot Table for acq weekly'!$B:$B=$B49,'Pivot Table for acq weekly'!$A:$A=$A49)/$C49 = 0,"""",FILTER('Pivot Table for acq weekly'!K:K,'Pivot Table for acq weekly'!$B:$B=$B49,'Pivot Table for acq weekly'!$A:$A=$A"&amp;"49)/$C49)"),"#N/A")</f>
        <v>#N/A</v>
      </c>
      <c r="L49" s="58" t="str">
        <f>IFERROR(__xludf.DUMMYFUNCTION("IF(FILTER('Pivot Table for acq weekly'!L:L,'Pivot Table for acq weekly'!$B:$B=$B49,'Pivot Table for acq weekly'!$A:$A=$A49)/$C49 = 0,"""",FILTER('Pivot Table for acq weekly'!L:L,'Pivot Table for acq weekly'!$B:$B=$B49,'Pivot Table for acq weekly'!$A:$A=$A"&amp;"49)/$C49)"),"#N/A")</f>
        <v>#N/A</v>
      </c>
      <c r="M49" s="58" t="str">
        <f>IFERROR(__xludf.DUMMYFUNCTION("IF(FILTER('Pivot Table for acq weekly'!M:M,'Pivot Table for acq weekly'!$B:$B=$B49,'Pivot Table for acq weekly'!$A:$A=$A49)/$C49 = 0,"""",FILTER('Pivot Table for acq weekly'!M:M,'Pivot Table for acq weekly'!$B:$B=$B49,'Pivot Table for acq weekly'!$A:$A=$A"&amp;"49)/$C49)"),"#N/A")</f>
        <v>#N/A</v>
      </c>
      <c r="N49" s="58" t="str">
        <f>IFERROR(__xludf.DUMMYFUNCTION("IF(FILTER('Pivot Table for acq weekly'!N:N,'Pivot Table for acq weekly'!$B:$B=$B49,'Pivot Table for acq weekly'!$A:$A=$A49)/$C49 = 0,"""",FILTER('Pivot Table for acq weekly'!N:N,'Pivot Table for acq weekly'!$B:$B=$B49,'Pivot Table for acq weekly'!$A:$A=$A"&amp;"49)/$C49)"),"#N/A")</f>
        <v>#N/A</v>
      </c>
      <c r="O49" s="58" t="str">
        <f>IFERROR(__xludf.DUMMYFUNCTION("IF(FILTER('Pivot Table for acq weekly'!O:O,'Pivot Table for acq weekly'!$B:$B=$B49,'Pivot Table for acq weekly'!$A:$A=$A49)/$C49 = 0,"""",FILTER('Pivot Table for acq weekly'!O:O,'Pivot Table for acq weekly'!$B:$B=$B49,'Pivot Table for acq weekly'!$A:$A=$A"&amp;"49)/$C49)"),"#N/A")</f>
        <v>#N/A</v>
      </c>
      <c r="P49" s="58" t="str">
        <f>IFERROR(__xludf.DUMMYFUNCTION("IF(FILTER('Pivot Table for acq weekly'!P:P,'Pivot Table for acq weekly'!$B:$B=$B49,'Pivot Table for acq weekly'!$A:$A=$A49)/$C49 = 0,"""",FILTER('Pivot Table for acq weekly'!P:P,'Pivot Table for acq weekly'!$B:$B=$B49,'Pivot Table for acq weekly'!$A:$A=$A"&amp;"49)/$C49)"),"#N/A")</f>
        <v>#N/A</v>
      </c>
      <c r="Q49" s="58" t="str">
        <f>IFERROR(__xludf.DUMMYFUNCTION("IF(FILTER('Pivot Table for acq weekly'!Q:Q,'Pivot Table for acq weekly'!$B:$B=$B49,'Pivot Table for acq weekly'!$A:$A=$A49)/$C49 = 0,"""",FILTER('Pivot Table for acq weekly'!Q:Q,'Pivot Table for acq weekly'!$B:$B=$B49,'Pivot Table for acq weekly'!$A:$A=$A"&amp;"49)/$C49)"),"#N/A")</f>
        <v>#N/A</v>
      </c>
      <c r="R49" s="58" t="str">
        <f>IFERROR(__xludf.DUMMYFUNCTION("IF(FILTER('Pivot Table for acq weekly'!R:R,'Pivot Table for acq weekly'!$B:$B=$B49,'Pivot Table for acq weekly'!$A:$A=$A49)/$C49 = 0,"""",FILTER('Pivot Table for acq weekly'!R:R,'Pivot Table for acq weekly'!$B:$B=$B49,'Pivot Table for acq weekly'!$A:$A=$A"&amp;"49)/$C49)"),"#N/A")</f>
        <v>#N/A</v>
      </c>
      <c r="S49" s="58" t="str">
        <f>IFERROR(__xludf.DUMMYFUNCTION("IF(FILTER('Pivot Table for acq weekly'!S:S,'Pivot Table for acq weekly'!$B:$B=$B49,'Pivot Table for acq weekly'!$A:$A=$A49)/$C49 = 0,"""",FILTER('Pivot Table for acq weekly'!S:S,'Pivot Table for acq weekly'!$B:$B=$B49,'Pivot Table for acq weekly'!$A:$A=$A"&amp;"49)/$C49)"),"#N/A")</f>
        <v>#N/A</v>
      </c>
      <c r="T49" s="58" t="str">
        <f>IFERROR(__xludf.DUMMYFUNCTION("IF(FILTER('Pivot Table for acq weekly'!T:T,'Pivot Table for acq weekly'!$B:$B=$B49,'Pivot Table for acq weekly'!$A:$A=$A49)/$C49 = 0,"""",FILTER('Pivot Table for acq weekly'!T:T,'Pivot Table for acq weekly'!$B:$B=$B49,'Pivot Table for acq weekly'!$A:$A=$A"&amp;"49)/$C49)"),"#N/A")</f>
        <v>#N/A</v>
      </c>
      <c r="U49" s="58" t="str">
        <f>IFERROR(__xludf.DUMMYFUNCTION("IF(FILTER('Pivot Table for acq weekly'!U:U,'Pivot Table for acq weekly'!$B:$B=$B49,'Pivot Table for acq weekly'!$A:$A=$A49)/$C49 = 0,"""",FILTER('Pivot Table for acq weekly'!U:U,'Pivot Table for acq weekly'!$B:$B=$B49,'Pivot Table for acq weekly'!$A:$A=$A"&amp;"49)/$C49)"),"#N/A")</f>
        <v>#N/A</v>
      </c>
      <c r="V49" s="58" t="str">
        <f>IFERROR(__xludf.DUMMYFUNCTION("IF(FILTER('Pivot Table for acq weekly'!V:V,'Pivot Table for acq weekly'!$B:$B=$B49,'Pivot Table for acq weekly'!$A:$A=$A49)/$C49 = 0,"""",FILTER('Pivot Table for acq weekly'!V:V,'Pivot Table for acq weekly'!$B:$B=$B49,'Pivot Table for acq weekly'!$A:$A=$A"&amp;"49)/$C49)"),"#N/A")</f>
        <v>#N/A</v>
      </c>
      <c r="W49" s="58" t="str">
        <f>IFERROR(__xludf.DUMMYFUNCTION("IF(FILTER('Pivot Table for acq weekly'!W:W,'Pivot Table for acq weekly'!$B:$B=$B49,'Pivot Table for acq weekly'!$A:$A=$A49)/$C49 = 0,"""",FILTER('Pivot Table for acq weekly'!W:W,'Pivot Table for acq weekly'!$B:$B=$B49,'Pivot Table for acq weekly'!$A:$A=$A"&amp;"49)/$C49)"),"#N/A")</f>
        <v>#N/A</v>
      </c>
      <c r="X49" s="58" t="str">
        <f>IFERROR(__xludf.DUMMYFUNCTION("IF(FILTER('Pivot Table for acq weekly'!X:X,'Pivot Table for acq weekly'!$B:$B=$B49,'Pivot Table for acq weekly'!$A:$A=$A49)/$C49 = 0,"""",FILTER('Pivot Table for acq weekly'!X:X,'Pivot Table for acq weekly'!$B:$B=$B49,'Pivot Table for acq weekly'!$A:$A=$A"&amp;"49)/$C49)"),"#N/A")</f>
        <v>#N/A</v>
      </c>
      <c r="Y49" s="58" t="str">
        <f>IFERROR(__xludf.DUMMYFUNCTION("IF(FILTER('Pivot Table for acq weekly'!Y:Y,'Pivot Table for acq weekly'!$B:$B=$B49,'Pivot Table for acq weekly'!$A:$A=$A49)/$C49 = 0,"""",FILTER('Pivot Table for acq weekly'!Y:Y,'Pivot Table for acq weekly'!$B:$B=$B49,'Pivot Table for acq weekly'!$A:$A=$A"&amp;"49)/$C49)"),"#N/A")</f>
        <v>#N/A</v>
      </c>
    </row>
    <row r="50" hidden="1">
      <c r="A50" s="56">
        <v>10.0</v>
      </c>
      <c r="B50" s="30">
        <v>43268.0</v>
      </c>
      <c r="C50" s="57" t="str">
        <f>IFERROR(__xludf.DUMMYFUNCTION("FILTER('Pivot Table for acq weekly'!C:C,'Pivot Table for acq weekly'!$B:$B=$B50,'Pivot Table for acq weekly'!$A:$A=$A50)"),"#N/A")</f>
        <v>#N/A</v>
      </c>
      <c r="D50" s="58" t="str">
        <f>IFERROR(__xludf.DUMMYFUNCTION("IF(FILTER('Pivot Table for acq weekly'!D:D,'Pivot Table for acq weekly'!$B:$B=$B50,'Pivot Table for acq weekly'!$A:$A=$A50)/$C50 = 0,"""",FILTER('Pivot Table for acq weekly'!D:D,'Pivot Table for acq weekly'!$B:$B=$B50,'Pivot Table for acq weekly'!$A:$A=$A"&amp;"50)/$C50)"),"#N/A")</f>
        <v>#N/A</v>
      </c>
      <c r="E50" s="58" t="str">
        <f>IFERROR(__xludf.DUMMYFUNCTION("IF(FILTER('Pivot Table for acq weekly'!E:E,'Pivot Table for acq weekly'!$B:$B=$B50,'Pivot Table for acq weekly'!$A:$A=$A50)/$C50 = 0,"""",FILTER('Pivot Table for acq weekly'!E:E,'Pivot Table for acq weekly'!$B:$B=$B50,'Pivot Table for acq weekly'!$A:$A=$A"&amp;"50)/$C50)"),"#N/A")</f>
        <v>#N/A</v>
      </c>
      <c r="F50" s="58" t="str">
        <f>IFERROR(__xludf.DUMMYFUNCTION("IF(FILTER('Pivot Table for acq weekly'!F:F,'Pivot Table for acq weekly'!$B:$B=$B50,'Pivot Table for acq weekly'!$A:$A=$A50)/$C50 = 0,"""",FILTER('Pivot Table for acq weekly'!F:F,'Pivot Table for acq weekly'!$B:$B=$B50,'Pivot Table for acq weekly'!$A:$A=$A"&amp;"50)/$C50)"),"#N/A")</f>
        <v>#N/A</v>
      </c>
      <c r="G50" s="58" t="str">
        <f>IFERROR(__xludf.DUMMYFUNCTION("IF(FILTER('Pivot Table for acq weekly'!G:G,'Pivot Table for acq weekly'!$B:$B=$B50,'Pivot Table for acq weekly'!$A:$A=$A50)/$C50 = 0,"""",FILTER('Pivot Table for acq weekly'!G:G,'Pivot Table for acq weekly'!$B:$B=$B50,'Pivot Table for acq weekly'!$A:$A=$A"&amp;"50)/$C50)"),"#N/A")</f>
        <v>#N/A</v>
      </c>
      <c r="H50" s="58" t="str">
        <f>IFERROR(__xludf.DUMMYFUNCTION("IF(FILTER('Pivot Table for acq weekly'!H:H,'Pivot Table for acq weekly'!$B:$B=$B50,'Pivot Table for acq weekly'!$A:$A=$A50)/$C50 = 0,"""",FILTER('Pivot Table for acq weekly'!H:H,'Pivot Table for acq weekly'!$B:$B=$B50,'Pivot Table for acq weekly'!$A:$A=$A"&amp;"50)/$C50)"),"#N/A")</f>
        <v>#N/A</v>
      </c>
      <c r="I50" s="58" t="str">
        <f>IFERROR(__xludf.DUMMYFUNCTION("IF(FILTER('Pivot Table for acq weekly'!I:I,'Pivot Table for acq weekly'!$B:$B=$B50,'Pivot Table for acq weekly'!$A:$A=$A50)/$C50 = 0,"""",FILTER('Pivot Table for acq weekly'!I:I,'Pivot Table for acq weekly'!$B:$B=$B50,'Pivot Table for acq weekly'!$A:$A=$A"&amp;"50)/$C50)"),"#N/A")</f>
        <v>#N/A</v>
      </c>
      <c r="J50" s="58" t="str">
        <f>IFERROR(__xludf.DUMMYFUNCTION("IF(FILTER('Pivot Table for acq weekly'!J:J,'Pivot Table for acq weekly'!$B:$B=$B50,'Pivot Table for acq weekly'!$A:$A=$A50)/$C50 = 0,"""",FILTER('Pivot Table for acq weekly'!J:J,'Pivot Table for acq weekly'!$B:$B=$B50,'Pivot Table for acq weekly'!$A:$A=$A"&amp;"50)/$C50)"),"#N/A")</f>
        <v>#N/A</v>
      </c>
      <c r="K50" s="58" t="str">
        <f>IFERROR(__xludf.DUMMYFUNCTION("IF(FILTER('Pivot Table for acq weekly'!K:K,'Pivot Table for acq weekly'!$B:$B=$B50,'Pivot Table for acq weekly'!$A:$A=$A50)/$C50 = 0,"""",FILTER('Pivot Table for acq weekly'!K:K,'Pivot Table for acq weekly'!$B:$B=$B50,'Pivot Table for acq weekly'!$A:$A=$A"&amp;"50)/$C50)"),"#N/A")</f>
        <v>#N/A</v>
      </c>
      <c r="L50" s="58" t="str">
        <f>IFERROR(__xludf.DUMMYFUNCTION("IF(FILTER('Pivot Table for acq weekly'!L:L,'Pivot Table for acq weekly'!$B:$B=$B50,'Pivot Table for acq weekly'!$A:$A=$A50)/$C50 = 0,"""",FILTER('Pivot Table for acq weekly'!L:L,'Pivot Table for acq weekly'!$B:$B=$B50,'Pivot Table for acq weekly'!$A:$A=$A"&amp;"50)/$C50)"),"#N/A")</f>
        <v>#N/A</v>
      </c>
      <c r="M50" s="58" t="str">
        <f>IFERROR(__xludf.DUMMYFUNCTION("IF(FILTER('Pivot Table for acq weekly'!M:M,'Pivot Table for acq weekly'!$B:$B=$B50,'Pivot Table for acq weekly'!$A:$A=$A50)/$C50 = 0,"""",FILTER('Pivot Table for acq weekly'!M:M,'Pivot Table for acq weekly'!$B:$B=$B50,'Pivot Table for acq weekly'!$A:$A=$A"&amp;"50)/$C50)"),"#N/A")</f>
        <v>#N/A</v>
      </c>
      <c r="N50" s="58" t="str">
        <f>IFERROR(__xludf.DUMMYFUNCTION("IF(FILTER('Pivot Table for acq weekly'!N:N,'Pivot Table for acq weekly'!$B:$B=$B50,'Pivot Table for acq weekly'!$A:$A=$A50)/$C50 = 0,"""",FILTER('Pivot Table for acq weekly'!N:N,'Pivot Table for acq weekly'!$B:$B=$B50,'Pivot Table for acq weekly'!$A:$A=$A"&amp;"50)/$C50)"),"#N/A")</f>
        <v>#N/A</v>
      </c>
      <c r="O50" s="58" t="str">
        <f>IFERROR(__xludf.DUMMYFUNCTION("IF(FILTER('Pivot Table for acq weekly'!O:O,'Pivot Table for acq weekly'!$B:$B=$B50,'Pivot Table for acq weekly'!$A:$A=$A50)/$C50 = 0,"""",FILTER('Pivot Table for acq weekly'!O:O,'Pivot Table for acq weekly'!$B:$B=$B50,'Pivot Table for acq weekly'!$A:$A=$A"&amp;"50)/$C50)"),"#N/A")</f>
        <v>#N/A</v>
      </c>
      <c r="P50" s="58" t="str">
        <f>IFERROR(__xludf.DUMMYFUNCTION("IF(FILTER('Pivot Table for acq weekly'!P:P,'Pivot Table for acq weekly'!$B:$B=$B50,'Pivot Table for acq weekly'!$A:$A=$A50)/$C50 = 0,"""",FILTER('Pivot Table for acq weekly'!P:P,'Pivot Table for acq weekly'!$B:$B=$B50,'Pivot Table for acq weekly'!$A:$A=$A"&amp;"50)/$C50)"),"#N/A")</f>
        <v>#N/A</v>
      </c>
      <c r="Q50" s="58" t="str">
        <f>IFERROR(__xludf.DUMMYFUNCTION("IF(FILTER('Pivot Table for acq weekly'!Q:Q,'Pivot Table for acq weekly'!$B:$B=$B50,'Pivot Table for acq weekly'!$A:$A=$A50)/$C50 = 0,"""",FILTER('Pivot Table for acq weekly'!Q:Q,'Pivot Table for acq weekly'!$B:$B=$B50,'Pivot Table for acq weekly'!$A:$A=$A"&amp;"50)/$C50)"),"#N/A")</f>
        <v>#N/A</v>
      </c>
      <c r="R50" s="58" t="str">
        <f>IFERROR(__xludf.DUMMYFUNCTION("IF(FILTER('Pivot Table for acq weekly'!R:R,'Pivot Table for acq weekly'!$B:$B=$B50,'Pivot Table for acq weekly'!$A:$A=$A50)/$C50 = 0,"""",FILTER('Pivot Table for acq weekly'!R:R,'Pivot Table for acq weekly'!$B:$B=$B50,'Pivot Table for acq weekly'!$A:$A=$A"&amp;"50)/$C50)"),"#N/A")</f>
        <v>#N/A</v>
      </c>
      <c r="S50" s="58" t="str">
        <f>IFERROR(__xludf.DUMMYFUNCTION("IF(FILTER('Pivot Table for acq weekly'!S:S,'Pivot Table for acq weekly'!$B:$B=$B50,'Pivot Table for acq weekly'!$A:$A=$A50)/$C50 = 0,"""",FILTER('Pivot Table for acq weekly'!S:S,'Pivot Table for acq weekly'!$B:$B=$B50,'Pivot Table for acq weekly'!$A:$A=$A"&amp;"50)/$C50)"),"#N/A")</f>
        <v>#N/A</v>
      </c>
      <c r="T50" s="58" t="str">
        <f>IFERROR(__xludf.DUMMYFUNCTION("IF(FILTER('Pivot Table for acq weekly'!T:T,'Pivot Table for acq weekly'!$B:$B=$B50,'Pivot Table for acq weekly'!$A:$A=$A50)/$C50 = 0,"""",FILTER('Pivot Table for acq weekly'!T:T,'Pivot Table for acq weekly'!$B:$B=$B50,'Pivot Table for acq weekly'!$A:$A=$A"&amp;"50)/$C50)"),"#N/A")</f>
        <v>#N/A</v>
      </c>
      <c r="U50" s="58" t="str">
        <f>IFERROR(__xludf.DUMMYFUNCTION("IF(FILTER('Pivot Table for acq weekly'!U:U,'Pivot Table for acq weekly'!$B:$B=$B50,'Pivot Table for acq weekly'!$A:$A=$A50)/$C50 = 0,"""",FILTER('Pivot Table for acq weekly'!U:U,'Pivot Table for acq weekly'!$B:$B=$B50,'Pivot Table for acq weekly'!$A:$A=$A"&amp;"50)/$C50)"),"#N/A")</f>
        <v>#N/A</v>
      </c>
      <c r="V50" s="58" t="str">
        <f>IFERROR(__xludf.DUMMYFUNCTION("IF(FILTER('Pivot Table for acq weekly'!V:V,'Pivot Table for acq weekly'!$B:$B=$B50,'Pivot Table for acq weekly'!$A:$A=$A50)/$C50 = 0,"""",FILTER('Pivot Table for acq weekly'!V:V,'Pivot Table for acq weekly'!$B:$B=$B50,'Pivot Table for acq weekly'!$A:$A=$A"&amp;"50)/$C50)"),"#N/A")</f>
        <v>#N/A</v>
      </c>
      <c r="W50" s="58" t="str">
        <f>IFERROR(__xludf.DUMMYFUNCTION("IF(FILTER('Pivot Table for acq weekly'!W:W,'Pivot Table for acq weekly'!$B:$B=$B50,'Pivot Table for acq weekly'!$A:$A=$A50)/$C50 = 0,"""",FILTER('Pivot Table for acq weekly'!W:W,'Pivot Table for acq weekly'!$B:$B=$B50,'Pivot Table for acq weekly'!$A:$A=$A"&amp;"50)/$C50)"),"#N/A")</f>
        <v>#N/A</v>
      </c>
      <c r="X50" s="58" t="str">
        <f>IFERROR(__xludf.DUMMYFUNCTION("IF(FILTER('Pivot Table for acq weekly'!X:X,'Pivot Table for acq weekly'!$B:$B=$B50,'Pivot Table for acq weekly'!$A:$A=$A50)/$C50 = 0,"""",FILTER('Pivot Table for acq weekly'!X:X,'Pivot Table for acq weekly'!$B:$B=$B50,'Pivot Table for acq weekly'!$A:$A=$A"&amp;"50)/$C50)"),"#N/A")</f>
        <v>#N/A</v>
      </c>
      <c r="Y50" s="58" t="str">
        <f>IFERROR(__xludf.DUMMYFUNCTION("IF(FILTER('Pivot Table for acq weekly'!Y:Y,'Pivot Table for acq weekly'!$B:$B=$B50,'Pivot Table for acq weekly'!$A:$A=$A50)/$C50 = 0,"""",FILTER('Pivot Table for acq weekly'!Y:Y,'Pivot Table for acq weekly'!$B:$B=$B50,'Pivot Table for acq weekly'!$A:$A=$A"&amp;"50)/$C50)"),"#N/A")</f>
        <v>#N/A</v>
      </c>
    </row>
    <row r="51" hidden="1">
      <c r="A51" s="56">
        <v>10.0</v>
      </c>
      <c r="B51" s="30">
        <v>43275.0</v>
      </c>
      <c r="C51" s="57" t="str">
        <f>IFERROR(__xludf.DUMMYFUNCTION("FILTER('Pivot Table for acq weekly'!C:C,'Pivot Table for acq weekly'!$B:$B=$B51,'Pivot Table for acq weekly'!$A:$A=$A51)"),"#N/A")</f>
        <v>#N/A</v>
      </c>
      <c r="D51" s="58" t="str">
        <f>IFERROR(__xludf.DUMMYFUNCTION("IF(FILTER('Pivot Table for acq weekly'!D:D,'Pivot Table for acq weekly'!$B:$B=$B51,'Pivot Table for acq weekly'!$A:$A=$A51)/$C51 = 0,"""",FILTER('Pivot Table for acq weekly'!D:D,'Pivot Table for acq weekly'!$B:$B=$B51,'Pivot Table for acq weekly'!$A:$A=$A"&amp;"51)/$C51)"),"#N/A")</f>
        <v>#N/A</v>
      </c>
      <c r="E51" s="58" t="str">
        <f>IFERROR(__xludf.DUMMYFUNCTION("IF(FILTER('Pivot Table for acq weekly'!E:E,'Pivot Table for acq weekly'!$B:$B=$B51,'Pivot Table for acq weekly'!$A:$A=$A51)/$C51 = 0,"""",FILTER('Pivot Table for acq weekly'!E:E,'Pivot Table for acq weekly'!$B:$B=$B51,'Pivot Table for acq weekly'!$A:$A=$A"&amp;"51)/$C51)"),"#N/A")</f>
        <v>#N/A</v>
      </c>
      <c r="F51" s="58" t="str">
        <f>IFERROR(__xludf.DUMMYFUNCTION("IF(FILTER('Pivot Table for acq weekly'!F:F,'Pivot Table for acq weekly'!$B:$B=$B51,'Pivot Table for acq weekly'!$A:$A=$A51)/$C51 = 0,"""",FILTER('Pivot Table for acq weekly'!F:F,'Pivot Table for acq weekly'!$B:$B=$B51,'Pivot Table for acq weekly'!$A:$A=$A"&amp;"51)/$C51)"),"#N/A")</f>
        <v>#N/A</v>
      </c>
      <c r="G51" s="58" t="str">
        <f>IFERROR(__xludf.DUMMYFUNCTION("IF(FILTER('Pivot Table for acq weekly'!G:G,'Pivot Table for acq weekly'!$B:$B=$B51,'Pivot Table for acq weekly'!$A:$A=$A51)/$C51 = 0,"""",FILTER('Pivot Table for acq weekly'!G:G,'Pivot Table for acq weekly'!$B:$B=$B51,'Pivot Table for acq weekly'!$A:$A=$A"&amp;"51)/$C51)"),"#N/A")</f>
        <v>#N/A</v>
      </c>
      <c r="H51" s="58" t="str">
        <f>IFERROR(__xludf.DUMMYFUNCTION("IF(FILTER('Pivot Table for acq weekly'!H:H,'Pivot Table for acq weekly'!$B:$B=$B51,'Pivot Table for acq weekly'!$A:$A=$A51)/$C51 = 0,"""",FILTER('Pivot Table for acq weekly'!H:H,'Pivot Table for acq weekly'!$B:$B=$B51,'Pivot Table for acq weekly'!$A:$A=$A"&amp;"51)/$C51)"),"#N/A")</f>
        <v>#N/A</v>
      </c>
      <c r="I51" s="58" t="str">
        <f>IFERROR(__xludf.DUMMYFUNCTION("IF(FILTER('Pivot Table for acq weekly'!I:I,'Pivot Table for acq weekly'!$B:$B=$B51,'Pivot Table for acq weekly'!$A:$A=$A51)/$C51 = 0,"""",FILTER('Pivot Table for acq weekly'!I:I,'Pivot Table for acq weekly'!$B:$B=$B51,'Pivot Table for acq weekly'!$A:$A=$A"&amp;"51)/$C51)"),"#N/A")</f>
        <v>#N/A</v>
      </c>
      <c r="J51" s="58" t="str">
        <f>IFERROR(__xludf.DUMMYFUNCTION("IF(FILTER('Pivot Table for acq weekly'!J:J,'Pivot Table for acq weekly'!$B:$B=$B51,'Pivot Table for acq weekly'!$A:$A=$A51)/$C51 = 0,"""",FILTER('Pivot Table for acq weekly'!J:J,'Pivot Table for acq weekly'!$B:$B=$B51,'Pivot Table for acq weekly'!$A:$A=$A"&amp;"51)/$C51)"),"#N/A")</f>
        <v>#N/A</v>
      </c>
      <c r="K51" s="58" t="str">
        <f>IFERROR(__xludf.DUMMYFUNCTION("IF(FILTER('Pivot Table for acq weekly'!K:K,'Pivot Table for acq weekly'!$B:$B=$B51,'Pivot Table for acq weekly'!$A:$A=$A51)/$C51 = 0,"""",FILTER('Pivot Table for acq weekly'!K:K,'Pivot Table for acq weekly'!$B:$B=$B51,'Pivot Table for acq weekly'!$A:$A=$A"&amp;"51)/$C51)"),"#N/A")</f>
        <v>#N/A</v>
      </c>
      <c r="L51" s="58" t="str">
        <f>IFERROR(__xludf.DUMMYFUNCTION("IF(FILTER('Pivot Table for acq weekly'!L:L,'Pivot Table for acq weekly'!$B:$B=$B51,'Pivot Table for acq weekly'!$A:$A=$A51)/$C51 = 0,"""",FILTER('Pivot Table for acq weekly'!L:L,'Pivot Table for acq weekly'!$B:$B=$B51,'Pivot Table for acq weekly'!$A:$A=$A"&amp;"51)/$C51)"),"#N/A")</f>
        <v>#N/A</v>
      </c>
      <c r="M51" s="58" t="str">
        <f>IFERROR(__xludf.DUMMYFUNCTION("IF(FILTER('Pivot Table for acq weekly'!M:M,'Pivot Table for acq weekly'!$B:$B=$B51,'Pivot Table for acq weekly'!$A:$A=$A51)/$C51 = 0,"""",FILTER('Pivot Table for acq weekly'!M:M,'Pivot Table for acq weekly'!$B:$B=$B51,'Pivot Table for acq weekly'!$A:$A=$A"&amp;"51)/$C51)"),"#N/A")</f>
        <v>#N/A</v>
      </c>
      <c r="N51" s="58" t="str">
        <f>IFERROR(__xludf.DUMMYFUNCTION("IF(FILTER('Pivot Table for acq weekly'!N:N,'Pivot Table for acq weekly'!$B:$B=$B51,'Pivot Table for acq weekly'!$A:$A=$A51)/$C51 = 0,"""",FILTER('Pivot Table for acq weekly'!N:N,'Pivot Table for acq weekly'!$B:$B=$B51,'Pivot Table for acq weekly'!$A:$A=$A"&amp;"51)/$C51)"),"#N/A")</f>
        <v>#N/A</v>
      </c>
      <c r="O51" s="58" t="str">
        <f>IFERROR(__xludf.DUMMYFUNCTION("IF(FILTER('Pivot Table for acq weekly'!O:O,'Pivot Table for acq weekly'!$B:$B=$B51,'Pivot Table for acq weekly'!$A:$A=$A51)/$C51 = 0,"""",FILTER('Pivot Table for acq weekly'!O:O,'Pivot Table for acq weekly'!$B:$B=$B51,'Pivot Table for acq weekly'!$A:$A=$A"&amp;"51)/$C51)"),"#N/A")</f>
        <v>#N/A</v>
      </c>
      <c r="P51" s="58" t="str">
        <f>IFERROR(__xludf.DUMMYFUNCTION("IF(FILTER('Pivot Table for acq weekly'!P:P,'Pivot Table for acq weekly'!$B:$B=$B51,'Pivot Table for acq weekly'!$A:$A=$A51)/$C51 = 0,"""",FILTER('Pivot Table for acq weekly'!P:P,'Pivot Table for acq weekly'!$B:$B=$B51,'Pivot Table for acq weekly'!$A:$A=$A"&amp;"51)/$C51)"),"#N/A")</f>
        <v>#N/A</v>
      </c>
      <c r="Q51" s="58" t="str">
        <f>IFERROR(__xludf.DUMMYFUNCTION("IF(FILTER('Pivot Table for acq weekly'!Q:Q,'Pivot Table for acq weekly'!$B:$B=$B51,'Pivot Table for acq weekly'!$A:$A=$A51)/$C51 = 0,"""",FILTER('Pivot Table for acq weekly'!Q:Q,'Pivot Table for acq weekly'!$B:$B=$B51,'Pivot Table for acq weekly'!$A:$A=$A"&amp;"51)/$C51)"),"#N/A")</f>
        <v>#N/A</v>
      </c>
      <c r="R51" s="58" t="str">
        <f>IFERROR(__xludf.DUMMYFUNCTION("IF(FILTER('Pivot Table for acq weekly'!R:R,'Pivot Table for acq weekly'!$B:$B=$B51,'Pivot Table for acq weekly'!$A:$A=$A51)/$C51 = 0,"""",FILTER('Pivot Table for acq weekly'!R:R,'Pivot Table for acq weekly'!$B:$B=$B51,'Pivot Table for acq weekly'!$A:$A=$A"&amp;"51)/$C51)"),"#N/A")</f>
        <v>#N/A</v>
      </c>
      <c r="S51" s="58" t="str">
        <f>IFERROR(__xludf.DUMMYFUNCTION("IF(FILTER('Pivot Table for acq weekly'!S:S,'Pivot Table for acq weekly'!$B:$B=$B51,'Pivot Table for acq weekly'!$A:$A=$A51)/$C51 = 0,"""",FILTER('Pivot Table for acq weekly'!S:S,'Pivot Table for acq weekly'!$B:$B=$B51,'Pivot Table for acq weekly'!$A:$A=$A"&amp;"51)/$C51)"),"#N/A")</f>
        <v>#N/A</v>
      </c>
      <c r="T51" s="58" t="str">
        <f>IFERROR(__xludf.DUMMYFUNCTION("IF(FILTER('Pivot Table for acq weekly'!T:T,'Pivot Table for acq weekly'!$B:$B=$B51,'Pivot Table for acq weekly'!$A:$A=$A51)/$C51 = 0,"""",FILTER('Pivot Table for acq weekly'!T:T,'Pivot Table for acq weekly'!$B:$B=$B51,'Pivot Table for acq weekly'!$A:$A=$A"&amp;"51)/$C51)"),"#N/A")</f>
        <v>#N/A</v>
      </c>
      <c r="U51" s="58" t="str">
        <f>IFERROR(__xludf.DUMMYFUNCTION("IF(FILTER('Pivot Table for acq weekly'!U:U,'Pivot Table for acq weekly'!$B:$B=$B51,'Pivot Table for acq weekly'!$A:$A=$A51)/$C51 = 0,"""",FILTER('Pivot Table for acq weekly'!U:U,'Pivot Table for acq weekly'!$B:$B=$B51,'Pivot Table for acq weekly'!$A:$A=$A"&amp;"51)/$C51)"),"#N/A")</f>
        <v>#N/A</v>
      </c>
      <c r="V51" s="58" t="str">
        <f>IFERROR(__xludf.DUMMYFUNCTION("IF(FILTER('Pivot Table for acq weekly'!V:V,'Pivot Table for acq weekly'!$B:$B=$B51,'Pivot Table for acq weekly'!$A:$A=$A51)/$C51 = 0,"""",FILTER('Pivot Table for acq weekly'!V:V,'Pivot Table for acq weekly'!$B:$B=$B51,'Pivot Table for acq weekly'!$A:$A=$A"&amp;"51)/$C51)"),"#N/A")</f>
        <v>#N/A</v>
      </c>
      <c r="W51" s="58" t="str">
        <f>IFERROR(__xludf.DUMMYFUNCTION("IF(FILTER('Pivot Table for acq weekly'!W:W,'Pivot Table for acq weekly'!$B:$B=$B51,'Pivot Table for acq weekly'!$A:$A=$A51)/$C51 = 0,"""",FILTER('Pivot Table for acq weekly'!W:W,'Pivot Table for acq weekly'!$B:$B=$B51,'Pivot Table for acq weekly'!$A:$A=$A"&amp;"51)/$C51)"),"#N/A")</f>
        <v>#N/A</v>
      </c>
      <c r="X51" s="58" t="str">
        <f>IFERROR(__xludf.DUMMYFUNCTION("IF(FILTER('Pivot Table for acq weekly'!X:X,'Pivot Table for acq weekly'!$B:$B=$B51,'Pivot Table for acq weekly'!$A:$A=$A51)/$C51 = 0,"""",FILTER('Pivot Table for acq weekly'!X:X,'Pivot Table for acq weekly'!$B:$B=$B51,'Pivot Table for acq weekly'!$A:$A=$A"&amp;"51)/$C51)"),"#N/A")</f>
        <v>#N/A</v>
      </c>
      <c r="Y51" s="58" t="str">
        <f>IFERROR(__xludf.DUMMYFUNCTION("IF(FILTER('Pivot Table for acq weekly'!Y:Y,'Pivot Table for acq weekly'!$B:$B=$B51,'Pivot Table for acq weekly'!$A:$A=$A51)/$C51 = 0,"""",FILTER('Pivot Table for acq weekly'!Y:Y,'Pivot Table for acq weekly'!$B:$B=$B51,'Pivot Table for acq weekly'!$A:$A=$A"&amp;"51)/$C51)"),"#N/A")</f>
        <v>#N/A</v>
      </c>
    </row>
    <row r="52" hidden="1">
      <c r="A52" s="56">
        <v>10.0</v>
      </c>
      <c r="B52" s="30">
        <v>43282.0</v>
      </c>
      <c r="C52" s="57" t="str">
        <f>IFERROR(__xludf.DUMMYFUNCTION("FILTER('Pivot Table for acq weekly'!C:C,'Pivot Table for acq weekly'!$B:$B=$B52,'Pivot Table for acq weekly'!$A:$A=$A52)"),"#N/A")</f>
        <v>#N/A</v>
      </c>
      <c r="D52" s="58" t="str">
        <f>IFERROR(__xludf.DUMMYFUNCTION("IF(FILTER('Pivot Table for acq weekly'!D:D,'Pivot Table for acq weekly'!$B:$B=$B52,'Pivot Table for acq weekly'!$A:$A=$A52)/$C52 = 0,"""",FILTER('Pivot Table for acq weekly'!D:D,'Pivot Table for acq weekly'!$B:$B=$B52,'Pivot Table for acq weekly'!$A:$A=$A"&amp;"52)/$C52)"),"#N/A")</f>
        <v>#N/A</v>
      </c>
      <c r="E52" s="58" t="str">
        <f>IFERROR(__xludf.DUMMYFUNCTION("IF(FILTER('Pivot Table for acq weekly'!E:E,'Pivot Table for acq weekly'!$B:$B=$B52,'Pivot Table for acq weekly'!$A:$A=$A52)/$C52 = 0,"""",FILTER('Pivot Table for acq weekly'!E:E,'Pivot Table for acq weekly'!$B:$B=$B52,'Pivot Table for acq weekly'!$A:$A=$A"&amp;"52)/$C52)"),"#N/A")</f>
        <v>#N/A</v>
      </c>
      <c r="F52" s="58" t="str">
        <f>IFERROR(__xludf.DUMMYFUNCTION("IF(FILTER('Pivot Table for acq weekly'!F:F,'Pivot Table for acq weekly'!$B:$B=$B52,'Pivot Table for acq weekly'!$A:$A=$A52)/$C52 = 0,"""",FILTER('Pivot Table for acq weekly'!F:F,'Pivot Table for acq weekly'!$B:$B=$B52,'Pivot Table for acq weekly'!$A:$A=$A"&amp;"52)/$C52)"),"#N/A")</f>
        <v>#N/A</v>
      </c>
      <c r="G52" s="58" t="str">
        <f>IFERROR(__xludf.DUMMYFUNCTION("IF(FILTER('Pivot Table for acq weekly'!G:G,'Pivot Table for acq weekly'!$B:$B=$B52,'Pivot Table for acq weekly'!$A:$A=$A52)/$C52 = 0,"""",FILTER('Pivot Table for acq weekly'!G:G,'Pivot Table for acq weekly'!$B:$B=$B52,'Pivot Table for acq weekly'!$A:$A=$A"&amp;"52)/$C52)"),"#N/A")</f>
        <v>#N/A</v>
      </c>
      <c r="H52" s="58" t="str">
        <f>IFERROR(__xludf.DUMMYFUNCTION("IF(FILTER('Pivot Table for acq weekly'!H:H,'Pivot Table for acq weekly'!$B:$B=$B52,'Pivot Table for acq weekly'!$A:$A=$A52)/$C52 = 0,"""",FILTER('Pivot Table for acq weekly'!H:H,'Pivot Table for acq weekly'!$B:$B=$B52,'Pivot Table for acq weekly'!$A:$A=$A"&amp;"52)/$C52)"),"#N/A")</f>
        <v>#N/A</v>
      </c>
      <c r="I52" s="58" t="str">
        <f>IFERROR(__xludf.DUMMYFUNCTION("IF(FILTER('Pivot Table for acq weekly'!I:I,'Pivot Table for acq weekly'!$B:$B=$B52,'Pivot Table for acq weekly'!$A:$A=$A52)/$C52 = 0,"""",FILTER('Pivot Table for acq weekly'!I:I,'Pivot Table for acq weekly'!$B:$B=$B52,'Pivot Table for acq weekly'!$A:$A=$A"&amp;"52)/$C52)"),"#N/A")</f>
        <v>#N/A</v>
      </c>
      <c r="J52" s="58" t="str">
        <f>IFERROR(__xludf.DUMMYFUNCTION("IF(FILTER('Pivot Table for acq weekly'!J:J,'Pivot Table for acq weekly'!$B:$B=$B52,'Pivot Table for acq weekly'!$A:$A=$A52)/$C52 = 0,"""",FILTER('Pivot Table for acq weekly'!J:J,'Pivot Table for acq weekly'!$B:$B=$B52,'Pivot Table for acq weekly'!$A:$A=$A"&amp;"52)/$C52)"),"#N/A")</f>
        <v>#N/A</v>
      </c>
      <c r="K52" s="58" t="str">
        <f>IFERROR(__xludf.DUMMYFUNCTION("IF(FILTER('Pivot Table for acq weekly'!K:K,'Pivot Table for acq weekly'!$B:$B=$B52,'Pivot Table for acq weekly'!$A:$A=$A52)/$C52 = 0,"""",FILTER('Pivot Table for acq weekly'!K:K,'Pivot Table for acq weekly'!$B:$B=$B52,'Pivot Table for acq weekly'!$A:$A=$A"&amp;"52)/$C52)"),"#N/A")</f>
        <v>#N/A</v>
      </c>
      <c r="L52" s="58" t="str">
        <f>IFERROR(__xludf.DUMMYFUNCTION("IF(FILTER('Pivot Table for acq weekly'!L:L,'Pivot Table for acq weekly'!$B:$B=$B52,'Pivot Table for acq weekly'!$A:$A=$A52)/$C52 = 0,"""",FILTER('Pivot Table for acq weekly'!L:L,'Pivot Table for acq weekly'!$B:$B=$B52,'Pivot Table for acq weekly'!$A:$A=$A"&amp;"52)/$C52)"),"#N/A")</f>
        <v>#N/A</v>
      </c>
      <c r="M52" s="58" t="str">
        <f>IFERROR(__xludf.DUMMYFUNCTION("IF(FILTER('Pivot Table for acq weekly'!M:M,'Pivot Table for acq weekly'!$B:$B=$B52,'Pivot Table for acq weekly'!$A:$A=$A52)/$C52 = 0,"""",FILTER('Pivot Table for acq weekly'!M:M,'Pivot Table for acq weekly'!$B:$B=$B52,'Pivot Table for acq weekly'!$A:$A=$A"&amp;"52)/$C52)"),"#N/A")</f>
        <v>#N/A</v>
      </c>
      <c r="N52" s="58" t="str">
        <f>IFERROR(__xludf.DUMMYFUNCTION("IF(FILTER('Pivot Table for acq weekly'!N:N,'Pivot Table for acq weekly'!$B:$B=$B52,'Pivot Table for acq weekly'!$A:$A=$A52)/$C52 = 0,"""",FILTER('Pivot Table for acq weekly'!N:N,'Pivot Table for acq weekly'!$B:$B=$B52,'Pivot Table for acq weekly'!$A:$A=$A"&amp;"52)/$C52)"),"#N/A")</f>
        <v>#N/A</v>
      </c>
      <c r="O52" s="58" t="str">
        <f>IFERROR(__xludf.DUMMYFUNCTION("IF(FILTER('Pivot Table for acq weekly'!O:O,'Pivot Table for acq weekly'!$B:$B=$B52,'Pivot Table for acq weekly'!$A:$A=$A52)/$C52 = 0,"""",FILTER('Pivot Table for acq weekly'!O:O,'Pivot Table for acq weekly'!$B:$B=$B52,'Pivot Table for acq weekly'!$A:$A=$A"&amp;"52)/$C52)"),"#N/A")</f>
        <v>#N/A</v>
      </c>
      <c r="P52" s="58" t="str">
        <f>IFERROR(__xludf.DUMMYFUNCTION("IF(FILTER('Pivot Table for acq weekly'!P:P,'Pivot Table for acq weekly'!$B:$B=$B52,'Pivot Table for acq weekly'!$A:$A=$A52)/$C52 = 0,"""",FILTER('Pivot Table for acq weekly'!P:P,'Pivot Table for acq weekly'!$B:$B=$B52,'Pivot Table for acq weekly'!$A:$A=$A"&amp;"52)/$C52)"),"#N/A")</f>
        <v>#N/A</v>
      </c>
      <c r="Q52" s="58" t="str">
        <f>IFERROR(__xludf.DUMMYFUNCTION("IF(FILTER('Pivot Table for acq weekly'!Q:Q,'Pivot Table for acq weekly'!$B:$B=$B52,'Pivot Table for acq weekly'!$A:$A=$A52)/$C52 = 0,"""",FILTER('Pivot Table for acq weekly'!Q:Q,'Pivot Table for acq weekly'!$B:$B=$B52,'Pivot Table for acq weekly'!$A:$A=$A"&amp;"52)/$C52)"),"#N/A")</f>
        <v>#N/A</v>
      </c>
      <c r="R52" s="58" t="str">
        <f>IFERROR(__xludf.DUMMYFUNCTION("IF(FILTER('Pivot Table for acq weekly'!R:R,'Pivot Table for acq weekly'!$B:$B=$B52,'Pivot Table for acq weekly'!$A:$A=$A52)/$C52 = 0,"""",FILTER('Pivot Table for acq weekly'!R:R,'Pivot Table for acq weekly'!$B:$B=$B52,'Pivot Table for acq weekly'!$A:$A=$A"&amp;"52)/$C52)"),"#N/A")</f>
        <v>#N/A</v>
      </c>
      <c r="S52" s="58" t="str">
        <f>IFERROR(__xludf.DUMMYFUNCTION("IF(FILTER('Pivot Table for acq weekly'!S:S,'Pivot Table for acq weekly'!$B:$B=$B52,'Pivot Table for acq weekly'!$A:$A=$A52)/$C52 = 0,"""",FILTER('Pivot Table for acq weekly'!S:S,'Pivot Table for acq weekly'!$B:$B=$B52,'Pivot Table for acq weekly'!$A:$A=$A"&amp;"52)/$C52)"),"#N/A")</f>
        <v>#N/A</v>
      </c>
      <c r="T52" s="58" t="str">
        <f>IFERROR(__xludf.DUMMYFUNCTION("IF(FILTER('Pivot Table for acq weekly'!T:T,'Pivot Table for acq weekly'!$B:$B=$B52,'Pivot Table for acq weekly'!$A:$A=$A52)/$C52 = 0,"""",FILTER('Pivot Table for acq weekly'!T:T,'Pivot Table for acq weekly'!$B:$B=$B52,'Pivot Table for acq weekly'!$A:$A=$A"&amp;"52)/$C52)"),"#N/A")</f>
        <v>#N/A</v>
      </c>
      <c r="U52" s="58" t="str">
        <f>IFERROR(__xludf.DUMMYFUNCTION("IF(FILTER('Pivot Table for acq weekly'!U:U,'Pivot Table for acq weekly'!$B:$B=$B52,'Pivot Table for acq weekly'!$A:$A=$A52)/$C52 = 0,"""",FILTER('Pivot Table for acq weekly'!U:U,'Pivot Table for acq weekly'!$B:$B=$B52,'Pivot Table for acq weekly'!$A:$A=$A"&amp;"52)/$C52)"),"#N/A")</f>
        <v>#N/A</v>
      </c>
      <c r="V52" s="58" t="str">
        <f>IFERROR(__xludf.DUMMYFUNCTION("IF(FILTER('Pivot Table for acq weekly'!V:V,'Pivot Table for acq weekly'!$B:$B=$B52,'Pivot Table for acq weekly'!$A:$A=$A52)/$C52 = 0,"""",FILTER('Pivot Table for acq weekly'!V:V,'Pivot Table for acq weekly'!$B:$B=$B52,'Pivot Table for acq weekly'!$A:$A=$A"&amp;"52)/$C52)"),"#N/A")</f>
        <v>#N/A</v>
      </c>
      <c r="W52" s="58" t="str">
        <f>IFERROR(__xludf.DUMMYFUNCTION("IF(FILTER('Pivot Table for acq weekly'!W:W,'Pivot Table for acq weekly'!$B:$B=$B52,'Pivot Table for acq weekly'!$A:$A=$A52)/$C52 = 0,"""",FILTER('Pivot Table for acq weekly'!W:W,'Pivot Table for acq weekly'!$B:$B=$B52,'Pivot Table for acq weekly'!$A:$A=$A"&amp;"52)/$C52)"),"#N/A")</f>
        <v>#N/A</v>
      </c>
      <c r="X52" s="58" t="str">
        <f>IFERROR(__xludf.DUMMYFUNCTION("IF(FILTER('Pivot Table for acq weekly'!X:X,'Pivot Table for acq weekly'!$B:$B=$B52,'Pivot Table for acq weekly'!$A:$A=$A52)/$C52 = 0,"""",FILTER('Pivot Table for acq weekly'!X:X,'Pivot Table for acq weekly'!$B:$B=$B52,'Pivot Table for acq weekly'!$A:$A=$A"&amp;"52)/$C52)"),"#N/A")</f>
        <v>#N/A</v>
      </c>
      <c r="Y52" s="58" t="str">
        <f>IFERROR(__xludf.DUMMYFUNCTION("IF(FILTER('Pivot Table for acq weekly'!Y:Y,'Pivot Table for acq weekly'!$B:$B=$B52,'Pivot Table for acq weekly'!$A:$A=$A52)/$C52 = 0,"""",FILTER('Pivot Table for acq weekly'!Y:Y,'Pivot Table for acq weekly'!$B:$B=$B52,'Pivot Table for acq weekly'!$A:$A=$A"&amp;"52)/$C52)"),"#N/A")</f>
        <v>#N/A</v>
      </c>
    </row>
    <row r="56">
      <c r="A56" s="61" t="s">
        <v>29</v>
      </c>
      <c r="B56" s="1" t="s">
        <v>12</v>
      </c>
      <c r="C56" s="62" t="s">
        <v>53</v>
      </c>
      <c r="D56" s="1" t="s">
        <v>54</v>
      </c>
      <c r="E56" t="s">
        <v>55</v>
      </c>
      <c r="F56" t="s">
        <v>56</v>
      </c>
      <c r="G56" t="s">
        <v>57</v>
      </c>
      <c r="H56" t="s">
        <v>58</v>
      </c>
      <c r="I56" t="s">
        <v>59</v>
      </c>
      <c r="J56" t="s">
        <v>60</v>
      </c>
      <c r="K56" t="s">
        <v>61</v>
      </c>
      <c r="L56" t="s">
        <v>62</v>
      </c>
      <c r="M56" t="s">
        <v>63</v>
      </c>
      <c r="N56" t="s">
        <v>64</v>
      </c>
      <c r="O56" t="s">
        <v>65</v>
      </c>
      <c r="P56" t="s">
        <v>66</v>
      </c>
      <c r="Q56" t="s">
        <v>67</v>
      </c>
      <c r="R56" t="s">
        <v>68</v>
      </c>
      <c r="S56" t="s">
        <v>69</v>
      </c>
      <c r="T56" t="s">
        <v>70</v>
      </c>
      <c r="U56" t="s">
        <v>71</v>
      </c>
      <c r="V56" t="s">
        <v>72</v>
      </c>
      <c r="W56" t="s">
        <v>73</v>
      </c>
      <c r="X56" t="s">
        <v>74</v>
      </c>
      <c r="Y56" t="s">
        <v>75</v>
      </c>
      <c r="Z56" t="s">
        <v>76</v>
      </c>
    </row>
    <row r="57">
      <c r="A57" s="1">
        <v>2.0</v>
      </c>
      <c r="B57">
        <f>SUM(C8:C12)</f>
        <v>17964</v>
      </c>
      <c r="C57" s="62" t="s">
        <v>49</v>
      </c>
      <c r="D57" s="14">
        <f t="shared" ref="D57:D60" si="2">B57/B57</f>
        <v>1</v>
      </c>
      <c r="E57" s="14">
        <f>IFERROR(__xludf.DUMMYFUNCTION("IF(FILTER('Pivot Table for acq weekly'!D:D,'Pivot Table for acq weekly'!$A:$A=$A57)/$B57 = 0,"""",FILTER('Pivot Table for acq weekly'!D:D,'Pivot Table for acq weekly'!$A:$A=$A57)/$B57)"),0.0015586729013582722)</f>
        <v>0.001558672901</v>
      </c>
      <c r="F57" s="14">
        <f>IFERROR(__xludf.DUMMYFUNCTION("IF(FILTER('Pivot Table for acq weekly'!E:E,'Pivot Table for acq weekly'!$A:$A=$A57)/$B57 = 0,"""",FILTER('Pivot Table for acq weekly'!E:E,'Pivot Table for acq weekly'!$A:$A=$A57)/$B57)"),0.0013360053440213762)</f>
        <v>0.001336005344</v>
      </c>
      <c r="G57" s="14">
        <f>IFERROR(__xludf.DUMMYFUNCTION("IF(FILTER('Pivot Table for acq weekly'!F:F,'Pivot Table for acq weekly'!$A:$A=$A57)/$B57 = 0,"""",FILTER('Pivot Table for acq weekly'!F:F,'Pivot Table for acq weekly'!$A:$A=$A57)/$B57)"),0.0030616789133823203)</f>
        <v>0.003061678913</v>
      </c>
      <c r="H57" s="14">
        <f>IFERROR(__xludf.DUMMYFUNCTION("IF(FILTER('Pivot Table for acq weekly'!G:G,'Pivot Table for acq weekly'!$A:$A=$A57)/$B57 = 0,"""",FILTER('Pivot Table for acq weekly'!G:G,'Pivot Table for acq weekly'!$A:$A=$A57)/$B57)"),0.0047873524827432646)</f>
        <v>0.004787352483</v>
      </c>
      <c r="I57" s="14">
        <f>IFERROR(__xludf.DUMMYFUNCTION("IF(FILTER('Pivot Table for acq weekly'!H:H,'Pivot Table for acq weekly'!$A:$A=$A57)/$B57 = 0,"""",FILTER('Pivot Table for acq weekly'!H:H,'Pivot Table for acq weekly'!$A:$A=$A57)/$B57)"),0.02349142729904253)</f>
        <v>0.0234914273</v>
      </c>
      <c r="J57" s="14">
        <f>IFERROR(__xludf.DUMMYFUNCTION("IF(FILTER('Pivot Table for acq weekly'!I:I,'Pivot Table for acq weekly'!$A:$A=$A57)/$B57 = 0,"""",FILTER('Pivot Table for acq weekly'!I:I,'Pivot Table for acq weekly'!$A:$A=$A57)/$B57)"),0.0027833444667112)</f>
        <v>0.002783344467</v>
      </c>
      <c r="K57" s="14">
        <f>IFERROR(__xludf.DUMMYFUNCTION("IF(FILTER('Pivot Table for acq weekly'!J:J,'Pivot Table for acq weekly'!$A:$A=$A57)/$B57 = 0,"""",FILTER('Pivot Table for acq weekly'!J:J,'Pivot Table for acq weekly'!$A:$A=$A57)/$B57)"),0.0031173458027165444)</f>
        <v>0.003117345803</v>
      </c>
      <c r="L57" s="14">
        <f>IFERROR(__xludf.DUMMYFUNCTION("IF(FILTER('Pivot Table for acq weekly'!K:K,'Pivot Table for acq weekly'!$A:$A=$A57)/$B57 = 0,"""",FILTER('Pivot Table for acq weekly'!K:K,'Pivot Table for acq weekly'!$A:$A=$A57)/$B57)"),0.0052326875974170566)</f>
        <v>0.005232687597</v>
      </c>
      <c r="M57" s="14">
        <f>IFERROR(__xludf.DUMMYFUNCTION("IF(FILTER('Pivot Table for acq weekly'!L:L,'Pivot Table for acq weekly'!$A:$A=$A57)/$B57 = 0,"""",FILTER('Pivot Table for acq weekly'!L:L,'Pivot Table for acq weekly'!$A:$A=$A57)/$B57)"),0.016087731017590735)</f>
        <v>0.01608773102</v>
      </c>
      <c r="N57" s="14">
        <f>IFERROR(__xludf.DUMMYFUNCTION("IF(FILTER('Pivot Table for acq weekly'!M:M,'Pivot Table for acq weekly'!$A:$A=$A57)/$B57 = 0,"""",FILTER('Pivot Table for acq weekly'!M:M,'Pivot Table for acq weekly'!$A:$A=$A57)/$B57)"),0.004119349810732576)</f>
        <v>0.004119349811</v>
      </c>
      <c r="O57" s="14">
        <f>IFERROR(__xludf.DUMMYFUNCTION("IF(FILTER('Pivot Table for acq weekly'!N:N,'Pivot Table for acq weekly'!$A:$A=$A57)/$B57 = 0,"""",FILTER('Pivot Table for acq weekly'!N:N,'Pivot Table for acq weekly'!$A:$A=$A57)/$B57)"),0.0031173458027165444)</f>
        <v>0.003117345803</v>
      </c>
      <c r="P57" s="14">
        <f>IFERROR(__xludf.DUMMYFUNCTION("IF(FILTER('Pivot Table for acq weekly'!O:O,'Pivot Table for acq weekly'!$A:$A=$A57)/$B57 = 0,"""",FILTER('Pivot Table for acq weekly'!O:O,'Pivot Table for acq weekly'!$A:$A=$A57)/$B57)"),0.004119349810732576)</f>
        <v>0.004119349811</v>
      </c>
      <c r="Q57" s="14">
        <f>IFERROR(__xludf.DUMMYFUNCTION("IF(FILTER('Pivot Table for acq weekly'!P:P,'Pivot Table for acq weekly'!$A:$A=$A57)/$B57 = 0,"""",FILTER('Pivot Table for acq weekly'!P:P,'Pivot Table for acq weekly'!$A:$A=$A57)/$B57)"),0.006847027388109553)</f>
        <v>0.006847027388</v>
      </c>
      <c r="R57" s="14">
        <f>IFERROR(__xludf.DUMMYFUNCTION("IF(FILTER('Pivot Table for acq weekly'!Q:Q,'Pivot Table for acq weekly'!$A:$A=$A57)/$B57 = 0,"""",FILTER('Pivot Table for acq weekly'!Q:Q,'Pivot Table for acq weekly'!$A:$A=$A57)/$B57)"),0.0070140280561122245)</f>
        <v>0.007014028056</v>
      </c>
      <c r="S57" s="14">
        <f>IFERROR(__xludf.DUMMYFUNCTION("IF(FILTER('Pivot Table for acq weekly'!R:R,'Pivot Table for acq weekly'!$A:$A=$A57)/$B57 = 0,"""",FILTER('Pivot Table for acq weekly'!R:R,'Pivot Table for acq weekly'!$A:$A=$A57)/$B57)"),0.0028946782453796484)</f>
        <v>0.002894678245</v>
      </c>
      <c r="T57" s="14">
        <f>IFERROR(__xludf.DUMMYFUNCTION("IF(FILTER('Pivot Table for acq weekly'!S:S,'Pivot Table for acq weekly'!$A:$A=$A57)/$B57 = 0,"""",FILTER('Pivot Table for acq weekly'!S:S,'Pivot Table for acq weekly'!$A:$A=$A57)/$B57)"),0.0033400133600534404)</f>
        <v>0.00334001336</v>
      </c>
      <c r="U57" s="14">
        <f>IFERROR(__xludf.DUMMYFUNCTION("IF(FILTER('Pivot Table for acq weekly'!T:T,'Pivot Table for acq weekly'!$A:$A=$A57)/$B57 = 0,"""",FILTER('Pivot Table for acq weekly'!T:T,'Pivot Table for acq weekly'!$A:$A=$A57)/$B57)"),0.004230683589401024)</f>
        <v>0.004230683589</v>
      </c>
      <c r="V57" s="14">
        <f>IFERROR(__xludf.DUMMYFUNCTION("IF(FILTER('Pivot Table for acq weekly'!U:U,'Pivot Table for acq weekly'!$A:$A=$A57)/$B57 = 0,"""",FILTER('Pivot Table for acq weekly'!U:U,'Pivot Table for acq weekly'!$A:$A=$A57)/$B57)"),0.00862836784680472)</f>
        <v>0.008628367847</v>
      </c>
      <c r="W57" s="14">
        <f>IFERROR(__xludf.DUMMYFUNCTION("IF(FILTER('Pivot Table for acq weekly'!V:V,'Pivot Table for acq weekly'!$A:$A=$A57)/$B57 = 0,"""",FILTER('Pivot Table for acq weekly'!V:V,'Pivot Table for acq weekly'!$A:$A=$A57)/$B57)"),0.003395680249387664)</f>
        <v>0.003395680249</v>
      </c>
      <c r="X57" s="14">
        <f>IFERROR(__xludf.DUMMYFUNCTION("IF(FILTER('Pivot Table for acq weekly'!W:W,'Pivot Table for acq weekly'!$A:$A=$A57)/$B57 = 0,"""",FILTER('Pivot Table for acq weekly'!W:W,'Pivot Table for acq weekly'!$A:$A=$A57)/$B57)"),0.003173012692050768)</f>
        <v>0.003173012692</v>
      </c>
      <c r="Y57" s="14">
        <f>IFERROR(__xludf.DUMMYFUNCTION("IF(FILTER('Pivot Table for acq weekly'!X:X,'Pivot Table for acq weekly'!$A:$A=$A57)/$B57 = 0,"""",FILTER('Pivot Table for acq weekly'!X:X,'Pivot Table for acq weekly'!$A:$A=$A57)/$B57)"),0.004119349810732576)</f>
        <v>0.004119349811</v>
      </c>
      <c r="Z57" s="14">
        <f>IFERROR(__xludf.DUMMYFUNCTION("IF(FILTER('Pivot Table for acq weekly'!Y:Y,'Pivot Table for acq weekly'!$A:$A=$A57)/$B57 = 0,"""",FILTER('Pivot Table for acq weekly'!Y:Y,'Pivot Table for acq weekly'!$A:$A=$A57)/$B57)"),8.350033400133601E-4)</f>
        <v>0.00083500334</v>
      </c>
    </row>
    <row r="58">
      <c r="A58" s="1">
        <v>4.0</v>
      </c>
      <c r="B58">
        <f>SUM(C18:C22)</f>
        <v>3210</v>
      </c>
      <c r="C58" s="62" t="s">
        <v>50</v>
      </c>
      <c r="D58" s="14">
        <f t="shared" si="2"/>
        <v>1</v>
      </c>
      <c r="E58" s="14">
        <f>IFERROR(__xludf.DUMMYFUNCTION("IF(FILTER('Pivot Table for acq weekly'!D:D,'Pivot Table for acq weekly'!$A:$A=$A58)/$B58 = 0,"""",FILTER('Pivot Table for acq weekly'!D:D,'Pivot Table for acq weekly'!$A:$A=$A58)/$B58)"),0.0012461059190031153)</f>
        <v>0.001246105919</v>
      </c>
      <c r="F58" s="14">
        <f>IFERROR(__xludf.DUMMYFUNCTION("IF(FILTER('Pivot Table for acq weekly'!E:E,'Pivot Table for acq weekly'!$A:$A=$A58)/$B58 = 0,"""",FILTER('Pivot Table for acq weekly'!E:E,'Pivot Table for acq weekly'!$A:$A=$A58)/$B58)"),6.230529595015577E-4)</f>
        <v>0.0006230529595</v>
      </c>
      <c r="G58" s="14">
        <f>IFERROR(__xludf.DUMMYFUNCTION("IF(FILTER('Pivot Table for acq weekly'!F:F,'Pivot Table for acq weekly'!$A:$A=$A58)/$B58 = 0,"""",FILTER('Pivot Table for acq weekly'!F:F,'Pivot Table for acq weekly'!$A:$A=$A58)/$B58)"),0.001557632398753894)</f>
        <v>0.001557632399</v>
      </c>
      <c r="H58" s="14">
        <f>IFERROR(__xludf.DUMMYFUNCTION("IF(FILTER('Pivot Table for acq weekly'!G:G,'Pivot Table for acq weekly'!$A:$A=$A58)/$B58 = 0,"""",FILTER('Pivot Table for acq weekly'!G:G,'Pivot Table for acq weekly'!$A:$A=$A58)/$B58)"),0.005607476635514018)</f>
        <v>0.005607476636</v>
      </c>
      <c r="I58" s="14">
        <f>IFERROR(__xludf.DUMMYFUNCTION("IF(FILTER('Pivot Table for acq weekly'!H:H,'Pivot Table for acq weekly'!$A:$A=$A58)/$B58 = 0,"""",FILTER('Pivot Table for acq weekly'!H:H,'Pivot Table for acq weekly'!$A:$A=$A58)/$B58)"),0.013707165109034268)</f>
        <v>0.01370716511</v>
      </c>
      <c r="J58" s="14">
        <f>IFERROR(__xludf.DUMMYFUNCTION("IF(FILTER('Pivot Table for acq weekly'!I:I,'Pivot Table for acq weekly'!$A:$A=$A58)/$B58 = 0,"""",FILTER('Pivot Table for acq weekly'!I:I,'Pivot Table for acq weekly'!$A:$A=$A58)/$B58)"),0.003738317757009346)</f>
        <v>0.003738317757</v>
      </c>
      <c r="K58" s="14">
        <f>IFERROR(__xludf.DUMMYFUNCTION("IF(FILTER('Pivot Table for acq weekly'!J:J,'Pivot Table for acq weekly'!$A:$A=$A58)/$B58 = 0,"""",FILTER('Pivot Table for acq weekly'!J:J,'Pivot Table for acq weekly'!$A:$A=$A58)/$B58)"),0.004361370716510903)</f>
        <v>0.004361370717</v>
      </c>
      <c r="L58" s="14">
        <f>IFERROR(__xludf.DUMMYFUNCTION("IF(FILTER('Pivot Table for acq weekly'!K:K,'Pivot Table for acq weekly'!$A:$A=$A58)/$B58 = 0,"""",FILTER('Pivot Table for acq weekly'!K:K,'Pivot Table for acq weekly'!$A:$A=$A58)/$B58)"),0.004361370716510903)</f>
        <v>0.004361370717</v>
      </c>
      <c r="M58" s="14">
        <f>IFERROR(__xludf.DUMMYFUNCTION("IF(FILTER('Pivot Table for acq weekly'!L:L,'Pivot Table for acq weekly'!$A:$A=$A58)/$B58 = 0,"""",FILTER('Pivot Table for acq weekly'!L:L,'Pivot Table for acq weekly'!$A:$A=$A58)/$B58)"),0.013084112149532711)</f>
        <v>0.01308411215</v>
      </c>
      <c r="N58" s="14">
        <f>IFERROR(__xludf.DUMMYFUNCTION("IF(FILTER('Pivot Table for acq weekly'!M:M,'Pivot Table for acq weekly'!$A:$A=$A58)/$B58 = 0,"""",FILTER('Pivot Table for acq weekly'!M:M,'Pivot Table for acq weekly'!$A:$A=$A58)/$B58)"),0.0021806853582554517)</f>
        <v>0.002180685358</v>
      </c>
      <c r="O58" s="14">
        <f>IFERROR(__xludf.DUMMYFUNCTION("IF(FILTER('Pivot Table for acq weekly'!N:N,'Pivot Table for acq weekly'!$A:$A=$A58)/$B58 = 0,"""",FILTER('Pivot Table for acq weekly'!N:N,'Pivot Table for acq weekly'!$A:$A=$A58)/$B58)"),0.0024922118380062306)</f>
        <v>0.002492211838</v>
      </c>
      <c r="P58" s="14">
        <f>IFERROR(__xludf.DUMMYFUNCTION("IF(FILTER('Pivot Table for acq weekly'!O:O,'Pivot Table for acq weekly'!$A:$A=$A58)/$B58 = 0,"""",FILTER('Pivot Table for acq weekly'!O:O,'Pivot Table for acq weekly'!$A:$A=$A58)/$B58)"),0.004984423676012461)</f>
        <v>0.004984423676</v>
      </c>
      <c r="Q58" s="14">
        <f>IFERROR(__xludf.DUMMYFUNCTION("IF(FILTER('Pivot Table for acq weekly'!P:P,'Pivot Table for acq weekly'!$A:$A=$A58)/$B58 = 0,"""",FILTER('Pivot Table for acq weekly'!P:P,'Pivot Table for acq weekly'!$A:$A=$A58)/$B58)"),0.004984423676012461)</f>
        <v>0.004984423676</v>
      </c>
      <c r="R58" s="14">
        <f>IFERROR(__xludf.DUMMYFUNCTION("IF(FILTER('Pivot Table for acq weekly'!Q:Q,'Pivot Table for acq weekly'!$A:$A=$A58)/$B58 = 0,"""",FILTER('Pivot Table for acq weekly'!Q:Q,'Pivot Table for acq weekly'!$A:$A=$A58)/$B58)"),0.005919003115264798)</f>
        <v>0.005919003115</v>
      </c>
      <c r="S58" s="14">
        <f>IFERROR(__xludf.DUMMYFUNCTION("IF(FILTER('Pivot Table for acq weekly'!R:R,'Pivot Table for acq weekly'!$A:$A=$A58)/$B58 = 0,"""",FILTER('Pivot Table for acq weekly'!R:R,'Pivot Table for acq weekly'!$A:$A=$A58)/$B58)"),0.001557632398753894)</f>
        <v>0.001557632399</v>
      </c>
      <c r="T58" s="14">
        <f>IFERROR(__xludf.DUMMYFUNCTION("IF(FILTER('Pivot Table for acq weekly'!S:S,'Pivot Table for acq weekly'!$A:$A=$A58)/$B58 = 0,"""",FILTER('Pivot Table for acq weekly'!S:S,'Pivot Table for acq weekly'!$A:$A=$A58)/$B58)"),0.001557632398753894)</f>
        <v>0.001557632399</v>
      </c>
      <c r="U58" s="14">
        <f>IFERROR(__xludf.DUMMYFUNCTION("IF(FILTER('Pivot Table for acq weekly'!T:T,'Pivot Table for acq weekly'!$A:$A=$A58)/$B58 = 0,"""",FILTER('Pivot Table for acq weekly'!T:T,'Pivot Table for acq weekly'!$A:$A=$A58)/$B58)"),0.005919003115264798)</f>
        <v>0.005919003115</v>
      </c>
      <c r="V58" s="14">
        <f>IFERROR(__xludf.DUMMYFUNCTION("IF(FILTER('Pivot Table for acq weekly'!U:U,'Pivot Table for acq weekly'!$A:$A=$A58)/$B58 = 0,"""",FILTER('Pivot Table for acq weekly'!U:U,'Pivot Table for acq weekly'!$A:$A=$A58)/$B58)"),0.0065420560747663555)</f>
        <v>0.006542056075</v>
      </c>
      <c r="W58" s="14">
        <f>IFERROR(__xludf.DUMMYFUNCTION("IF(FILTER('Pivot Table for acq weekly'!V:V,'Pivot Table for acq weekly'!$A:$A=$A58)/$B58 = 0,"""",FILTER('Pivot Table for acq weekly'!V:V,'Pivot Table for acq weekly'!$A:$A=$A58)/$B58)"),0.0021806853582554517)</f>
        <v>0.002180685358</v>
      </c>
      <c r="X58" s="14">
        <f>IFERROR(__xludf.DUMMYFUNCTION("IF(FILTER('Pivot Table for acq weekly'!W:W,'Pivot Table for acq weekly'!$A:$A=$A58)/$B58 = 0,"""",FILTER('Pivot Table for acq weekly'!W:W,'Pivot Table for acq weekly'!$A:$A=$A58)/$B58)"),0.001869158878504673)</f>
        <v>0.001869158879</v>
      </c>
      <c r="Y58" s="14">
        <f>IFERROR(__xludf.DUMMYFUNCTION("IF(FILTER('Pivot Table for acq weekly'!X:X,'Pivot Table for acq weekly'!$A:$A=$A58)/$B58 = 0,"""",FILTER('Pivot Table for acq weekly'!X:X,'Pivot Table for acq weekly'!$A:$A=$A58)/$B58)"),0.004672897196261682)</f>
        <v>0.004672897196</v>
      </c>
      <c r="Z58" s="14">
        <f>IFERROR(__xludf.DUMMYFUNCTION("IF(FILTER('Pivot Table for acq weekly'!Y:Y,'Pivot Table for acq weekly'!$A:$A=$A58)/$B58 = 0,"""",FILTER('Pivot Table for acq weekly'!Y:Y,'Pivot Table for acq weekly'!$A:$A=$A58)/$B58)"),9.345794392523365E-4)</f>
        <v>0.0009345794393</v>
      </c>
    </row>
    <row r="59">
      <c r="A59" s="1">
        <v>5.0</v>
      </c>
      <c r="B59">
        <f>SUM(C23:C27)</f>
        <v>4326</v>
      </c>
      <c r="C59" s="62" t="s">
        <v>51</v>
      </c>
      <c r="D59" s="14">
        <f t="shared" si="2"/>
        <v>1</v>
      </c>
      <c r="E59" s="14">
        <f>IFERROR(__xludf.DUMMYFUNCTION("IF(FILTER('Pivot Table for acq weekly'!D:D,'Pivot Table for acq weekly'!$A:$A=$A59)/$B59 = 0,"""",FILTER('Pivot Table for acq weekly'!D:D,'Pivot Table for acq weekly'!$A:$A=$A59)/$B59)"),0.001155802126675913)</f>
        <v>0.001155802127</v>
      </c>
      <c r="F59" s="14">
        <f>IFERROR(__xludf.DUMMYFUNCTION("IF(FILTER('Pivot Table for acq weekly'!E:E,'Pivot Table for acq weekly'!$A:$A=$A59)/$B59 = 0,"""",FILTER('Pivot Table for acq weekly'!E:E,'Pivot Table for acq weekly'!$A:$A=$A59)/$B59)"),0.0016181229773462784)</f>
        <v>0.001618122977</v>
      </c>
      <c r="G59" s="14">
        <f>IFERROR(__xludf.DUMMYFUNCTION("IF(FILTER('Pivot Table for acq weekly'!F:F,'Pivot Table for acq weekly'!$A:$A=$A59)/$B59 = 0,"""",FILTER('Pivot Table for acq weekly'!F:F,'Pivot Table for acq weekly'!$A:$A=$A59)/$B59)"),0.002542764678687009)</f>
        <v>0.002542764679</v>
      </c>
      <c r="H59" s="14">
        <f>IFERROR(__xludf.DUMMYFUNCTION("IF(FILTER('Pivot Table for acq weekly'!G:G,'Pivot Table for acq weekly'!$A:$A=$A59)/$B59 = 0,"""",FILTER('Pivot Table for acq weekly'!G:G,'Pivot Table for acq weekly'!$A:$A=$A59)/$B59)"),0.00439204808136847)</f>
        <v>0.004392048081</v>
      </c>
      <c r="I59" s="14">
        <f>IFERROR(__xludf.DUMMYFUNCTION("IF(FILTER('Pivot Table for acq weekly'!H:H,'Pivot Table for acq weekly'!$A:$A=$A59)/$B59 = 0,"""",FILTER('Pivot Table for acq weekly'!H:H,'Pivot Table for acq weekly'!$A:$A=$A59)/$B59)"),0.019186315302820157)</f>
        <v>0.0191863153</v>
      </c>
      <c r="J59" s="14">
        <f>IFERROR(__xludf.DUMMYFUNCTION("IF(FILTER('Pivot Table for acq weekly'!I:I,'Pivot Table for acq weekly'!$A:$A=$A59)/$B59 = 0,"""",FILTER('Pivot Table for acq weekly'!I:I,'Pivot Table for acq weekly'!$A:$A=$A59)/$B59)"),0.002542764678687009)</f>
        <v>0.002542764679</v>
      </c>
      <c r="K59" s="14">
        <f>IFERROR(__xludf.DUMMYFUNCTION("IF(FILTER('Pivot Table for acq weekly'!J:J,'Pivot Table for acq weekly'!$A:$A=$A59)/$B59 = 0,"""",FILTER('Pivot Table for acq weekly'!J:J,'Pivot Table for acq weekly'!$A:$A=$A59)/$B59)"),0.0034674063800277394)</f>
        <v>0.00346740638</v>
      </c>
      <c r="L59" s="14">
        <f>IFERROR(__xludf.DUMMYFUNCTION("IF(FILTER('Pivot Table for acq weekly'!K:K,'Pivot Table for acq weekly'!$A:$A=$A59)/$B59 = 0,"""",FILTER('Pivot Table for acq weekly'!K:K,'Pivot Table for acq weekly'!$A:$A=$A59)/$B59)"),0.0027739251040221915)</f>
        <v>0.002773925104</v>
      </c>
      <c r="M59" s="14">
        <f>IFERROR(__xludf.DUMMYFUNCTION("IF(FILTER('Pivot Table for acq weekly'!L:L,'Pivot Table for acq weekly'!$A:$A=$A59)/$B59 = 0,"""",FILTER('Pivot Table for acq weekly'!L:L,'Pivot Table for acq weekly'!$A:$A=$A59)/$B59)"),0.016412390198797967)</f>
        <v>0.0164123902</v>
      </c>
      <c r="N59" s="14">
        <f>IFERROR(__xludf.DUMMYFUNCTION("IF(FILTER('Pivot Table for acq weekly'!M:M,'Pivot Table for acq weekly'!$A:$A=$A59)/$B59 = 0,"""",FILTER('Pivot Table for acq weekly'!M:M,'Pivot Table for acq weekly'!$A:$A=$A59)/$B59)"),0.0018492834026814608)</f>
        <v>0.001849283403</v>
      </c>
      <c r="O59" s="14">
        <f>IFERROR(__xludf.DUMMYFUNCTION("IF(FILTER('Pivot Table for acq weekly'!N:N,'Pivot Table for acq weekly'!$A:$A=$A59)/$B59 = 0,"""",FILTER('Pivot Table for acq weekly'!N:N,'Pivot Table for acq weekly'!$A:$A=$A59)/$B59)"),0.00439204808136847)</f>
        <v>0.004392048081</v>
      </c>
      <c r="P59" s="14">
        <f>IFERROR(__xludf.DUMMYFUNCTION("IF(FILTER('Pivot Table for acq weekly'!O:O,'Pivot Table for acq weekly'!$A:$A=$A59)/$B59 = 0,"""",FILTER('Pivot Table for acq weekly'!O:O,'Pivot Table for acq weekly'!$A:$A=$A59)/$B59)"),0.0034674063800277394)</f>
        <v>0.00346740638</v>
      </c>
      <c r="Q59" s="14">
        <f>IFERROR(__xludf.DUMMYFUNCTION("IF(FILTER('Pivot Table for acq weekly'!P:P,'Pivot Table for acq weekly'!$A:$A=$A59)/$B59 = 0,"""",FILTER('Pivot Table for acq weekly'!P:P,'Pivot Table for acq weekly'!$A:$A=$A59)/$B59)"),0.009246417013407305)</f>
        <v>0.009246417013</v>
      </c>
      <c r="R59" s="14">
        <f>IFERROR(__xludf.DUMMYFUNCTION("IF(FILTER('Pivot Table for acq weekly'!Q:Q,'Pivot Table for acq weekly'!$A:$A=$A59)/$B59 = 0,"""",FILTER('Pivot Table for acq weekly'!Q:Q,'Pivot Table for acq weekly'!$A:$A=$A59)/$B59)"),0.0053166897827092)</f>
        <v>0.005316689783</v>
      </c>
      <c r="S59" s="14">
        <f>IFERROR(__xludf.DUMMYFUNCTION("IF(FILTER('Pivot Table for acq weekly'!R:R,'Pivot Table for acq weekly'!$A:$A=$A59)/$B59 = 0,"""",FILTER('Pivot Table for acq weekly'!R:R,'Pivot Table for acq weekly'!$A:$A=$A59)/$B59)"),0.0036985668053629217)</f>
        <v>0.003698566805</v>
      </c>
      <c r="T59" s="14">
        <f>IFERROR(__xludf.DUMMYFUNCTION("IF(FILTER('Pivot Table for acq weekly'!S:S,'Pivot Table for acq weekly'!$A:$A=$A59)/$B59 = 0,"""",FILTER('Pivot Table for acq weekly'!S:S,'Pivot Table for acq weekly'!$A:$A=$A59)/$B59)"),0.0027739251040221915)</f>
        <v>0.002773925104</v>
      </c>
      <c r="U59" s="14">
        <f>IFERROR(__xludf.DUMMYFUNCTION("IF(FILTER('Pivot Table for acq weekly'!T:T,'Pivot Table for acq weekly'!$A:$A=$A59)/$B59 = 0,"""",FILTER('Pivot Table for acq weekly'!T:T,'Pivot Table for acq weekly'!$A:$A=$A59)/$B59)"),0.0036985668053629217)</f>
        <v>0.003698566805</v>
      </c>
      <c r="V59" s="14">
        <f>IFERROR(__xludf.DUMMYFUNCTION("IF(FILTER('Pivot Table for acq weekly'!U:U,'Pivot Table for acq weekly'!$A:$A=$A59)/$B59 = 0,"""",FILTER('Pivot Table for acq weekly'!U:U,'Pivot Table for acq weekly'!$A:$A=$A59)/$B59)"),0.008090614886731391)</f>
        <v>0.008090614887</v>
      </c>
      <c r="W59" s="14">
        <f>IFERROR(__xludf.DUMMYFUNCTION("IF(FILTER('Pivot Table for acq weekly'!V:V,'Pivot Table for acq weekly'!$A:$A=$A59)/$B59 = 0,"""",FILTER('Pivot Table for acq weekly'!V:V,'Pivot Table for acq weekly'!$A:$A=$A59)/$B59)"),0.00439204808136847)</f>
        <v>0.004392048081</v>
      </c>
      <c r="X59" s="14">
        <f>IFERROR(__xludf.DUMMYFUNCTION("IF(FILTER('Pivot Table for acq weekly'!W:W,'Pivot Table for acq weekly'!$A:$A=$A59)/$B59 = 0,"""",FILTER('Pivot Table for acq weekly'!W:W,'Pivot Table for acq weekly'!$A:$A=$A59)/$B59)"),0.0018492834026814608)</f>
        <v>0.001849283403</v>
      </c>
      <c r="Y59" s="14">
        <f>IFERROR(__xludf.DUMMYFUNCTION("IF(FILTER('Pivot Table for acq weekly'!X:X,'Pivot Table for acq weekly'!$A:$A=$A59)/$B59 = 0,"""",FILTER('Pivot Table for acq weekly'!X:X,'Pivot Table for acq weekly'!$A:$A=$A59)/$B59)"),0.0036985668053629217)</f>
        <v>0.003698566805</v>
      </c>
      <c r="Z59" s="14">
        <f>IFERROR(__xludf.DUMMYFUNCTION("IF(FILTER('Pivot Table for acq weekly'!Y:Y,'Pivot Table for acq weekly'!$A:$A=$A59)/$B59 = 0,"""",FILTER('Pivot Table for acq weekly'!Y:Y,'Pivot Table for acq weekly'!$A:$A=$A59)/$B59)"),0.0020804438280166435)</f>
        <v>0.002080443828</v>
      </c>
    </row>
    <row r="60">
      <c r="A60" s="1">
        <v>7.0</v>
      </c>
      <c r="B60">
        <f>SUM(C33:C37)</f>
        <v>5564</v>
      </c>
      <c r="C60" s="62" t="s">
        <v>52</v>
      </c>
      <c r="D60" s="14">
        <f t="shared" si="2"/>
        <v>1</v>
      </c>
      <c r="E60" s="14">
        <f>IFERROR(__xludf.DUMMYFUNCTION("IF(FILTER('Pivot Table for acq weekly'!D:D,'Pivot Table for acq weekly'!$A:$A=$A60)/$B60 = 0,"""",FILTER('Pivot Table for acq weekly'!D:D,'Pivot Table for acq weekly'!$A:$A=$A60)/$B60)"),0.002336448598130841)</f>
        <v>0.002336448598</v>
      </c>
      <c r="F60" s="14">
        <f>IFERROR(__xludf.DUMMYFUNCTION("IF(FILTER('Pivot Table for acq weekly'!E:E,'Pivot Table for acq weekly'!$A:$A=$A60)/$B60 = 0,"""",FILTER('Pivot Table for acq weekly'!E:E,'Pivot Table for acq weekly'!$A:$A=$A60)/$B60)"),0.0017972681524083393)</f>
        <v>0.001797268152</v>
      </c>
      <c r="G60" s="14">
        <f>IFERROR(__xludf.DUMMYFUNCTION("IF(FILTER('Pivot Table for acq weekly'!F:F,'Pivot Table for acq weekly'!$A:$A=$A60)/$B60 = 0,"""",FILTER('Pivot Table for acq weekly'!F:F,'Pivot Table for acq weekly'!$A:$A=$A60)/$B60)"),0.003055355859094177)</f>
        <v>0.003055355859</v>
      </c>
      <c r="H60" s="14">
        <f>IFERROR(__xludf.DUMMYFUNCTION("IF(FILTER('Pivot Table for acq weekly'!G:G,'Pivot Table for acq weekly'!$A:$A=$A60)/$B60 = 0,"""",FILTER('Pivot Table for acq weekly'!G:G,'Pivot Table for acq weekly'!$A:$A=$A60)/$B60)"),0.0037742631200575125)</f>
        <v>0.00377426312</v>
      </c>
      <c r="I60" s="14">
        <f>IFERROR(__xludf.DUMMYFUNCTION("IF(FILTER('Pivot Table for acq weekly'!H:H,'Pivot Table for acq weekly'!$A:$A=$A60)/$B60 = 0,"""",FILTER('Pivot Table for acq weekly'!H:H,'Pivot Table for acq weekly'!$A:$A=$A60)/$B60)"),0.021567217828900073)</f>
        <v>0.02156721783</v>
      </c>
      <c r="J60" s="14">
        <f>IFERROR(__xludf.DUMMYFUNCTION("IF(FILTER('Pivot Table for acq weekly'!I:I,'Pivot Table for acq weekly'!$A:$A=$A60)/$B60 = 0,"""",FILTER('Pivot Table for acq weekly'!I:I,'Pivot Table for acq weekly'!$A:$A=$A60)/$B60)"),0.005571531272465852)</f>
        <v>0.005571531272</v>
      </c>
      <c r="K60" s="14">
        <f>IFERROR(__xludf.DUMMYFUNCTION("IF(FILTER('Pivot Table for acq weekly'!J:J,'Pivot Table for acq weekly'!$A:$A=$A60)/$B60 = 0,"""",FILTER('Pivot Table for acq weekly'!J:J,'Pivot Table for acq weekly'!$A:$A=$A60)/$B60)"),0.0025161754133716753)</f>
        <v>0.002516175413</v>
      </c>
      <c r="L60" s="14">
        <f>IFERROR(__xludf.DUMMYFUNCTION("IF(FILTER('Pivot Table for acq weekly'!K:K,'Pivot Table for acq weekly'!$A:$A=$A60)/$B60 = 0,"""",FILTER('Pivot Table for acq weekly'!K:K,'Pivot Table for acq weekly'!$A:$A=$A60)/$B60)"),0.0035945363048166786)</f>
        <v>0.003594536305</v>
      </c>
      <c r="M60" s="14">
        <f>IFERROR(__xludf.DUMMYFUNCTION("IF(FILTER('Pivot Table for acq weekly'!L:L,'Pivot Table for acq weekly'!$A:$A=$A60)/$B60 = 0,"""",FILTER('Pivot Table for acq weekly'!L:L,'Pivot Table for acq weekly'!$A:$A=$A60)/$B60)"),0.01599568655643422)</f>
        <v>0.01599568656</v>
      </c>
      <c r="N60" s="14">
        <f>IFERROR(__xludf.DUMMYFUNCTION("IF(FILTER('Pivot Table for acq weekly'!M:M,'Pivot Table for acq weekly'!$A:$A=$A60)/$B60 = 0,"""",FILTER('Pivot Table for acq weekly'!M:M,'Pivot Table for acq weekly'!$A:$A=$A60)/$B60)"),0.004493170381020848)</f>
        <v>0.004493170381</v>
      </c>
      <c r="O60" s="14">
        <f>IFERROR(__xludf.DUMMYFUNCTION("IF(FILTER('Pivot Table for acq weekly'!N:N,'Pivot Table for acq weekly'!$A:$A=$A60)/$B60 = 0,"""",FILTER('Pivot Table for acq weekly'!N:N,'Pivot Table for acq weekly'!$A:$A=$A60)/$B60)"),0.0035945363048166786)</f>
        <v>0.003594536305</v>
      </c>
      <c r="P60" s="14">
        <f>IFERROR(__xludf.DUMMYFUNCTION("IF(FILTER('Pivot Table for acq weekly'!O:O,'Pivot Table for acq weekly'!$A:$A=$A60)/$B60 = 0,"""",FILTER('Pivot Table for acq weekly'!O:O,'Pivot Table for acq weekly'!$A:$A=$A60)/$B60)"),0.004313443565780014)</f>
        <v>0.004313443566</v>
      </c>
      <c r="Q60" s="14">
        <f>IFERROR(__xludf.DUMMYFUNCTION("IF(FILTER('Pivot Table for acq weekly'!P:P,'Pivot Table for acq weekly'!$A:$A=$A60)/$B60 = 0,"""",FILTER('Pivot Table for acq weekly'!P:P,'Pivot Table for acq weekly'!$A:$A=$A60)/$B60)"),0.007907979870596693)</f>
        <v>0.007907979871</v>
      </c>
      <c r="R60" s="14">
        <f>IFERROR(__xludf.DUMMYFUNCTION("IF(FILTER('Pivot Table for acq weekly'!Q:Q,'Pivot Table for acq weekly'!$A:$A=$A60)/$B60 = 0,"""",FILTER('Pivot Table for acq weekly'!Q:Q,'Pivot Table for acq weekly'!$A:$A=$A60)/$B60)"),0.007189072609633357)</f>
        <v>0.00718907261</v>
      </c>
      <c r="S60" s="14">
        <f>IFERROR(__xludf.DUMMYFUNCTION("IF(FILTER('Pivot Table for acq weekly'!R:R,'Pivot Table for acq weekly'!$A:$A=$A60)/$B60 = 0,"""",FILTER('Pivot Table for acq weekly'!R:R,'Pivot Table for acq weekly'!$A:$A=$A60)/$B60)"),0.00413371675053918)</f>
        <v>0.004133716751</v>
      </c>
      <c r="T60" s="14">
        <f>IFERROR(__xludf.DUMMYFUNCTION("IF(FILTER('Pivot Table for acq weekly'!S:S,'Pivot Table for acq weekly'!$A:$A=$A60)/$B60 = 0,"""",FILTER('Pivot Table for acq weekly'!S:S,'Pivot Table for acq weekly'!$A:$A=$A60)/$B60)"),0.0037742631200575125)</f>
        <v>0.00377426312</v>
      </c>
      <c r="U60" s="14">
        <f>IFERROR(__xludf.DUMMYFUNCTION("IF(FILTER('Pivot Table for acq weekly'!T:T,'Pivot Table for acq weekly'!$A:$A=$A60)/$B60 = 0,"""",FILTER('Pivot Table for acq weekly'!T:T,'Pivot Table for acq weekly'!$A:$A=$A60)/$B60)"),0.004493170381020848)</f>
        <v>0.004493170381</v>
      </c>
      <c r="V60" s="14">
        <f>IFERROR(__xludf.DUMMYFUNCTION("IF(FILTER('Pivot Table for acq weekly'!U:U,'Pivot Table for acq weekly'!$A:$A=$A60)/$B60 = 0,"""",FILTER('Pivot Table for acq weekly'!U:U,'Pivot Table for acq weekly'!$A:$A=$A60)/$B60)"),0.007728253055355859)</f>
        <v>0.007728253055</v>
      </c>
      <c r="W60" s="14">
        <f>IFERROR(__xludf.DUMMYFUNCTION("IF(FILTER('Pivot Table for acq weekly'!V:V,'Pivot Table for acq weekly'!$A:$A=$A60)/$B60 = 0,"""",FILTER('Pivot Table for acq weekly'!V:V,'Pivot Table for acq weekly'!$A:$A=$A60)/$B60)"),0.0025161754133716753)</f>
        <v>0.002516175413</v>
      </c>
      <c r="X60" s="14">
        <f>IFERROR(__xludf.DUMMYFUNCTION("IF(FILTER('Pivot Table for acq weekly'!W:W,'Pivot Table for acq weekly'!$A:$A=$A60)/$B60 = 0,"""",FILTER('Pivot Table for acq weekly'!W:W,'Pivot Table for acq weekly'!$A:$A=$A60)/$B60)"),0.004313443565780014)</f>
        <v>0.004313443566</v>
      </c>
      <c r="Y60" s="14">
        <f>IFERROR(__xludf.DUMMYFUNCTION("IF(FILTER('Pivot Table for acq weekly'!X:X,'Pivot Table for acq weekly'!$A:$A=$A60)/$B60 = 0,"""",FILTER('Pivot Table for acq weekly'!X:X,'Pivot Table for acq weekly'!$A:$A=$A60)/$B60)"),0.00413371675053918)</f>
        <v>0.004133716751</v>
      </c>
      <c r="Z60" s="14">
        <f>IFERROR(__xludf.DUMMYFUNCTION("IF(FILTER('Pivot Table for acq weekly'!Y:Y,'Pivot Table for acq weekly'!$A:$A=$A60)/$B60 = 0,"""",FILTER('Pivot Table for acq weekly'!Y:Y,'Pivot Table for acq weekly'!$A:$A=$A60)/$B60)"),0.002156721782890007)</f>
        <v>0.002156721783</v>
      </c>
    </row>
  </sheetData>
  <autoFilter ref="$A$1:$Z$52">
    <filterColumn colId="2">
      <filters>
        <filter val="4880"/>
        <filter val="WEEK 0"/>
        <filter val="1011"/>
        <filter val="1231"/>
        <filter val="1096"/>
        <filter val="1184"/>
        <filter val="3262"/>
        <filter val="1435"/>
        <filter val="796"/>
        <filter val="314"/>
        <filter val="985"/>
        <filter val="1266"/>
        <filter val="766"/>
        <filter val="920"/>
        <filter val="217"/>
        <filter val="448"/>
        <filter val="825"/>
        <filter val="3986"/>
        <filter val="606"/>
        <filter val="1319"/>
        <filter val="4517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9.57"/>
  </cols>
  <sheetData>
    <row r="1">
      <c r="A1" s="1">
        <v>0.0</v>
      </c>
      <c r="C1" s="1">
        <v>0.0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</row>
    <row r="2">
      <c r="A2" s="24"/>
      <c r="B2" s="25" t="s">
        <v>31</v>
      </c>
      <c r="C2" s="24">
        <v>1.0</v>
      </c>
      <c r="D2" s="26">
        <f>IFERROR(__xludf.DUMMYFUNCTION("IFERROR(SUM(FILTER('RAW DATA'!$D:$D,'RAW DATA'!$C:$C=D$1)) / SUM($A$4:$A$8))"),0.017553129036045556)</f>
        <v>0.01755312904</v>
      </c>
      <c r="E2" s="26">
        <f>IFERROR(__xludf.DUMMYFUNCTION("IFERROR(SUM(FILTER('RAW DATA'!$D:$D,'RAW DATA'!$C:$C=E$1)) / SUM($A$4:$A$8))"),0.019813314547375838)</f>
        <v>0.01981331455</v>
      </c>
      <c r="F2" s="26">
        <f>IFERROR(__xludf.DUMMYFUNCTION("IFERROR(SUM(FILTER('RAW DATA'!$D:$D,'RAW DATA'!$C:$C=F$1)) / SUM($A$4:$A$8))"),0.052072325936362567)</f>
        <v>0.05207232594</v>
      </c>
      <c r="G2" s="26">
        <f>IFERROR(__xludf.DUMMYFUNCTION("IFERROR(SUM(FILTER('RAW DATA'!$D:$D,'RAW DATA'!$C:$C=G$1)) / SUM($A$4:$A$8))"),0.21777034166960196)</f>
        <v>0.2177703417</v>
      </c>
      <c r="H2" s="26">
        <f>IFERROR(__xludf.DUMMYFUNCTION("IFERROR(SUM(FILTER('RAW DATA'!$D:$D,'RAW DATA'!$C:$C=H$1)) / SUM($A$4:$A$8))"),0.13675589996477633)</f>
        <v>0.1367559</v>
      </c>
      <c r="I2" s="26">
        <f>IFERROR(__xludf.DUMMYFUNCTION("IFERROR(SUM(FILTER('RAW DATA'!$D:$D,'RAW DATA'!$C:$C=I$1)) / SUM($A$4:$A$8))"),0.037454502759187505)</f>
        <v>0.03745450276</v>
      </c>
      <c r="J2" s="26">
        <f>IFERROR(__xludf.DUMMYFUNCTION("IFERROR(SUM(FILTER('RAW DATA'!$D:$D,'RAW DATA'!$C:$C=J$1)) / SUM($A$4:$A$8))"),0.04643653868733122)</f>
        <v>0.04643653869</v>
      </c>
      <c r="K2" s="26">
        <f>IFERROR(__xludf.DUMMYFUNCTION("IFERROR(SUM(FILTER('RAW DATA'!$D:$D,'RAW DATA'!$C:$C=K$1)) / SUM($A$4:$A$8))"),0.12903604555594694)</f>
        <v>0.1290360456</v>
      </c>
      <c r="L2" s="26">
        <f>IFERROR(__xludf.DUMMYFUNCTION("IFERROR(SUM(FILTER('RAW DATA'!$D:$D,'RAW DATA'!$C:$C=L$1)) / SUM($A$4:$A$8))"),0.14063050369848537)</f>
        <v>0.1406305037</v>
      </c>
      <c r="M2" s="26">
        <f>IFERROR(__xludf.DUMMYFUNCTION("IFERROR(SUM(FILTER('RAW DATA'!$D:$D,'RAW DATA'!$C:$C=M$1)) / SUM($A$4:$A$8))"),0.054714101209346014)</f>
        <v>0.05471410121</v>
      </c>
      <c r="N2" s="26">
        <f>IFERROR(__xludf.DUMMYFUNCTION("IFERROR(SUM(FILTER('RAW DATA'!$D:$D,'RAW DATA'!$C:$C=N$1)) / SUM($A$4:$A$8))"),0.05136785253023365)</f>
        <v>0.05136785253</v>
      </c>
      <c r="O2" s="26">
        <f>IFERROR(__xludf.DUMMYFUNCTION("IFERROR(SUM(FILTER('RAW DATA'!$D:$D,'RAW DATA'!$C:$C=O$1)) / SUM($A$4:$A$8))"),0.05850064576728895)</f>
        <v>0.05850064577</v>
      </c>
      <c r="P2" s="26">
        <f>IFERROR(__xludf.DUMMYFUNCTION("IFERROR(SUM(FILTER('RAW DATA'!$D:$D,'RAW DATA'!$C:$C=P$1)) / SUM($A$4:$A$8))"),0.1181754138781261)</f>
        <v>0.1181754139</v>
      </c>
      <c r="Q2" s="26">
        <f>IFERROR(__xludf.DUMMYFUNCTION("IFERROR(SUM(FILTER('RAW DATA'!$D:$D,'RAW DATA'!$C:$C=Q$1)) / SUM($A$4:$A$8))"),0.05897029470470823)</f>
        <v>0.0589702947</v>
      </c>
      <c r="R2" s="26">
        <f>IFERROR(__xludf.DUMMYFUNCTION("IFERROR(SUM(FILTER('RAW DATA'!$D:$D,'RAW DATA'!$C:$C=R$1)) / SUM($A$4:$A$8))"),0.0415345779030175)</f>
        <v>0.0415345779</v>
      </c>
      <c r="S2" s="26">
        <f>IFERROR(__xludf.DUMMYFUNCTION("IFERROR(SUM(FILTER('RAW DATA'!$D:$D,'RAW DATA'!$C:$C=S$1)) / SUM($A$4:$A$8))"),0.05072208524128214)</f>
        <v>0.05072208524</v>
      </c>
      <c r="T2" s="26">
        <f>IFERROR(__xludf.DUMMYFUNCTION("IFERROR(SUM(FILTER('RAW DATA'!$D:$D,'RAW DATA'!$C:$C=T$1)) / SUM($A$4:$A$8))"),0.08891041446518727)</f>
        <v>0.08891041447</v>
      </c>
      <c r="U2" s="26">
        <f>IFERROR(__xludf.DUMMYFUNCTION("IFERROR(SUM(FILTER('RAW DATA'!$D:$D,'RAW DATA'!$C:$C=U$1)) / SUM($A$4:$A$8))"),0.0653105553598685)</f>
        <v>0.06531055536</v>
      </c>
      <c r="V2" s="26">
        <f>IFERROR(__xludf.DUMMYFUNCTION("IFERROR(SUM(FILTER('RAW DATA'!$D:$D,'RAW DATA'!$C:$C=V$1)) / SUM($A$4:$A$8))"),0.02583069155806035)</f>
        <v>0.02583069156</v>
      </c>
      <c r="W2" s="26">
        <f>IFERROR(__xludf.DUMMYFUNCTION("IFERROR(SUM(FILTER('RAW DATA'!$D:$D,'RAW DATA'!$C:$C=W$1)) / SUM($A$4:$A$8))"),0.015821298579311964)</f>
        <v>0.01582129858</v>
      </c>
      <c r="X2" s="26">
        <f>IFERROR(__xludf.DUMMYFUNCTION("IFERROR(SUM(FILTER('RAW DATA'!$D:$D,'RAW DATA'!$C:$C=X$1)) / SUM($A$4:$A$8))"),0.006457672889515088)</f>
        <v>0.00645767289</v>
      </c>
      <c r="Y2" s="26"/>
      <c r="Z2" s="26"/>
      <c r="AA2" s="26"/>
    </row>
    <row r="3">
      <c r="A3" s="27" t="s">
        <v>32</v>
      </c>
      <c r="B3" s="27" t="s">
        <v>30</v>
      </c>
      <c r="C3" s="28" t="str">
        <f t="shared" ref="C3:D3" si="1">"Week "&amp;C1</f>
        <v>Week 0</v>
      </c>
      <c r="D3" s="28" t="str">
        <f t="shared" si="1"/>
        <v>Week 1</v>
      </c>
      <c r="E3" s="28" t="str">
        <f>"Week "&amp;F1</f>
        <v>Week 3</v>
      </c>
      <c r="F3" s="28" t="str">
        <f>"Week "&amp;H1</f>
        <v>Week 5</v>
      </c>
      <c r="G3" s="28" t="str">
        <f>"Week "&amp;J1</f>
        <v>Week 7</v>
      </c>
      <c r="H3" s="28" t="str">
        <f>"Week "&amp;L1</f>
        <v>Week 9</v>
      </c>
      <c r="I3" s="28" t="str">
        <f>"Week "&amp;N1</f>
        <v>Week 11</v>
      </c>
      <c r="J3" s="28" t="str">
        <f>"Week "&amp;P1</f>
        <v>Week 13</v>
      </c>
      <c r="K3" s="28" t="str">
        <f>"Week "&amp;R1</f>
        <v>Week 15</v>
      </c>
      <c r="L3" s="28" t="str">
        <f>"Week "&amp;T1</f>
        <v>Week 17</v>
      </c>
      <c r="M3" s="28" t="str">
        <f>"Week "&amp;V1</f>
        <v>Week 19</v>
      </c>
      <c r="N3" s="28" t="str">
        <f>"Week "&amp;X1</f>
        <v>Week 21</v>
      </c>
    </row>
    <row r="4">
      <c r="A4" s="29">
        <f>IFERROR(__xludf.DUMMYFUNCTION("SUM(FILTER('RAW DATA'!$D:$D,'RAW DATA'!$A:$A=$B4,'RAW DATA'!$C:$C=A$1))"),2488.0)</f>
        <v>2488</v>
      </c>
      <c r="B4" s="30">
        <v>43254.0</v>
      </c>
      <c r="C4" s="31">
        <f>IFERROR(__xludf.DUMMYFUNCTION("IFERROR(SUM(FILTER('RAW DATA'!$D:$D,'RAW DATA'!$A:$A=$B4,'RAW DATA'!$C:$C=C$1)) / $A4)"),1.0)</f>
        <v>1</v>
      </c>
      <c r="D4" s="31">
        <f>IFERROR(__xludf.DUMMYFUNCTION("IFERROR((SUM(FILTER('RAW DATA'!$D:$D,'RAW DATA'!$A:$A=$B4,'RAW DATA'!$C:$C=D$1))+FILTER('RAW DATA'!$D:$D,'RAW DATA'!$A:$A=$B4,'RAW DATA'!$C:$C=E$1)) / $A4)"),0.038987138263665594)</f>
        <v>0.03898713826</v>
      </c>
      <c r="E4" s="31">
        <f>IFERROR(__xludf.DUMMYFUNCTION("IFERROR((SUM(FILTER('RAW DATA'!$D:$D,'RAW DATA'!$A:$A=$B4,'RAW DATA'!$C:$C=F$1))+FILTER('RAW DATA'!$D:$D,'RAW DATA'!$A:$A=$B4,'RAW DATA'!$C:$C=G$1)) / $A4)"),0.09847266881028939)</f>
        <v>0.09847266881</v>
      </c>
      <c r="F4" s="31">
        <f>IFERROR(__xludf.DUMMYFUNCTION("IFERROR((SUM(FILTER('RAW DATA'!$D:$D,'RAW DATA'!$A:$A=$B4,'RAW DATA'!$C:$C=H$1))+FILTER('RAW DATA'!$D:$D,'RAW DATA'!$A:$A=$B4,'RAW DATA'!$C:$C=I$1)) / $A4)"),0.33561093247588425)</f>
        <v>0.3356109325</v>
      </c>
      <c r="G4" s="31">
        <f>IFERROR(__xludf.DUMMYFUNCTION("IFERROR((SUM(FILTER('RAW DATA'!$D:$D,'RAW DATA'!$A:$A=$B4,'RAW DATA'!$C:$C=J$1))+FILTER('RAW DATA'!$D:$D,'RAW DATA'!$A:$A=$B4,'RAW DATA'!$C:$C=K$1)) / $A4)"),0.10008038585209003)</f>
        <v>0.1000803859</v>
      </c>
      <c r="H4" s="31">
        <f>IFERROR(__xludf.DUMMYFUNCTION("IFERROR((SUM(FILTER('RAW DATA'!$D:$D,'RAW DATA'!$A:$A=$B4,'RAW DATA'!$C:$C=L$1))+FILTER('RAW DATA'!$D:$D,'RAW DATA'!$A:$A=$B4,'RAW DATA'!$C:$C=M$1)) / $A4)"),0.2604501607717042)</f>
        <v>0.2604501608</v>
      </c>
      <c r="I4" s="31">
        <f>IFERROR(__xludf.DUMMYFUNCTION("IFERROR((SUM(FILTER('RAW DATA'!$D:$D,'RAW DATA'!$A:$A=$B4,'RAW DATA'!$C:$C=N$1))+FILTER('RAW DATA'!$D:$D,'RAW DATA'!$A:$A=$B4,'RAW DATA'!$C:$C=O$1)) / $A4)"),0.09847266881028939)</f>
        <v>0.09847266881</v>
      </c>
      <c r="J4" s="31">
        <f>IFERROR(__xludf.DUMMYFUNCTION("IFERROR((SUM(FILTER('RAW DATA'!$D:$D,'RAW DATA'!$A:$A=$B4,'RAW DATA'!$C:$C=P$1))+FILTER('RAW DATA'!$D:$D,'RAW DATA'!$A:$A=$B4,'RAW DATA'!$C:$C=Q$1)) / $A4)"),0.1864951768488746)</f>
        <v>0.1864951768</v>
      </c>
      <c r="K4" s="31">
        <f>IFERROR(__xludf.DUMMYFUNCTION("IFERROR((SUM(FILTER('RAW DATA'!$D:$D,'RAW DATA'!$A:$A=$B4,'RAW DATA'!$C:$C=R$1))+FILTER('RAW DATA'!$D:$D,'RAW DATA'!$A:$A=$B4,'RAW DATA'!$C:$C=S$1)) / $A4)"),0.08279742765273312)</f>
        <v>0.08279742765</v>
      </c>
      <c r="L4" s="31">
        <f>IFERROR(__xludf.DUMMYFUNCTION("IFERROR((SUM(FILTER('RAW DATA'!$D:$D,'RAW DATA'!$A:$A=$B4,'RAW DATA'!$C:$C=T$1))+FILTER('RAW DATA'!$D:$D,'RAW DATA'!$A:$A=$B4,'RAW DATA'!$C:$C=U$1)) / $A4)"),0.16680064308681672)</f>
        <v>0.1668006431</v>
      </c>
      <c r="M4" s="31">
        <f>IFERROR(__xludf.DUMMYFUNCTION("IFERROR((SUM(FILTER('RAW DATA'!$D:$D,'RAW DATA'!$A:$A=$B4,'RAW DATA'!$C:$C=V$1))+FILTER('RAW DATA'!$D:$D,'RAW DATA'!$A:$A=$B4,'RAW DATA'!$C:$C=W$1)) / $A4)"),0.08480707395498392)</f>
        <v>0.08480707395</v>
      </c>
      <c r="N4" s="31">
        <f>IFERROR(__xludf.DUMMYFUNCTION("IFERROR((SUM(FILTER('RAW DATA'!$D:$D,'RAW DATA'!$A:$A=$B4,'RAW DATA'!$C:$C=X$1))) / $A4)"),0.05305466237942122)</f>
        <v>0.05305466238</v>
      </c>
    </row>
    <row r="5">
      <c r="A5" s="29">
        <f>IFERROR(__xludf.DUMMYFUNCTION("SUM(FILTER('RAW DATA'!$D:$D,'RAW DATA'!$A:$A=$B5,'RAW DATA'!$C:$C=A$1))"),6704.0)</f>
        <v>6704</v>
      </c>
      <c r="B5" s="30">
        <v>43261.0</v>
      </c>
      <c r="C5" s="31">
        <f>IFERROR(__xludf.DUMMYFUNCTION("IFERROR(SUM(FILTER('RAW DATA'!$D:$D,'RAW DATA'!$A:$A=$B5,'RAW DATA'!$C:$C=C$1)) / $A5)"),1.0)</f>
        <v>1</v>
      </c>
      <c r="D5" s="31">
        <f>IFERROR(__xludf.DUMMYFUNCTION("IFERROR((SUM(FILTER('RAW DATA'!$D:$D,'RAW DATA'!$A:$A=$B5,'RAW DATA'!$C:$C=D$1))+FILTER('RAW DATA'!$D:$D,'RAW DATA'!$A:$A=$B5,'RAW DATA'!$C:$C=E$1)) / $A5)"),0.03773866348448687)</f>
        <v>0.03773866348</v>
      </c>
      <c r="E5" s="31">
        <f>IFERROR(__xludf.DUMMYFUNCTION("IFERROR((SUM(FILTER('RAW DATA'!$D:$D,'RAW DATA'!$A:$A=$B5,'RAW DATA'!$C:$C=F$1))+FILTER('RAW DATA'!$D:$D,'RAW DATA'!$A:$A=$B5,'RAW DATA'!$C:$C=G$1)) / $A5)"),0.28744033412887826)</f>
        <v>0.2874403341</v>
      </c>
      <c r="F5" s="31">
        <f>IFERROR(__xludf.DUMMYFUNCTION("IFERROR((SUM(FILTER('RAW DATA'!$D:$D,'RAW DATA'!$A:$A=$B5,'RAW DATA'!$C:$C=H$1))+FILTER('RAW DATA'!$D:$D,'RAW DATA'!$A:$A=$B5,'RAW DATA'!$C:$C=I$1)) / $A5)"),0.15736873508353222)</f>
        <v>0.1573687351</v>
      </c>
      <c r="G5" s="31">
        <f>IFERROR(__xludf.DUMMYFUNCTION("IFERROR((SUM(FILTER('RAW DATA'!$D:$D,'RAW DATA'!$A:$A=$B5,'RAW DATA'!$C:$C=J$1))+FILTER('RAW DATA'!$D:$D,'RAW DATA'!$A:$A=$B5,'RAW DATA'!$C:$C=K$1)) / $A5)"),0.17079355608591884)</f>
        <v>0.1707935561</v>
      </c>
      <c r="H5" s="31">
        <f>IFERROR(__xludf.DUMMYFUNCTION("IFERROR((SUM(FILTER('RAW DATA'!$D:$D,'RAW DATA'!$A:$A=$B5,'RAW DATA'!$C:$C=L$1))+FILTER('RAW DATA'!$D:$D,'RAW DATA'!$A:$A=$B5,'RAW DATA'!$C:$C=M$1)) / $A5)"),0.2024164677804296)</f>
        <v>0.2024164678</v>
      </c>
      <c r="I5" s="31">
        <f>IFERROR(__xludf.DUMMYFUNCTION("IFERROR((SUM(FILTER('RAW DATA'!$D:$D,'RAW DATA'!$A:$A=$B5,'RAW DATA'!$C:$C=N$1))+FILTER('RAW DATA'!$D:$D,'RAW DATA'!$A:$A=$B5,'RAW DATA'!$C:$C=O$1)) / $A5)"),0.11619928400954654)</f>
        <v>0.116199284</v>
      </c>
      <c r="J5" s="31">
        <f>IFERROR(__xludf.DUMMYFUNCTION("IFERROR((SUM(FILTER('RAW DATA'!$D:$D,'RAW DATA'!$A:$A=$B5,'RAW DATA'!$C:$C=P$1))+FILTER('RAW DATA'!$D:$D,'RAW DATA'!$A:$A=$B5,'RAW DATA'!$C:$C=Q$1)) / $A5)"),0.18854415274463007)</f>
        <v>0.1885441527</v>
      </c>
      <c r="K5" s="31">
        <f>IFERROR(__xludf.DUMMYFUNCTION("IFERROR((SUM(FILTER('RAW DATA'!$D:$D,'RAW DATA'!$A:$A=$B5,'RAW DATA'!$C:$C=R$1))+FILTER('RAW DATA'!$D:$D,'RAW DATA'!$A:$A=$B5,'RAW DATA'!$C:$C=S$1)) / $A5)"),0.08741050119331742)</f>
        <v>0.08741050119</v>
      </c>
      <c r="L5" s="31">
        <f>IFERROR(__xludf.DUMMYFUNCTION("IFERROR((SUM(FILTER('RAW DATA'!$D:$D,'RAW DATA'!$A:$A=$B5,'RAW DATA'!$C:$C=T$1))+FILTER('RAW DATA'!$D:$D,'RAW DATA'!$A:$A=$B5,'RAW DATA'!$C:$C=U$1)) / $A5)"),0.17049522673031026)</f>
        <v>0.1704952267</v>
      </c>
      <c r="M5" s="31">
        <f>IFERROR(__xludf.DUMMYFUNCTION("IFERROR((SUM(FILTER('RAW DATA'!$D:$D,'RAW DATA'!$A:$A=$B5,'RAW DATA'!$C:$C=V$1))+FILTER('RAW DATA'!$D:$D,'RAW DATA'!$A:$A=$B5,'RAW DATA'!$C:$C=W$1)) / $A5)"),0.08920047732696898)</f>
        <v>0.08920047733</v>
      </c>
      <c r="N5" s="31">
        <f>IFERROR(__xludf.DUMMYFUNCTION("IFERROR((SUM(FILTER('RAW DATA'!$D:$D,'RAW DATA'!$A:$A=$B5,'RAW DATA'!$C:$C=X$1))) / $A5)"),0.013126491646778043)</f>
        <v>0.01312649165</v>
      </c>
    </row>
    <row r="6">
      <c r="A6" s="29">
        <f>IFERROR(__xludf.DUMMYFUNCTION("SUM(FILTER('RAW DATA'!$D:$D,'RAW DATA'!$A:$A=$B6,'RAW DATA'!$C:$C=A$1))"),8675.0)</f>
        <v>8675</v>
      </c>
      <c r="B6" s="30">
        <v>43268.0</v>
      </c>
      <c r="C6" s="31">
        <f>IFERROR(__xludf.DUMMYFUNCTION("IFERROR(SUM(FILTER('RAW DATA'!$D:$D,'RAW DATA'!$A:$A=$B6,'RAW DATA'!$C:$C=C$1)) / $A6)"),1.0)</f>
        <v>1</v>
      </c>
      <c r="D6" s="31">
        <f>IFERROR(__xludf.DUMMYFUNCTION("IFERROR((SUM(FILTER('RAW DATA'!$D:$D,'RAW DATA'!$A:$A=$B6,'RAW DATA'!$C:$C=D$1))+FILTER('RAW DATA'!$D:$D,'RAW DATA'!$A:$A=$B6,'RAW DATA'!$C:$C=E$1)) / $A6)"),0.035734870317002884)</f>
        <v>0.03573487032</v>
      </c>
      <c r="E6" s="31">
        <f>IFERROR(__xludf.DUMMYFUNCTION("IFERROR((SUM(FILTER('RAW DATA'!$D:$D,'RAW DATA'!$A:$A=$B6,'RAW DATA'!$C:$C=F$1))+FILTER('RAW DATA'!$D:$D,'RAW DATA'!$A:$A=$B6,'RAW DATA'!$C:$C=G$1)) / $A6)"),0.30178674351585016)</f>
        <v>0.3017867435</v>
      </c>
      <c r="F6" s="31">
        <f>IFERROR(__xludf.DUMMYFUNCTION("IFERROR((SUM(FILTER('RAW DATA'!$D:$D,'RAW DATA'!$A:$A=$B6,'RAW DATA'!$C:$C=H$1))+FILTER('RAW DATA'!$D:$D,'RAW DATA'!$A:$A=$B6,'RAW DATA'!$C:$C=I$1)) / $A6)"),0.14904899135446686)</f>
        <v>0.1490489914</v>
      </c>
      <c r="G6" s="31">
        <f>IFERROR(__xludf.DUMMYFUNCTION("IFERROR((SUM(FILTER('RAW DATA'!$D:$D,'RAW DATA'!$A:$A=$B6,'RAW DATA'!$C:$C=J$1))+FILTER('RAW DATA'!$D:$D,'RAW DATA'!$A:$A=$B6,'RAW DATA'!$C:$C=K$1)) / $A6)"),0.1846685878962536)</f>
        <v>0.1846685879</v>
      </c>
      <c r="H6" s="31">
        <f>IFERROR(__xludf.DUMMYFUNCTION("IFERROR((SUM(FILTER('RAW DATA'!$D:$D,'RAW DATA'!$A:$A=$B6,'RAW DATA'!$C:$C=L$1))+FILTER('RAW DATA'!$D:$D,'RAW DATA'!$A:$A=$B6,'RAW DATA'!$C:$C=M$1)) / $A6)"),0.19227665706051872)</f>
        <v>0.1922766571</v>
      </c>
      <c r="I6" s="31">
        <f>IFERROR(__xludf.DUMMYFUNCTION("IFERROR((SUM(FILTER('RAW DATA'!$D:$D,'RAW DATA'!$A:$A=$B6,'RAW DATA'!$C:$C=N$1))+FILTER('RAW DATA'!$D:$D,'RAW DATA'!$A:$A=$B6,'RAW DATA'!$C:$C=O$1)) / $A6)"),0.13025936599423632)</f>
        <v>0.130259366</v>
      </c>
      <c r="J6" s="31">
        <f>IFERROR(__xludf.DUMMYFUNCTION("IFERROR((SUM(FILTER('RAW DATA'!$D:$D,'RAW DATA'!$A:$A=$B6,'RAW DATA'!$C:$C=P$1))+FILTER('RAW DATA'!$D:$D,'RAW DATA'!$A:$A=$B6,'RAW DATA'!$C:$C=Q$1)) / $A6)"),0.15930835734870316)</f>
        <v>0.1593083573</v>
      </c>
      <c r="K6" s="31">
        <f>IFERROR(__xludf.DUMMYFUNCTION("IFERROR((SUM(FILTER('RAW DATA'!$D:$D,'RAW DATA'!$A:$A=$B6,'RAW DATA'!$C:$C=R$1))+FILTER('RAW DATA'!$D:$D,'RAW DATA'!$A:$A=$B6,'RAW DATA'!$C:$C=S$1)) / $A6)"),0.10789625360230548)</f>
        <v>0.1078962536</v>
      </c>
      <c r="L6" s="31">
        <f>IFERROR(__xludf.DUMMYFUNCTION("IFERROR((SUM(FILTER('RAW DATA'!$D:$D,'RAW DATA'!$A:$A=$B6,'RAW DATA'!$C:$C=T$1))+FILTER('RAW DATA'!$D:$D,'RAW DATA'!$A:$A=$B6,'RAW DATA'!$C:$C=U$1)) / $A6)"),0.16368876080691644)</f>
        <v>0.1636887608</v>
      </c>
      <c r="M6" s="31">
        <f>IFERROR(__xludf.DUMMYFUNCTION("IFERROR((SUM(FILTER('RAW DATA'!$D:$D,'RAW DATA'!$A:$A=$B6,'RAW DATA'!$C:$C=V$1))+FILTER('RAW DATA'!$D:$D,'RAW DATA'!$A:$A=$B6,'RAW DATA'!$C:$C=W$1)) / $A6)"),0.058328530259366)</f>
        <v>0.05832853026</v>
      </c>
      <c r="N6" s="31" t="str">
        <f>IFERROR(__xludf.DUMMYFUNCTION("IFERROR((SUM(FILTER('RAW DATA'!$D:$D,'RAW DATA'!$A:$A=$B6,'RAW DATA'!$C:$C=X$1))) / $A6)"),"")</f>
        <v/>
      </c>
    </row>
    <row r="7">
      <c r="A7" s="29">
        <f>IFERROR(__xludf.DUMMYFUNCTION("SUM(FILTER('RAW DATA'!$D:$D,'RAW DATA'!$A:$A=$B7,'RAW DATA'!$C:$C=A$1))"),7696.0)</f>
        <v>7696</v>
      </c>
      <c r="B7" s="30">
        <v>43275.0</v>
      </c>
      <c r="C7" s="31">
        <f>IFERROR(__xludf.DUMMYFUNCTION("IFERROR(SUM(FILTER('RAW DATA'!$D:$D,'RAW DATA'!$A:$A=$B7,'RAW DATA'!$C:$C=C$1)) / $A7)"),1.0)</f>
        <v>1</v>
      </c>
      <c r="D7" s="31">
        <f>IFERROR(__xludf.DUMMYFUNCTION("IFERROR((SUM(FILTER('RAW DATA'!$D:$D,'RAW DATA'!$A:$A=$B7,'RAW DATA'!$C:$C=D$1))+FILTER('RAW DATA'!$D:$D,'RAW DATA'!$A:$A=$B7,'RAW DATA'!$C:$C=E$1)) / $A7)"),0.03781185031185031)</f>
        <v>0.03781185031</v>
      </c>
      <c r="E7" s="31">
        <f>IFERROR(__xludf.DUMMYFUNCTION("IFERROR((SUM(FILTER('RAW DATA'!$D:$D,'RAW DATA'!$A:$A=$B7,'RAW DATA'!$C:$C=F$1))+FILTER('RAW DATA'!$D:$D,'RAW DATA'!$A:$A=$B7,'RAW DATA'!$C:$C=G$1)) / $A7)"),0.283004158004158)</f>
        <v>0.283004158</v>
      </c>
      <c r="F7" s="31">
        <f>IFERROR(__xludf.DUMMYFUNCTION("IFERROR((SUM(FILTER('RAW DATA'!$D:$D,'RAW DATA'!$A:$A=$B7,'RAW DATA'!$C:$C=H$1))+FILTER('RAW DATA'!$D:$D,'RAW DATA'!$A:$A=$B7,'RAW DATA'!$C:$C=I$1)) / $A7)"),0.16411122661122662)</f>
        <v>0.1641112266</v>
      </c>
      <c r="G7" s="31">
        <f>IFERROR(__xludf.DUMMYFUNCTION("IFERROR((SUM(FILTER('RAW DATA'!$D:$D,'RAW DATA'!$A:$A=$B7,'RAW DATA'!$C:$C=J$1))+FILTER('RAW DATA'!$D:$D,'RAW DATA'!$A:$A=$B7,'RAW DATA'!$C:$C=K$1)) / $A7)"),0.19477650727650728)</f>
        <v>0.1947765073</v>
      </c>
      <c r="H7" s="31">
        <f>IFERROR(__xludf.DUMMYFUNCTION("IFERROR((SUM(FILTER('RAW DATA'!$D:$D,'RAW DATA'!$A:$A=$B7,'RAW DATA'!$C:$C=L$1))+FILTER('RAW DATA'!$D:$D,'RAW DATA'!$A:$A=$B7,'RAW DATA'!$C:$C=M$1)) / $A7)"),0.1810031185031185)</f>
        <v>0.1810031185</v>
      </c>
      <c r="I7" s="31">
        <f>IFERROR(__xludf.DUMMYFUNCTION("IFERROR((SUM(FILTER('RAW DATA'!$D:$D,'RAW DATA'!$A:$A=$B7,'RAW DATA'!$C:$C=N$1))+FILTER('RAW DATA'!$D:$D,'RAW DATA'!$A:$A=$B7,'RAW DATA'!$C:$C=O$1)) / $A7)"),0.10135135135135136)</f>
        <v>0.1013513514</v>
      </c>
      <c r="J7" s="31">
        <f>IFERROR(__xludf.DUMMYFUNCTION("IFERROR((SUM(FILTER('RAW DATA'!$D:$D,'RAW DATA'!$A:$A=$B7,'RAW DATA'!$C:$C=P$1))+FILTER('RAW DATA'!$D:$D,'RAW DATA'!$A:$A=$B7,'RAW DATA'!$C:$C=Q$1)) / $A7)"),0.17346673596673598)</f>
        <v>0.173466736</v>
      </c>
      <c r="K7" s="31">
        <f>IFERROR(__xludf.DUMMYFUNCTION("IFERROR((SUM(FILTER('RAW DATA'!$D:$D,'RAW DATA'!$A:$A=$B7,'RAW DATA'!$C:$C=R$1))+FILTER('RAW DATA'!$D:$D,'RAW DATA'!$A:$A=$B7,'RAW DATA'!$C:$C=S$1)) / $A7)"),0.09043659043659044)</f>
        <v>0.09043659044</v>
      </c>
      <c r="L7" s="31">
        <f>IFERROR(__xludf.DUMMYFUNCTION("IFERROR((SUM(FILTER('RAW DATA'!$D:$D,'RAW DATA'!$A:$A=$B7,'RAW DATA'!$C:$C=T$1))+FILTER('RAW DATA'!$D:$D,'RAW DATA'!$A:$A=$B7,'RAW DATA'!$C:$C=U$1)) / $A7)"),0.1619022869022869)</f>
        <v>0.1619022869</v>
      </c>
      <c r="M7" s="31" t="str">
        <f>IFERROR(__xludf.DUMMYFUNCTION("IFERROR((SUM(FILTER('RAW DATA'!$D:$D,'RAW DATA'!$A:$A=$B7,'RAW DATA'!$C:$C=V$1))+FILTER('RAW DATA'!$D:$D,'RAW DATA'!$A:$A=$B7,'RAW DATA'!$C:$C=W$1)) / $A7)"),"")</f>
        <v/>
      </c>
      <c r="N7" s="31" t="str">
        <f>IFERROR(__xludf.DUMMYFUNCTION("IFERROR((SUM(FILTER('RAW DATA'!$D:$D,'RAW DATA'!$A:$A=$B7,'RAW DATA'!$C:$C=X$1))) / $A7)"),"")</f>
        <v/>
      </c>
    </row>
    <row r="8">
      <c r="A8" s="29">
        <f>IFERROR(__xludf.DUMMYFUNCTION("SUM(FILTER('RAW DATA'!$D:$D,'RAW DATA'!$A:$A=$B8,'RAW DATA'!$C:$C=A$1))"),8505.0)</f>
        <v>8505</v>
      </c>
      <c r="B8" s="30">
        <v>43282.0</v>
      </c>
      <c r="C8" s="31">
        <f>IFERROR(__xludf.DUMMYFUNCTION("IFERROR(SUM(FILTER('RAW DATA'!$D:$D,'RAW DATA'!$A:$A=$B8,'RAW DATA'!$C:$C=C$1)) / $A8)"),1.0)</f>
        <v>1</v>
      </c>
      <c r="D8" s="31">
        <f>IFERROR(__xludf.DUMMYFUNCTION("IFERROR((SUM(FILTER('RAW DATA'!$D:$D,'RAW DATA'!$A:$A=$B8,'RAW DATA'!$C:$C=D$1))+FILTER('RAW DATA'!$D:$D,'RAW DATA'!$A:$A=$B8,'RAW DATA'!$C:$C=E$1)) / $A8)"),0.03786008230452675)</f>
        <v>0.0378600823</v>
      </c>
      <c r="E8" s="31">
        <f>IFERROR(__xludf.DUMMYFUNCTION("IFERROR((SUM(FILTER('RAW DATA'!$D:$D,'RAW DATA'!$A:$A=$B8,'RAW DATA'!$C:$C=F$1))+FILTER('RAW DATA'!$D:$D,'RAW DATA'!$A:$A=$B8,'RAW DATA'!$C:$C=G$1)) / $A8)"),0.26161081716637274)</f>
        <v>0.2616108172</v>
      </c>
      <c r="F8" s="31">
        <f>IFERROR(__xludf.DUMMYFUNCTION("IFERROR((SUM(FILTER('RAW DATA'!$D:$D,'RAW DATA'!$A:$A=$B8,'RAW DATA'!$C:$C=H$1))+FILTER('RAW DATA'!$D:$D,'RAW DATA'!$A:$A=$B8,'RAW DATA'!$C:$C=I$1)) / $A8)"),0.17507348618459728)</f>
        <v>0.1750734862</v>
      </c>
      <c r="G8" s="31">
        <f>IFERROR(__xludf.DUMMYFUNCTION("IFERROR((SUM(FILTER('RAW DATA'!$D:$D,'RAW DATA'!$A:$A=$B8,'RAW DATA'!$C:$C=J$1))+FILTER('RAW DATA'!$D:$D,'RAW DATA'!$A:$A=$B8,'RAW DATA'!$C:$C=K$1)) / $A8)"),0.17436801881246325)</f>
        <v>0.1743680188</v>
      </c>
      <c r="H8" s="31">
        <f>IFERROR(__xludf.DUMMYFUNCTION("IFERROR((SUM(FILTER('RAW DATA'!$D:$D,'RAW DATA'!$A:$A=$B8,'RAW DATA'!$C:$C=L$1))+FILTER('RAW DATA'!$D:$D,'RAW DATA'!$A:$A=$B8,'RAW DATA'!$C:$C=M$1)) / $A8)"),0.1868312757201646)</f>
        <v>0.1868312757</v>
      </c>
      <c r="I8" s="31">
        <f>IFERROR(__xludf.DUMMYFUNCTION("IFERROR((SUM(FILTER('RAW DATA'!$D:$D,'RAW DATA'!$A:$A=$B8,'RAW DATA'!$C:$C=N$1))+FILTER('RAW DATA'!$D:$D,'RAW DATA'!$A:$A=$B8,'RAW DATA'!$C:$C=O$1)) / $A8)"),0.09512051734273956)</f>
        <v>0.09512051734</v>
      </c>
      <c r="J8" s="31">
        <f>IFERROR(__xludf.DUMMYFUNCTION("IFERROR((SUM(FILTER('RAW DATA'!$D:$D,'RAW DATA'!$A:$A=$B8,'RAW DATA'!$C:$C=P$1))+FILTER('RAW DATA'!$D:$D,'RAW DATA'!$A:$A=$B8,'RAW DATA'!$C:$C=Q$1)) / $A8)"),0.18694885361552027)</f>
        <v>0.1869488536</v>
      </c>
      <c r="K8" s="31">
        <f>IFERROR(__xludf.DUMMYFUNCTION("IFERROR((SUM(FILTER('RAW DATA'!$D:$D,'RAW DATA'!$A:$A=$B8,'RAW DATA'!$C:$C=R$1))+FILTER('RAW DATA'!$D:$D,'RAW DATA'!$A:$A=$B8,'RAW DATA'!$C:$C=S$1)) / $A8)"),0.08453850676072898)</f>
        <v>0.08453850676</v>
      </c>
      <c r="L8" s="31">
        <f>IFERROR(__xludf.DUMMYFUNCTION("IFERROR((SUM(FILTER('RAW DATA'!$D:$D,'RAW DATA'!$A:$A=$B8,'RAW DATA'!$C:$C=T$1))+FILTER('RAW DATA'!$D:$D,'RAW DATA'!$A:$A=$B8,'RAW DATA'!$C:$C=U$1)) / $A8)"),0.12110523221634333)</f>
        <v>0.1211052322</v>
      </c>
      <c r="M8" s="31" t="str">
        <f>IFERROR(__xludf.DUMMYFUNCTION("IFERROR((SUM(FILTER('RAW DATA'!$D:$D,'RAW DATA'!$A:$A=$B8,'RAW DATA'!$C:$C=V$1))+FILTER('RAW DATA'!$D:$D,'RAW DATA'!$A:$A=$B8,'RAW DATA'!$C:$C=W$1)) / $A8)"),"")</f>
        <v/>
      </c>
      <c r="N8" s="31" t="str">
        <f>IFERROR(__xludf.DUMMYFUNCTION("IFERROR((SUM(FILTER('RAW DATA'!$D:$D,'RAW DATA'!$A:$A=$B8,'RAW DATA'!$C:$C=X$1))) / $A8)"),"")</f>
        <v/>
      </c>
    </row>
    <row r="9">
      <c r="A9" s="29"/>
      <c r="B9" s="36"/>
      <c r="C9" s="31" t="str">
        <f>IFERROR(__xludf.DUMMYFUNCTION("IFERROR(FILTER('RAW DATA'!$D:$D,'RAW DATA'!$B:$B=$B9,'RAW DATA'!$C:$C=C$1) / $A9)"),"")</f>
        <v/>
      </c>
      <c r="D9" s="31" t="str">
        <f>IFERROR(__xludf.DUMMYFUNCTION("IFERROR(FILTER('RAW DATA'!$D:$D,'RAW DATA'!$B:$B=$B9,'RAW DATA'!$C:$C=D$1) / $A9)"),"")</f>
        <v/>
      </c>
      <c r="E9" s="31" t="str">
        <f>IFERROR(__xludf.DUMMYFUNCTION("IFERROR(FILTER('RAW DATA'!$D:$D,'RAW DATA'!$B:$B=$B9,'RAW DATA'!$C:$C=F$1) / $A9)"),"")</f>
        <v/>
      </c>
      <c r="F9" s="31" t="str">
        <f>IFERROR(__xludf.DUMMYFUNCTION("IFERROR(FILTER('RAW DATA'!$D:$D,'RAW DATA'!$B:$B=$B9,'RAW DATA'!$C:$C=H$1) / $A9)"),"")</f>
        <v/>
      </c>
      <c r="G9" s="31" t="str">
        <f>IFERROR(__xludf.DUMMYFUNCTION("IFERROR(FILTER('RAW DATA'!$D:$D,'RAW DATA'!$B:$B=$B9,'RAW DATA'!$C:$C=J$1) / $A9)"),"")</f>
        <v/>
      </c>
      <c r="H9" s="31" t="str">
        <f>IFERROR(__xludf.DUMMYFUNCTION("IFERROR(FILTER('RAW DATA'!$D:$D,'RAW DATA'!$B:$B=$B9,'RAW DATA'!$C:$C=L$1) / $A9)"),"")</f>
        <v/>
      </c>
      <c r="I9" s="31" t="str">
        <f>IFERROR(__xludf.DUMMYFUNCTION("IFERROR(FILTER('RAW DATA'!$D:$D,'RAW DATA'!$B:$B=$B9,'RAW DATA'!$C:$C=N$1) / $A9)"),"")</f>
        <v/>
      </c>
      <c r="J9" s="31" t="str">
        <f>IFERROR(__xludf.DUMMYFUNCTION("IFERROR(FILTER('RAW DATA'!$D:$D,'RAW DATA'!$B:$B=$B9,'RAW DATA'!$C:$C=P$1) / $A9)"),"")</f>
        <v/>
      </c>
      <c r="K9" s="31" t="str">
        <f>IFERROR(__xludf.DUMMYFUNCTION("IFERROR(FILTER('RAW DATA'!$D:$D,'RAW DATA'!$B:$B=$B9,'RAW DATA'!$C:$C=R$1) / $A9)"),"")</f>
        <v/>
      </c>
      <c r="L9" s="31" t="str">
        <f>IFERROR(__xludf.DUMMYFUNCTION("IFERROR(FILTER('RAW DATA'!$D:$D,'RAW DATA'!$B:$B=$B9,'RAW DATA'!$C:$C=T$1) / $A9)"),"")</f>
        <v/>
      </c>
      <c r="M9" s="31" t="str">
        <f>IFERROR(__xludf.DUMMYFUNCTION("IFERROR(FILTER('RAW DATA'!$D:$D,'RAW DATA'!$B:$B=$B9,'RAW DATA'!$C:$C=V$1) / $A9)"),"")</f>
        <v/>
      </c>
      <c r="N9" s="31" t="str">
        <f>IFERROR(__xludf.DUMMYFUNCTION("IFERROR(FILTER('RAW DATA'!$D:$D,'RAW DATA'!$B:$B=$B9,'RAW DATA'!$C:$C=X$1) / $A9)"),"")</f>
        <v/>
      </c>
    </row>
    <row r="10">
      <c r="A10" s="29"/>
      <c r="B10" s="38" t="s">
        <v>33</v>
      </c>
      <c r="C10" s="31"/>
      <c r="D10" s="31">
        <f t="shared" ref="D10:N10" si="2">D8-D4</f>
        <v>-0.001127055959</v>
      </c>
      <c r="E10" s="31">
        <f t="shared" si="2"/>
        <v>0.1631381484</v>
      </c>
      <c r="F10" s="31">
        <f t="shared" si="2"/>
        <v>-0.1605374463</v>
      </c>
      <c r="G10" s="31">
        <f t="shared" si="2"/>
        <v>0.07428763296</v>
      </c>
      <c r="H10" s="31">
        <f t="shared" si="2"/>
        <v>-0.07361888505</v>
      </c>
      <c r="I10" s="31">
        <f t="shared" si="2"/>
        <v>-0.003352151468</v>
      </c>
      <c r="J10" s="35">
        <f t="shared" si="2"/>
        <v>0.0004536767666</v>
      </c>
      <c r="K10" s="31">
        <f t="shared" si="2"/>
        <v>0.001741079108</v>
      </c>
      <c r="L10" s="35">
        <f t="shared" si="2"/>
        <v>-0.04569541087</v>
      </c>
      <c r="M10" s="31">
        <f t="shared" si="2"/>
        <v>-0.08480707395</v>
      </c>
      <c r="N10" s="31">
        <f t="shared" si="2"/>
        <v>-0.05305466238</v>
      </c>
    </row>
    <row r="11">
      <c r="A11" s="29"/>
      <c r="B11" s="36"/>
      <c r="C11" s="31" t="str">
        <f>IFERROR(__xludf.DUMMYFUNCTION("IFERROR(FILTER('RAW DATA'!$D:$D,'RAW DATA'!$B:$B=$B11,'RAW DATA'!$C:$C=C$1) / $A11)"),"")</f>
        <v/>
      </c>
      <c r="D11" s="31" t="str">
        <f>IFERROR(__xludf.DUMMYFUNCTION("IFERROR(FILTER('RAW DATA'!$D:$D,'RAW DATA'!$B:$B=$B11,'RAW DATA'!$C:$C=D$1) / $A11)"),"")</f>
        <v/>
      </c>
      <c r="E11" s="31" t="str">
        <f>IFERROR(__xludf.DUMMYFUNCTION("IFERROR(FILTER('RAW DATA'!$D:$D,'RAW DATA'!$B:$B=$B11,'RAW DATA'!$C:$C=F$1) / $A11)"),"")</f>
        <v/>
      </c>
      <c r="F11" s="31"/>
      <c r="G11" s="31"/>
      <c r="H11" s="31"/>
      <c r="I11" s="31"/>
      <c r="J11" s="31">
        <f>J8-J5</f>
        <v>-0.001595299129</v>
      </c>
      <c r="K11" s="31"/>
      <c r="L11" s="31">
        <f>L8-L5</f>
        <v>-0.04938999451</v>
      </c>
      <c r="M11" s="31" t="str">
        <f>IFERROR(__xludf.DUMMYFUNCTION("IFERROR(FILTER('RAW DATA'!$D:$D,'RAW DATA'!$B:$B=$B11,'RAW DATA'!$C:$C=V$1) / $A11)"),"")</f>
        <v/>
      </c>
      <c r="N11" s="31" t="str">
        <f>IFERROR(__xludf.DUMMYFUNCTION("IFERROR(FILTER('RAW DATA'!$D:$D,'RAW DATA'!$B:$B=$B11,'RAW DATA'!$C:$C=X$1) / $A11)"),"")</f>
        <v/>
      </c>
    </row>
    <row r="12">
      <c r="A12" s="29"/>
      <c r="B12" s="36"/>
      <c r="C12" s="31" t="str">
        <f>IFERROR(__xludf.DUMMYFUNCTION("IFERROR(FILTER('RAW DATA'!$D:$D,'RAW DATA'!$B:$B=$B12,'RAW DATA'!$C:$C=C$1) / $A12)"),"")</f>
        <v/>
      </c>
      <c r="D12" s="31" t="str">
        <f>IFERROR(__xludf.DUMMYFUNCTION("IFERROR(FILTER('RAW DATA'!$D:$D,'RAW DATA'!$B:$B=$B12,'RAW DATA'!$C:$C=D$1) / $A12)"),"")</f>
        <v/>
      </c>
      <c r="E12" s="31">
        <f>E8-F4</f>
        <v>-0.07400011531</v>
      </c>
      <c r="F12" s="31" t="str">
        <f>IFERROR(__xludf.DUMMYFUNCTION("IFERROR(FILTER('RAW DATA'!$D:$D,'RAW DATA'!$B:$B=$B12,'RAW DATA'!$C:$C=H$1) / $A12)"),"")</f>
        <v/>
      </c>
      <c r="G12" s="31">
        <f>G8-H4</f>
        <v>-0.08608214196</v>
      </c>
      <c r="H12" s="31" t="str">
        <f>IFERROR(__xludf.DUMMYFUNCTION("IFERROR(FILTER('RAW DATA'!$D:$D,'RAW DATA'!$B:$B=$B12,'RAW DATA'!$C:$C=L$1) / $A12)"),"")</f>
        <v/>
      </c>
      <c r="I12" s="31">
        <f>I8-J4</f>
        <v>-0.09137465951</v>
      </c>
      <c r="J12" s="31"/>
      <c r="K12" s="31">
        <f>K8-L4</f>
        <v>-0.08226213633</v>
      </c>
      <c r="L12" s="31"/>
      <c r="M12" s="31" t="str">
        <f>IFERROR(__xludf.DUMMYFUNCTION("IFERROR(FILTER('RAW DATA'!$D:$D,'RAW DATA'!$B:$B=$B12,'RAW DATA'!$C:$C=V$1) / $A12)"),"")</f>
        <v/>
      </c>
      <c r="N12" s="31" t="str">
        <f>IFERROR(__xludf.DUMMYFUNCTION("IFERROR(FILTER('RAW DATA'!$D:$D,'RAW DATA'!$B:$B=$B12,'RAW DATA'!$C:$C=X$1) / $A12)"),"")</f>
        <v/>
      </c>
    </row>
    <row r="13">
      <c r="A13" s="29"/>
      <c r="B13" s="36"/>
      <c r="C13" s="31" t="str">
        <f>IFERROR(__xludf.DUMMYFUNCTION("IFERROR(FILTER('RAW DATA'!$D:$D,'RAW DATA'!$B:$B=$B13,'RAW DATA'!$C:$C=C$1) / $A13)"),"")</f>
        <v/>
      </c>
      <c r="D13" s="31" t="str">
        <f>IFERROR(__xludf.DUMMYFUNCTION("IFERROR(FILTER('RAW DATA'!$D:$D,'RAW DATA'!$B:$B=$B13,'RAW DATA'!$C:$C=D$1) / $A13)"),"")</f>
        <v/>
      </c>
      <c r="E13" s="31" t="str">
        <f>IFERROR(__xludf.DUMMYFUNCTION("IFERROR(FILTER('RAW DATA'!$D:$D,'RAW DATA'!$B:$B=$B13,'RAW DATA'!$C:$C=F$1) / $A13)"),"")</f>
        <v/>
      </c>
      <c r="F13" s="31" t="str">
        <f>IFERROR(__xludf.DUMMYFUNCTION("IFERROR(FILTER('RAW DATA'!$D:$D,'RAW DATA'!$B:$B=$B13,'RAW DATA'!$C:$C=H$1) / $A13)"),"")</f>
        <v/>
      </c>
      <c r="G13" s="31" t="str">
        <f>IFERROR(__xludf.DUMMYFUNCTION("IFERROR(FILTER('RAW DATA'!$D:$D,'RAW DATA'!$B:$B=$B13,'RAW DATA'!$C:$C=J$1) / $A13)"),"")</f>
        <v/>
      </c>
      <c r="H13" s="31" t="str">
        <f>IFERROR(__xludf.DUMMYFUNCTION("IFERROR(FILTER('RAW DATA'!$D:$D,'RAW DATA'!$B:$B=$B13,'RAW DATA'!$C:$C=L$1) / $A13)"),"")</f>
        <v/>
      </c>
      <c r="I13" s="31" t="str">
        <f>IFERROR(__xludf.DUMMYFUNCTION("IFERROR(FILTER('RAW DATA'!$D:$D,'RAW DATA'!$B:$B=$B13,'RAW DATA'!$C:$C=N$1) / $A13)"),"")</f>
        <v/>
      </c>
      <c r="J13" s="31" t="str">
        <f>IFERROR(__xludf.DUMMYFUNCTION("IFERROR(FILTER('RAW DATA'!$D:$D,'RAW DATA'!$B:$B=$B13,'RAW DATA'!$C:$C=P$1) / $A13)"),"")</f>
        <v/>
      </c>
      <c r="K13" s="31" t="str">
        <f>IFERROR(__xludf.DUMMYFUNCTION("IFERROR(FILTER('RAW DATA'!$D:$D,'RAW DATA'!$B:$B=$B13,'RAW DATA'!$C:$C=R$1) / $A13)"),"")</f>
        <v/>
      </c>
      <c r="L13" s="31" t="str">
        <f>IFERROR(__xludf.DUMMYFUNCTION("IFERROR(FILTER('RAW DATA'!$D:$D,'RAW DATA'!$B:$B=$B13,'RAW DATA'!$C:$C=T$1) / $A13)"),"")</f>
        <v/>
      </c>
      <c r="M13" s="31" t="str">
        <f>IFERROR(__xludf.DUMMYFUNCTION("IFERROR(FILTER('RAW DATA'!$D:$D,'RAW DATA'!$B:$B=$B13,'RAW DATA'!$C:$C=V$1) / $A13)"),"")</f>
        <v/>
      </c>
      <c r="N13" s="31" t="str">
        <f>IFERROR(__xludf.DUMMYFUNCTION("IFERROR(FILTER('RAW DATA'!$D:$D,'RAW DATA'!$B:$B=$B13,'RAW DATA'!$C:$C=X$1) / $A13)"),"")</f>
        <v/>
      </c>
    </row>
    <row r="14">
      <c r="A14" s="29"/>
      <c r="B14" s="36"/>
      <c r="C14" s="31" t="str">
        <f>IFERROR(__xludf.DUMMYFUNCTION("IFERROR(FILTER('RAW DATA'!$D:$D,'RAW DATA'!$B:$B=$B14,'RAW DATA'!$C:$C=C$1) / $A14)"),"")</f>
        <v/>
      </c>
      <c r="D14" s="31" t="str">
        <f>IFERROR(__xludf.DUMMYFUNCTION("IFERROR(FILTER('RAW DATA'!$D:$D,'RAW DATA'!$B:$B=$B14,'RAW DATA'!$C:$C=D$1) / $A14)"),"")</f>
        <v/>
      </c>
      <c r="E14" s="31" t="str">
        <f>IFERROR(__xludf.DUMMYFUNCTION("IFERROR(FILTER('RAW DATA'!$D:$D,'RAW DATA'!$B:$B=$B14,'RAW DATA'!$C:$C=F$1) / $A14)"),"")</f>
        <v/>
      </c>
      <c r="F14" s="31" t="str">
        <f>IFERROR(__xludf.DUMMYFUNCTION("IFERROR(FILTER('RAW DATA'!$D:$D,'RAW DATA'!$B:$B=$B14,'RAW DATA'!$C:$C=H$1) / $A14)"),"")</f>
        <v/>
      </c>
      <c r="G14" s="31" t="str">
        <f>IFERROR(__xludf.DUMMYFUNCTION("IFERROR(FILTER('RAW DATA'!$D:$D,'RAW DATA'!$B:$B=$B14,'RAW DATA'!$C:$C=J$1) / $A14)"),"")</f>
        <v/>
      </c>
      <c r="H14" s="31" t="str">
        <f>IFERROR(__xludf.DUMMYFUNCTION("IFERROR(FILTER('RAW DATA'!$D:$D,'RAW DATA'!$B:$B=$B14,'RAW DATA'!$C:$C=L$1) / $A14)"),"")</f>
        <v/>
      </c>
      <c r="I14" s="31" t="str">
        <f>IFERROR(__xludf.DUMMYFUNCTION("IFERROR(FILTER('RAW DATA'!$D:$D,'RAW DATA'!$B:$B=$B14,'RAW DATA'!$C:$C=N$1) / $A14)"),"")</f>
        <v/>
      </c>
      <c r="J14" s="31" t="str">
        <f>IFERROR(__xludf.DUMMYFUNCTION("IFERROR(FILTER('RAW DATA'!$D:$D,'RAW DATA'!$B:$B=$B14,'RAW DATA'!$C:$C=P$1) / $A14)"),"")</f>
        <v/>
      </c>
      <c r="K14" s="31" t="str">
        <f>IFERROR(__xludf.DUMMYFUNCTION("IFERROR(FILTER('RAW DATA'!$D:$D,'RAW DATA'!$B:$B=$B14,'RAW DATA'!$C:$C=R$1) / $A14)"),"")</f>
        <v/>
      </c>
      <c r="L14" s="31" t="str">
        <f>IFERROR(__xludf.DUMMYFUNCTION("IFERROR(FILTER('RAW DATA'!$D:$D,'RAW DATA'!$B:$B=$B14,'RAW DATA'!$C:$C=T$1) / $A14)"),"")</f>
        <v/>
      </c>
      <c r="M14" s="31" t="str">
        <f>IFERROR(__xludf.DUMMYFUNCTION("IFERROR(FILTER('RAW DATA'!$D:$D,'RAW DATA'!$B:$B=$B14,'RAW DATA'!$C:$C=V$1) / $A14)"),"")</f>
        <v/>
      </c>
      <c r="N14" s="31" t="str">
        <f>IFERROR(__xludf.DUMMYFUNCTION("IFERROR(FILTER('RAW DATA'!$D:$D,'RAW DATA'!$B:$B=$B14,'RAW DATA'!$C:$C=X$1) / $A14)"),"")</f>
        <v/>
      </c>
    </row>
    <row r="15">
      <c r="A15" s="29"/>
      <c r="B15" s="36"/>
      <c r="C15" s="31" t="str">
        <f>IFERROR(__xludf.DUMMYFUNCTION("IFERROR(FILTER('RAW DATA'!$D:$D,'RAW DATA'!$B:$B=$B15,'RAW DATA'!$C:$C=C$1) / $A15)"),"")</f>
        <v/>
      </c>
      <c r="D15" s="31" t="str">
        <f>IFERROR(__xludf.DUMMYFUNCTION("IFERROR(FILTER('RAW DATA'!$D:$D,'RAW DATA'!$B:$B=$B15,'RAW DATA'!$C:$C=D$1) / $A15)"),"")</f>
        <v/>
      </c>
      <c r="E15" s="31" t="str">
        <f>IFERROR(__xludf.DUMMYFUNCTION("IFERROR(FILTER('RAW DATA'!$D:$D,'RAW DATA'!$B:$B=$B15,'RAW DATA'!$C:$C=F$1) / $A15)"),"")</f>
        <v/>
      </c>
      <c r="F15" s="31" t="str">
        <f>IFERROR(__xludf.DUMMYFUNCTION("IFERROR(FILTER('RAW DATA'!$D:$D,'RAW DATA'!$B:$B=$B15,'RAW DATA'!$C:$C=G$1) / $A15)"),"")</f>
        <v/>
      </c>
      <c r="G15" s="31" t="str">
        <f>IFERROR(__xludf.DUMMYFUNCTION("IFERROR(FILTER('RAW DATA'!$D:$D,'RAW DATA'!$B:$B=$B15,'RAW DATA'!$C:$C=I$1) / $A15)"),"")</f>
        <v/>
      </c>
      <c r="H15" s="31" t="str">
        <f>IFERROR(__xludf.DUMMYFUNCTION("IFERROR(FILTER('RAW DATA'!$D:$D,'RAW DATA'!$B:$B=$B15,'RAW DATA'!$C:$C=K$1) / $A15)"),"")</f>
        <v/>
      </c>
      <c r="I15" s="31" t="str">
        <f>IFERROR(__xludf.DUMMYFUNCTION("IFERROR(FILTER('RAW DATA'!$D:$D,'RAW DATA'!$B:$B=$B15,'RAW DATA'!$C:$C=M$1) / $A15)"),"")</f>
        <v/>
      </c>
      <c r="J15" s="31" t="str">
        <f>IFERROR(__xludf.DUMMYFUNCTION("IFERROR(FILTER('RAW DATA'!$D:$D,'RAW DATA'!$B:$B=$B15,'RAW DATA'!$C:$C=O$1) / $A15)"),"")</f>
        <v/>
      </c>
      <c r="K15" s="31" t="str">
        <f>IFERROR(__xludf.DUMMYFUNCTION("IFERROR(FILTER('RAW DATA'!$D:$D,'RAW DATA'!$B:$B=$B15,'RAW DATA'!$C:$C=Q$1) / $A15)"),"")</f>
        <v/>
      </c>
      <c r="L15" s="31" t="str">
        <f>IFERROR(__xludf.DUMMYFUNCTION("IFERROR(FILTER('RAW DATA'!$D:$D,'RAW DATA'!$B:$B=$B15,'RAW DATA'!$C:$C=S$1) / $A15)"),"")</f>
        <v/>
      </c>
      <c r="M15" s="31" t="str">
        <f>IFERROR(__xludf.DUMMYFUNCTION("IFERROR(FILTER('RAW DATA'!$D:$D,'RAW DATA'!$B:$B=$B15,'RAW DATA'!$C:$C=U$1) / $A15)"),"")</f>
        <v/>
      </c>
      <c r="N15" s="31" t="str">
        <f>IFERROR(__xludf.DUMMYFUNCTION("IFERROR(FILTER('RAW DATA'!$D:$D,'RAW DATA'!$B:$B=$B15,'RAW DATA'!$C:$C=W$1) / $A15)"),"")</f>
        <v/>
      </c>
      <c r="O15" s="31" t="str">
        <f>IFERROR(__xludf.DUMMYFUNCTION("IFERROR(FILTER('RAW DATA'!$D:$D,'RAW DATA'!$B:$B=$B15,'RAW DATA'!$C:$C=X$1) / $A15)"),"")</f>
        <v/>
      </c>
    </row>
    <row r="16">
      <c r="A16" s="29"/>
      <c r="B16" s="36"/>
      <c r="C16" s="31" t="str">
        <f>IFERROR(__xludf.DUMMYFUNCTION("IFERROR(FILTER('RAW DATA'!$D:$D,'RAW DATA'!$B:$B=$B16,'RAW DATA'!$C:$C=C$1) / $A16)"),"")</f>
        <v/>
      </c>
      <c r="D16" s="31" t="str">
        <f>IFERROR(__xludf.DUMMYFUNCTION("IFERROR(FILTER('RAW DATA'!$D:$D,'RAW DATA'!$B:$B=$B16,'RAW DATA'!$C:$C=D$1) / $A16)"),"")</f>
        <v/>
      </c>
      <c r="E16" s="31" t="str">
        <f>IFERROR(__xludf.DUMMYFUNCTION("IFERROR(FILTER('RAW DATA'!$D:$D,'RAW DATA'!$B:$B=$B16,'RAW DATA'!$C:$C=F$1) / $A16)"),"")</f>
        <v/>
      </c>
      <c r="F16" s="31" t="str">
        <f>IFERROR(__xludf.DUMMYFUNCTION("IFERROR(FILTER('RAW DATA'!$D:$D,'RAW DATA'!$B:$B=$B16,'RAW DATA'!$C:$C=G$1) / $A16)"),"")</f>
        <v/>
      </c>
      <c r="G16" s="31" t="str">
        <f>IFERROR(__xludf.DUMMYFUNCTION("IFERROR(FILTER('RAW DATA'!$D:$D,'RAW DATA'!$B:$B=$B16,'RAW DATA'!$C:$C=I$1) / $A16)"),"")</f>
        <v/>
      </c>
      <c r="H16" s="31" t="str">
        <f>IFERROR(__xludf.DUMMYFUNCTION("IFERROR(FILTER('RAW DATA'!$D:$D,'RAW DATA'!$B:$B=$B16,'RAW DATA'!$C:$C=K$1) / $A16)"),"")</f>
        <v/>
      </c>
      <c r="I16" s="31" t="str">
        <f>IFERROR(__xludf.DUMMYFUNCTION("IFERROR(FILTER('RAW DATA'!$D:$D,'RAW DATA'!$B:$B=$B16,'RAW DATA'!$C:$C=M$1) / $A16)"),"")</f>
        <v/>
      </c>
      <c r="J16" s="31" t="str">
        <f>IFERROR(__xludf.DUMMYFUNCTION("IFERROR(FILTER('RAW DATA'!$D:$D,'RAW DATA'!$B:$B=$B16,'RAW DATA'!$C:$C=O$1) / $A16)"),"")</f>
        <v/>
      </c>
      <c r="K16" s="31" t="str">
        <f>IFERROR(__xludf.DUMMYFUNCTION("IFERROR(FILTER('RAW DATA'!$D:$D,'RAW DATA'!$B:$B=$B16,'RAW DATA'!$C:$C=Q$1) / $A16)"),"")</f>
        <v/>
      </c>
      <c r="L16" s="31" t="str">
        <f>IFERROR(__xludf.DUMMYFUNCTION("IFERROR(FILTER('RAW DATA'!$D:$D,'RAW DATA'!$B:$B=$B16,'RAW DATA'!$C:$C=S$1) / $A16)"),"")</f>
        <v/>
      </c>
      <c r="M16" s="31" t="str">
        <f>IFERROR(__xludf.DUMMYFUNCTION("IFERROR(FILTER('RAW DATA'!$D:$D,'RAW DATA'!$B:$B=$B16,'RAW DATA'!$C:$C=U$1) / $A16)"),"")</f>
        <v/>
      </c>
      <c r="N16" s="31" t="str">
        <f>IFERROR(__xludf.DUMMYFUNCTION("IFERROR(FILTER('RAW DATA'!$D:$D,'RAW DATA'!$B:$B=$B16,'RAW DATA'!$C:$C=W$1) / $A16)"),"")</f>
        <v/>
      </c>
      <c r="O16" s="31" t="str">
        <f>IFERROR(__xludf.DUMMYFUNCTION("IFERROR(FILTER('RAW DATA'!$D:$D,'RAW DATA'!$B:$B=$B16,'RAW DATA'!$C:$C=X$1) / $A16)"),"")</f>
        <v/>
      </c>
    </row>
    <row r="17">
      <c r="A17" s="29"/>
      <c r="B17" s="36"/>
      <c r="C17" s="31" t="str">
        <f>IFERROR(__xludf.DUMMYFUNCTION("IFERROR(FILTER('RAW DATA'!$D:$D,'RAW DATA'!$B:$B=$B17,'RAW DATA'!$C:$C=C$1) / $A17)"),"")</f>
        <v/>
      </c>
      <c r="D17" s="31" t="str">
        <f>IFERROR(__xludf.DUMMYFUNCTION("IFERROR(FILTER('RAW DATA'!$D:$D,'RAW DATA'!$B:$B=$B17,'RAW DATA'!$C:$C=D$1) / $A17)"),"")</f>
        <v/>
      </c>
      <c r="E17" s="31" t="str">
        <f>IFERROR(__xludf.DUMMYFUNCTION("IFERROR(FILTER('RAW DATA'!$D:$D,'RAW DATA'!$B:$B=$B17,'RAW DATA'!$C:$C=F$1) / $A17)"),"")</f>
        <v/>
      </c>
      <c r="F17" s="31" t="str">
        <f>IFERROR(__xludf.DUMMYFUNCTION("IFERROR(FILTER('RAW DATA'!$D:$D,'RAW DATA'!$B:$B=$B17,'RAW DATA'!$C:$C=G$1) / $A17)"),"")</f>
        <v/>
      </c>
      <c r="G17" s="31" t="str">
        <f>IFERROR(__xludf.DUMMYFUNCTION("IFERROR(FILTER('RAW DATA'!$D:$D,'RAW DATA'!$B:$B=$B17,'RAW DATA'!$C:$C=I$1) / $A17)"),"")</f>
        <v/>
      </c>
      <c r="H17" s="31" t="str">
        <f>IFERROR(__xludf.DUMMYFUNCTION("IFERROR(FILTER('RAW DATA'!$D:$D,'RAW DATA'!$B:$B=$B17,'RAW DATA'!$C:$C=K$1) / $A17)"),"")</f>
        <v/>
      </c>
      <c r="I17" s="31" t="str">
        <f>IFERROR(__xludf.DUMMYFUNCTION("IFERROR(FILTER('RAW DATA'!$D:$D,'RAW DATA'!$B:$B=$B17,'RAW DATA'!$C:$C=M$1) / $A17)"),"")</f>
        <v/>
      </c>
      <c r="J17" s="31" t="str">
        <f>IFERROR(__xludf.DUMMYFUNCTION("IFERROR(FILTER('RAW DATA'!$D:$D,'RAW DATA'!$B:$B=$B17,'RAW DATA'!$C:$C=O$1) / $A17)"),"")</f>
        <v/>
      </c>
      <c r="K17" s="31" t="str">
        <f>IFERROR(__xludf.DUMMYFUNCTION("IFERROR(FILTER('RAW DATA'!$D:$D,'RAW DATA'!$B:$B=$B17,'RAW DATA'!$C:$C=Q$1) / $A17)"),"")</f>
        <v/>
      </c>
      <c r="L17" s="31" t="str">
        <f>IFERROR(__xludf.DUMMYFUNCTION("IFERROR(FILTER('RAW DATA'!$D:$D,'RAW DATA'!$B:$B=$B17,'RAW DATA'!$C:$C=S$1) / $A17)"),"")</f>
        <v/>
      </c>
      <c r="M17" s="31" t="str">
        <f>IFERROR(__xludf.DUMMYFUNCTION("IFERROR(FILTER('RAW DATA'!$D:$D,'RAW DATA'!$B:$B=$B17,'RAW DATA'!$C:$C=U$1) / $A17)"),"")</f>
        <v/>
      </c>
      <c r="N17" s="31" t="str">
        <f>IFERROR(__xludf.DUMMYFUNCTION("IFERROR(FILTER('RAW DATA'!$D:$D,'RAW DATA'!$B:$B=$B17,'RAW DATA'!$C:$C=W$1) / $A17)"),"")</f>
        <v/>
      </c>
      <c r="O17" s="31" t="str">
        <f>IFERROR(__xludf.DUMMYFUNCTION("IFERROR(FILTER('RAW DATA'!$D:$D,'RAW DATA'!$B:$B=$B17,'RAW DATA'!$C:$C=X$1) / $A17)"),"")</f>
        <v/>
      </c>
    </row>
    <row r="18">
      <c r="A18" s="29"/>
      <c r="B18" s="36"/>
      <c r="C18" s="31" t="str">
        <f>IFERROR(__xludf.DUMMYFUNCTION("IFERROR(FILTER('RAW DATA'!$D:$D,'RAW DATA'!$B:$B=$B18,'RAW DATA'!$C:$C=C$1) / $A18)"),"")</f>
        <v/>
      </c>
      <c r="D18" s="31" t="str">
        <f>IFERROR(__xludf.DUMMYFUNCTION("IFERROR(FILTER('RAW DATA'!$D:$D,'RAW DATA'!$B:$B=$B18,'RAW DATA'!$C:$C=D$1) / $A18)"),"")</f>
        <v/>
      </c>
      <c r="E18" s="31" t="str">
        <f>IFERROR(__xludf.DUMMYFUNCTION("IFERROR(FILTER('RAW DATA'!$D:$D,'RAW DATA'!$B:$B=$B18,'RAW DATA'!$C:$C=E$1) / $A18)"),"")</f>
        <v/>
      </c>
      <c r="F18" s="31" t="str">
        <f>IFERROR(__xludf.DUMMYFUNCTION("IFERROR(FILTER('RAW DATA'!$D:$D,'RAW DATA'!$B:$B=$B18,'RAW DATA'!$C:$C=F$1) / $A18)"),"")</f>
        <v/>
      </c>
      <c r="G18" s="31" t="str">
        <f>IFERROR(__xludf.DUMMYFUNCTION("IFERROR(FILTER('RAW DATA'!$D:$D,'RAW DATA'!$B:$B=$B18,'RAW DATA'!$C:$C=H$1) / $A18)"),"")</f>
        <v/>
      </c>
      <c r="H18" s="31" t="str">
        <f>IFERROR(__xludf.DUMMYFUNCTION("IFERROR(FILTER('RAW DATA'!$D:$D,'RAW DATA'!$B:$B=$B18,'RAW DATA'!$C:$C=J$1) / $A18)"),"")</f>
        <v/>
      </c>
      <c r="I18" s="31" t="str">
        <f>IFERROR(__xludf.DUMMYFUNCTION("IFERROR(FILTER('RAW DATA'!$D:$D,'RAW DATA'!$B:$B=$B18,'RAW DATA'!$C:$C=L$1) / $A18)"),"")</f>
        <v/>
      </c>
      <c r="J18" s="31" t="str">
        <f>IFERROR(__xludf.DUMMYFUNCTION("IFERROR(FILTER('RAW DATA'!$D:$D,'RAW DATA'!$B:$B=$B18,'RAW DATA'!$C:$C=N$1) / $A18)"),"")</f>
        <v/>
      </c>
      <c r="K18" s="31" t="str">
        <f>IFERROR(__xludf.DUMMYFUNCTION("IFERROR(FILTER('RAW DATA'!$D:$D,'RAW DATA'!$B:$B=$B18,'RAW DATA'!$C:$C=P$1) / $A18)"),"")</f>
        <v/>
      </c>
      <c r="L18" s="31" t="str">
        <f>IFERROR(__xludf.DUMMYFUNCTION("IFERROR(FILTER('RAW DATA'!$D:$D,'RAW DATA'!$B:$B=$B18,'RAW DATA'!$C:$C=R$1) / $A18)"),"")</f>
        <v/>
      </c>
      <c r="M18" s="31" t="str">
        <f>IFERROR(__xludf.DUMMYFUNCTION("IFERROR(FILTER('RAW DATA'!$D:$D,'RAW DATA'!$B:$B=$B18,'RAW DATA'!$C:$C=T$1) / $A18)"),"")</f>
        <v/>
      </c>
      <c r="N18" s="31" t="str">
        <f>IFERROR(__xludf.DUMMYFUNCTION("IFERROR(FILTER('RAW DATA'!$D:$D,'RAW DATA'!$B:$B=$B18,'RAW DATA'!$C:$C=V$1) / $A18)"),"")</f>
        <v/>
      </c>
      <c r="O18" s="31" t="str">
        <f>IFERROR(__xludf.DUMMYFUNCTION("IFERROR(FILTER('RAW DATA'!$D:$D,'RAW DATA'!$B:$B=$B18,'RAW DATA'!$C:$C=W$1) / $A18)"),"")</f>
        <v/>
      </c>
      <c r="P18" s="31" t="str">
        <f>IFERROR(__xludf.DUMMYFUNCTION("IFERROR(FILTER('RAW DATA'!$D:$D,'RAW DATA'!$B:$B=$B18,'RAW DATA'!$C:$C=X$1) / $A18)"),"")</f>
        <v/>
      </c>
    </row>
    <row r="19">
      <c r="A19" s="29"/>
      <c r="B19" s="36"/>
      <c r="C19" s="31" t="str">
        <f>IFERROR(__xludf.DUMMYFUNCTION("IFERROR(FILTER('RAW DATA'!$D:$D,'RAW DATA'!$B:$B=$B19,'RAW DATA'!$C:$C=C$1) / $A19)"),"")</f>
        <v/>
      </c>
      <c r="D19" s="31" t="str">
        <f>IFERROR(__xludf.DUMMYFUNCTION("IFERROR(FILTER('RAW DATA'!$D:$D,'RAW DATA'!$B:$B=$B19,'RAW DATA'!$C:$C=D$1) / $A19)"),"")</f>
        <v/>
      </c>
      <c r="E19" s="31" t="str">
        <f>IFERROR(__xludf.DUMMYFUNCTION("IFERROR(FILTER('RAW DATA'!$D:$D,'RAW DATA'!$B:$B=$B19,'RAW DATA'!$C:$C=E$1) / $A19)"),"")</f>
        <v/>
      </c>
      <c r="F19" s="31" t="str">
        <f>IFERROR(__xludf.DUMMYFUNCTION("IFERROR(FILTER('RAW DATA'!$D:$D,'RAW DATA'!$B:$B=$B19,'RAW DATA'!$C:$C=F$1) / $A19)"),"")</f>
        <v/>
      </c>
      <c r="G19" s="31" t="str">
        <f>IFERROR(__xludf.DUMMYFUNCTION("IFERROR(FILTER('RAW DATA'!$D:$D,'RAW DATA'!$B:$B=$B19,'RAW DATA'!$C:$C=G$1) / $A19)"),"")</f>
        <v/>
      </c>
      <c r="H19" s="31" t="str">
        <f>IFERROR(__xludf.DUMMYFUNCTION("IFERROR(FILTER('RAW DATA'!$D:$D,'RAW DATA'!$B:$B=$B19,'RAW DATA'!$C:$C=I$1) / $A19)"),"")</f>
        <v/>
      </c>
      <c r="I19" s="31" t="str">
        <f>IFERROR(__xludf.DUMMYFUNCTION("IFERROR(FILTER('RAW DATA'!$D:$D,'RAW DATA'!$B:$B=$B19,'RAW DATA'!$C:$C=K$1) / $A19)"),"")</f>
        <v/>
      </c>
      <c r="J19" s="31" t="str">
        <f>IFERROR(__xludf.DUMMYFUNCTION("IFERROR(FILTER('RAW DATA'!$D:$D,'RAW DATA'!$B:$B=$B19,'RAW DATA'!$C:$C=M$1) / $A19)"),"")</f>
        <v/>
      </c>
      <c r="K19" s="31" t="str">
        <f>IFERROR(__xludf.DUMMYFUNCTION("IFERROR(FILTER('RAW DATA'!$D:$D,'RAW DATA'!$B:$B=$B19,'RAW DATA'!$C:$C=O$1) / $A19)"),"")</f>
        <v/>
      </c>
      <c r="L19" s="31" t="str">
        <f>IFERROR(__xludf.DUMMYFUNCTION("IFERROR(FILTER('RAW DATA'!$D:$D,'RAW DATA'!$B:$B=$B19,'RAW DATA'!$C:$C=Q$1) / $A19)"),"")</f>
        <v/>
      </c>
      <c r="M19" s="31" t="str">
        <f>IFERROR(__xludf.DUMMYFUNCTION("IFERROR(FILTER('RAW DATA'!$D:$D,'RAW DATA'!$B:$B=$B19,'RAW DATA'!$C:$C=S$1) / $A19)"),"")</f>
        <v/>
      </c>
      <c r="N19" s="31" t="str">
        <f>IFERROR(__xludf.DUMMYFUNCTION("IFERROR(FILTER('RAW DATA'!$D:$D,'RAW DATA'!$B:$B=$B19,'RAW DATA'!$C:$C=U$1) / $A19)"),"")</f>
        <v/>
      </c>
      <c r="O19" s="31" t="str">
        <f>IFERROR(__xludf.DUMMYFUNCTION("IFERROR(FILTER('RAW DATA'!$D:$D,'RAW DATA'!$B:$B=$B19,'RAW DATA'!$C:$C=V$1) / $A19)"),"")</f>
        <v/>
      </c>
      <c r="P19" s="31" t="str">
        <f>IFERROR(__xludf.DUMMYFUNCTION("IFERROR(FILTER('RAW DATA'!$D:$D,'RAW DATA'!$B:$B=$B19,'RAW DATA'!$C:$C=W$1) / $A19)"),"")</f>
        <v/>
      </c>
      <c r="Q19" s="31" t="str">
        <f>IFERROR(__xludf.DUMMYFUNCTION("IFERROR(FILTER('RAW DATA'!$D:$D,'RAW DATA'!$B:$B=$B19,'RAW DATA'!$C:$C=X$1) / $A19)"),"")</f>
        <v/>
      </c>
    </row>
    <row r="20">
      <c r="A20" s="29"/>
      <c r="B20" s="36"/>
      <c r="C20" s="31" t="str">
        <f>IFERROR(__xludf.DUMMYFUNCTION("IFERROR(FILTER('RAW DATA'!$D:$D,'RAW DATA'!$B:$B=$B20,'RAW DATA'!$C:$C=C$1) / $A20)"),"")</f>
        <v/>
      </c>
      <c r="D20" s="31" t="str">
        <f>IFERROR(__xludf.DUMMYFUNCTION("IFERROR(FILTER('RAW DATA'!$D:$D,'RAW DATA'!$B:$B=$B20,'RAW DATA'!$C:$C=D$1) / $A20)"),"")</f>
        <v/>
      </c>
      <c r="E20" s="31" t="str">
        <f>IFERROR(__xludf.DUMMYFUNCTION("IFERROR(FILTER('RAW DATA'!$D:$D,'RAW DATA'!$B:$B=$B20,'RAW DATA'!$C:$C=E$1) / $A20)"),"")</f>
        <v/>
      </c>
      <c r="F20" s="31" t="str">
        <f>IFERROR(__xludf.DUMMYFUNCTION("IFERROR(FILTER('RAW DATA'!$D:$D,'RAW DATA'!$B:$B=$B20,'RAW DATA'!$C:$C=F$1) / $A20)"),"")</f>
        <v/>
      </c>
      <c r="G20" s="31" t="str">
        <f>IFERROR(__xludf.DUMMYFUNCTION("IFERROR(FILTER('RAW DATA'!$D:$D,'RAW DATA'!$B:$B=$B20,'RAW DATA'!$C:$C=G$1) / $A20)"),"")</f>
        <v/>
      </c>
      <c r="H20" s="31" t="str">
        <f>IFERROR(__xludf.DUMMYFUNCTION("IFERROR(FILTER('RAW DATA'!$D:$D,'RAW DATA'!$B:$B=$B20,'RAW DATA'!$C:$C=I$1) / $A20)"),"")</f>
        <v/>
      </c>
      <c r="I20" s="31" t="str">
        <f>IFERROR(__xludf.DUMMYFUNCTION("IFERROR(FILTER('RAW DATA'!$D:$D,'RAW DATA'!$B:$B=$B20,'RAW DATA'!$C:$C=K$1) / $A20)"),"")</f>
        <v/>
      </c>
      <c r="J20" s="31" t="str">
        <f>IFERROR(__xludf.DUMMYFUNCTION("IFERROR(FILTER('RAW DATA'!$D:$D,'RAW DATA'!$B:$B=$B20,'RAW DATA'!$C:$C=M$1) / $A20)"),"")</f>
        <v/>
      </c>
      <c r="K20" s="31" t="str">
        <f>IFERROR(__xludf.DUMMYFUNCTION("IFERROR(FILTER('RAW DATA'!$D:$D,'RAW DATA'!$B:$B=$B20,'RAW DATA'!$C:$C=O$1) / $A20)"),"")</f>
        <v/>
      </c>
      <c r="L20" s="31" t="str">
        <f>IFERROR(__xludf.DUMMYFUNCTION("IFERROR(FILTER('RAW DATA'!$D:$D,'RAW DATA'!$B:$B=$B20,'RAW DATA'!$C:$C=Q$1) / $A20)"),"")</f>
        <v/>
      </c>
      <c r="M20" s="31" t="str">
        <f>IFERROR(__xludf.DUMMYFUNCTION("IFERROR(FILTER('RAW DATA'!$D:$D,'RAW DATA'!$B:$B=$B20,'RAW DATA'!$C:$C=S$1) / $A20)"),"")</f>
        <v/>
      </c>
      <c r="N20" s="31" t="str">
        <f>IFERROR(__xludf.DUMMYFUNCTION("IFERROR(FILTER('RAW DATA'!$D:$D,'RAW DATA'!$B:$B=$B20,'RAW DATA'!$C:$C=U$1) / $A20)"),"")</f>
        <v/>
      </c>
      <c r="O20" s="31" t="str">
        <f>IFERROR(__xludf.DUMMYFUNCTION("IFERROR(FILTER('RAW DATA'!$D:$D,'RAW DATA'!$B:$B=$B20,'RAW DATA'!$C:$C=V$1) / $A20)"),"")</f>
        <v/>
      </c>
      <c r="P20" s="31" t="str">
        <f>IFERROR(__xludf.DUMMYFUNCTION("IFERROR(FILTER('RAW DATA'!$D:$D,'RAW DATA'!$B:$B=$B20,'RAW DATA'!$C:$C=W$1) / $A20)"),"")</f>
        <v/>
      </c>
      <c r="Q20" s="31" t="str">
        <f>IFERROR(__xludf.DUMMYFUNCTION("IFERROR(FILTER('RAW DATA'!$D:$D,'RAW DATA'!$B:$B=$B20,'RAW DATA'!$C:$C=X$1) / $A20)"),"")</f>
        <v/>
      </c>
    </row>
    <row r="21">
      <c r="A21" s="29"/>
      <c r="B21" s="36"/>
      <c r="C21" s="31" t="str">
        <f>IFERROR(__xludf.DUMMYFUNCTION("IFERROR(FILTER('RAW DATA'!$D:$D,'RAW DATA'!$B:$B=$B21,'RAW DATA'!$C:$C=C$1) / $A21)"),"")</f>
        <v/>
      </c>
      <c r="D21" s="31" t="str">
        <f>IFERROR(__xludf.DUMMYFUNCTION("IFERROR(FILTER('RAW DATA'!$D:$D,'RAW DATA'!$B:$B=$B21,'RAW DATA'!$C:$C=D$1) / $A21)"),"")</f>
        <v/>
      </c>
      <c r="E21" s="31" t="str">
        <f>IFERROR(__xludf.DUMMYFUNCTION("IFERROR(FILTER('RAW DATA'!$D:$D,'RAW DATA'!$B:$B=$B21,'RAW DATA'!$C:$C=E$1) / $A21)"),"")</f>
        <v/>
      </c>
      <c r="F21" s="31" t="str">
        <f>IFERROR(__xludf.DUMMYFUNCTION("IFERROR(FILTER('RAW DATA'!$D:$D,'RAW DATA'!$B:$B=$B21,'RAW DATA'!$C:$C=F$1) / $A21)"),"")</f>
        <v/>
      </c>
      <c r="G21" s="31" t="str">
        <f>IFERROR(__xludf.DUMMYFUNCTION("IFERROR(FILTER('RAW DATA'!$D:$D,'RAW DATA'!$B:$B=$B21,'RAW DATA'!$C:$C=G$1) / $A21)"),"")</f>
        <v/>
      </c>
      <c r="H21" s="31" t="str">
        <f>IFERROR(__xludf.DUMMYFUNCTION("IFERROR(FILTER('RAW DATA'!$D:$D,'RAW DATA'!$B:$B=$B21,'RAW DATA'!$C:$C=I$1) / $A21)"),"")</f>
        <v/>
      </c>
      <c r="I21" s="31" t="str">
        <f>IFERROR(__xludf.DUMMYFUNCTION("IFERROR(FILTER('RAW DATA'!$D:$D,'RAW DATA'!$B:$B=$B21,'RAW DATA'!$C:$C=K$1) / $A21)"),"")</f>
        <v/>
      </c>
      <c r="J21" s="31" t="str">
        <f>IFERROR(__xludf.DUMMYFUNCTION("IFERROR(FILTER('RAW DATA'!$D:$D,'RAW DATA'!$B:$B=$B21,'RAW DATA'!$C:$C=M$1) / $A21)"),"")</f>
        <v/>
      </c>
      <c r="K21" s="31" t="str">
        <f>IFERROR(__xludf.DUMMYFUNCTION("IFERROR(FILTER('RAW DATA'!$D:$D,'RAW DATA'!$B:$B=$B21,'RAW DATA'!$C:$C=O$1) / $A21)"),"")</f>
        <v/>
      </c>
      <c r="L21" s="31" t="str">
        <f>IFERROR(__xludf.DUMMYFUNCTION("IFERROR(FILTER('RAW DATA'!$D:$D,'RAW DATA'!$B:$B=$B21,'RAW DATA'!$C:$C=Q$1) / $A21)"),"")</f>
        <v/>
      </c>
      <c r="M21" s="31" t="str">
        <f>IFERROR(__xludf.DUMMYFUNCTION("IFERROR(FILTER('RAW DATA'!$D:$D,'RAW DATA'!$B:$B=$B21,'RAW DATA'!$C:$C=S$1) / $A21)"),"")</f>
        <v/>
      </c>
      <c r="N21" s="31" t="str">
        <f>IFERROR(__xludf.DUMMYFUNCTION("IFERROR(FILTER('RAW DATA'!$D:$D,'RAW DATA'!$B:$B=$B21,'RAW DATA'!$C:$C=U$1) / $A21)"),"")</f>
        <v/>
      </c>
      <c r="O21" s="31" t="str">
        <f>IFERROR(__xludf.DUMMYFUNCTION("IFERROR(FILTER('RAW DATA'!$D:$D,'RAW DATA'!$B:$B=$B21,'RAW DATA'!$C:$C=V$1) / $A21)"),"")</f>
        <v/>
      </c>
      <c r="P21" s="31" t="str">
        <f>IFERROR(__xludf.DUMMYFUNCTION("IFERROR(FILTER('RAW DATA'!$D:$D,'RAW DATA'!$B:$B=$B21,'RAW DATA'!$C:$C=W$1) / $A21)"),"")</f>
        <v/>
      </c>
      <c r="Q21" s="31" t="str">
        <f>IFERROR(__xludf.DUMMYFUNCTION("IFERROR(FILTER('RAW DATA'!$D:$D,'RAW DATA'!$B:$B=$B21,'RAW DATA'!$C:$C=X$1) / $A21)"),"")</f>
        <v/>
      </c>
    </row>
    <row r="22">
      <c r="A22" s="29"/>
      <c r="B22" s="36"/>
      <c r="C22" s="31" t="str">
        <f>IFERROR(__xludf.DUMMYFUNCTION("IFERROR(FILTER('RAW DATA'!$D:$D,'RAW DATA'!$B:$B=$B22,'RAW DATA'!$C:$C=C$1) / $A22)"),"")</f>
        <v/>
      </c>
      <c r="D22" s="31" t="str">
        <f>IFERROR(__xludf.DUMMYFUNCTION("IFERROR(FILTER('RAW DATA'!$D:$D,'RAW DATA'!$B:$B=$B22,'RAW DATA'!$C:$C=D$1) / $A22)"),"")</f>
        <v/>
      </c>
      <c r="E22" s="31" t="str">
        <f>IFERROR(__xludf.DUMMYFUNCTION("IFERROR(FILTER('RAW DATA'!$D:$D,'RAW DATA'!$B:$B=$B22,'RAW DATA'!$C:$C=E$1) / $A22)"),"")</f>
        <v/>
      </c>
      <c r="F22" s="31" t="str">
        <f>IFERROR(__xludf.DUMMYFUNCTION("IFERROR(FILTER('RAW DATA'!$D:$D,'RAW DATA'!$B:$B=$B22,'RAW DATA'!$C:$C=F$1) / $A22)"),"")</f>
        <v/>
      </c>
      <c r="G22" s="31" t="str">
        <f>IFERROR(__xludf.DUMMYFUNCTION("IFERROR(FILTER('RAW DATA'!$D:$D,'RAW DATA'!$B:$B=$B22,'RAW DATA'!$C:$C=G$1) / $A22)"),"")</f>
        <v/>
      </c>
      <c r="H22" s="31" t="str">
        <f>IFERROR(__xludf.DUMMYFUNCTION("IFERROR(FILTER('RAW DATA'!$D:$D,'RAW DATA'!$B:$B=$B22,'RAW DATA'!$C:$C=H$1) / $A22)"),"")</f>
        <v/>
      </c>
      <c r="I22" s="31" t="str">
        <f>IFERROR(__xludf.DUMMYFUNCTION("IFERROR(FILTER('RAW DATA'!$D:$D,'RAW DATA'!$B:$B=$B22,'RAW DATA'!$C:$C=J$1) / $A22)"),"")</f>
        <v/>
      </c>
      <c r="J22" s="31" t="str">
        <f>IFERROR(__xludf.DUMMYFUNCTION("IFERROR(FILTER('RAW DATA'!$D:$D,'RAW DATA'!$B:$B=$B22,'RAW DATA'!$C:$C=L$1) / $A22)"),"")</f>
        <v/>
      </c>
      <c r="K22" s="31" t="str">
        <f>IFERROR(__xludf.DUMMYFUNCTION("IFERROR(FILTER('RAW DATA'!$D:$D,'RAW DATA'!$B:$B=$B22,'RAW DATA'!$C:$C=N$1) / $A22)"),"")</f>
        <v/>
      </c>
      <c r="L22" s="31" t="str">
        <f>IFERROR(__xludf.DUMMYFUNCTION("IFERROR(FILTER('RAW DATA'!$D:$D,'RAW DATA'!$B:$B=$B22,'RAW DATA'!$C:$C=P$1) / $A22)"),"")</f>
        <v/>
      </c>
      <c r="M22" s="31" t="str">
        <f>IFERROR(__xludf.DUMMYFUNCTION("IFERROR(FILTER('RAW DATA'!$D:$D,'RAW DATA'!$B:$B=$B22,'RAW DATA'!$C:$C=R$1) / $A22)"),"")</f>
        <v/>
      </c>
      <c r="N22" s="31" t="str">
        <f>IFERROR(__xludf.DUMMYFUNCTION("IFERROR(FILTER('RAW DATA'!$D:$D,'RAW DATA'!$B:$B=$B22,'RAW DATA'!$C:$C=T$1) / $A22)"),"")</f>
        <v/>
      </c>
      <c r="O22" s="31" t="str">
        <f>IFERROR(__xludf.DUMMYFUNCTION("IFERROR(FILTER('RAW DATA'!$D:$D,'RAW DATA'!$B:$B=$B22,'RAW DATA'!$C:$C=U$1) / $A22)"),"")</f>
        <v/>
      </c>
      <c r="P22" s="31" t="str">
        <f>IFERROR(__xludf.DUMMYFUNCTION("IFERROR(FILTER('RAW DATA'!$D:$D,'RAW DATA'!$B:$B=$B22,'RAW DATA'!$C:$C=V$1) / $A22)"),"")</f>
        <v/>
      </c>
      <c r="Q22" s="31" t="str">
        <f>IFERROR(__xludf.DUMMYFUNCTION("IFERROR(FILTER('RAW DATA'!$D:$D,'RAW DATA'!$B:$B=$B22,'RAW DATA'!$C:$C=W$1) / $A22)"),"")</f>
        <v/>
      </c>
      <c r="R22" s="31" t="str">
        <f>IFERROR(__xludf.DUMMYFUNCTION("IFERROR(FILTER('RAW DATA'!$D:$D,'RAW DATA'!$B:$B=$B22,'RAW DATA'!$C:$C=X$1) / $A22)"),"")</f>
        <v/>
      </c>
    </row>
    <row r="23">
      <c r="A23" s="29"/>
      <c r="B23" s="36"/>
      <c r="C23" s="31" t="str">
        <f>IFERROR(__xludf.DUMMYFUNCTION("IFERROR(FILTER('RAW DATA'!$D:$D,'RAW DATA'!$B:$B=$B23,'RAW DATA'!$C:$C=C$1) / $A23)"),"")</f>
        <v/>
      </c>
      <c r="D23" s="31" t="str">
        <f>IFERROR(__xludf.DUMMYFUNCTION("IFERROR(FILTER('RAW DATA'!$D:$D,'RAW DATA'!$B:$B=$B23,'RAW DATA'!$C:$C=D$1) / $A23)"),"")</f>
        <v/>
      </c>
      <c r="E23" s="31" t="str">
        <f>IFERROR(__xludf.DUMMYFUNCTION("IFERROR(FILTER('RAW DATA'!$D:$D,'RAW DATA'!$B:$B=$B23,'RAW DATA'!$C:$C=E$1) / $A23)"),"")</f>
        <v/>
      </c>
      <c r="F23" s="31" t="str">
        <f>IFERROR(__xludf.DUMMYFUNCTION("IFERROR(FILTER('RAW DATA'!$D:$D,'RAW DATA'!$B:$B=$B23,'RAW DATA'!$C:$C=F$1) / $A23)"),"")</f>
        <v/>
      </c>
      <c r="G23" s="31" t="str">
        <f>IFERROR(__xludf.DUMMYFUNCTION("IFERROR(FILTER('RAW DATA'!$D:$D,'RAW DATA'!$B:$B=$B23,'RAW DATA'!$C:$C=G$1) / $A23)"),"")</f>
        <v/>
      </c>
      <c r="H23" s="31" t="str">
        <f>IFERROR(__xludf.DUMMYFUNCTION("IFERROR(FILTER('RAW DATA'!$D:$D,'RAW DATA'!$B:$B=$B23,'RAW DATA'!$C:$C=H$1) / $A23)"),"")</f>
        <v/>
      </c>
      <c r="I23" s="31" t="str">
        <f>IFERROR(__xludf.DUMMYFUNCTION("IFERROR(FILTER('RAW DATA'!$D:$D,'RAW DATA'!$B:$B=$B23,'RAW DATA'!$C:$C=J$1) / $A23)"),"")</f>
        <v/>
      </c>
      <c r="J23" s="31" t="str">
        <f>IFERROR(__xludf.DUMMYFUNCTION("IFERROR(FILTER('RAW DATA'!$D:$D,'RAW DATA'!$B:$B=$B23,'RAW DATA'!$C:$C=L$1) / $A23)"),"")</f>
        <v/>
      </c>
      <c r="K23" s="31" t="str">
        <f>IFERROR(__xludf.DUMMYFUNCTION("IFERROR(FILTER('RAW DATA'!$D:$D,'RAW DATA'!$B:$B=$B23,'RAW DATA'!$C:$C=M$1) / $A23)"),"")</f>
        <v/>
      </c>
      <c r="L23" s="31" t="str">
        <f>IFERROR(__xludf.DUMMYFUNCTION("IFERROR(FILTER('RAW DATA'!$D:$D,'RAW DATA'!$B:$B=$B23,'RAW DATA'!$C:$C=O$1) / $A23)"),"")</f>
        <v/>
      </c>
      <c r="M23" s="31" t="str">
        <f>IFERROR(__xludf.DUMMYFUNCTION("IFERROR(FILTER('RAW DATA'!$D:$D,'RAW DATA'!$B:$B=$B23,'RAW DATA'!$C:$C=Q$1) / $A23)"),"")</f>
        <v/>
      </c>
      <c r="N23" s="31" t="str">
        <f>IFERROR(__xludf.DUMMYFUNCTION("IFERROR(FILTER('RAW DATA'!$D:$D,'RAW DATA'!$B:$B=$B23,'RAW DATA'!$C:$C=S$1) / $A23)"),"")</f>
        <v/>
      </c>
      <c r="O23" s="31" t="str">
        <f>IFERROR(__xludf.DUMMYFUNCTION("IFERROR(FILTER('RAW DATA'!$D:$D,'RAW DATA'!$B:$B=$B23,'RAW DATA'!$C:$C=T$1) / $A23)"),"")</f>
        <v/>
      </c>
      <c r="P23" s="31" t="str">
        <f>IFERROR(__xludf.DUMMYFUNCTION("IFERROR(FILTER('RAW DATA'!$D:$D,'RAW DATA'!$B:$B=$B23,'RAW DATA'!$C:$C=U$1) / $A23)"),"")</f>
        <v/>
      </c>
      <c r="Q23" s="31" t="str">
        <f>IFERROR(__xludf.DUMMYFUNCTION("IFERROR(FILTER('RAW DATA'!$D:$D,'RAW DATA'!$B:$B=$B23,'RAW DATA'!$C:$C=V$1) / $A23)"),"")</f>
        <v/>
      </c>
      <c r="R23" s="31" t="str">
        <f>IFERROR(__xludf.DUMMYFUNCTION("IFERROR(FILTER('RAW DATA'!$D:$D,'RAW DATA'!$B:$B=$B23,'RAW DATA'!$C:$C=W$1) / $A23)"),"")</f>
        <v/>
      </c>
      <c r="S23" s="31" t="str">
        <f>IFERROR(__xludf.DUMMYFUNCTION("IFERROR(FILTER('RAW DATA'!$D:$D,'RAW DATA'!$B:$B=$B23,'RAW DATA'!$C:$C=X$1) / $A23)"),"")</f>
        <v/>
      </c>
    </row>
    <row r="24">
      <c r="A24" s="29"/>
      <c r="B24" s="36"/>
      <c r="C24" s="31" t="str">
        <f>IFERROR(__xludf.DUMMYFUNCTION("IFERROR(FILTER('RAW DATA'!$D:$D,'RAW DATA'!$B:$B=$B24,'RAW DATA'!$C:$C=C$1) / $A24)"),"")</f>
        <v/>
      </c>
      <c r="D24" s="31" t="str">
        <f>IFERROR(__xludf.DUMMYFUNCTION("IFERROR(FILTER('RAW DATA'!$D:$D,'RAW DATA'!$B:$B=$B24,'RAW DATA'!$C:$C=D$1) / $A24)"),"")</f>
        <v/>
      </c>
      <c r="E24" s="31" t="str">
        <f>IFERROR(__xludf.DUMMYFUNCTION("IFERROR(FILTER('RAW DATA'!$D:$D,'RAW DATA'!$B:$B=$B24,'RAW DATA'!$C:$C=E$1) / $A24)"),"")</f>
        <v/>
      </c>
      <c r="F24" s="31" t="str">
        <f>IFERROR(__xludf.DUMMYFUNCTION("IFERROR(FILTER('RAW DATA'!$D:$D,'RAW DATA'!$B:$B=$B24,'RAW DATA'!$C:$C=F$1) / $A24)"),"")</f>
        <v/>
      </c>
      <c r="G24" s="31" t="str">
        <f>IFERROR(__xludf.DUMMYFUNCTION("IFERROR(FILTER('RAW DATA'!$D:$D,'RAW DATA'!$B:$B=$B24,'RAW DATA'!$C:$C=G$1) / $A24)"),"")</f>
        <v/>
      </c>
      <c r="H24" s="31" t="str">
        <f>IFERROR(__xludf.DUMMYFUNCTION("IFERROR(FILTER('RAW DATA'!$D:$D,'RAW DATA'!$B:$B=$B24,'RAW DATA'!$C:$C=H$1) / $A24)"),"")</f>
        <v/>
      </c>
      <c r="I24" s="31" t="str">
        <f>IFERROR(__xludf.DUMMYFUNCTION("IFERROR(FILTER('RAW DATA'!$D:$D,'RAW DATA'!$B:$B=$B24,'RAW DATA'!$C:$C=J$1) / $A24)"),"")</f>
        <v/>
      </c>
      <c r="J24" s="31" t="str">
        <f>IFERROR(__xludf.DUMMYFUNCTION("IFERROR(FILTER('RAW DATA'!$D:$D,'RAW DATA'!$B:$B=$B24,'RAW DATA'!$C:$C=L$1) / $A24)"),"")</f>
        <v/>
      </c>
      <c r="K24" s="31" t="str">
        <f>IFERROR(__xludf.DUMMYFUNCTION("IFERROR(FILTER('RAW DATA'!$D:$D,'RAW DATA'!$B:$B=$B24,'RAW DATA'!$C:$C=M$1) / $A24)"),"")</f>
        <v/>
      </c>
      <c r="L24" s="31" t="str">
        <f>IFERROR(__xludf.DUMMYFUNCTION("IFERROR(FILTER('RAW DATA'!$D:$D,'RAW DATA'!$B:$B=$B24,'RAW DATA'!$C:$C=O$1) / $A24)"),"")</f>
        <v/>
      </c>
      <c r="M24" s="31" t="str">
        <f>IFERROR(__xludf.DUMMYFUNCTION("IFERROR(FILTER('RAW DATA'!$D:$D,'RAW DATA'!$B:$B=$B24,'RAW DATA'!$C:$C=Q$1) / $A24)"),"")</f>
        <v/>
      </c>
      <c r="N24" s="31" t="str">
        <f>IFERROR(__xludf.DUMMYFUNCTION("IFERROR(FILTER('RAW DATA'!$D:$D,'RAW DATA'!$B:$B=$B24,'RAW DATA'!$C:$C=S$1) / $A24)"),"")</f>
        <v/>
      </c>
      <c r="O24" s="31" t="str">
        <f>IFERROR(__xludf.DUMMYFUNCTION("IFERROR(FILTER('RAW DATA'!$D:$D,'RAW DATA'!$B:$B=$B24,'RAW DATA'!$C:$C=T$1) / $A24)"),"")</f>
        <v/>
      </c>
      <c r="P24" s="31" t="str">
        <f>IFERROR(__xludf.DUMMYFUNCTION("IFERROR(FILTER('RAW DATA'!$D:$D,'RAW DATA'!$B:$B=$B24,'RAW DATA'!$C:$C=U$1) / $A24)"),"")</f>
        <v/>
      </c>
      <c r="Q24" s="31" t="str">
        <f>IFERROR(__xludf.DUMMYFUNCTION("IFERROR(FILTER('RAW DATA'!$D:$D,'RAW DATA'!$B:$B=$B24,'RAW DATA'!$C:$C=V$1) / $A24)"),"")</f>
        <v/>
      </c>
      <c r="R24" s="31" t="str">
        <f>IFERROR(__xludf.DUMMYFUNCTION("IFERROR(FILTER('RAW DATA'!$D:$D,'RAW DATA'!$B:$B=$B24,'RAW DATA'!$C:$C=W$1) / $A24)"),"")</f>
        <v/>
      </c>
      <c r="S24" s="31" t="str">
        <f>IFERROR(__xludf.DUMMYFUNCTION("IFERROR(FILTER('RAW DATA'!$D:$D,'RAW DATA'!$B:$B=$B24,'RAW DATA'!$C:$C=X$1) / $A24)"),"")</f>
        <v/>
      </c>
    </row>
    <row r="25">
      <c r="A25" s="29"/>
      <c r="B25" s="36"/>
      <c r="C25" s="31" t="str">
        <f>IFERROR(__xludf.DUMMYFUNCTION("IFERROR(FILTER('RAW DATA'!$D:$D,'RAW DATA'!$B:$B=$B25,'RAW DATA'!$C:$C=C$1) / $A25)"),"")</f>
        <v/>
      </c>
      <c r="D25" s="31" t="str">
        <f>IFERROR(__xludf.DUMMYFUNCTION("IFERROR(FILTER('RAW DATA'!$D:$D,'RAW DATA'!$B:$B=$B25,'RAW DATA'!$C:$C=D$1) / $A25)"),"")</f>
        <v/>
      </c>
      <c r="E25" s="31" t="str">
        <f>IFERROR(__xludf.DUMMYFUNCTION("IFERROR(FILTER('RAW DATA'!$D:$D,'RAW DATA'!$B:$B=$B25,'RAW DATA'!$C:$C=E$1) / $A25)"),"")</f>
        <v/>
      </c>
      <c r="F25" s="31" t="str">
        <f>IFERROR(__xludf.DUMMYFUNCTION("IFERROR(FILTER('RAW DATA'!$D:$D,'RAW DATA'!$B:$B=$B25,'RAW DATA'!$C:$C=F$1) / $A25)"),"")</f>
        <v/>
      </c>
      <c r="G25" s="31" t="str">
        <f>IFERROR(__xludf.DUMMYFUNCTION("IFERROR(FILTER('RAW DATA'!$D:$D,'RAW DATA'!$B:$B=$B25,'RAW DATA'!$C:$C=G$1) / $A25)"),"")</f>
        <v/>
      </c>
      <c r="H25" s="31" t="str">
        <f>IFERROR(__xludf.DUMMYFUNCTION("IFERROR(FILTER('RAW DATA'!$D:$D,'RAW DATA'!$B:$B=$B25,'RAW DATA'!$C:$C=H$1) / $A25)"),"")</f>
        <v/>
      </c>
      <c r="I25" s="31" t="str">
        <f>IFERROR(__xludf.DUMMYFUNCTION("IFERROR(FILTER('RAW DATA'!$D:$D,'RAW DATA'!$B:$B=$B25,'RAW DATA'!$C:$C=J$1) / $A25)"),"")</f>
        <v/>
      </c>
      <c r="J25" s="31" t="str">
        <f>IFERROR(__xludf.DUMMYFUNCTION("IFERROR(FILTER('RAW DATA'!$D:$D,'RAW DATA'!$B:$B=$B25,'RAW DATA'!$C:$C=L$1) / $A25)"),"")</f>
        <v/>
      </c>
      <c r="K25" s="31" t="str">
        <f>IFERROR(__xludf.DUMMYFUNCTION("IFERROR(FILTER('RAW DATA'!$D:$D,'RAW DATA'!$B:$B=$B25,'RAW DATA'!$C:$C=M$1) / $A25)"),"")</f>
        <v/>
      </c>
      <c r="L25" s="31" t="str">
        <f>IFERROR(__xludf.DUMMYFUNCTION("IFERROR(FILTER('RAW DATA'!$D:$D,'RAW DATA'!$B:$B=$B25,'RAW DATA'!$C:$C=O$1) / $A25)"),"")</f>
        <v/>
      </c>
      <c r="M25" s="31" t="str">
        <f>IFERROR(__xludf.DUMMYFUNCTION("IFERROR(FILTER('RAW DATA'!$D:$D,'RAW DATA'!$B:$B=$B25,'RAW DATA'!$C:$C=Q$1) / $A25)"),"")</f>
        <v/>
      </c>
      <c r="N25" s="31" t="str">
        <f>IFERROR(__xludf.DUMMYFUNCTION("IFERROR(FILTER('RAW DATA'!$D:$D,'RAW DATA'!$B:$B=$B25,'RAW DATA'!$C:$C=S$1) / $A25)"),"")</f>
        <v/>
      </c>
      <c r="O25" s="31" t="str">
        <f>IFERROR(__xludf.DUMMYFUNCTION("IFERROR(FILTER('RAW DATA'!$D:$D,'RAW DATA'!$B:$B=$B25,'RAW DATA'!$C:$C=T$1) / $A25)"),"")</f>
        <v/>
      </c>
      <c r="P25" s="31" t="str">
        <f>IFERROR(__xludf.DUMMYFUNCTION("IFERROR(FILTER('RAW DATA'!$D:$D,'RAW DATA'!$B:$B=$B25,'RAW DATA'!$C:$C=U$1) / $A25)"),"")</f>
        <v/>
      </c>
      <c r="Q25" s="31" t="str">
        <f>IFERROR(__xludf.DUMMYFUNCTION("IFERROR(FILTER('RAW DATA'!$D:$D,'RAW DATA'!$B:$B=$B25,'RAW DATA'!$C:$C=V$1) / $A25)"),"")</f>
        <v/>
      </c>
      <c r="R25" s="31" t="str">
        <f>IFERROR(__xludf.DUMMYFUNCTION("IFERROR(FILTER('RAW DATA'!$D:$D,'RAW DATA'!$B:$B=$B25,'RAW DATA'!$C:$C=W$1) / $A25)"),"")</f>
        <v/>
      </c>
      <c r="S25" s="31" t="str">
        <f>IFERROR(__xludf.DUMMYFUNCTION("IFERROR(FILTER('RAW DATA'!$D:$D,'RAW DATA'!$B:$B=$B25,'RAW DATA'!$C:$C=X$1) / $A25)"),"")</f>
        <v/>
      </c>
    </row>
    <row r="26">
      <c r="A26" s="29"/>
      <c r="B26" s="36"/>
      <c r="C26" s="31" t="str">
        <f>IFERROR(__xludf.DUMMYFUNCTION("IFERROR(FILTER('RAW DATA'!$D:$D,'RAW DATA'!$B:$B=$B26,'RAW DATA'!$C:$C=C$1) / $A26)"),"")</f>
        <v/>
      </c>
      <c r="D26" s="31" t="str">
        <f>IFERROR(__xludf.DUMMYFUNCTION("IFERROR(FILTER('RAW DATA'!$D:$D,'RAW DATA'!$B:$B=$B26,'RAW DATA'!$C:$C=D$1) / $A26)"),"")</f>
        <v/>
      </c>
      <c r="E26" s="31" t="str">
        <f>IFERROR(__xludf.DUMMYFUNCTION("IFERROR(FILTER('RAW DATA'!$D:$D,'RAW DATA'!$B:$B=$B26,'RAW DATA'!$C:$C=E$1) / $A26)"),"")</f>
        <v/>
      </c>
      <c r="F26" s="31" t="str">
        <f>IFERROR(__xludf.DUMMYFUNCTION("IFERROR(FILTER('RAW DATA'!$D:$D,'RAW DATA'!$B:$B=$B26,'RAW DATA'!$C:$C=F$1) / $A26)"),"")</f>
        <v/>
      </c>
      <c r="G26" s="31" t="str">
        <f>IFERROR(__xludf.DUMMYFUNCTION("IFERROR(FILTER('RAW DATA'!$D:$D,'RAW DATA'!$B:$B=$B26,'RAW DATA'!$C:$C=G$1) / $A26)"),"")</f>
        <v/>
      </c>
      <c r="H26" s="31" t="str">
        <f>IFERROR(__xludf.DUMMYFUNCTION("IFERROR(FILTER('RAW DATA'!$D:$D,'RAW DATA'!$B:$B=$B26,'RAW DATA'!$C:$C=H$1) / $A26)"),"")</f>
        <v/>
      </c>
      <c r="I26" s="31" t="str">
        <f>IFERROR(__xludf.DUMMYFUNCTION("IFERROR(FILTER('RAW DATA'!$D:$D,'RAW DATA'!$B:$B=$B26,'RAW DATA'!$C:$C=J$1) / $A26)"),"")</f>
        <v/>
      </c>
      <c r="J26" s="31" t="str">
        <f>IFERROR(__xludf.DUMMYFUNCTION("IFERROR(FILTER('RAW DATA'!$D:$D,'RAW DATA'!$B:$B=$B26,'RAW DATA'!$C:$C=L$1) / $A26)"),"")</f>
        <v/>
      </c>
      <c r="K26" s="31" t="str">
        <f>IFERROR(__xludf.DUMMYFUNCTION("IFERROR(FILTER('RAW DATA'!$D:$D,'RAW DATA'!$B:$B=$B26,'RAW DATA'!$C:$C=M$1) / $A26)"),"")</f>
        <v/>
      </c>
      <c r="L26" s="31" t="str">
        <f>IFERROR(__xludf.DUMMYFUNCTION("IFERROR(FILTER('RAW DATA'!$D:$D,'RAW DATA'!$B:$B=$B26,'RAW DATA'!$C:$C=N$1) / $A26)"),"")</f>
        <v/>
      </c>
      <c r="M26" s="31" t="str">
        <f>IFERROR(__xludf.DUMMYFUNCTION("IFERROR(FILTER('RAW DATA'!$D:$D,'RAW DATA'!$B:$B=$B26,'RAW DATA'!$C:$C=O$1) / $A26)"),"")</f>
        <v/>
      </c>
      <c r="N26" s="31" t="str">
        <f>IFERROR(__xludf.DUMMYFUNCTION("IFERROR(FILTER('RAW DATA'!$D:$D,'RAW DATA'!$B:$B=$B26,'RAW DATA'!$C:$C=P$1) / $A26)"),"")</f>
        <v/>
      </c>
      <c r="O26" s="31" t="str">
        <f>IFERROR(__xludf.DUMMYFUNCTION("IFERROR(FILTER('RAW DATA'!$D:$D,'RAW DATA'!$B:$B=$B26,'RAW DATA'!$C:$C=Q$1) / $A26)"),"")</f>
        <v/>
      </c>
      <c r="P26" s="31" t="str">
        <f>IFERROR(__xludf.DUMMYFUNCTION("IFERROR(FILTER('RAW DATA'!$D:$D,'RAW DATA'!$B:$B=$B26,'RAW DATA'!$C:$C=R$1) / $A26)"),"")</f>
        <v/>
      </c>
      <c r="Q26" s="31" t="str">
        <f>IFERROR(__xludf.DUMMYFUNCTION("IFERROR(FILTER('RAW DATA'!$D:$D,'RAW DATA'!$B:$B=$B26,'RAW DATA'!$C:$C=S$1) / $A26)"),"")</f>
        <v/>
      </c>
      <c r="R26" s="31" t="str">
        <f>IFERROR(__xludf.DUMMYFUNCTION("IFERROR(FILTER('RAW DATA'!$D:$D,'RAW DATA'!$B:$B=$B26,'RAW DATA'!$C:$C=T$1) / $A26)"),"")</f>
        <v/>
      </c>
      <c r="S26" s="31" t="str">
        <f>IFERROR(__xludf.DUMMYFUNCTION("IFERROR(FILTER('RAW DATA'!$D:$D,'RAW DATA'!$B:$B=$B26,'RAW DATA'!$C:$C=U$1) / $A26)"),"")</f>
        <v/>
      </c>
      <c r="T26" s="31" t="str">
        <f>IFERROR(__xludf.DUMMYFUNCTION("IFERROR(FILTER('RAW DATA'!$D:$D,'RAW DATA'!$B:$B=$B26,'RAW DATA'!$C:$C=V$1) / $A26)"),"")</f>
        <v/>
      </c>
      <c r="U26" s="31" t="str">
        <f>IFERROR(__xludf.DUMMYFUNCTION("IFERROR(FILTER('RAW DATA'!$D:$D,'RAW DATA'!$B:$B=$B26,'RAW DATA'!$C:$C=W$1) / $A26)"),"")</f>
        <v/>
      </c>
      <c r="V26" s="31" t="str">
        <f>IFERROR(__xludf.DUMMYFUNCTION("IFERROR(FILTER('RAW DATA'!$D:$D,'RAW DATA'!$B:$B=$B26,'RAW DATA'!$C:$C=X$1) / $A26)"),"")</f>
        <v/>
      </c>
    </row>
    <row r="27">
      <c r="A27" s="29"/>
      <c r="B27" s="36"/>
      <c r="C27" s="31" t="str">
        <f>IFERROR(__xludf.DUMMYFUNCTION("IFERROR(FILTER('RAW DATA'!$D:$D,'RAW DATA'!$B:$B=$B27,'RAW DATA'!$C:$C=C$1) / $A27)"),"")</f>
        <v/>
      </c>
      <c r="D27" s="31" t="str">
        <f>IFERROR(__xludf.DUMMYFUNCTION("IFERROR(FILTER('RAW DATA'!$D:$D,'RAW DATA'!$B:$B=$B27,'RAW DATA'!$C:$C=D$1) / $A27)"),"")</f>
        <v/>
      </c>
      <c r="E27" s="31" t="str">
        <f>IFERROR(__xludf.DUMMYFUNCTION("IFERROR(FILTER('RAW DATA'!$D:$D,'RAW DATA'!$B:$B=$B27,'RAW DATA'!$C:$C=E$1) / $A27)"),"")</f>
        <v/>
      </c>
      <c r="F27" s="31" t="str">
        <f>IFERROR(__xludf.DUMMYFUNCTION("IFERROR(FILTER('RAW DATA'!$D:$D,'RAW DATA'!$B:$B=$B27,'RAW DATA'!$C:$C=F$1) / $A27)"),"")</f>
        <v/>
      </c>
      <c r="G27" s="31" t="str">
        <f>IFERROR(__xludf.DUMMYFUNCTION("IFERROR(FILTER('RAW DATA'!$D:$D,'RAW DATA'!$B:$B=$B27,'RAW DATA'!$C:$C=G$1) / $A27)"),"")</f>
        <v/>
      </c>
      <c r="H27" s="31" t="str">
        <f>IFERROR(__xludf.DUMMYFUNCTION("IFERROR(FILTER('RAW DATA'!$D:$D,'RAW DATA'!$B:$B=$B27,'RAW DATA'!$C:$C=H$1) / $A27)"),"")</f>
        <v/>
      </c>
      <c r="I27" s="31" t="str">
        <f>IFERROR(__xludf.DUMMYFUNCTION("IFERROR(FILTER('RAW DATA'!$D:$D,'RAW DATA'!$B:$B=$B27,'RAW DATA'!$C:$C=I$1) / $A27)"),"")</f>
        <v/>
      </c>
      <c r="J27" s="31" t="str">
        <f>IFERROR(__xludf.DUMMYFUNCTION("IFERROR(FILTER('RAW DATA'!$D:$D,'RAW DATA'!$B:$B=$B27,'RAW DATA'!$C:$C=J$1) / $A27)"),"")</f>
        <v/>
      </c>
      <c r="K27" s="31" t="str">
        <f>IFERROR(__xludf.DUMMYFUNCTION("IFERROR(FILTER('RAW DATA'!$D:$D,'RAW DATA'!$B:$B=$B27,'RAW DATA'!$C:$C=K$1) / $A27)"),"")</f>
        <v/>
      </c>
      <c r="L27" s="31" t="str">
        <f>IFERROR(__xludf.DUMMYFUNCTION("IFERROR(FILTER('RAW DATA'!$D:$D,'RAW DATA'!$B:$B=$B27,'RAW DATA'!$C:$C=L$1) / $A27)"),"")</f>
        <v/>
      </c>
      <c r="M27" s="31" t="str">
        <f>IFERROR(__xludf.DUMMYFUNCTION("IFERROR(FILTER('RAW DATA'!$D:$D,'RAW DATA'!$B:$B=$B27,'RAW DATA'!$C:$C=M$1) / $A27)"),"")</f>
        <v/>
      </c>
      <c r="N27" s="31" t="str">
        <f>IFERROR(__xludf.DUMMYFUNCTION("IFERROR(FILTER('RAW DATA'!$D:$D,'RAW DATA'!$B:$B=$B27,'RAW DATA'!$C:$C=N$1) / $A27)"),"")</f>
        <v/>
      </c>
      <c r="O27" s="31" t="str">
        <f>IFERROR(__xludf.DUMMYFUNCTION("IFERROR(FILTER('RAW DATA'!$D:$D,'RAW DATA'!$B:$B=$B27,'RAW DATA'!$C:$C=O$1) / $A27)"),"")</f>
        <v/>
      </c>
      <c r="P27" s="31" t="str">
        <f>IFERROR(__xludf.DUMMYFUNCTION("IFERROR(FILTER('RAW DATA'!$D:$D,'RAW DATA'!$B:$B=$B27,'RAW DATA'!$C:$C=P$1) / $A27)"),"")</f>
        <v/>
      </c>
      <c r="Q27" s="31" t="str">
        <f>IFERROR(__xludf.DUMMYFUNCTION("IFERROR(FILTER('RAW DATA'!$D:$D,'RAW DATA'!$B:$B=$B27,'RAW DATA'!$C:$C=Q$1) / $A27)"),"")</f>
        <v/>
      </c>
      <c r="R27" s="31" t="str">
        <f>IFERROR(__xludf.DUMMYFUNCTION("IFERROR(FILTER('RAW DATA'!$D:$D,'RAW DATA'!$B:$B=$B27,'RAW DATA'!$C:$C=R$1) / $A27)"),"")</f>
        <v/>
      </c>
      <c r="S27" s="31" t="str">
        <f>IFERROR(__xludf.DUMMYFUNCTION("IFERROR(FILTER('RAW DATA'!$D:$D,'RAW DATA'!$B:$B=$B27,'RAW DATA'!$C:$C=S$1) / $A27)"),"")</f>
        <v/>
      </c>
      <c r="T27" s="31" t="str">
        <f>IFERROR(__xludf.DUMMYFUNCTION("IFERROR(FILTER('RAW DATA'!$D:$D,'RAW DATA'!$B:$B=$B27,'RAW DATA'!$C:$C=T$1) / $A27)"),"")</f>
        <v/>
      </c>
      <c r="U27" s="31" t="str">
        <f>IFERROR(__xludf.DUMMYFUNCTION("IFERROR(FILTER('RAW DATA'!$D:$D,'RAW DATA'!$B:$B=$B27,'RAW DATA'!$C:$C=U$1) / $A27)"),"")</f>
        <v/>
      </c>
      <c r="V27" s="31" t="str">
        <f>IFERROR(__xludf.DUMMYFUNCTION("IFERROR(FILTER('RAW DATA'!$D:$D,'RAW DATA'!$B:$B=$B27,'RAW DATA'!$C:$C=V$1) / $A27)"),"")</f>
        <v/>
      </c>
      <c r="W27" s="31" t="str">
        <f>IFERROR(__xludf.DUMMYFUNCTION("IFERROR(FILTER('RAW DATA'!$D:$D,'RAW DATA'!$B:$B=$B27,'RAW DATA'!$C:$C=W$1) / $A27)"),"")</f>
        <v/>
      </c>
      <c r="X27" s="31" t="str">
        <f>IFERROR(__xludf.DUMMYFUNCTION("IFERROR(FILTER('RAW DATA'!$D:$D,'RAW DATA'!$B:$B=$B27,'RAW DATA'!$C:$C=X$1) / $A27)"),"")</f>
        <v/>
      </c>
    </row>
    <row r="28">
      <c r="A28" s="29"/>
      <c r="B28" s="36"/>
      <c r="C28" s="31" t="str">
        <f>IFERROR(__xludf.DUMMYFUNCTION("IFERROR(FILTER('RAW DATA'!$D:$D,'RAW DATA'!$B:$B=$B28,'RAW DATA'!$C:$C=C$1) / $A28)"),"")</f>
        <v/>
      </c>
      <c r="D28" s="31" t="str">
        <f>IFERROR(__xludf.DUMMYFUNCTION("IFERROR(FILTER('RAW DATA'!$D:$D,'RAW DATA'!$B:$B=$B28,'RAW DATA'!$C:$C=D$1) / $A28)"),"")</f>
        <v/>
      </c>
      <c r="E28" s="31" t="str">
        <f>IFERROR(__xludf.DUMMYFUNCTION("IFERROR(FILTER('RAW DATA'!$D:$D,'RAW DATA'!$B:$B=$B28,'RAW DATA'!$C:$C=E$1) / $A28)"),"")</f>
        <v/>
      </c>
      <c r="F28" s="31" t="str">
        <f>IFERROR(__xludf.DUMMYFUNCTION("IFERROR(FILTER('RAW DATA'!$D:$D,'RAW DATA'!$B:$B=$B28,'RAW DATA'!$C:$C=F$1) / $A28)"),"")</f>
        <v/>
      </c>
      <c r="G28" s="31" t="str">
        <f>IFERROR(__xludf.DUMMYFUNCTION("IFERROR(FILTER('RAW DATA'!$D:$D,'RAW DATA'!$B:$B=$B28,'RAW DATA'!$C:$C=G$1) / $A28)"),"")</f>
        <v/>
      </c>
      <c r="H28" s="31" t="str">
        <f>IFERROR(__xludf.DUMMYFUNCTION("IFERROR(FILTER('RAW DATA'!$D:$D,'RAW DATA'!$B:$B=$B28,'RAW DATA'!$C:$C=H$1) / $A28)"),"")</f>
        <v/>
      </c>
      <c r="I28" s="31" t="str">
        <f>IFERROR(__xludf.DUMMYFUNCTION("IFERROR(FILTER('RAW DATA'!$D:$D,'RAW DATA'!$B:$B=$B28,'RAW DATA'!$C:$C=I$1) / $A28)"),"")</f>
        <v/>
      </c>
      <c r="J28" s="31" t="str">
        <f>IFERROR(__xludf.DUMMYFUNCTION("IFERROR(FILTER('RAW DATA'!$D:$D,'RAW DATA'!$B:$B=$B28,'RAW DATA'!$C:$C=J$1) / $A28)"),"")</f>
        <v/>
      </c>
      <c r="K28" s="31" t="str">
        <f>IFERROR(__xludf.DUMMYFUNCTION("IFERROR(FILTER('RAW DATA'!$D:$D,'RAW DATA'!$B:$B=$B28,'RAW DATA'!$C:$C=K$1) / $A28)"),"")</f>
        <v/>
      </c>
      <c r="L28" s="31" t="str">
        <f>IFERROR(__xludf.DUMMYFUNCTION("IFERROR(FILTER('RAW DATA'!$D:$D,'RAW DATA'!$B:$B=$B28,'RAW DATA'!$C:$C=L$1) / $A28)"),"")</f>
        <v/>
      </c>
      <c r="M28" s="31" t="str">
        <f>IFERROR(__xludf.DUMMYFUNCTION("IFERROR(FILTER('RAW DATA'!$D:$D,'RAW DATA'!$B:$B=$B28,'RAW DATA'!$C:$C=M$1) / $A28)"),"")</f>
        <v/>
      </c>
      <c r="N28" s="31" t="str">
        <f>IFERROR(__xludf.DUMMYFUNCTION("IFERROR(FILTER('RAW DATA'!$D:$D,'RAW DATA'!$B:$B=$B28,'RAW DATA'!$C:$C=N$1) / $A28)"),"")</f>
        <v/>
      </c>
      <c r="O28" s="31" t="str">
        <f>IFERROR(__xludf.DUMMYFUNCTION("IFERROR(FILTER('RAW DATA'!$D:$D,'RAW DATA'!$B:$B=$B28,'RAW DATA'!$C:$C=O$1) / $A28)"),"")</f>
        <v/>
      </c>
      <c r="P28" s="31" t="str">
        <f>IFERROR(__xludf.DUMMYFUNCTION("IFERROR(FILTER('RAW DATA'!$D:$D,'RAW DATA'!$B:$B=$B28,'RAW DATA'!$C:$C=P$1) / $A28)"),"")</f>
        <v/>
      </c>
      <c r="Q28" s="31" t="str">
        <f>IFERROR(__xludf.DUMMYFUNCTION("IFERROR(FILTER('RAW DATA'!$D:$D,'RAW DATA'!$B:$B=$B28,'RAW DATA'!$C:$C=Q$1) / $A28)"),"")</f>
        <v/>
      </c>
      <c r="R28" s="31" t="str">
        <f>IFERROR(__xludf.DUMMYFUNCTION("IFERROR(FILTER('RAW DATA'!$D:$D,'RAW DATA'!$B:$B=$B28,'RAW DATA'!$C:$C=R$1) / $A28)"),"")</f>
        <v/>
      </c>
      <c r="S28" s="31" t="str">
        <f>IFERROR(__xludf.DUMMYFUNCTION("IFERROR(FILTER('RAW DATA'!$D:$D,'RAW DATA'!$B:$B=$B28,'RAW DATA'!$C:$C=S$1) / $A28)"),"")</f>
        <v/>
      </c>
      <c r="T28" s="31" t="str">
        <f>IFERROR(__xludf.DUMMYFUNCTION("IFERROR(FILTER('RAW DATA'!$D:$D,'RAW DATA'!$B:$B=$B28,'RAW DATA'!$C:$C=T$1) / $A28)"),"")</f>
        <v/>
      </c>
      <c r="U28" s="31" t="str">
        <f>IFERROR(__xludf.DUMMYFUNCTION("IFERROR(FILTER('RAW DATA'!$D:$D,'RAW DATA'!$B:$B=$B28,'RAW DATA'!$C:$C=U$1) / $A28)"),"")</f>
        <v/>
      </c>
      <c r="V28" s="31" t="str">
        <f>IFERROR(__xludf.DUMMYFUNCTION("IFERROR(FILTER('RAW DATA'!$D:$D,'RAW DATA'!$B:$B=$B28,'RAW DATA'!$C:$C=V$1) / $A28)"),"")</f>
        <v/>
      </c>
      <c r="W28" s="31" t="str">
        <f>IFERROR(__xludf.DUMMYFUNCTION("IFERROR(FILTER('RAW DATA'!$D:$D,'RAW DATA'!$B:$B=$B28,'RAW DATA'!$C:$C=W$1) / $A28)"),"")</f>
        <v/>
      </c>
      <c r="X28" s="31" t="str">
        <f>IFERROR(__xludf.DUMMYFUNCTION("IFERROR(FILTER('RAW DATA'!$D:$D,'RAW DATA'!$B:$B=$B28,'RAW DATA'!$C:$C=X$1) / $A28)"),"")</f>
        <v/>
      </c>
    </row>
    <row r="29">
      <c r="A29" s="29"/>
      <c r="B29" s="36"/>
      <c r="C29" s="31" t="str">
        <f>IFERROR(__xludf.DUMMYFUNCTION("IFERROR(FILTER('RAW DATA'!$D:$D,'RAW DATA'!$B:$B=$B29,'RAW DATA'!$C:$C=C$1) / $A29)"),"")</f>
        <v/>
      </c>
      <c r="D29" s="31" t="str">
        <f>IFERROR(__xludf.DUMMYFUNCTION("IFERROR(FILTER('RAW DATA'!$D:$D,'RAW DATA'!$B:$B=$B29,'RAW DATA'!$C:$C=D$1) / $A29)"),"")</f>
        <v/>
      </c>
      <c r="E29" s="31" t="str">
        <f>IFERROR(__xludf.DUMMYFUNCTION("IFERROR(FILTER('RAW DATA'!$D:$D,'RAW DATA'!$B:$B=$B29,'RAW DATA'!$C:$C=E$1) / $A29)"),"")</f>
        <v/>
      </c>
      <c r="F29" s="31" t="str">
        <f>IFERROR(__xludf.DUMMYFUNCTION("IFERROR(FILTER('RAW DATA'!$D:$D,'RAW DATA'!$B:$B=$B29,'RAW DATA'!$C:$C=F$1) / $A29)"),"")</f>
        <v/>
      </c>
      <c r="G29" s="31" t="str">
        <f>IFERROR(__xludf.DUMMYFUNCTION("IFERROR(FILTER('RAW DATA'!$D:$D,'RAW DATA'!$B:$B=$B29,'RAW DATA'!$C:$C=G$1) / $A29)"),"")</f>
        <v/>
      </c>
      <c r="H29" s="31" t="str">
        <f>IFERROR(__xludf.DUMMYFUNCTION("IFERROR(FILTER('RAW DATA'!$D:$D,'RAW DATA'!$B:$B=$B29,'RAW DATA'!$C:$C=H$1) / $A29)"),"")</f>
        <v/>
      </c>
      <c r="I29" s="31" t="str">
        <f>IFERROR(__xludf.DUMMYFUNCTION("IFERROR(FILTER('RAW DATA'!$D:$D,'RAW DATA'!$B:$B=$B29,'RAW DATA'!$C:$C=I$1) / $A29)"),"")</f>
        <v/>
      </c>
      <c r="J29" s="31" t="str">
        <f>IFERROR(__xludf.DUMMYFUNCTION("IFERROR(FILTER('RAW DATA'!$D:$D,'RAW DATA'!$B:$B=$B29,'RAW DATA'!$C:$C=J$1) / $A29)"),"")</f>
        <v/>
      </c>
      <c r="K29" s="31" t="str">
        <f>IFERROR(__xludf.DUMMYFUNCTION("IFERROR(FILTER('RAW DATA'!$D:$D,'RAW DATA'!$B:$B=$B29,'RAW DATA'!$C:$C=K$1) / $A29)"),"")</f>
        <v/>
      </c>
      <c r="L29" s="31" t="str">
        <f>IFERROR(__xludf.DUMMYFUNCTION("IFERROR(FILTER('RAW DATA'!$D:$D,'RAW DATA'!$B:$B=$B29,'RAW DATA'!$C:$C=L$1) / $A29)"),"")</f>
        <v/>
      </c>
      <c r="M29" s="31" t="str">
        <f>IFERROR(__xludf.DUMMYFUNCTION("IFERROR(FILTER('RAW DATA'!$D:$D,'RAW DATA'!$B:$B=$B29,'RAW DATA'!$C:$C=M$1) / $A29)"),"")</f>
        <v/>
      </c>
      <c r="N29" s="31" t="str">
        <f>IFERROR(__xludf.DUMMYFUNCTION("IFERROR(FILTER('RAW DATA'!$D:$D,'RAW DATA'!$B:$B=$B29,'RAW DATA'!$C:$C=N$1) / $A29)"),"")</f>
        <v/>
      </c>
      <c r="O29" s="31" t="str">
        <f>IFERROR(__xludf.DUMMYFUNCTION("IFERROR(FILTER('RAW DATA'!$D:$D,'RAW DATA'!$B:$B=$B29,'RAW DATA'!$C:$C=O$1) / $A29)"),"")</f>
        <v/>
      </c>
      <c r="P29" s="31" t="str">
        <f>IFERROR(__xludf.DUMMYFUNCTION("IFERROR(FILTER('RAW DATA'!$D:$D,'RAW DATA'!$B:$B=$B29,'RAW DATA'!$C:$C=P$1) / $A29)"),"")</f>
        <v/>
      </c>
      <c r="Q29" s="31" t="str">
        <f>IFERROR(__xludf.DUMMYFUNCTION("IFERROR(FILTER('RAW DATA'!$D:$D,'RAW DATA'!$B:$B=$B29,'RAW DATA'!$C:$C=Q$1) / $A29)"),"")</f>
        <v/>
      </c>
      <c r="R29" s="31" t="str">
        <f>IFERROR(__xludf.DUMMYFUNCTION("IFERROR(FILTER('RAW DATA'!$D:$D,'RAW DATA'!$B:$B=$B29,'RAW DATA'!$C:$C=R$1) / $A29)"),"")</f>
        <v/>
      </c>
      <c r="S29" s="31" t="str">
        <f>IFERROR(__xludf.DUMMYFUNCTION("IFERROR(FILTER('RAW DATA'!$D:$D,'RAW DATA'!$B:$B=$B29,'RAW DATA'!$C:$C=S$1) / $A29)"),"")</f>
        <v/>
      </c>
      <c r="T29" s="31" t="str">
        <f>IFERROR(__xludf.DUMMYFUNCTION("IFERROR(FILTER('RAW DATA'!$D:$D,'RAW DATA'!$B:$B=$B29,'RAW DATA'!$C:$C=T$1) / $A29)"),"")</f>
        <v/>
      </c>
      <c r="U29" s="31" t="str">
        <f>IFERROR(__xludf.DUMMYFUNCTION("IFERROR(FILTER('RAW DATA'!$D:$D,'RAW DATA'!$B:$B=$B29,'RAW DATA'!$C:$C=U$1) / $A29)"),"")</f>
        <v/>
      </c>
      <c r="V29" s="31" t="str">
        <f>IFERROR(__xludf.DUMMYFUNCTION("IFERROR(FILTER('RAW DATA'!$D:$D,'RAW DATA'!$B:$B=$B29,'RAW DATA'!$C:$C=V$1) / $A29)"),"")</f>
        <v/>
      </c>
      <c r="W29" s="31" t="str">
        <f>IFERROR(__xludf.DUMMYFUNCTION("IFERROR(FILTER('RAW DATA'!$D:$D,'RAW DATA'!$B:$B=$B29,'RAW DATA'!$C:$C=W$1) / $A29)"),"")</f>
        <v/>
      </c>
      <c r="X29" s="31" t="str">
        <f>IFERROR(__xludf.DUMMYFUNCTION("IFERROR(FILTER('RAW DATA'!$D:$D,'RAW DATA'!$B:$B=$B29,'RAW DATA'!$C:$C=X$1) / $A29)"),"")</f>
        <v/>
      </c>
    </row>
    <row r="30">
      <c r="A30" s="44"/>
    </row>
  </sheetData>
  <autoFilter ref="$B$3:$X$2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C1" s="1">
        <v>0.0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</row>
    <row r="2">
      <c r="A2" s="1" t="s">
        <v>32</v>
      </c>
      <c r="B2" t="s">
        <v>37</v>
      </c>
      <c r="C2" t="str">
        <f t="shared" ref="C2:X2" si="1">"Week "&amp;C1</f>
        <v>Week 0</v>
      </c>
      <c r="D2" t="str">
        <f t="shared" si="1"/>
        <v>Week 1</v>
      </c>
      <c r="E2" t="str">
        <f t="shared" si="1"/>
        <v>Week 2</v>
      </c>
      <c r="F2" t="str">
        <f t="shared" si="1"/>
        <v>Week 3</v>
      </c>
      <c r="G2" t="str">
        <f t="shared" si="1"/>
        <v>Week 4</v>
      </c>
      <c r="H2" t="str">
        <f t="shared" si="1"/>
        <v>Week 5</v>
      </c>
      <c r="I2" t="str">
        <f t="shared" si="1"/>
        <v>Week 6</v>
      </c>
      <c r="J2" t="str">
        <f t="shared" si="1"/>
        <v>Week 7</v>
      </c>
      <c r="K2" t="str">
        <f t="shared" si="1"/>
        <v>Week 8</v>
      </c>
      <c r="L2" t="str">
        <f t="shared" si="1"/>
        <v>Week 9</v>
      </c>
      <c r="M2" t="str">
        <f t="shared" si="1"/>
        <v>Week 10</v>
      </c>
      <c r="N2" t="str">
        <f t="shared" si="1"/>
        <v>Week 11</v>
      </c>
      <c r="O2" t="str">
        <f t="shared" si="1"/>
        <v>Week 12</v>
      </c>
      <c r="P2" t="str">
        <f t="shared" si="1"/>
        <v>Week 13</v>
      </c>
      <c r="Q2" t="str">
        <f t="shared" si="1"/>
        <v>Week 14</v>
      </c>
      <c r="R2" t="str">
        <f t="shared" si="1"/>
        <v>Week 15</v>
      </c>
      <c r="S2" t="str">
        <f t="shared" si="1"/>
        <v>Week 16</v>
      </c>
      <c r="T2" t="str">
        <f t="shared" si="1"/>
        <v>Week 17</v>
      </c>
      <c r="U2" t="str">
        <f t="shared" si="1"/>
        <v>Week 18</v>
      </c>
      <c r="V2" t="str">
        <f t="shared" si="1"/>
        <v>Week 19</v>
      </c>
      <c r="W2" t="str">
        <f t="shared" si="1"/>
        <v>Week 20</v>
      </c>
      <c r="X2" t="str">
        <f t="shared" si="1"/>
        <v>Week 21</v>
      </c>
      <c r="Z2" s="1" t="s">
        <v>39</v>
      </c>
    </row>
    <row r="3">
      <c r="A3" s="29">
        <f>IFERROR(__xludf.DUMMYFUNCTION("FILTER('DoD RAW DATA'!$D:$D,'DoD RAW DATA'!$B:$B=$B3,'DoD RAW DATA'!$C:$C=A$1)"),1371.0)</f>
        <v>1371</v>
      </c>
      <c r="B3" s="36">
        <v>43252.0</v>
      </c>
      <c r="C3" s="31">
        <f>IFERROR(__xludf.DUMMYFUNCTION("IFERROR(FILTER('DoD RAW DATA'!$D:$D,'DoD RAW DATA'!$B:$B=$B3,'DoD RAW DATA'!$C:$C=C$1) / $A3)"),1.0)</f>
        <v>1</v>
      </c>
      <c r="D3" s="31">
        <f>IFERROR(__xludf.DUMMYFUNCTION("IFERROR(FILTER('DoD RAW DATA'!$D:$D,'DoD RAW DATA'!$B:$B=$B3,'DoD RAW DATA'!$C:$C=D$1) / $A3)"),0.021152443471918306)</f>
        <v>0.02115244347</v>
      </c>
      <c r="E3" s="31">
        <f>IFERROR(__xludf.DUMMYFUNCTION("IFERROR(FILTER('DoD RAW DATA'!$D:$D,'DoD RAW DATA'!$B:$B=$B3,'DoD RAW DATA'!$C:$C=E$1) / $A3)"),0.032093362509117436)</f>
        <v>0.03209336251</v>
      </c>
      <c r="F3" s="31">
        <f>IFERROR(__xludf.DUMMYFUNCTION("IFERROR(FILTER('DoD RAW DATA'!$D:$D,'DoD RAW DATA'!$B:$B=$B3,'DoD RAW DATA'!$C:$C=F$1) / $A3)"),0.06345733041575492)</f>
        <v>0.06345733042</v>
      </c>
      <c r="G3" s="31">
        <f>IFERROR(__xludf.DUMMYFUNCTION("IFERROR(FILTER('DoD RAW DATA'!$D:$D,'DoD RAW DATA'!$B:$B=$B3,'DoD RAW DATA'!$C:$C=G$1) / $A3)"),0.2975929978118162)</f>
        <v>0.2975929978</v>
      </c>
      <c r="H3" s="31">
        <f>IFERROR(__xludf.DUMMYFUNCTION("IFERROR(FILTER('DoD RAW DATA'!$D:$D,'DoD RAW DATA'!$B:$B=$B3,'DoD RAW DATA'!$C:$C=H$1) / $A3)"),0.0350109409190372)</f>
        <v>0.03501094092</v>
      </c>
      <c r="I3" s="31">
        <f>IFERROR(__xludf.DUMMYFUNCTION("IFERROR(FILTER('DoD RAW DATA'!$D:$D,'DoD RAW DATA'!$B:$B=$B3,'DoD RAW DATA'!$C:$C=I$1) / $A3)"),0.045951859956236324)</f>
        <v>0.04595185996</v>
      </c>
      <c r="J3" s="31">
        <f>IFERROR(__xludf.DUMMYFUNCTION("IFERROR(FILTER('DoD RAW DATA'!$D:$D,'DoD RAW DATA'!$B:$B=$B3,'DoD RAW DATA'!$C:$C=J$1) / $A3)"),0.058351568198395334)</f>
        <v>0.0583515682</v>
      </c>
      <c r="K3" s="31">
        <f>IFERROR(__xludf.DUMMYFUNCTION("IFERROR(FILTER('DoD RAW DATA'!$D:$D,'DoD RAW DATA'!$B:$B=$B3,'DoD RAW DATA'!$C:$C=K$1) / $A3)"),0.09555069292487235)</f>
        <v>0.09555069292</v>
      </c>
      <c r="L3" s="31">
        <f>IFERROR(__xludf.DUMMYFUNCTION("IFERROR(FILTER('DoD RAW DATA'!$D:$D,'DoD RAW DATA'!$B:$B=$B3,'DoD RAW DATA'!$C:$C=L$1) / $A3)"),0.16046681254558717)</f>
        <v>0.1604668125</v>
      </c>
      <c r="M3" s="31">
        <f>IFERROR(__xludf.DUMMYFUNCTION("IFERROR(FILTER('DoD RAW DATA'!$D:$D,'DoD RAW DATA'!$B:$B=$B3,'DoD RAW DATA'!$C:$C=M$1) / $A3)"),0.0437636761487965)</f>
        <v>0.04376367615</v>
      </c>
      <c r="N3" s="31">
        <f>IFERROR(__xludf.DUMMYFUNCTION("IFERROR(FILTER('DoD RAW DATA'!$D:$D,'DoD RAW DATA'!$B:$B=$B3,'DoD RAW DATA'!$C:$C=N$1) / $A3)"),0.04230488694383661)</f>
        <v>0.04230488694</v>
      </c>
      <c r="O3" s="31">
        <f>IFERROR(__xludf.DUMMYFUNCTION("IFERROR(FILTER('DoD RAW DATA'!$D:$D,'DoD RAW DATA'!$B:$B=$B3,'DoD RAW DATA'!$C:$C=O$1) / $A3)"),0.06710430342815463)</f>
        <v>0.06710430343</v>
      </c>
      <c r="P3" s="31">
        <f>IFERROR(__xludf.DUMMYFUNCTION("IFERROR(FILTER('DoD RAW DATA'!$D:$D,'DoD RAW DATA'!$B:$B=$B3,'DoD RAW DATA'!$C:$C=P$1) / $A3)"),0.11597374179431072)</f>
        <v>0.1159737418</v>
      </c>
      <c r="Q3" s="31">
        <f>IFERROR(__xludf.DUMMYFUNCTION("IFERROR(FILTER('DoD RAW DATA'!$D:$D,'DoD RAW DATA'!$B:$B=$B3,'DoD RAW DATA'!$C:$C=Q$1) / $A3)"),0.049598832968636035)</f>
        <v>0.04959883297</v>
      </c>
      <c r="R3" s="31">
        <f>IFERROR(__xludf.DUMMYFUNCTION("IFERROR(FILTER('DoD RAW DATA'!$D:$D,'DoD RAW DATA'!$B:$B=$B3,'DoD RAW DATA'!$C:$C=R$1) / $A3)"),0.0437636761487965)</f>
        <v>0.04376367615</v>
      </c>
      <c r="S3" s="31">
        <f>IFERROR(__xludf.DUMMYFUNCTION("IFERROR(FILTER('DoD RAW DATA'!$D:$D,'DoD RAW DATA'!$B:$B=$B3,'DoD RAW DATA'!$C:$C=S$1) / $A3)"),0.04814004376367615)</f>
        <v>0.04814004376</v>
      </c>
      <c r="T3" s="31">
        <f>IFERROR(__xludf.DUMMYFUNCTION("IFERROR(FILTER('DoD RAW DATA'!$D:$D,'DoD RAW DATA'!$B:$B=$B3,'DoD RAW DATA'!$C:$C=T$1) / $A3)"),0.1050328227571116)</f>
        <v>0.1050328228</v>
      </c>
      <c r="U3" s="31">
        <f>IFERROR(__xludf.DUMMYFUNCTION("IFERROR(FILTER('DoD RAW DATA'!$D:$D,'DoD RAW DATA'!$B:$B=$B3,'DoD RAW DATA'!$C:$C=U$1) / $A3)"),0.051787016776075855)</f>
        <v>0.05178701678</v>
      </c>
      <c r="V3" s="31">
        <f>IFERROR(__xludf.DUMMYFUNCTION("IFERROR(FILTER('DoD RAW DATA'!$D:$D,'DoD RAW DATA'!$B:$B=$B3,'DoD RAW DATA'!$C:$C=V$1) / $A3)"),0.037199124726477024)</f>
        <v>0.03719912473</v>
      </c>
      <c r="W3" s="31">
        <f>IFERROR(__xludf.DUMMYFUNCTION("IFERROR(FILTER('DoD RAW DATA'!$D:$D,'DoD RAW DATA'!$B:$B=$B3,'DoD RAW DATA'!$C:$C=W$1) / $A3)"),0.04230488694383661)</f>
        <v>0.04230488694</v>
      </c>
      <c r="X3" s="31">
        <f>IFERROR(__xludf.DUMMYFUNCTION("IFERROR(FILTER('DoD RAW DATA'!$D:$D,'DoD RAW DATA'!$B:$B=$B3,'DoD RAW DATA'!$C:$C=X$1) / $A3)"),0.04522246535375638)</f>
        <v>0.04522246535</v>
      </c>
    </row>
    <row r="4">
      <c r="A4" s="29">
        <f>IFERROR(__xludf.DUMMYFUNCTION("FILTER('DoD RAW DATA'!$D:$D,'DoD RAW DATA'!$B:$B=$B4,'DoD RAW DATA'!$C:$C=A$1)"),1152.0)</f>
        <v>1152</v>
      </c>
      <c r="B4" s="36">
        <v>43253.0</v>
      </c>
      <c r="C4" s="31">
        <f>IFERROR(__xludf.DUMMYFUNCTION("IFERROR(FILTER('DoD RAW DATA'!$D:$D,'DoD RAW DATA'!$B:$B=$B4,'DoD RAW DATA'!$C:$C=C$1) / $A4)"),1.0)</f>
        <v>1</v>
      </c>
      <c r="D4" s="31">
        <f>IFERROR(__xludf.DUMMYFUNCTION("IFERROR(FILTER('DoD RAW DATA'!$D:$D,'DoD RAW DATA'!$B:$B=$B4,'DoD RAW DATA'!$C:$C=D$1) / $A4)"),0.018229166666666668)</f>
        <v>0.01822916667</v>
      </c>
      <c r="E4" s="31">
        <f>IFERROR(__xludf.DUMMYFUNCTION("IFERROR(FILTER('DoD RAW DATA'!$D:$D,'DoD RAW DATA'!$B:$B=$B4,'DoD RAW DATA'!$C:$C=E$1) / $A4)"),0.03211805555555555)</f>
        <v>0.03211805556</v>
      </c>
      <c r="F4" s="31">
        <f>IFERROR(__xludf.DUMMYFUNCTION("IFERROR(FILTER('DoD RAW DATA'!$D:$D,'DoD RAW DATA'!$B:$B=$B4,'DoD RAW DATA'!$C:$C=F$1) / $A4)"),0.046875)</f>
        <v>0.046875</v>
      </c>
      <c r="G4" s="31">
        <f>IFERROR(__xludf.DUMMYFUNCTION("IFERROR(FILTER('DoD RAW DATA'!$D:$D,'DoD RAW DATA'!$B:$B=$B4,'DoD RAW DATA'!$C:$C=G$1) / $A4)"),0.2855902777777778)</f>
        <v>0.2855902778</v>
      </c>
      <c r="H4" s="31">
        <f>IFERROR(__xludf.DUMMYFUNCTION("IFERROR(FILTER('DoD RAW DATA'!$D:$D,'DoD RAW DATA'!$B:$B=$B4,'DoD RAW DATA'!$C:$C=H$1) / $A4)"),0.04774305555555555)</f>
        <v>0.04774305556</v>
      </c>
      <c r="I4" s="31">
        <f>IFERROR(__xludf.DUMMYFUNCTION("IFERROR(FILTER('DoD RAW DATA'!$D:$D,'DoD RAW DATA'!$B:$B=$B4,'DoD RAW DATA'!$C:$C=I$1) / $A4)"),0.033854166666666664)</f>
        <v>0.03385416667</v>
      </c>
      <c r="J4" s="31">
        <f>IFERROR(__xludf.DUMMYFUNCTION("IFERROR(FILTER('DoD RAW DATA'!$D:$D,'DoD RAW DATA'!$B:$B=$B4,'DoD RAW DATA'!$C:$C=J$1) / $A4)"),0.0390625)</f>
        <v>0.0390625</v>
      </c>
      <c r="K4" s="31">
        <f>IFERROR(__xludf.DUMMYFUNCTION("IFERROR(FILTER('DoD RAW DATA'!$D:$D,'DoD RAW DATA'!$B:$B=$B4,'DoD RAW DATA'!$C:$C=K$1) / $A4)"),0.1753472222222222)</f>
        <v>0.1753472222</v>
      </c>
      <c r="L4" s="31">
        <f>IFERROR(__xludf.DUMMYFUNCTION("IFERROR(FILTER('DoD RAW DATA'!$D:$D,'DoD RAW DATA'!$B:$B=$B4,'DoD RAW DATA'!$C:$C=L$1) / $A4)"),0.0998263888888889)</f>
        <v>0.09982638889</v>
      </c>
      <c r="M4" s="31">
        <f>IFERROR(__xludf.DUMMYFUNCTION("IFERROR(FILTER('DoD RAW DATA'!$D:$D,'DoD RAW DATA'!$B:$B=$B4,'DoD RAW DATA'!$C:$C=M$1) / $A4)"),0.050347222222222224)</f>
        <v>0.05034722222</v>
      </c>
      <c r="N4" s="31">
        <f>IFERROR(__xludf.DUMMYFUNCTION("IFERROR(FILTER('DoD RAW DATA'!$D:$D,'DoD RAW DATA'!$B:$B=$B4,'DoD RAW DATA'!$C:$C=N$1) / $A4)"),0.044270833333333336)</f>
        <v>0.04427083333</v>
      </c>
      <c r="O4" s="31">
        <f>IFERROR(__xludf.DUMMYFUNCTION("IFERROR(FILTER('DoD RAW DATA'!$D:$D,'DoD RAW DATA'!$B:$B=$B4,'DoD RAW DATA'!$C:$C=O$1) / $A4)"),0.04600694444444445)</f>
        <v>0.04600694444</v>
      </c>
      <c r="P4" s="31">
        <f>IFERROR(__xludf.DUMMYFUNCTION("IFERROR(FILTER('DoD RAW DATA'!$D:$D,'DoD RAW DATA'!$B:$B=$B4,'DoD RAW DATA'!$C:$C=P$1) / $A4)"),0.1284722222222222)</f>
        <v>0.1284722222</v>
      </c>
      <c r="Q4" s="31">
        <f>IFERROR(__xludf.DUMMYFUNCTION("IFERROR(FILTER('DoD RAW DATA'!$D:$D,'DoD RAW DATA'!$B:$B=$B4,'DoD RAW DATA'!$C:$C=Q$1) / $A4)"),0.059027777777777776)</f>
        <v>0.05902777778</v>
      </c>
      <c r="R4" s="31">
        <f>IFERROR(__xludf.DUMMYFUNCTION("IFERROR(FILTER('DoD RAW DATA'!$D:$D,'DoD RAW DATA'!$B:$B=$B4,'DoD RAW DATA'!$C:$C=R$1) / $A4)"),0.042534722222222224)</f>
        <v>0.04253472222</v>
      </c>
      <c r="S4" s="31">
        <f>IFERROR(__xludf.DUMMYFUNCTION("IFERROR(FILTER('DoD RAW DATA'!$D:$D,'DoD RAW DATA'!$B:$B=$B4,'DoD RAW DATA'!$C:$C=S$1) / $A4)"),0.04600694444444445)</f>
        <v>0.04600694444</v>
      </c>
      <c r="T4" s="31">
        <f>IFERROR(__xludf.DUMMYFUNCTION("IFERROR(FILTER('DoD RAW DATA'!$D:$D,'DoD RAW DATA'!$B:$B=$B4,'DoD RAW DATA'!$C:$C=T$1) / $A4)"),0.11197916666666667)</f>
        <v>0.1119791667</v>
      </c>
      <c r="U4" s="31">
        <f>IFERROR(__xludf.DUMMYFUNCTION("IFERROR(FILTER('DoD RAW DATA'!$D:$D,'DoD RAW DATA'!$B:$B=$B4,'DoD RAW DATA'!$C:$C=U$1) / $A4)"),0.050347222222222224)</f>
        <v>0.05034722222</v>
      </c>
      <c r="V4" s="31">
        <f>IFERROR(__xludf.DUMMYFUNCTION("IFERROR(FILTER('DoD RAW DATA'!$D:$D,'DoD RAW DATA'!$B:$B=$B4,'DoD RAW DATA'!$C:$C=V$1) / $A4)"),0.043402777777777776)</f>
        <v>0.04340277778</v>
      </c>
      <c r="W4" s="31">
        <f>IFERROR(__xludf.DUMMYFUNCTION("IFERROR(FILTER('DoD RAW DATA'!$D:$D,'DoD RAW DATA'!$B:$B=$B4,'DoD RAW DATA'!$C:$C=W$1) / $A4)"),0.03993055555555555)</f>
        <v>0.03993055556</v>
      </c>
      <c r="X4" s="31">
        <f>IFERROR(__xludf.DUMMYFUNCTION("IFERROR(FILTER('DoD RAW DATA'!$D:$D,'DoD RAW DATA'!$B:$B=$B4,'DoD RAW DATA'!$C:$C=X$1) / $A4)"),0.028645833333333332)</f>
        <v>0.02864583333</v>
      </c>
    </row>
    <row r="5">
      <c r="A5" s="29">
        <f>IFERROR(__xludf.DUMMYFUNCTION("FILTER('DoD RAW DATA'!$D:$D,'DoD RAW DATA'!$B:$B=$B5,'DoD RAW DATA'!$C:$C=A$1)"),1923.0)</f>
        <v>1923</v>
      </c>
      <c r="B5" s="36">
        <v>43255.0</v>
      </c>
      <c r="C5" s="31">
        <f>IFERROR(__xludf.DUMMYFUNCTION("IFERROR(FILTER('DoD RAW DATA'!$D:$D,'DoD RAW DATA'!$B:$B=$B5,'DoD RAW DATA'!$C:$C=C$1) / $A5)"),1.0)</f>
        <v>1</v>
      </c>
      <c r="D5" s="31">
        <f>IFERROR(__xludf.DUMMYFUNCTION("IFERROR(FILTER('DoD RAW DATA'!$D:$D,'DoD RAW DATA'!$B:$B=$B5,'DoD RAW DATA'!$C:$C=D$1) / $A5)"),0.015080603224128965)</f>
        <v>0.01508060322</v>
      </c>
      <c r="E5" s="31">
        <f>IFERROR(__xludf.DUMMYFUNCTION("IFERROR(FILTER('DoD RAW DATA'!$D:$D,'DoD RAW DATA'!$B:$B=$B5,'DoD RAW DATA'!$C:$C=E$1) / $A5)"),0.02548101924076963)</f>
        <v>0.02548101924</v>
      </c>
      <c r="F5" s="31">
        <f>IFERROR(__xludf.DUMMYFUNCTION("IFERROR(FILTER('DoD RAW DATA'!$D:$D,'DoD RAW DATA'!$B:$B=$B5,'DoD RAW DATA'!$C:$C=F$1) / $A5)"),0.07124284971398856)</f>
        <v>0.07124284971</v>
      </c>
      <c r="G5" s="31">
        <f>IFERROR(__xludf.DUMMYFUNCTION("IFERROR(FILTER('DoD RAW DATA'!$D:$D,'DoD RAW DATA'!$B:$B=$B5,'DoD RAW DATA'!$C:$C=G$1) / $A5)"),0.3109724388975559)</f>
        <v>0.3109724389</v>
      </c>
      <c r="H5" s="31">
        <f>IFERROR(__xludf.DUMMYFUNCTION("IFERROR(FILTER('DoD RAW DATA'!$D:$D,'DoD RAW DATA'!$B:$B=$B5,'DoD RAW DATA'!$C:$C=H$1) / $A5)"),0.031201248049921998)</f>
        <v>0.03120124805</v>
      </c>
      <c r="I5" s="31">
        <f>IFERROR(__xludf.DUMMYFUNCTION("IFERROR(FILTER('DoD RAW DATA'!$D:$D,'DoD RAW DATA'!$B:$B=$B5,'DoD RAW DATA'!$C:$C=I$1) / $A5)"),0.031721268850754034)</f>
        <v>0.03172126885</v>
      </c>
      <c r="J5" s="31">
        <f>IFERROR(__xludf.DUMMYFUNCTION("IFERROR(FILTER('DoD RAW DATA'!$D:$D,'DoD RAW DATA'!$B:$B=$B5,'DoD RAW DATA'!$C:$C=J$1) / $A5)"),0.0499219968798752)</f>
        <v>0.04992199688</v>
      </c>
      <c r="K5" s="31">
        <f>IFERROR(__xludf.DUMMYFUNCTION("IFERROR(FILTER('DoD RAW DATA'!$D:$D,'DoD RAW DATA'!$B:$B=$B5,'DoD RAW DATA'!$C:$C=K$1) / $A5)"),0.21996879875195008)</f>
        <v>0.2199687988</v>
      </c>
      <c r="L5" s="31">
        <f>IFERROR(__xludf.DUMMYFUNCTION("IFERROR(FILTER('DoD RAW DATA'!$D:$D,'DoD RAW DATA'!$B:$B=$B5,'DoD RAW DATA'!$C:$C=L$1) / $A5)"),0.055122204888195525)</f>
        <v>0.05512220489</v>
      </c>
      <c r="M5" s="31">
        <f>IFERROR(__xludf.DUMMYFUNCTION("IFERROR(FILTER('DoD RAW DATA'!$D:$D,'DoD RAW DATA'!$B:$B=$B5,'DoD RAW DATA'!$C:$C=M$1) / $A5)"),0.0530421216848674)</f>
        <v>0.05304212168</v>
      </c>
      <c r="N5" s="31">
        <f>IFERROR(__xludf.DUMMYFUNCTION("IFERROR(FILTER('DoD RAW DATA'!$D:$D,'DoD RAW DATA'!$B:$B=$B5,'DoD RAW DATA'!$C:$C=N$1) / $A5)"),0.053562142485699425)</f>
        <v>0.05356214249</v>
      </c>
      <c r="O5" s="31">
        <f>IFERROR(__xludf.DUMMYFUNCTION("IFERROR(FILTER('DoD RAW DATA'!$D:$D,'DoD RAW DATA'!$B:$B=$B5,'DoD RAW DATA'!$C:$C=O$1) / $A5)"),0.08372334893395736)</f>
        <v>0.08372334893</v>
      </c>
      <c r="P5" s="31">
        <f>IFERROR(__xludf.DUMMYFUNCTION("IFERROR(FILTER('DoD RAW DATA'!$D:$D,'DoD RAW DATA'!$B:$B=$B5,'DoD RAW DATA'!$C:$C=P$1) / $A5)"),0.12012480499219969)</f>
        <v>0.120124805</v>
      </c>
      <c r="Q5" s="31">
        <f>IFERROR(__xludf.DUMMYFUNCTION("IFERROR(FILTER('DoD RAW DATA'!$D:$D,'DoD RAW DATA'!$B:$B=$B5,'DoD RAW DATA'!$C:$C=Q$1) / $A5)"),0.04472178887155486)</f>
        <v>0.04472178887</v>
      </c>
      <c r="R5" s="31">
        <f>IFERROR(__xludf.DUMMYFUNCTION("IFERROR(FILTER('DoD RAW DATA'!$D:$D,'DoD RAW DATA'!$B:$B=$B5,'DoD RAW DATA'!$C:$C=R$1) / $A5)"),0.037961518460738426)</f>
        <v>0.03796151846</v>
      </c>
      <c r="S5" s="31">
        <f>IFERROR(__xludf.DUMMYFUNCTION("IFERROR(FILTER('DoD RAW DATA'!$D:$D,'DoD RAW DATA'!$B:$B=$B5,'DoD RAW DATA'!$C:$C=S$1) / $A5)"),0.06344253770150807)</f>
        <v>0.0634425377</v>
      </c>
      <c r="T5" s="31">
        <f>IFERROR(__xludf.DUMMYFUNCTION("IFERROR(FILTER('DoD RAW DATA'!$D:$D,'DoD RAW DATA'!$B:$B=$B5,'DoD RAW DATA'!$C:$C=T$1) / $A5)"),0.11440457618304732)</f>
        <v>0.1144045762</v>
      </c>
      <c r="U5" s="31">
        <f>IFERROR(__xludf.DUMMYFUNCTION("IFERROR(FILTER('DoD RAW DATA'!$D:$D,'DoD RAW DATA'!$B:$B=$B5,'DoD RAW DATA'!$C:$C=U$1) / $A5)"),0.0514820592823713)</f>
        <v>0.05148205928</v>
      </c>
      <c r="V5" s="31">
        <f>IFERROR(__xludf.DUMMYFUNCTION("IFERROR(FILTER('DoD RAW DATA'!$D:$D,'DoD RAW DATA'!$B:$B=$B5,'DoD RAW DATA'!$C:$C=V$1) / $A5)"),0.04316172646905876)</f>
        <v>0.04316172647</v>
      </c>
      <c r="W5" s="31">
        <f>IFERROR(__xludf.DUMMYFUNCTION("IFERROR(FILTER('DoD RAW DATA'!$D:$D,'DoD RAW DATA'!$B:$B=$B5,'DoD RAW DATA'!$C:$C=W$1) / $A5)"),0.048881955278211126)</f>
        <v>0.04888195528</v>
      </c>
      <c r="X5" s="31">
        <f>IFERROR(__xludf.DUMMYFUNCTION("IFERROR(FILTER('DoD RAW DATA'!$D:$D,'DoD RAW DATA'!$B:$B=$B5,'DoD RAW DATA'!$C:$C=X$1) / $A5)"),0.013520540821632865)</f>
        <v>0.01352054082</v>
      </c>
    </row>
    <row r="6">
      <c r="A6" s="29">
        <f>IFERROR(__xludf.DUMMYFUNCTION("FILTER('DoD RAW DATA'!$D:$D,'DoD RAW DATA'!$B:$B=$B6,'DoD RAW DATA'!$C:$C=A$1)"),809.0)</f>
        <v>809</v>
      </c>
      <c r="B6" s="36">
        <v>43256.0</v>
      </c>
      <c r="C6" s="31">
        <f>IFERROR(__xludf.DUMMYFUNCTION("IFERROR(FILTER('DoD RAW DATA'!$D:$D,'DoD RAW DATA'!$B:$B=$B6,'DoD RAW DATA'!$C:$C=C$1) / $A6)"),1.0)</f>
        <v>1</v>
      </c>
      <c r="D6" s="31">
        <f>IFERROR(__xludf.DUMMYFUNCTION("IFERROR(FILTER('DoD RAW DATA'!$D:$D,'DoD RAW DATA'!$B:$B=$B6,'DoD RAW DATA'!$C:$C=D$1) / $A6)"),0.012360939431396786)</f>
        <v>0.01236093943</v>
      </c>
      <c r="E6" s="31">
        <f>IFERROR(__xludf.DUMMYFUNCTION("IFERROR(FILTER('DoD RAW DATA'!$D:$D,'DoD RAW DATA'!$B:$B=$B6,'DoD RAW DATA'!$C:$C=E$1) / $A6)"),0.02595797280593325)</f>
        <v>0.02595797281</v>
      </c>
      <c r="F6" s="31">
        <f>IFERROR(__xludf.DUMMYFUNCTION("IFERROR(FILTER('DoD RAW DATA'!$D:$D,'DoD RAW DATA'!$B:$B=$B6,'DoD RAW DATA'!$C:$C=F$1) / $A6)"),0.06798516687268233)</f>
        <v>0.06798516687</v>
      </c>
      <c r="G6" s="31">
        <f>IFERROR(__xludf.DUMMYFUNCTION("IFERROR(FILTER('DoD RAW DATA'!$D:$D,'DoD RAW DATA'!$B:$B=$B6,'DoD RAW DATA'!$C:$C=G$1) / $A6)"),0.2843016069221261)</f>
        <v>0.2843016069</v>
      </c>
      <c r="H6" s="31">
        <f>IFERROR(__xludf.DUMMYFUNCTION("IFERROR(FILTER('DoD RAW DATA'!$D:$D,'DoD RAW DATA'!$B:$B=$B6,'DoD RAW DATA'!$C:$C=H$1) / $A6)"),0.032138442521631644)</f>
        <v>0.03213844252</v>
      </c>
      <c r="I6" s="31">
        <f>IFERROR(__xludf.DUMMYFUNCTION("IFERROR(FILTER('DoD RAW DATA'!$D:$D,'DoD RAW DATA'!$B:$B=$B6,'DoD RAW DATA'!$C:$C=I$1) / $A6)"),0.038318912237330034)</f>
        <v>0.03831891224</v>
      </c>
      <c r="J6" s="31">
        <f>IFERROR(__xludf.DUMMYFUNCTION("IFERROR(FILTER('DoD RAW DATA'!$D:$D,'DoD RAW DATA'!$B:$B=$B6,'DoD RAW DATA'!$C:$C=J$1) / $A6)"),0.04326328800988875)</f>
        <v>0.04326328801</v>
      </c>
      <c r="K6" s="31">
        <f>IFERROR(__xludf.DUMMYFUNCTION("IFERROR(FILTER('DoD RAW DATA'!$D:$D,'DoD RAW DATA'!$B:$B=$B6,'DoD RAW DATA'!$C:$C=K$1) / $A6)"),0.21137206427688504)</f>
        <v>0.2113720643</v>
      </c>
      <c r="L6" s="31">
        <f>IFERROR(__xludf.DUMMYFUNCTION("IFERROR(FILTER('DoD RAW DATA'!$D:$D,'DoD RAW DATA'!$B:$B=$B6,'DoD RAW DATA'!$C:$C=L$1) / $A6)"),0.05315203955500618)</f>
        <v>0.05315203956</v>
      </c>
      <c r="M6" s="31">
        <f>IFERROR(__xludf.DUMMYFUNCTION("IFERROR(FILTER('DoD RAW DATA'!$D:$D,'DoD RAW DATA'!$B:$B=$B6,'DoD RAW DATA'!$C:$C=M$1) / $A6)"),0.03584672435105068)</f>
        <v>0.03584672435</v>
      </c>
      <c r="N6" s="31">
        <f>IFERROR(__xludf.DUMMYFUNCTION("IFERROR(FILTER('DoD RAW DATA'!$D:$D,'DoD RAW DATA'!$B:$B=$B6,'DoD RAW DATA'!$C:$C=N$1) / $A6)"),0.03955500618046971)</f>
        <v>0.03955500618</v>
      </c>
      <c r="O6" s="31">
        <f>IFERROR(__xludf.DUMMYFUNCTION("IFERROR(FILTER('DoD RAW DATA'!$D:$D,'DoD RAW DATA'!$B:$B=$B6,'DoD RAW DATA'!$C:$C=O$1) / $A6)"),0.059332509270704575)</f>
        <v>0.05933250927</v>
      </c>
      <c r="P6" s="31">
        <f>IFERROR(__xludf.DUMMYFUNCTION("IFERROR(FILTER('DoD RAW DATA'!$D:$D,'DoD RAW DATA'!$B:$B=$B6,'DoD RAW DATA'!$C:$C=P$1) / $A6)"),0.12855377008652658)</f>
        <v>0.1285537701</v>
      </c>
      <c r="Q6" s="31">
        <f>IFERROR(__xludf.DUMMYFUNCTION("IFERROR(FILTER('DoD RAW DATA'!$D:$D,'DoD RAW DATA'!$B:$B=$B6,'DoD RAW DATA'!$C:$C=Q$1) / $A6)"),0.029666254635352288)</f>
        <v>0.02966625464</v>
      </c>
      <c r="R6" s="31">
        <f>IFERROR(__xludf.DUMMYFUNCTION("IFERROR(FILTER('DoD RAW DATA'!$D:$D,'DoD RAW DATA'!$B:$B=$B6,'DoD RAW DATA'!$C:$C=R$1) / $A6)"),0.032138442521631644)</f>
        <v>0.03213844252</v>
      </c>
      <c r="S6" s="31">
        <f>IFERROR(__xludf.DUMMYFUNCTION("IFERROR(FILTER('DoD RAW DATA'!$D:$D,'DoD RAW DATA'!$B:$B=$B6,'DoD RAW DATA'!$C:$C=S$1) / $A6)"),0.054388133498145856)</f>
        <v>0.0543881335</v>
      </c>
      <c r="T6" s="31">
        <f>IFERROR(__xludf.DUMMYFUNCTION("IFERROR(FILTER('DoD RAW DATA'!$D:$D,'DoD RAW DATA'!$B:$B=$B6,'DoD RAW DATA'!$C:$C=T$1) / $A6)"),0.11372064276885044)</f>
        <v>0.1137206428</v>
      </c>
      <c r="U6" s="31">
        <f>IFERROR(__xludf.DUMMYFUNCTION("IFERROR(FILTER('DoD RAW DATA'!$D:$D,'DoD RAW DATA'!$B:$B=$B6,'DoD RAW DATA'!$C:$C=U$1) / $A6)"),0.0407911001236094)</f>
        <v>0.04079110012</v>
      </c>
      <c r="V6" s="31">
        <f>IFERROR(__xludf.DUMMYFUNCTION("IFERROR(FILTER('DoD RAW DATA'!$D:$D,'DoD RAW DATA'!$B:$B=$B6,'DoD RAW DATA'!$C:$C=V$1) / $A6)"),0.03584672435105068)</f>
        <v>0.03584672435</v>
      </c>
      <c r="W6" s="31">
        <f>IFERROR(__xludf.DUMMYFUNCTION("IFERROR(FILTER('DoD RAW DATA'!$D:$D,'DoD RAW DATA'!$B:$B=$B6,'DoD RAW DATA'!$C:$C=W$1) / $A6)"),0.038318912237330034)</f>
        <v>0.03831891224</v>
      </c>
      <c r="X6" s="31">
        <f>IFERROR(__xludf.DUMMYFUNCTION("IFERROR(FILTER('DoD RAW DATA'!$D:$D,'DoD RAW DATA'!$B:$B=$B6,'DoD RAW DATA'!$C:$C=X$1) / $A6)"),0.00865265760197775)</f>
        <v>0.008652657602</v>
      </c>
    </row>
    <row r="7">
      <c r="A7" s="29">
        <f>IFERROR(__xludf.DUMMYFUNCTION("FILTER('DoD RAW DATA'!$D:$D,'DoD RAW DATA'!$B:$B=$B7,'DoD RAW DATA'!$C:$C=A$1)"),834.0)</f>
        <v>834</v>
      </c>
      <c r="B7" s="36">
        <v>43257.0</v>
      </c>
      <c r="C7" s="31">
        <f>IFERROR(__xludf.DUMMYFUNCTION("IFERROR(FILTER('DoD RAW DATA'!$D:$D,'DoD RAW DATA'!$B:$B=$B7,'DoD RAW DATA'!$C:$C=C$1) / $A7)"),1.0)</f>
        <v>1</v>
      </c>
      <c r="D7" s="31">
        <f>IFERROR(__xludf.DUMMYFUNCTION("IFERROR(FILTER('DoD RAW DATA'!$D:$D,'DoD RAW DATA'!$B:$B=$B7,'DoD RAW DATA'!$C:$C=D$1) / $A7)"),0.023980815347721823)</f>
        <v>0.02398081535</v>
      </c>
      <c r="E7" s="31">
        <f>IFERROR(__xludf.DUMMYFUNCTION("IFERROR(FILTER('DoD RAW DATA'!$D:$D,'DoD RAW DATA'!$B:$B=$B7,'DoD RAW DATA'!$C:$C=E$1) / $A7)"),0.011990407673860911)</f>
        <v>0.01199040767</v>
      </c>
      <c r="F7" s="31">
        <f>IFERROR(__xludf.DUMMYFUNCTION("IFERROR(FILTER('DoD RAW DATA'!$D:$D,'DoD RAW DATA'!$B:$B=$B7,'DoD RAW DATA'!$C:$C=F$1) / $A7)"),0.05875299760191847)</f>
        <v>0.0587529976</v>
      </c>
      <c r="G7" s="31">
        <f>IFERROR(__xludf.DUMMYFUNCTION("IFERROR(FILTER('DoD RAW DATA'!$D:$D,'DoD RAW DATA'!$B:$B=$B7,'DoD RAW DATA'!$C:$C=G$1) / $A7)"),0.3261390887290168)</f>
        <v>0.3261390887</v>
      </c>
      <c r="H7" s="31">
        <f>IFERROR(__xludf.DUMMYFUNCTION("IFERROR(FILTER('DoD RAW DATA'!$D:$D,'DoD RAW DATA'!$B:$B=$B7,'DoD RAW DATA'!$C:$C=H$1) / $A7)"),0.027577937649880094)</f>
        <v>0.02757793765</v>
      </c>
      <c r="I7" s="31">
        <f>IFERROR(__xludf.DUMMYFUNCTION("IFERROR(FILTER('DoD RAW DATA'!$D:$D,'DoD RAW DATA'!$B:$B=$B7,'DoD RAW DATA'!$C:$C=I$1) / $A7)"),0.03117505995203837)</f>
        <v>0.03117505995</v>
      </c>
      <c r="J7" s="31">
        <f>IFERROR(__xludf.DUMMYFUNCTION("IFERROR(FILTER('DoD RAW DATA'!$D:$D,'DoD RAW DATA'!$B:$B=$B7,'DoD RAW DATA'!$C:$C=J$1) / $A7)"),0.045563549160671464)</f>
        <v>0.04556354916</v>
      </c>
      <c r="K7" s="31">
        <f>IFERROR(__xludf.DUMMYFUNCTION("IFERROR(FILTER('DoD RAW DATA'!$D:$D,'DoD RAW DATA'!$B:$B=$B7,'DoD RAW DATA'!$C:$C=K$1) / $A7)"),0.17146282973621102)</f>
        <v>0.1714628297</v>
      </c>
      <c r="L7" s="31">
        <f>IFERROR(__xludf.DUMMYFUNCTION("IFERROR(FILTER('DoD RAW DATA'!$D:$D,'DoD RAW DATA'!$B:$B=$B7,'DoD RAW DATA'!$C:$C=L$1) / $A7)"),0.07673860911270983)</f>
        <v>0.07673860911</v>
      </c>
      <c r="M7" s="31">
        <f>IFERROR(__xludf.DUMMYFUNCTION("IFERROR(FILTER('DoD RAW DATA'!$D:$D,'DoD RAW DATA'!$B:$B=$B7,'DoD RAW DATA'!$C:$C=M$1) / $A7)"),0.05155875299760192)</f>
        <v>0.051558753</v>
      </c>
      <c r="N7" s="31">
        <f>IFERROR(__xludf.DUMMYFUNCTION("IFERROR(FILTER('DoD RAW DATA'!$D:$D,'DoD RAW DATA'!$B:$B=$B7,'DoD RAW DATA'!$C:$C=N$1) / $A7)"),0.0407673860911271)</f>
        <v>0.04076738609</v>
      </c>
      <c r="O7" s="31">
        <f>IFERROR(__xludf.DUMMYFUNCTION("IFERROR(FILTER('DoD RAW DATA'!$D:$D,'DoD RAW DATA'!$B:$B=$B7,'DoD RAW DATA'!$C:$C=O$1) / $A7)"),0.049160671462829736)</f>
        <v>0.04916067146</v>
      </c>
      <c r="P7" s="31">
        <f>IFERROR(__xludf.DUMMYFUNCTION("IFERROR(FILTER('DoD RAW DATA'!$D:$D,'DoD RAW DATA'!$B:$B=$B7,'DoD RAW DATA'!$C:$C=P$1) / $A7)"),0.16546762589928057)</f>
        <v>0.1654676259</v>
      </c>
      <c r="Q7" s="31">
        <f>IFERROR(__xludf.DUMMYFUNCTION("IFERROR(FILTER('DoD RAW DATA'!$D:$D,'DoD RAW DATA'!$B:$B=$B7,'DoD RAW DATA'!$C:$C=Q$1) / $A7)"),0.03597122302158273)</f>
        <v>0.03597122302</v>
      </c>
      <c r="R7" s="31">
        <f>IFERROR(__xludf.DUMMYFUNCTION("IFERROR(FILTER('DoD RAW DATA'!$D:$D,'DoD RAW DATA'!$B:$B=$B7,'DoD RAW DATA'!$C:$C=R$1) / $A7)"),0.03597122302158273)</f>
        <v>0.03597122302</v>
      </c>
      <c r="S7" s="31">
        <f>IFERROR(__xludf.DUMMYFUNCTION("IFERROR(FILTER('DoD RAW DATA'!$D:$D,'DoD RAW DATA'!$B:$B=$B7,'DoD RAW DATA'!$C:$C=S$1) / $A7)"),0.049160671462829736)</f>
        <v>0.04916067146</v>
      </c>
      <c r="T7" s="31">
        <f>IFERROR(__xludf.DUMMYFUNCTION("IFERROR(FILTER('DoD RAW DATA'!$D:$D,'DoD RAW DATA'!$B:$B=$B7,'DoD RAW DATA'!$C:$C=T$1) / $A7)"),0.11630695443645084)</f>
        <v>0.1163069544</v>
      </c>
      <c r="U7" s="31">
        <f>IFERROR(__xludf.DUMMYFUNCTION("IFERROR(FILTER('DoD RAW DATA'!$D:$D,'DoD RAW DATA'!$B:$B=$B7,'DoD RAW DATA'!$C:$C=U$1) / $A7)"),0.03477218225419664)</f>
        <v>0.03477218225</v>
      </c>
      <c r="V7" s="31">
        <f>IFERROR(__xludf.DUMMYFUNCTION("IFERROR(FILTER('DoD RAW DATA'!$D:$D,'DoD RAW DATA'!$B:$B=$B7,'DoD RAW DATA'!$C:$C=V$1) / $A7)"),0.03717026378896882)</f>
        <v>0.03717026379</v>
      </c>
      <c r="W7" s="31">
        <f>IFERROR(__xludf.DUMMYFUNCTION("IFERROR(FILTER('DoD RAW DATA'!$D:$D,'DoD RAW DATA'!$B:$B=$B7,'DoD RAW DATA'!$C:$C=W$1) / $A7)"),0.039568345323741004)</f>
        <v>0.03956834532</v>
      </c>
      <c r="X7" s="31" t="str">
        <f>IFERROR(__xludf.DUMMYFUNCTION("IFERROR(FILTER('DoD RAW DATA'!$D:$D,'DoD RAW DATA'!$B:$B=$B7,'DoD RAW DATA'!$C:$C=X$1) / $A7)"),"")</f>
        <v/>
      </c>
    </row>
    <row r="8">
      <c r="A8" s="29">
        <f>IFERROR(__xludf.DUMMYFUNCTION("FILTER('DoD RAW DATA'!$D:$D,'DoD RAW DATA'!$B:$B=$B8,'DoD RAW DATA'!$C:$C=A$1)"),860.0)</f>
        <v>860</v>
      </c>
      <c r="B8" s="36">
        <v>43258.0</v>
      </c>
      <c r="C8" s="31">
        <f>IFERROR(__xludf.DUMMYFUNCTION("IFERROR(FILTER('DoD RAW DATA'!$D:$D,'DoD RAW DATA'!$B:$B=$B8,'DoD RAW DATA'!$C:$C=C$1) / $A8)"),1.0)</f>
        <v>1</v>
      </c>
      <c r="D8" s="31">
        <f>IFERROR(__xludf.DUMMYFUNCTION("IFERROR(FILTER('DoD RAW DATA'!$D:$D,'DoD RAW DATA'!$B:$B=$B8,'DoD RAW DATA'!$C:$C=D$1) / $A8)"),0.019767441860465116)</f>
        <v>0.01976744186</v>
      </c>
      <c r="E8" s="31">
        <f>IFERROR(__xludf.DUMMYFUNCTION("IFERROR(FILTER('DoD RAW DATA'!$D:$D,'DoD RAW DATA'!$B:$B=$B8,'DoD RAW DATA'!$C:$C=E$1) / $A8)"),0.023255813953488372)</f>
        <v>0.02325581395</v>
      </c>
      <c r="F8" s="31">
        <f>IFERROR(__xludf.DUMMYFUNCTION("IFERROR(FILTER('DoD RAW DATA'!$D:$D,'DoD RAW DATA'!$B:$B=$B8,'DoD RAW DATA'!$C:$C=F$1) / $A8)"),0.08023255813953488)</f>
        <v>0.08023255814</v>
      </c>
      <c r="G8" s="31">
        <f>IFERROR(__xludf.DUMMYFUNCTION("IFERROR(FILTER('DoD RAW DATA'!$D:$D,'DoD RAW DATA'!$B:$B=$B8,'DoD RAW DATA'!$C:$C=G$1) / $A8)"),0.3)</f>
        <v>0.3</v>
      </c>
      <c r="H8" s="31">
        <f>IFERROR(__xludf.DUMMYFUNCTION("IFERROR(FILTER('DoD RAW DATA'!$D:$D,'DoD RAW DATA'!$B:$B=$B8,'DoD RAW DATA'!$C:$C=H$1) / $A8)"),0.03488372093023256)</f>
        <v>0.03488372093</v>
      </c>
      <c r="I8" s="31">
        <f>IFERROR(__xludf.DUMMYFUNCTION("IFERROR(FILTER('DoD RAW DATA'!$D:$D,'DoD RAW DATA'!$B:$B=$B8,'DoD RAW DATA'!$C:$C=I$1) / $A8)"),0.03953488372093023)</f>
        <v>0.03953488372</v>
      </c>
      <c r="J8" s="31">
        <f>IFERROR(__xludf.DUMMYFUNCTION("IFERROR(FILTER('DoD RAW DATA'!$D:$D,'DoD RAW DATA'!$B:$B=$B8,'DoD RAW DATA'!$C:$C=J$1) / $A8)"),0.05)</f>
        <v>0.05</v>
      </c>
      <c r="K8" s="31">
        <f>IFERROR(__xludf.DUMMYFUNCTION("IFERROR(FILTER('DoD RAW DATA'!$D:$D,'DoD RAW DATA'!$B:$B=$B8,'DoD RAW DATA'!$C:$C=K$1) / $A8)"),0.21627906976744185)</f>
        <v>0.2162790698</v>
      </c>
      <c r="L8" s="31">
        <f>IFERROR(__xludf.DUMMYFUNCTION("IFERROR(FILTER('DoD RAW DATA'!$D:$D,'DoD RAW DATA'!$B:$B=$B8,'DoD RAW DATA'!$C:$C=L$1) / $A8)"),0.05813953488372093)</f>
        <v>0.05813953488</v>
      </c>
      <c r="M8" s="31">
        <f>IFERROR(__xludf.DUMMYFUNCTION("IFERROR(FILTER('DoD RAW DATA'!$D:$D,'DoD RAW DATA'!$B:$B=$B8,'DoD RAW DATA'!$C:$C=M$1) / $A8)"),0.06395348837209303)</f>
        <v>0.06395348837</v>
      </c>
      <c r="N8" s="31">
        <f>IFERROR(__xludf.DUMMYFUNCTION("IFERROR(FILTER('DoD RAW DATA'!$D:$D,'DoD RAW DATA'!$B:$B=$B8,'DoD RAW DATA'!$C:$C=N$1) / $A8)"),0.04883720930232558)</f>
        <v>0.0488372093</v>
      </c>
      <c r="O8" s="31">
        <f>IFERROR(__xludf.DUMMYFUNCTION("IFERROR(FILTER('DoD RAW DATA'!$D:$D,'DoD RAW DATA'!$B:$B=$B8,'DoD RAW DATA'!$C:$C=O$1) / $A8)"),0.07209302325581396)</f>
        <v>0.07209302326</v>
      </c>
      <c r="P8" s="31">
        <f>IFERROR(__xludf.DUMMYFUNCTION("IFERROR(FILTER('DoD RAW DATA'!$D:$D,'DoD RAW DATA'!$B:$B=$B8,'DoD RAW DATA'!$C:$C=P$1) / $A8)"),0.1372093023255814)</f>
        <v>0.1372093023</v>
      </c>
      <c r="Q8" s="31">
        <f>IFERROR(__xludf.DUMMYFUNCTION("IFERROR(FILTER('DoD RAW DATA'!$D:$D,'DoD RAW DATA'!$B:$B=$B8,'DoD RAW DATA'!$C:$C=Q$1) / $A8)"),0.040697674418604654)</f>
        <v>0.04069767442</v>
      </c>
      <c r="R8" s="31">
        <f>IFERROR(__xludf.DUMMYFUNCTION("IFERROR(FILTER('DoD RAW DATA'!$D:$D,'DoD RAW DATA'!$B:$B=$B8,'DoD RAW DATA'!$C:$C=R$1) / $A8)"),0.03255813953488372)</f>
        <v>0.03255813953</v>
      </c>
      <c r="S8" s="31">
        <f>IFERROR(__xludf.DUMMYFUNCTION("IFERROR(FILTER('DoD RAW DATA'!$D:$D,'DoD RAW DATA'!$B:$B=$B8,'DoD RAW DATA'!$C:$C=S$1) / $A8)"),0.06511627906976744)</f>
        <v>0.06511627907</v>
      </c>
      <c r="T8" s="31">
        <f>IFERROR(__xludf.DUMMYFUNCTION("IFERROR(FILTER('DoD RAW DATA'!$D:$D,'DoD RAW DATA'!$B:$B=$B8,'DoD RAW DATA'!$C:$C=T$1) / $A8)"),0.10930232558139535)</f>
        <v>0.1093023256</v>
      </c>
      <c r="U8" s="31">
        <f>IFERROR(__xludf.DUMMYFUNCTION("IFERROR(FILTER('DoD RAW DATA'!$D:$D,'DoD RAW DATA'!$B:$B=$B8,'DoD RAW DATA'!$C:$C=U$1) / $A8)"),0.04534883720930233)</f>
        <v>0.04534883721</v>
      </c>
      <c r="V8" s="31">
        <f>IFERROR(__xludf.DUMMYFUNCTION("IFERROR(FILTER('DoD RAW DATA'!$D:$D,'DoD RAW DATA'!$B:$B=$B8,'DoD RAW DATA'!$C:$C=V$1) / $A8)"),0.04186046511627907)</f>
        <v>0.04186046512</v>
      </c>
      <c r="W8" s="31">
        <f>IFERROR(__xludf.DUMMYFUNCTION("IFERROR(FILTER('DoD RAW DATA'!$D:$D,'DoD RAW DATA'!$B:$B=$B8,'DoD RAW DATA'!$C:$C=W$1) / $A8)"),0.037209302325581395)</f>
        <v>0.03720930233</v>
      </c>
      <c r="X8" s="31" t="str">
        <f>IFERROR(__xludf.DUMMYFUNCTION("IFERROR(FILTER('DoD RAW DATA'!$D:$D,'DoD RAW DATA'!$B:$B=$B8,'DoD RAW DATA'!$C:$C=X$1) / $A8)"),"")</f>
        <v/>
      </c>
    </row>
    <row r="9">
      <c r="A9" s="29">
        <f>IFERROR(__xludf.DUMMYFUNCTION("FILTER('DoD RAW DATA'!$D:$D,'DoD RAW DATA'!$B:$B=$B9,'DoD RAW DATA'!$C:$C=A$1)"),1086.0)</f>
        <v>1086</v>
      </c>
      <c r="B9" s="36">
        <v>43259.0</v>
      </c>
      <c r="C9" s="31">
        <f>IFERROR(__xludf.DUMMYFUNCTION("IFERROR(FILTER('DoD RAW DATA'!$D:$D,'DoD RAW DATA'!$B:$B=$B9,'DoD RAW DATA'!$C:$C=C$1) / $A9)"),1.0)</f>
        <v>1</v>
      </c>
      <c r="D9" s="31">
        <f>IFERROR(__xludf.DUMMYFUNCTION("IFERROR(FILTER('DoD RAW DATA'!$D:$D,'DoD RAW DATA'!$B:$B=$B9,'DoD RAW DATA'!$C:$C=D$1) / $A9)"),0.020257826887661142)</f>
        <v>0.02025782689</v>
      </c>
      <c r="E9" s="31">
        <f>IFERROR(__xludf.DUMMYFUNCTION("IFERROR(FILTER('DoD RAW DATA'!$D:$D,'DoD RAW DATA'!$B:$B=$B9,'DoD RAW DATA'!$C:$C=E$1) / $A9)"),0.03038674033149171)</f>
        <v>0.03038674033</v>
      </c>
      <c r="F9" s="31">
        <f>IFERROR(__xludf.DUMMYFUNCTION("IFERROR(FILTER('DoD RAW DATA'!$D:$D,'DoD RAW DATA'!$B:$B=$B9,'DoD RAW DATA'!$C:$C=F$1) / $A9)"),0.06629834254143646)</f>
        <v>0.06629834254</v>
      </c>
      <c r="G9" s="31">
        <f>IFERROR(__xludf.DUMMYFUNCTION("IFERROR(FILTER('DoD RAW DATA'!$D:$D,'DoD RAW DATA'!$B:$B=$B9,'DoD RAW DATA'!$C:$C=G$1) / $A9)"),0.2946593001841621)</f>
        <v>0.2946593002</v>
      </c>
      <c r="H9" s="31">
        <f>IFERROR(__xludf.DUMMYFUNCTION("IFERROR(FILTER('DoD RAW DATA'!$D:$D,'DoD RAW DATA'!$B:$B=$B9,'DoD RAW DATA'!$C:$C=H$1) / $A9)"),0.034990791896869246)</f>
        <v>0.0349907919</v>
      </c>
      <c r="I9" s="31">
        <f>IFERROR(__xludf.DUMMYFUNCTION("IFERROR(FILTER('DoD RAW DATA'!$D:$D,'DoD RAW DATA'!$B:$B=$B9,'DoD RAW DATA'!$C:$C=I$1) / $A9)"),0.03130755064456722)</f>
        <v>0.03130755064</v>
      </c>
      <c r="J9" s="31">
        <f>IFERROR(__xludf.DUMMYFUNCTION("IFERROR(FILTER('DoD RAW DATA'!$D:$D,'DoD RAW DATA'!$B:$B=$B9,'DoD RAW DATA'!$C:$C=J$1) / $A9)"),0.06353591160220995)</f>
        <v>0.0635359116</v>
      </c>
      <c r="K9" s="31">
        <f>IFERROR(__xludf.DUMMYFUNCTION("IFERROR(FILTER('DoD RAW DATA'!$D:$D,'DoD RAW DATA'!$B:$B=$B9,'DoD RAW DATA'!$C:$C=K$1) / $A9)"),0.17403314917127072)</f>
        <v>0.1740331492</v>
      </c>
      <c r="L9" s="31">
        <f>IFERROR(__xludf.DUMMYFUNCTION("IFERROR(FILTER('DoD RAW DATA'!$D:$D,'DoD RAW DATA'!$B:$B=$B9,'DoD RAW DATA'!$C:$C=L$1) / $A9)"),0.1151012891344383)</f>
        <v>0.1151012891</v>
      </c>
      <c r="M9" s="31">
        <f>IFERROR(__xludf.DUMMYFUNCTION("IFERROR(FILTER('DoD RAW DATA'!$D:$D,'DoD RAW DATA'!$B:$B=$B9,'DoD RAW DATA'!$C:$C=M$1) / $A9)"),0.04604051565377532)</f>
        <v>0.04604051565</v>
      </c>
      <c r="N9" s="31">
        <f>IFERROR(__xludf.DUMMYFUNCTION("IFERROR(FILTER('DoD RAW DATA'!$D:$D,'DoD RAW DATA'!$B:$B=$B9,'DoD RAW DATA'!$C:$C=N$1) / $A9)"),0.04511970534069982)</f>
        <v>0.04511970534</v>
      </c>
      <c r="O9" s="31">
        <f>IFERROR(__xludf.DUMMYFUNCTION("IFERROR(FILTER('DoD RAW DATA'!$D:$D,'DoD RAW DATA'!$B:$B=$B9,'DoD RAW DATA'!$C:$C=O$1) / $A9)"),0.0718232044198895)</f>
        <v>0.07182320442</v>
      </c>
      <c r="P9" s="31">
        <f>IFERROR(__xludf.DUMMYFUNCTION("IFERROR(FILTER('DoD RAW DATA'!$D:$D,'DoD RAW DATA'!$B:$B=$B9,'DoD RAW DATA'!$C:$C=P$1) / $A9)"),0.15653775322283608)</f>
        <v>0.1565377532</v>
      </c>
      <c r="Q9" s="31">
        <f>IFERROR(__xludf.DUMMYFUNCTION("IFERROR(FILTER('DoD RAW DATA'!$D:$D,'DoD RAW DATA'!$B:$B=$B9,'DoD RAW DATA'!$C:$C=Q$1) / $A9)"),0.03959484346224678)</f>
        <v>0.03959484346</v>
      </c>
      <c r="R9" s="31">
        <f>IFERROR(__xludf.DUMMYFUNCTION("IFERROR(FILTER('DoD RAW DATA'!$D:$D,'DoD RAW DATA'!$B:$B=$B9,'DoD RAW DATA'!$C:$C=R$1) / $A9)"),0.037753222836095765)</f>
        <v>0.03775322284</v>
      </c>
      <c r="S9" s="31">
        <f>IFERROR(__xludf.DUMMYFUNCTION("IFERROR(FILTER('DoD RAW DATA'!$D:$D,'DoD RAW DATA'!$B:$B=$B9,'DoD RAW DATA'!$C:$C=S$1) / $A9)"),0.055248618784530384)</f>
        <v>0.05524861878</v>
      </c>
      <c r="T9" s="31">
        <f>IFERROR(__xludf.DUMMYFUNCTION("IFERROR(FILTER('DoD RAW DATA'!$D:$D,'DoD RAW DATA'!$B:$B=$B9,'DoD RAW DATA'!$C:$C=T$1) / $A9)"),0.1261510128913444)</f>
        <v>0.1261510129</v>
      </c>
      <c r="U9" s="31">
        <f>IFERROR(__xludf.DUMMYFUNCTION("IFERROR(FILTER('DoD RAW DATA'!$D:$D,'DoD RAW DATA'!$B:$B=$B9,'DoD RAW DATA'!$C:$C=U$1) / $A9)"),0.04880294659300184)</f>
        <v>0.04880294659</v>
      </c>
      <c r="V9" s="31">
        <f>IFERROR(__xludf.DUMMYFUNCTION("IFERROR(FILTER('DoD RAW DATA'!$D:$D,'DoD RAW DATA'!$B:$B=$B9,'DoD RAW DATA'!$C:$C=V$1) / $A9)"),0.037753222836095765)</f>
        <v>0.03775322284</v>
      </c>
      <c r="W9" s="31">
        <f>IFERROR(__xludf.DUMMYFUNCTION("IFERROR(FILTER('DoD RAW DATA'!$D:$D,'DoD RAW DATA'!$B:$B=$B9,'DoD RAW DATA'!$C:$C=W$1) / $A9)"),0.037753222836095765)</f>
        <v>0.03775322284</v>
      </c>
      <c r="X9" s="31" t="str">
        <f>IFERROR(__xludf.DUMMYFUNCTION("IFERROR(FILTER('DoD RAW DATA'!$D:$D,'DoD RAW DATA'!$B:$B=$B9,'DoD RAW DATA'!$C:$C=X$1) / $A9)"),"")</f>
        <v/>
      </c>
    </row>
    <row r="10">
      <c r="A10" s="29">
        <f>IFERROR(__xludf.DUMMYFUNCTION("FILTER('DoD RAW DATA'!$D:$D,'DoD RAW DATA'!$B:$B=$B10,'DoD RAW DATA'!$C:$C=A$1)"),1240.0)</f>
        <v>1240</v>
      </c>
      <c r="B10" s="36">
        <v>43260.0</v>
      </c>
      <c r="C10" s="31">
        <f>IFERROR(__xludf.DUMMYFUNCTION("IFERROR(FILTER('DoD RAW DATA'!$D:$D,'DoD RAW DATA'!$B:$B=$B10,'DoD RAW DATA'!$C:$C=C$1) / $A10)"),1.0)</f>
        <v>1</v>
      </c>
      <c r="D10" s="31">
        <f>IFERROR(__xludf.DUMMYFUNCTION("IFERROR(FILTER('DoD RAW DATA'!$D:$D,'DoD RAW DATA'!$B:$B=$B10,'DoD RAW DATA'!$C:$C=D$1) / $A10)"),0.013709677419354839)</f>
        <v>0.01370967742</v>
      </c>
      <c r="E10" s="31">
        <f>IFERROR(__xludf.DUMMYFUNCTION("IFERROR(FILTER('DoD RAW DATA'!$D:$D,'DoD RAW DATA'!$B:$B=$B10,'DoD RAW DATA'!$C:$C=E$1) / $A10)"),0.025806451612903226)</f>
        <v>0.02580645161</v>
      </c>
      <c r="F10" s="31">
        <f>IFERROR(__xludf.DUMMYFUNCTION("IFERROR(FILTER('DoD RAW DATA'!$D:$D,'DoD RAW DATA'!$B:$B=$B10,'DoD RAW DATA'!$C:$C=F$1) / $A10)"),0.08306451612903226)</f>
        <v>0.08306451613</v>
      </c>
      <c r="G10" s="31">
        <f>IFERROR(__xludf.DUMMYFUNCTION("IFERROR(FILTER('DoD RAW DATA'!$D:$D,'DoD RAW DATA'!$B:$B=$B10,'DoD RAW DATA'!$C:$C=G$1) / $A10)"),0.3040322580645161)</f>
        <v>0.3040322581</v>
      </c>
      <c r="H10" s="31">
        <f>IFERROR(__xludf.DUMMYFUNCTION("IFERROR(FILTER('DoD RAW DATA'!$D:$D,'DoD RAW DATA'!$B:$B=$B10,'DoD RAW DATA'!$C:$C=H$1) / $A10)"),0.04516129032258064)</f>
        <v>0.04516129032</v>
      </c>
      <c r="I10" s="31">
        <f>IFERROR(__xludf.DUMMYFUNCTION("IFERROR(FILTER('DoD RAW DATA'!$D:$D,'DoD RAW DATA'!$B:$B=$B10,'DoD RAW DATA'!$C:$C=I$1) / $A10)"),0.03064516129032258)</f>
        <v>0.03064516129</v>
      </c>
      <c r="J10" s="31">
        <f>IFERROR(__xludf.DUMMYFUNCTION("IFERROR(FILTER('DoD RAW DATA'!$D:$D,'DoD RAW DATA'!$B:$B=$B10,'DoD RAW DATA'!$C:$C=J$1) / $A10)"),0.06290322580645161)</f>
        <v>0.06290322581</v>
      </c>
      <c r="K10" s="31">
        <f>IFERROR(__xludf.DUMMYFUNCTION("IFERROR(FILTER('DoD RAW DATA'!$D:$D,'DoD RAW DATA'!$B:$B=$B10,'DoD RAW DATA'!$C:$C=K$1) / $A10)"),0.21854838709677418)</f>
        <v>0.2185483871</v>
      </c>
      <c r="L10" s="31">
        <f>IFERROR(__xludf.DUMMYFUNCTION("IFERROR(FILTER('DoD RAW DATA'!$D:$D,'DoD RAW DATA'!$B:$B=$B10,'DoD RAW DATA'!$C:$C=L$1) / $A10)"),0.06129032258064516)</f>
        <v>0.06129032258</v>
      </c>
      <c r="M10" s="31">
        <f>IFERROR(__xludf.DUMMYFUNCTION("IFERROR(FILTER('DoD RAW DATA'!$D:$D,'DoD RAW DATA'!$B:$B=$B10,'DoD RAW DATA'!$C:$C=M$1) / $A10)"),0.056451612903225805)</f>
        <v>0.0564516129</v>
      </c>
      <c r="N10" s="31">
        <f>IFERROR(__xludf.DUMMYFUNCTION("IFERROR(FILTER('DoD RAW DATA'!$D:$D,'DoD RAW DATA'!$B:$B=$B10,'DoD RAW DATA'!$C:$C=N$1) / $A10)"),0.050806451612903224)</f>
        <v>0.05080645161</v>
      </c>
      <c r="O10" s="31">
        <f>IFERROR(__xludf.DUMMYFUNCTION("IFERROR(FILTER('DoD RAW DATA'!$D:$D,'DoD RAW DATA'!$B:$B=$B10,'DoD RAW DATA'!$C:$C=O$1) / $A10)"),0.06693548387096775)</f>
        <v>0.06693548387</v>
      </c>
      <c r="P10" s="31">
        <f>IFERROR(__xludf.DUMMYFUNCTION("IFERROR(FILTER('DoD RAW DATA'!$D:$D,'DoD RAW DATA'!$B:$B=$B10,'DoD RAW DATA'!$C:$C=P$1) / $A10)"),0.1346774193548387)</f>
        <v>0.1346774194</v>
      </c>
      <c r="Q10" s="31">
        <f>IFERROR(__xludf.DUMMYFUNCTION("IFERROR(FILTER('DoD RAW DATA'!$D:$D,'DoD RAW DATA'!$B:$B=$B10,'DoD RAW DATA'!$C:$C=Q$1) / $A10)"),0.04032258064516129)</f>
        <v>0.04032258065</v>
      </c>
      <c r="R10" s="31">
        <f>IFERROR(__xludf.DUMMYFUNCTION("IFERROR(FILTER('DoD RAW DATA'!$D:$D,'DoD RAW DATA'!$B:$B=$B10,'DoD RAW DATA'!$C:$C=R$1) / $A10)"),0.049193548387096775)</f>
        <v>0.04919354839</v>
      </c>
      <c r="S10" s="31">
        <f>IFERROR(__xludf.DUMMYFUNCTION("IFERROR(FILTER('DoD RAW DATA'!$D:$D,'DoD RAW DATA'!$B:$B=$B10,'DoD RAW DATA'!$C:$C=S$1) / $A10)"),0.05967741935483871)</f>
        <v>0.05967741935</v>
      </c>
      <c r="T10" s="31">
        <f>IFERROR(__xludf.DUMMYFUNCTION("IFERROR(FILTER('DoD RAW DATA'!$D:$D,'DoD RAW DATA'!$B:$B=$B10,'DoD RAW DATA'!$C:$C=T$1) / $A10)"),0.11370967741935484)</f>
        <v>0.1137096774</v>
      </c>
      <c r="U10" s="31">
        <f>IFERROR(__xludf.DUMMYFUNCTION("IFERROR(FILTER('DoD RAW DATA'!$D:$D,'DoD RAW DATA'!$B:$B=$B10,'DoD RAW DATA'!$C:$C=U$1) / $A10)"),0.049193548387096775)</f>
        <v>0.04919354839</v>
      </c>
      <c r="V10" s="31">
        <f>IFERROR(__xludf.DUMMYFUNCTION("IFERROR(FILTER('DoD RAW DATA'!$D:$D,'DoD RAW DATA'!$B:$B=$B10,'DoD RAW DATA'!$C:$C=V$1) / $A10)"),0.0467741935483871)</f>
        <v>0.04677419355</v>
      </c>
      <c r="W10" s="31">
        <f>IFERROR(__xludf.DUMMYFUNCTION("IFERROR(FILTER('DoD RAW DATA'!$D:$D,'DoD RAW DATA'!$B:$B=$B10,'DoD RAW DATA'!$C:$C=W$1) / $A10)"),0.024193548387096774)</f>
        <v>0.02419354839</v>
      </c>
      <c r="X10" s="31" t="str">
        <f>IFERROR(__xludf.DUMMYFUNCTION("IFERROR(FILTER('DoD RAW DATA'!$D:$D,'DoD RAW DATA'!$B:$B=$B10,'DoD RAW DATA'!$C:$C=X$1) / $A10)"),"")</f>
        <v/>
      </c>
    </row>
    <row r="11">
      <c r="A11" s="29">
        <f>IFERROR(__xludf.DUMMYFUNCTION("FILTER('DoD RAW DATA'!$D:$D,'DoD RAW DATA'!$B:$B=$B11,'DoD RAW DATA'!$C:$C=A$1)"),2707.0)</f>
        <v>2707</v>
      </c>
      <c r="B11" s="36">
        <v>43262.0</v>
      </c>
      <c r="C11" s="31">
        <f>IFERROR(__xludf.DUMMYFUNCTION("IFERROR(FILTER('DoD RAW DATA'!$D:$D,'DoD RAW DATA'!$B:$B=$B11,'DoD RAW DATA'!$C:$C=C$1) / $A11)"),1.0)</f>
        <v>1</v>
      </c>
      <c r="D11" s="31">
        <f>IFERROR(__xludf.DUMMYFUNCTION("IFERROR(FILTER('DoD RAW DATA'!$D:$D,'DoD RAW DATA'!$B:$B=$B11,'DoD RAW DATA'!$C:$C=D$1) / $A11)"),0.01588474325821943)</f>
        <v>0.01588474326</v>
      </c>
      <c r="E11" s="31">
        <f>IFERROR(__xludf.DUMMYFUNCTION("IFERROR(FILTER('DoD RAW DATA'!$D:$D,'DoD RAW DATA'!$B:$B=$B11,'DoD RAW DATA'!$C:$C=E$1) / $A11)"),0.023272995936461028)</f>
        <v>0.02327299594</v>
      </c>
      <c r="F11" s="31">
        <f>IFERROR(__xludf.DUMMYFUNCTION("IFERROR(FILTER('DoD RAW DATA'!$D:$D,'DoD RAW DATA'!$B:$B=$B11,'DoD RAW DATA'!$C:$C=F$1) / $A11)"),0.07462135205024012)</f>
        <v>0.07462135205</v>
      </c>
      <c r="G11" s="31">
        <f>IFERROR(__xludf.DUMMYFUNCTION("IFERROR(FILTER('DoD RAW DATA'!$D:$D,'DoD RAW DATA'!$B:$B=$B11,'DoD RAW DATA'!$C:$C=G$1) / $A11)"),0.3140007388252678)</f>
        <v>0.3140007388</v>
      </c>
      <c r="H11" s="31">
        <f>IFERROR(__xludf.DUMMYFUNCTION("IFERROR(FILTER('DoD RAW DATA'!$D:$D,'DoD RAW DATA'!$B:$B=$B11,'DoD RAW DATA'!$C:$C=H$1) / $A11)"),0.029183598079054303)</f>
        <v>0.02918359808</v>
      </c>
      <c r="I11" s="31">
        <f>IFERROR(__xludf.DUMMYFUNCTION("IFERROR(FILTER('DoD RAW DATA'!$D:$D,'DoD RAW DATA'!$B:$B=$B11,'DoD RAW DATA'!$C:$C=I$1) / $A11)"),0.05171776874769117)</f>
        <v>0.05171776875</v>
      </c>
      <c r="J11" s="31">
        <f>IFERROR(__xludf.DUMMYFUNCTION("IFERROR(FILTER('DoD RAW DATA'!$D:$D,'DoD RAW DATA'!$B:$B=$B11,'DoD RAW DATA'!$C:$C=J$1) / $A11)"),0.0731437015145918)</f>
        <v>0.07314370151</v>
      </c>
      <c r="K11" s="31">
        <f>IFERROR(__xludf.DUMMYFUNCTION("IFERROR(FILTER('DoD RAW DATA'!$D:$D,'DoD RAW DATA'!$B:$B=$B11,'DoD RAW DATA'!$C:$C=K$1) / $A11)"),0.21795345400812707)</f>
        <v>0.217953454</v>
      </c>
      <c r="L11" s="31">
        <f>IFERROR(__xludf.DUMMYFUNCTION("IFERROR(FILTER('DoD RAW DATA'!$D:$D,'DoD RAW DATA'!$B:$B=$B11,'DoD RAW DATA'!$C:$C=L$1) / $A11)"),0.04950129294421869)</f>
        <v>0.04950129294</v>
      </c>
      <c r="M11" s="31">
        <f>IFERROR(__xludf.DUMMYFUNCTION("IFERROR(FILTER('DoD RAW DATA'!$D:$D,'DoD RAW DATA'!$B:$B=$B11,'DoD RAW DATA'!$C:$C=M$1) / $A11)"),0.060583671961581084)</f>
        <v>0.06058367196</v>
      </c>
      <c r="N11" s="31">
        <f>IFERROR(__xludf.DUMMYFUNCTION("IFERROR(FILTER('DoD RAW DATA'!$D:$D,'DoD RAW DATA'!$B:$B=$B11,'DoD RAW DATA'!$C:$C=N$1) / $A11)"),0.05060953084595493)</f>
        <v>0.05060953085</v>
      </c>
      <c r="O11" s="31">
        <f>IFERROR(__xludf.DUMMYFUNCTION("IFERROR(FILTER('DoD RAW DATA'!$D:$D,'DoD RAW DATA'!$B:$B=$B11,'DoD RAW DATA'!$C:$C=O$1) / $A11)"),0.12227558182489841)</f>
        <v>0.1222755818</v>
      </c>
      <c r="P11" s="31">
        <f>IFERROR(__xludf.DUMMYFUNCTION("IFERROR(FILTER('DoD RAW DATA'!$D:$D,'DoD RAW DATA'!$B:$B=$B11,'DoD RAW DATA'!$C:$C=P$1) / $A11)"),0.09604728481714074)</f>
        <v>0.09604728482</v>
      </c>
      <c r="Q11" s="31">
        <f>IFERROR(__xludf.DUMMYFUNCTION("IFERROR(FILTER('DoD RAW DATA'!$D:$D,'DoD RAW DATA'!$B:$B=$B11,'DoD RAW DATA'!$C:$C=Q$1) / $A11)"),0.034355374953823424)</f>
        <v>0.03435537495</v>
      </c>
      <c r="R11" s="31">
        <f>IFERROR(__xludf.DUMMYFUNCTION("IFERROR(FILTER('DoD RAW DATA'!$D:$D,'DoD RAW DATA'!$B:$B=$B11,'DoD RAW DATA'!$C:$C=R$1) / $A11)"),0.05245659401551533)</f>
        <v>0.05245659402</v>
      </c>
      <c r="S11" s="31">
        <f>IFERROR(__xludf.DUMMYFUNCTION("IFERROR(FILTER('DoD RAW DATA'!$D:$D,'DoD RAW DATA'!$B:$B=$B11,'DoD RAW DATA'!$C:$C=S$1) / $A11)"),0.06908016254155892)</f>
        <v>0.06908016254</v>
      </c>
      <c r="T11" s="31">
        <f>IFERROR(__xludf.DUMMYFUNCTION("IFERROR(FILTER('DoD RAW DATA'!$D:$D,'DoD RAW DATA'!$B:$B=$B11,'DoD RAW DATA'!$C:$C=T$1) / $A11)"),0.11636497968230514)</f>
        <v>0.1163649797</v>
      </c>
      <c r="U11" s="31">
        <f>IFERROR(__xludf.DUMMYFUNCTION("IFERROR(FILTER('DoD RAW DATA'!$D:$D,'DoD RAW DATA'!$B:$B=$B11,'DoD RAW DATA'!$C:$C=U$1) / $A11)"),0.04913188031030661)</f>
        <v>0.04913188031</v>
      </c>
      <c r="V11" s="31">
        <f>IFERROR(__xludf.DUMMYFUNCTION("IFERROR(FILTER('DoD RAW DATA'!$D:$D,'DoD RAW DATA'!$B:$B=$B11,'DoD RAW DATA'!$C:$C=V$1) / $A11)"),0.04913188031030661)</f>
        <v>0.04913188031</v>
      </c>
      <c r="W11" s="31">
        <f>IFERROR(__xludf.DUMMYFUNCTION("IFERROR(FILTER('DoD RAW DATA'!$D:$D,'DoD RAW DATA'!$B:$B=$B11,'DoD RAW DATA'!$C:$C=W$1) / $A11)"),0.014407092722571112)</f>
        <v>0.01440709272</v>
      </c>
      <c r="X11" s="31" t="str">
        <f>IFERROR(__xludf.DUMMYFUNCTION("IFERROR(FILTER('DoD RAW DATA'!$D:$D,'DoD RAW DATA'!$B:$B=$B11,'DoD RAW DATA'!$C:$C=X$1) / $A11)"),"")</f>
        <v/>
      </c>
    </row>
    <row r="12">
      <c r="A12" s="29">
        <f>IFERROR(__xludf.DUMMYFUNCTION("FILTER('DoD RAW DATA'!$D:$D,'DoD RAW DATA'!$B:$B=$B12,'DoD RAW DATA'!$C:$C=A$1)"),1029.0)</f>
        <v>1029</v>
      </c>
      <c r="B12" s="36">
        <v>43263.0</v>
      </c>
      <c r="C12" s="31">
        <f>IFERROR(__xludf.DUMMYFUNCTION("IFERROR(FILTER('DoD RAW DATA'!$D:$D,'DoD RAW DATA'!$B:$B=$B12,'DoD RAW DATA'!$C:$C=C$1) / $A12)"),1.0)</f>
        <v>1</v>
      </c>
      <c r="D12" s="31">
        <f>IFERROR(__xludf.DUMMYFUNCTION("IFERROR(FILTER('DoD RAW DATA'!$D:$D,'DoD RAW DATA'!$B:$B=$B12,'DoD RAW DATA'!$C:$C=D$1) / $A12)"),0.014577259475218658)</f>
        <v>0.01457725948</v>
      </c>
      <c r="E12" s="31">
        <f>IFERROR(__xludf.DUMMYFUNCTION("IFERROR(FILTER('DoD RAW DATA'!$D:$D,'DoD RAW DATA'!$B:$B=$B12,'DoD RAW DATA'!$C:$C=E$1) / $A12)"),0.03012633624878523)</f>
        <v>0.03012633625</v>
      </c>
      <c r="F12" s="31">
        <f>IFERROR(__xludf.DUMMYFUNCTION("IFERROR(FILTER('DoD RAW DATA'!$D:$D,'DoD RAW DATA'!$B:$B=$B12,'DoD RAW DATA'!$C:$C=F$1) / $A12)"),0.06316812439261418)</f>
        <v>0.06316812439</v>
      </c>
      <c r="G12" s="31">
        <f>IFERROR(__xludf.DUMMYFUNCTION("IFERROR(FILTER('DoD RAW DATA'!$D:$D,'DoD RAW DATA'!$B:$B=$B12,'DoD RAW DATA'!$C:$C=G$1) / $A12)"),0.29057337220602525)</f>
        <v>0.2905733722</v>
      </c>
      <c r="H12" s="31">
        <f>IFERROR(__xludf.DUMMYFUNCTION("IFERROR(FILTER('DoD RAW DATA'!$D:$D,'DoD RAW DATA'!$B:$B=$B12,'DoD RAW DATA'!$C:$C=H$1) / $A12)"),0.03304178814382896)</f>
        <v>0.03304178814</v>
      </c>
      <c r="I12" s="31">
        <f>IFERROR(__xludf.DUMMYFUNCTION("IFERROR(FILTER('DoD RAW DATA'!$D:$D,'DoD RAW DATA'!$B:$B=$B12,'DoD RAW DATA'!$C:$C=I$1) / $A12)"),0.05442176870748299)</f>
        <v>0.05442176871</v>
      </c>
      <c r="J12" s="31">
        <f>IFERROR(__xludf.DUMMYFUNCTION("IFERROR(FILTER('DoD RAW DATA'!$D:$D,'DoD RAW DATA'!$B:$B=$B12,'DoD RAW DATA'!$C:$C=J$1) / $A12)"),0.0728862973760933)</f>
        <v>0.07288629738</v>
      </c>
      <c r="K12" s="31">
        <f>IFERROR(__xludf.DUMMYFUNCTION("IFERROR(FILTER('DoD RAW DATA'!$D:$D,'DoD RAW DATA'!$B:$B=$B12,'DoD RAW DATA'!$C:$C=K$1) / $A12)"),0.20894071914480078)</f>
        <v>0.2089407191</v>
      </c>
      <c r="L12" s="31">
        <f>IFERROR(__xludf.DUMMYFUNCTION("IFERROR(FILTER('DoD RAW DATA'!$D:$D,'DoD RAW DATA'!$B:$B=$B12,'DoD RAW DATA'!$C:$C=L$1) / $A12)"),0.061224489795918366)</f>
        <v>0.0612244898</v>
      </c>
      <c r="M12" s="31">
        <f>IFERROR(__xludf.DUMMYFUNCTION("IFERROR(FILTER('DoD RAW DATA'!$D:$D,'DoD RAW DATA'!$B:$B=$B12,'DoD RAW DATA'!$C:$C=M$1) / $A12)"),0.052478134110787174)</f>
        <v>0.05247813411</v>
      </c>
      <c r="N12" s="31">
        <f>IFERROR(__xludf.DUMMYFUNCTION("IFERROR(FILTER('DoD RAW DATA'!$D:$D,'DoD RAW DATA'!$B:$B=$B12,'DoD RAW DATA'!$C:$C=N$1) / $A12)"),0.047619047619047616)</f>
        <v>0.04761904762</v>
      </c>
      <c r="O12" s="31">
        <f>IFERROR(__xludf.DUMMYFUNCTION("IFERROR(FILTER('DoD RAW DATA'!$D:$D,'DoD RAW DATA'!$B:$B=$B12,'DoD RAW DATA'!$C:$C=O$1) / $A12)"),0.11273080660835763)</f>
        <v>0.1127308066</v>
      </c>
      <c r="P12" s="31">
        <f>IFERROR(__xludf.DUMMYFUNCTION("IFERROR(FILTER('DoD RAW DATA'!$D:$D,'DoD RAW DATA'!$B:$B=$B12,'DoD RAW DATA'!$C:$C=P$1) / $A12)"),0.09426627793974733)</f>
        <v>0.09426627794</v>
      </c>
      <c r="Q12" s="31">
        <f>IFERROR(__xludf.DUMMYFUNCTION("IFERROR(FILTER('DoD RAW DATA'!$D:$D,'DoD RAW DATA'!$B:$B=$B12,'DoD RAW DATA'!$C:$C=Q$1) / $A12)"),0.03595724003887269)</f>
        <v>0.03595724004</v>
      </c>
      <c r="R12" s="31">
        <f>IFERROR(__xludf.DUMMYFUNCTION("IFERROR(FILTER('DoD RAW DATA'!$D:$D,'DoD RAW DATA'!$B:$B=$B12,'DoD RAW DATA'!$C:$C=R$1) / $A12)"),0.061224489795918366)</f>
        <v>0.0612244898</v>
      </c>
      <c r="S12" s="31">
        <f>IFERROR(__xludf.DUMMYFUNCTION("IFERROR(FILTER('DoD RAW DATA'!$D:$D,'DoD RAW DATA'!$B:$B=$B12,'DoD RAW DATA'!$C:$C=S$1) / $A12)"),0.06802721088435375)</f>
        <v>0.06802721088</v>
      </c>
      <c r="T12" s="31">
        <f>IFERROR(__xludf.DUMMYFUNCTION("IFERROR(FILTER('DoD RAW DATA'!$D:$D,'DoD RAW DATA'!$B:$B=$B12,'DoD RAW DATA'!$C:$C=T$1) / $A12)"),0.09718172983479106)</f>
        <v>0.09718172983</v>
      </c>
      <c r="U12" s="31">
        <f>IFERROR(__xludf.DUMMYFUNCTION("IFERROR(FILTER('DoD RAW DATA'!$D:$D,'DoD RAW DATA'!$B:$B=$B12,'DoD RAW DATA'!$C:$C=U$1) / $A12)"),0.043731778425655975)</f>
        <v>0.04373177843</v>
      </c>
      <c r="V12" s="31">
        <f>IFERROR(__xludf.DUMMYFUNCTION("IFERROR(FILTER('DoD RAW DATA'!$D:$D,'DoD RAW DATA'!$B:$B=$B12,'DoD RAW DATA'!$C:$C=V$1) / $A12)"),0.056365403304178816)</f>
        <v>0.0563654033</v>
      </c>
      <c r="W12" s="31">
        <f>IFERROR(__xludf.DUMMYFUNCTION("IFERROR(FILTER('DoD RAW DATA'!$D:$D,'DoD RAW DATA'!$B:$B=$B12,'DoD RAW DATA'!$C:$C=W$1) / $A12)"),0.006802721088435374)</f>
        <v>0.006802721088</v>
      </c>
      <c r="X12" s="31" t="str">
        <f>IFERROR(__xludf.DUMMYFUNCTION("IFERROR(FILTER('DoD RAW DATA'!$D:$D,'DoD RAW DATA'!$B:$B=$B12,'DoD RAW DATA'!$C:$C=X$1) / $A12)"),"")</f>
        <v/>
      </c>
    </row>
    <row r="13">
      <c r="A13" s="29">
        <f>IFERROR(__xludf.DUMMYFUNCTION("FILTER('DoD RAW DATA'!$D:$D,'DoD RAW DATA'!$B:$B=$B13,'DoD RAW DATA'!$C:$C=A$1)"),1332.0)</f>
        <v>1332</v>
      </c>
      <c r="B13" s="36">
        <v>43264.0</v>
      </c>
      <c r="C13" s="31">
        <f>IFERROR(__xludf.DUMMYFUNCTION("IFERROR(FILTER('DoD RAW DATA'!$D:$D,'DoD RAW DATA'!$B:$B=$B13,'DoD RAW DATA'!$C:$C=C$1) / $A13)"),1.0)</f>
        <v>1</v>
      </c>
      <c r="D13" s="31">
        <f>IFERROR(__xludf.DUMMYFUNCTION("IFERROR(FILTER('DoD RAW DATA'!$D:$D,'DoD RAW DATA'!$B:$B=$B13,'DoD RAW DATA'!$C:$C=D$1) / $A13)"),0.00975975975975976)</f>
        <v>0.00975975976</v>
      </c>
      <c r="E13" s="31">
        <f>IFERROR(__xludf.DUMMYFUNCTION("IFERROR(FILTER('DoD RAW DATA'!$D:$D,'DoD RAW DATA'!$B:$B=$B13,'DoD RAW DATA'!$C:$C=E$1) / $A13)"),0.02927927927927928)</f>
        <v>0.02927927928</v>
      </c>
      <c r="F13" s="31">
        <f>IFERROR(__xludf.DUMMYFUNCTION("IFERROR(FILTER('DoD RAW DATA'!$D:$D,'DoD RAW DATA'!$B:$B=$B13,'DoD RAW DATA'!$C:$C=F$1) / $A13)"),0.07207207207207207)</f>
        <v>0.07207207207</v>
      </c>
      <c r="G13" s="31">
        <f>IFERROR(__xludf.DUMMYFUNCTION("IFERROR(FILTER('DoD RAW DATA'!$D:$D,'DoD RAW DATA'!$B:$B=$B13,'DoD RAW DATA'!$C:$C=G$1) / $A13)"),0.3340840840840841)</f>
        <v>0.3340840841</v>
      </c>
      <c r="H13" s="31">
        <f>IFERROR(__xludf.DUMMYFUNCTION("IFERROR(FILTER('DoD RAW DATA'!$D:$D,'DoD RAW DATA'!$B:$B=$B13,'DoD RAW DATA'!$C:$C=H$1) / $A13)"),0.03303303303303303)</f>
        <v>0.03303303303</v>
      </c>
      <c r="I13" s="31">
        <f>IFERROR(__xludf.DUMMYFUNCTION("IFERROR(FILTER('DoD RAW DATA'!$D:$D,'DoD RAW DATA'!$B:$B=$B13,'DoD RAW DATA'!$C:$C=I$1) / $A13)"),0.03978978978978979)</f>
        <v>0.03978978979</v>
      </c>
      <c r="J13" s="31">
        <f>IFERROR(__xludf.DUMMYFUNCTION("IFERROR(FILTER('DoD RAW DATA'!$D:$D,'DoD RAW DATA'!$B:$B=$B13,'DoD RAW DATA'!$C:$C=J$1) / $A13)"),0.05780780780780781)</f>
        <v>0.05780780781</v>
      </c>
      <c r="K13" s="31">
        <f>IFERROR(__xludf.DUMMYFUNCTION("IFERROR(FILTER('DoD RAW DATA'!$D:$D,'DoD RAW DATA'!$B:$B=$B13,'DoD RAW DATA'!$C:$C=K$1) / $A13)"),0.21021021021021022)</f>
        <v>0.2102102102</v>
      </c>
      <c r="L13" s="31">
        <f>IFERROR(__xludf.DUMMYFUNCTION("IFERROR(FILTER('DoD RAW DATA'!$D:$D,'DoD RAW DATA'!$B:$B=$B13,'DoD RAW DATA'!$C:$C=L$1) / $A13)"),0.07207207207207207)</f>
        <v>0.07207207207</v>
      </c>
      <c r="M13" s="31">
        <f>IFERROR(__xludf.DUMMYFUNCTION("IFERROR(FILTER('DoD RAW DATA'!$D:$D,'DoD RAW DATA'!$B:$B=$B13,'DoD RAW DATA'!$C:$C=M$1) / $A13)"),0.05405405405405406)</f>
        <v>0.05405405405</v>
      </c>
      <c r="N13" s="31">
        <f>IFERROR(__xludf.DUMMYFUNCTION("IFERROR(FILTER('DoD RAW DATA'!$D:$D,'DoD RAW DATA'!$B:$B=$B13,'DoD RAW DATA'!$C:$C=N$1) / $A13)"),0.046546546546546545)</f>
        <v>0.04654654655</v>
      </c>
      <c r="O13" s="31">
        <f>IFERROR(__xludf.DUMMYFUNCTION("IFERROR(FILTER('DoD RAW DATA'!$D:$D,'DoD RAW DATA'!$B:$B=$B13,'DoD RAW DATA'!$C:$C=O$1) / $A13)"),0.06681681681681682)</f>
        <v>0.06681681682</v>
      </c>
      <c r="P13" s="31">
        <f>IFERROR(__xludf.DUMMYFUNCTION("IFERROR(FILTER('DoD RAW DATA'!$D:$D,'DoD RAW DATA'!$B:$B=$B13,'DoD RAW DATA'!$C:$C=P$1) / $A13)"),0.14714714714714713)</f>
        <v>0.1471471471</v>
      </c>
      <c r="Q13" s="31">
        <f>IFERROR(__xludf.DUMMYFUNCTION("IFERROR(FILTER('DoD RAW DATA'!$D:$D,'DoD RAW DATA'!$B:$B=$B13,'DoD RAW DATA'!$C:$C=Q$1) / $A13)"),0.04129129129129129)</f>
        <v>0.04129129129</v>
      </c>
      <c r="R13" s="31">
        <f>IFERROR(__xludf.DUMMYFUNCTION("IFERROR(FILTER('DoD RAW DATA'!$D:$D,'DoD RAW DATA'!$B:$B=$B13,'DoD RAW DATA'!$C:$C=R$1) / $A13)"),0.05930930930930931)</f>
        <v>0.05930930931</v>
      </c>
      <c r="S13" s="31">
        <f>IFERROR(__xludf.DUMMYFUNCTION("IFERROR(FILTER('DoD RAW DATA'!$D:$D,'DoD RAW DATA'!$B:$B=$B13,'DoD RAW DATA'!$C:$C=S$1) / $A13)"),0.060810810810810814)</f>
        <v>0.06081081081</v>
      </c>
      <c r="T13" s="31">
        <f>IFERROR(__xludf.DUMMYFUNCTION("IFERROR(FILTER('DoD RAW DATA'!$D:$D,'DoD RAW DATA'!$B:$B=$B13,'DoD RAW DATA'!$C:$C=T$1) / $A13)"),0.11636636636636637)</f>
        <v>0.1163663664</v>
      </c>
      <c r="U13" s="31">
        <f>IFERROR(__xludf.DUMMYFUNCTION("IFERROR(FILTER('DoD RAW DATA'!$D:$D,'DoD RAW DATA'!$B:$B=$B13,'DoD RAW DATA'!$C:$C=U$1) / $A13)"),0.03678678678678678)</f>
        <v>0.03678678679</v>
      </c>
      <c r="V13" s="31">
        <f>IFERROR(__xludf.DUMMYFUNCTION("IFERROR(FILTER('DoD RAW DATA'!$D:$D,'DoD RAW DATA'!$B:$B=$B13,'DoD RAW DATA'!$C:$C=V$1) / $A13)"),0.052552552552552555)</f>
        <v>0.05255255255</v>
      </c>
      <c r="W13" s="31" t="str">
        <f>IFERROR(__xludf.DUMMYFUNCTION("IFERROR(FILTER('DoD RAW DATA'!$D:$D,'DoD RAW DATA'!$B:$B=$B13,'DoD RAW DATA'!$C:$C=W$1) / $A13)"),"")</f>
        <v/>
      </c>
      <c r="X13" s="31" t="str">
        <f>IFERROR(__xludf.DUMMYFUNCTION("IFERROR(FILTER('DoD RAW DATA'!$D:$D,'DoD RAW DATA'!$B:$B=$B13,'DoD RAW DATA'!$C:$C=X$1) / $A13)"),"")</f>
        <v/>
      </c>
    </row>
    <row r="14">
      <c r="A14" s="29">
        <f>IFERROR(__xludf.DUMMYFUNCTION("FILTER('DoD RAW DATA'!$D:$D,'DoD RAW DATA'!$B:$B=$B14,'DoD RAW DATA'!$C:$C=A$1)"),1203.0)</f>
        <v>1203</v>
      </c>
      <c r="B14" s="36">
        <v>43265.0</v>
      </c>
      <c r="C14" s="31">
        <f>IFERROR(__xludf.DUMMYFUNCTION("IFERROR(FILTER('DoD RAW DATA'!$D:$D,'DoD RAW DATA'!$B:$B=$B14,'DoD RAW DATA'!$C:$C=C$1) / $A14)"),1.0)</f>
        <v>1</v>
      </c>
      <c r="D14" s="31">
        <f>IFERROR(__xludf.DUMMYFUNCTION("IFERROR(FILTER('DoD RAW DATA'!$D:$D,'DoD RAW DATA'!$B:$B=$B14,'DoD RAW DATA'!$C:$C=D$1) / $A14)"),0.019118869492934332)</f>
        <v>0.01911886949</v>
      </c>
      <c r="E14" s="31">
        <f>IFERROR(__xludf.DUMMYFUNCTION("IFERROR(FILTER('DoD RAW DATA'!$D:$D,'DoD RAW DATA'!$B:$B=$B14,'DoD RAW DATA'!$C:$C=E$1) / $A14)"),0.02743142144638404)</f>
        <v>0.02743142145</v>
      </c>
      <c r="F14" s="31">
        <f>IFERROR(__xludf.DUMMYFUNCTION("IFERROR(FILTER('DoD RAW DATA'!$D:$D,'DoD RAW DATA'!$B:$B=$B14,'DoD RAW DATA'!$C:$C=F$1) / $A14)"),0.06650041562759768)</f>
        <v>0.06650041563</v>
      </c>
      <c r="G14" s="31">
        <f>IFERROR(__xludf.DUMMYFUNCTION("IFERROR(FILTER('DoD RAW DATA'!$D:$D,'DoD RAW DATA'!$B:$B=$B14,'DoD RAW DATA'!$C:$C=G$1) / $A14)"),0.30423940149625933)</f>
        <v>0.3042394015</v>
      </c>
      <c r="H14" s="31">
        <f>IFERROR(__xludf.DUMMYFUNCTION("IFERROR(FILTER('DoD RAW DATA'!$D:$D,'DoD RAW DATA'!$B:$B=$B14,'DoD RAW DATA'!$C:$C=H$1) / $A14)"),0.029925187032418952)</f>
        <v>0.02992518703</v>
      </c>
      <c r="I14" s="31">
        <f>IFERROR(__xludf.DUMMYFUNCTION("IFERROR(FILTER('DoD RAW DATA'!$D:$D,'DoD RAW DATA'!$B:$B=$B14,'DoD RAW DATA'!$C:$C=I$1) / $A14)"),0.04405652535328346)</f>
        <v>0.04405652535</v>
      </c>
      <c r="J14" s="31">
        <f>IFERROR(__xludf.DUMMYFUNCTION("IFERROR(FILTER('DoD RAW DATA'!$D:$D,'DoD RAW DATA'!$B:$B=$B14,'DoD RAW DATA'!$C:$C=J$1) / $A14)"),0.05486284289276808)</f>
        <v>0.05486284289</v>
      </c>
      <c r="K14" s="31">
        <f>IFERROR(__xludf.DUMMYFUNCTION("IFERROR(FILTER('DoD RAW DATA'!$D:$D,'DoD RAW DATA'!$B:$B=$B14,'DoD RAW DATA'!$C:$C=K$1) / $A14)"),0.19118869492934332)</f>
        <v>0.1911886949</v>
      </c>
      <c r="L14" s="31">
        <f>IFERROR(__xludf.DUMMYFUNCTION("IFERROR(FILTER('DoD RAW DATA'!$D:$D,'DoD RAW DATA'!$B:$B=$B14,'DoD RAW DATA'!$C:$C=L$1) / $A14)"),0.0399002493765586)</f>
        <v>0.03990024938</v>
      </c>
      <c r="M14" s="31">
        <f>IFERROR(__xludf.DUMMYFUNCTION("IFERROR(FILTER('DoD RAW DATA'!$D:$D,'DoD RAW DATA'!$B:$B=$B14,'DoD RAW DATA'!$C:$C=M$1) / $A14)"),0.06317539484621779)</f>
        <v>0.06317539485</v>
      </c>
      <c r="N14" s="31">
        <f>IFERROR(__xludf.DUMMYFUNCTION("IFERROR(FILTER('DoD RAW DATA'!$D:$D,'DoD RAW DATA'!$B:$B=$B14,'DoD RAW DATA'!$C:$C=N$1) / $A14)"),0.04239401496259352)</f>
        <v>0.04239401496</v>
      </c>
      <c r="O14" s="31">
        <f>IFERROR(__xludf.DUMMYFUNCTION("IFERROR(FILTER('DoD RAW DATA'!$D:$D,'DoD RAW DATA'!$B:$B=$B14,'DoD RAW DATA'!$C:$C=O$1) / $A14)"),0.07647547797173733)</f>
        <v>0.07647547797</v>
      </c>
      <c r="P14" s="31">
        <f>IFERROR(__xludf.DUMMYFUNCTION("IFERROR(FILTER('DoD RAW DATA'!$D:$D,'DoD RAW DATA'!$B:$B=$B14,'DoD RAW DATA'!$C:$C=P$1) / $A14)"),0.10806317539484622)</f>
        <v>0.1080631754</v>
      </c>
      <c r="Q14" s="31">
        <f>IFERROR(__xludf.DUMMYFUNCTION("IFERROR(FILTER('DoD RAW DATA'!$D:$D,'DoD RAW DATA'!$B:$B=$B14,'DoD RAW DATA'!$C:$C=Q$1) / $A14)"),0.02660016625103907)</f>
        <v>0.02660016625</v>
      </c>
      <c r="R14" s="31">
        <f>IFERROR(__xludf.DUMMYFUNCTION("IFERROR(FILTER('DoD RAW DATA'!$D:$D,'DoD RAW DATA'!$B:$B=$B14,'DoD RAW DATA'!$C:$C=R$1) / $A14)"),0.051537822111388194)</f>
        <v>0.05153782211</v>
      </c>
      <c r="S14" s="31">
        <f>IFERROR(__xludf.DUMMYFUNCTION("IFERROR(FILTER('DoD RAW DATA'!$D:$D,'DoD RAW DATA'!$B:$B=$B14,'DoD RAW DATA'!$C:$C=S$1) / $A14)"),0.05070656691604322)</f>
        <v>0.05070656692</v>
      </c>
      <c r="T14" s="31">
        <f>IFERROR(__xludf.DUMMYFUNCTION("IFERROR(FILTER('DoD RAW DATA'!$D:$D,'DoD RAW DATA'!$B:$B=$B14,'DoD RAW DATA'!$C:$C=T$1) / $A14)"),0.10640066500415628)</f>
        <v>0.106400665</v>
      </c>
      <c r="U14" s="31">
        <f>IFERROR(__xludf.DUMMYFUNCTION("IFERROR(FILTER('DoD RAW DATA'!$D:$D,'DoD RAW DATA'!$B:$B=$B14,'DoD RAW DATA'!$C:$C=U$1) / $A14)"),0.02493765586034913)</f>
        <v>0.02493765586</v>
      </c>
      <c r="V14" s="31">
        <f>IFERROR(__xludf.DUMMYFUNCTION("IFERROR(FILTER('DoD RAW DATA'!$D:$D,'DoD RAW DATA'!$B:$B=$B14,'DoD RAW DATA'!$C:$C=V$1) / $A14)"),0.04488778054862843)</f>
        <v>0.04488778055</v>
      </c>
      <c r="W14" s="31" t="str">
        <f>IFERROR(__xludf.DUMMYFUNCTION("IFERROR(FILTER('DoD RAW DATA'!$D:$D,'DoD RAW DATA'!$B:$B=$B14,'DoD RAW DATA'!$C:$C=W$1) / $A14)"),"")</f>
        <v/>
      </c>
      <c r="X14" s="31" t="str">
        <f>IFERROR(__xludf.DUMMYFUNCTION("IFERROR(FILTER('DoD RAW DATA'!$D:$D,'DoD RAW DATA'!$B:$B=$B14,'DoD RAW DATA'!$C:$C=X$1) / $A14)"),"")</f>
        <v/>
      </c>
    </row>
    <row r="15">
      <c r="A15" s="29">
        <f>IFERROR(__xludf.DUMMYFUNCTION("FILTER('DoD RAW DATA'!$D:$D,'DoD RAW DATA'!$B:$B=$B15,'DoD RAW DATA'!$C:$C=A$1)"),1298.0)</f>
        <v>1298</v>
      </c>
      <c r="B15" s="36">
        <v>43266.0</v>
      </c>
      <c r="C15" s="31">
        <f>IFERROR(__xludf.DUMMYFUNCTION("IFERROR(FILTER('DoD RAW DATA'!$D:$D,'DoD RAW DATA'!$B:$B=$B15,'DoD RAW DATA'!$C:$C=C$1) / $A15)"),1.0)</f>
        <v>1</v>
      </c>
      <c r="D15" s="31">
        <f>IFERROR(__xludf.DUMMYFUNCTION("IFERROR(FILTER('DoD RAW DATA'!$D:$D,'DoD RAW DATA'!$B:$B=$B15,'DoD RAW DATA'!$C:$C=D$1) / $A15)"),0.01078582434514638)</f>
        <v>0.01078582435</v>
      </c>
      <c r="E15" s="31">
        <f>IFERROR(__xludf.DUMMYFUNCTION("IFERROR(FILTER('DoD RAW DATA'!$D:$D,'DoD RAW DATA'!$B:$B=$B15,'DoD RAW DATA'!$C:$C=E$1) / $A15)"),0.02773497688751926)</f>
        <v>0.02773497689</v>
      </c>
      <c r="F15" s="31">
        <f>IFERROR(__xludf.DUMMYFUNCTION("IFERROR(FILTER('DoD RAW DATA'!$D:$D,'DoD RAW DATA'!$B:$B=$B15,'DoD RAW DATA'!$C:$C=F$1) / $A15)"),0.06394453004622497)</f>
        <v>0.06394453005</v>
      </c>
      <c r="G15" s="31">
        <f>IFERROR(__xludf.DUMMYFUNCTION("IFERROR(FILTER('DoD RAW DATA'!$D:$D,'DoD RAW DATA'!$B:$B=$B15,'DoD RAW DATA'!$C:$C=G$1) / $A15)"),0.3066255778120185)</f>
        <v>0.3066255778</v>
      </c>
      <c r="H15" s="31">
        <f>IFERROR(__xludf.DUMMYFUNCTION("IFERROR(FILTER('DoD RAW DATA'!$D:$D,'DoD RAW DATA'!$B:$B=$B15,'DoD RAW DATA'!$C:$C=H$1) / $A15)"),0.03775038520801233)</f>
        <v>0.03775038521</v>
      </c>
      <c r="I15" s="31">
        <f>IFERROR(__xludf.DUMMYFUNCTION("IFERROR(FILTER('DoD RAW DATA'!$D:$D,'DoD RAW DATA'!$B:$B=$B15,'DoD RAW DATA'!$C:$C=I$1) / $A15)"),0.0423728813559322)</f>
        <v>0.04237288136</v>
      </c>
      <c r="J15" s="31">
        <f>IFERROR(__xludf.DUMMYFUNCTION("IFERROR(FILTER('DoD RAW DATA'!$D:$D,'DoD RAW DATA'!$B:$B=$B15,'DoD RAW DATA'!$C:$C=J$1) / $A15)"),0.03775038520801233)</f>
        <v>0.03775038521</v>
      </c>
      <c r="K15" s="31">
        <f>IFERROR(__xludf.DUMMYFUNCTION("IFERROR(FILTER('DoD RAW DATA'!$D:$D,'DoD RAW DATA'!$B:$B=$B15,'DoD RAW DATA'!$C:$C=K$1) / $A15)"),0.15716486902927582)</f>
        <v>0.157164869</v>
      </c>
      <c r="L15" s="31">
        <f>IFERROR(__xludf.DUMMYFUNCTION("IFERROR(FILTER('DoD RAW DATA'!$D:$D,'DoD RAW DATA'!$B:$B=$B15,'DoD RAW DATA'!$C:$C=L$1) / $A15)"),0.10323574730354391)</f>
        <v>0.1032357473</v>
      </c>
      <c r="M15" s="31">
        <f>IFERROR(__xludf.DUMMYFUNCTION("IFERROR(FILTER('DoD RAW DATA'!$D:$D,'DoD RAW DATA'!$B:$B=$B15,'DoD RAW DATA'!$C:$C=M$1) / $A15)"),0.05084745762711865)</f>
        <v>0.05084745763</v>
      </c>
      <c r="N15" s="31">
        <f>IFERROR(__xludf.DUMMYFUNCTION("IFERROR(FILTER('DoD RAW DATA'!$D:$D,'DoD RAW DATA'!$B:$B=$B15,'DoD RAW DATA'!$C:$C=N$1) / $A15)"),0.05007704160246533)</f>
        <v>0.0500770416</v>
      </c>
      <c r="O15" s="31">
        <f>IFERROR(__xludf.DUMMYFUNCTION("IFERROR(FILTER('DoD RAW DATA'!$D:$D,'DoD RAW DATA'!$B:$B=$B15,'DoD RAW DATA'!$C:$C=O$1) / $A15)"),0.05238828967642527)</f>
        <v>0.05238828968</v>
      </c>
      <c r="P15" s="31">
        <f>IFERROR(__xludf.DUMMYFUNCTION("IFERROR(FILTER('DoD RAW DATA'!$D:$D,'DoD RAW DATA'!$B:$B=$B15,'DoD RAW DATA'!$C:$C=P$1) / $A15)"),0.137904468412943)</f>
        <v>0.1379044684</v>
      </c>
      <c r="Q15" s="31">
        <f>IFERROR(__xludf.DUMMYFUNCTION("IFERROR(FILTER('DoD RAW DATA'!$D:$D,'DoD RAW DATA'!$B:$B=$B15,'DoD RAW DATA'!$C:$C=Q$1) / $A15)"),0.03466872110939907)</f>
        <v>0.03466872111</v>
      </c>
      <c r="R15" s="31">
        <f>IFERROR(__xludf.DUMMYFUNCTION("IFERROR(FILTER('DoD RAW DATA'!$D:$D,'DoD RAW DATA'!$B:$B=$B15,'DoD RAW DATA'!$C:$C=R$1) / $A15)"),0.04930662557781202)</f>
        <v>0.04930662558</v>
      </c>
      <c r="S15" s="31">
        <f>IFERROR(__xludf.DUMMYFUNCTION("IFERROR(FILTER('DoD RAW DATA'!$D:$D,'DoD RAW DATA'!$B:$B=$B15,'DoD RAW DATA'!$C:$C=S$1) / $A15)"),0.04468412942989214)</f>
        <v>0.04468412943</v>
      </c>
      <c r="T15" s="31">
        <f>IFERROR(__xludf.DUMMYFUNCTION("IFERROR(FILTER('DoD RAW DATA'!$D:$D,'DoD RAW DATA'!$B:$B=$B15,'DoD RAW DATA'!$C:$C=T$1) / $A15)"),0.11941448382126348)</f>
        <v>0.1194144838</v>
      </c>
      <c r="U15" s="31">
        <f>IFERROR(__xludf.DUMMYFUNCTION("IFERROR(FILTER('DoD RAW DATA'!$D:$D,'DoD RAW DATA'!$B:$B=$B15,'DoD RAW DATA'!$C:$C=U$1) / $A15)"),0.040832049306625574)</f>
        <v>0.04083204931</v>
      </c>
      <c r="V15" s="31">
        <f>IFERROR(__xludf.DUMMYFUNCTION("IFERROR(FILTER('DoD RAW DATA'!$D:$D,'DoD RAW DATA'!$B:$B=$B15,'DoD RAW DATA'!$C:$C=V$1) / $A15)"),0.026194144838212634)</f>
        <v>0.02619414484</v>
      </c>
      <c r="W15" s="31" t="str">
        <f>IFERROR(__xludf.DUMMYFUNCTION("IFERROR(FILTER('DoD RAW DATA'!$D:$D,'DoD RAW DATA'!$B:$B=$B15,'DoD RAW DATA'!$C:$C=W$1) / $A15)"),"")</f>
        <v/>
      </c>
      <c r="X15" s="31" t="str">
        <f>IFERROR(__xludf.DUMMYFUNCTION("IFERROR(FILTER('DoD RAW DATA'!$D:$D,'DoD RAW DATA'!$B:$B=$B15,'DoD RAW DATA'!$C:$C=X$1) / $A15)"),"")</f>
        <v/>
      </c>
    </row>
    <row r="16">
      <c r="A16" s="29">
        <f>IFERROR(__xludf.DUMMYFUNCTION("FILTER('DoD RAW DATA'!$D:$D,'DoD RAW DATA'!$B:$B=$B16,'DoD RAW DATA'!$C:$C=A$1)"),1164.0)</f>
        <v>1164</v>
      </c>
      <c r="B16" s="36">
        <v>43267.0</v>
      </c>
      <c r="C16" s="31">
        <f>IFERROR(__xludf.DUMMYFUNCTION("IFERROR(FILTER('DoD RAW DATA'!$D:$D,'DoD RAW DATA'!$B:$B=$B16,'DoD RAW DATA'!$C:$C=C$1) / $A16)"),1.0)</f>
        <v>1</v>
      </c>
      <c r="D16" s="31">
        <f>IFERROR(__xludf.DUMMYFUNCTION("IFERROR(FILTER('DoD RAW DATA'!$D:$D,'DoD RAW DATA'!$B:$B=$B16,'DoD RAW DATA'!$C:$C=D$1) / $A16)"),0.01718213058419244)</f>
        <v>0.01718213058</v>
      </c>
      <c r="E16" s="31">
        <f>IFERROR(__xludf.DUMMYFUNCTION("IFERROR(FILTER('DoD RAW DATA'!$D:$D,'DoD RAW DATA'!$B:$B=$B16,'DoD RAW DATA'!$C:$C=E$1) / $A16)"),0.022336769759450172)</f>
        <v>0.02233676976</v>
      </c>
      <c r="F16" s="31">
        <f>IFERROR(__xludf.DUMMYFUNCTION("IFERROR(FILTER('DoD RAW DATA'!$D:$D,'DoD RAW DATA'!$B:$B=$B16,'DoD RAW DATA'!$C:$C=F$1) / $A16)"),0.06013745704467354)</f>
        <v>0.06013745704</v>
      </c>
      <c r="G16" s="31">
        <f>IFERROR(__xludf.DUMMYFUNCTION("IFERROR(FILTER('DoD RAW DATA'!$D:$D,'DoD RAW DATA'!$B:$B=$B16,'DoD RAW DATA'!$C:$C=G$1) / $A16)"),0.2697594501718213)</f>
        <v>0.2697594502</v>
      </c>
      <c r="H16" s="31">
        <f>IFERROR(__xludf.DUMMYFUNCTION("IFERROR(FILTER('DoD RAW DATA'!$D:$D,'DoD RAW DATA'!$B:$B=$B16,'DoD RAW DATA'!$C:$C=H$1) / $A16)"),0.027491408934707903)</f>
        <v>0.02749140893</v>
      </c>
      <c r="I16" s="31">
        <f>IFERROR(__xludf.DUMMYFUNCTION("IFERROR(FILTER('DoD RAW DATA'!$D:$D,'DoD RAW DATA'!$B:$B=$B16,'DoD RAW DATA'!$C:$C=I$1) / $A16)"),0.0429553264604811)</f>
        <v>0.04295532646</v>
      </c>
      <c r="J16" s="31">
        <f>IFERROR(__xludf.DUMMYFUNCTION("IFERROR(FILTER('DoD RAW DATA'!$D:$D,'DoD RAW DATA'!$B:$B=$B16,'DoD RAW DATA'!$C:$C=J$1) / $A16)"),0.04725085910652921)</f>
        <v>0.04725085911</v>
      </c>
      <c r="K16" s="31">
        <f>IFERROR(__xludf.DUMMYFUNCTION("IFERROR(FILTER('DoD RAW DATA'!$D:$D,'DoD RAW DATA'!$B:$B=$B16,'DoD RAW DATA'!$C:$C=K$1) / $A16)"),0.17869415807560138)</f>
        <v>0.1786941581</v>
      </c>
      <c r="L16" s="31">
        <f>IFERROR(__xludf.DUMMYFUNCTION("IFERROR(FILTER('DoD RAW DATA'!$D:$D,'DoD RAW DATA'!$B:$B=$B16,'DoD RAW DATA'!$C:$C=L$1) / $A16)"),0.06357388316151202)</f>
        <v>0.06357388316</v>
      </c>
      <c r="M16" s="31">
        <f>IFERROR(__xludf.DUMMYFUNCTION("IFERROR(FILTER('DoD RAW DATA'!$D:$D,'DoD RAW DATA'!$B:$B=$B16,'DoD RAW DATA'!$C:$C=M$1) / $A16)"),0.05326460481099656)</f>
        <v>0.05326460481</v>
      </c>
      <c r="N16" s="31">
        <f>IFERROR(__xludf.DUMMYFUNCTION("IFERROR(FILTER('DoD RAW DATA'!$D:$D,'DoD RAW DATA'!$B:$B=$B16,'DoD RAW DATA'!$C:$C=N$1) / $A16)"),0.04209621993127148)</f>
        <v>0.04209621993</v>
      </c>
      <c r="O16" s="31">
        <f>IFERROR(__xludf.DUMMYFUNCTION("IFERROR(FILTER('DoD RAW DATA'!$D:$D,'DoD RAW DATA'!$B:$B=$B16,'DoD RAW DATA'!$C:$C=O$1) / $A16)"),0.06099656357388316)</f>
        <v>0.06099656357</v>
      </c>
      <c r="P16" s="31">
        <f>IFERROR(__xludf.DUMMYFUNCTION("IFERROR(FILTER('DoD RAW DATA'!$D:$D,'DoD RAW DATA'!$B:$B=$B16,'DoD RAW DATA'!$C:$C=P$1) / $A16)"),0.11597938144329897)</f>
        <v>0.1159793814</v>
      </c>
      <c r="Q16" s="31">
        <f>IFERROR(__xludf.DUMMYFUNCTION("IFERROR(FILTER('DoD RAW DATA'!$D:$D,'DoD RAW DATA'!$B:$B=$B16,'DoD RAW DATA'!$C:$C=Q$1) / $A16)"),0.04209621993127148)</f>
        <v>0.04209621993</v>
      </c>
      <c r="R16" s="31">
        <f>IFERROR(__xludf.DUMMYFUNCTION("IFERROR(FILTER('DoD RAW DATA'!$D:$D,'DoD RAW DATA'!$B:$B=$B16,'DoD RAW DATA'!$C:$C=R$1) / $A16)"),0.027491408934707903)</f>
        <v>0.02749140893</v>
      </c>
      <c r="S16" s="31">
        <f>IFERROR(__xludf.DUMMYFUNCTION("IFERROR(FILTER('DoD RAW DATA'!$D:$D,'DoD RAW DATA'!$B:$B=$B16,'DoD RAW DATA'!$C:$C=S$1) / $A16)"),0.044673539518900345)</f>
        <v>0.04467353952</v>
      </c>
      <c r="T16" s="31">
        <f>IFERROR(__xludf.DUMMYFUNCTION("IFERROR(FILTER('DoD RAW DATA'!$D:$D,'DoD RAW DATA'!$B:$B=$B16,'DoD RAW DATA'!$C:$C=T$1) / $A16)"),0.13487972508591065)</f>
        <v>0.1348797251</v>
      </c>
      <c r="U16" s="31">
        <f>IFERROR(__xludf.DUMMYFUNCTION("IFERROR(FILTER('DoD RAW DATA'!$D:$D,'DoD RAW DATA'!$B:$B=$B16,'DoD RAW DATA'!$C:$C=U$1) / $A16)"),0.027491408934707903)</f>
        <v>0.02749140893</v>
      </c>
      <c r="V16" s="31">
        <f>IFERROR(__xludf.DUMMYFUNCTION("IFERROR(FILTER('DoD RAW DATA'!$D:$D,'DoD RAW DATA'!$B:$B=$B16,'DoD RAW DATA'!$C:$C=V$1) / $A16)"),0.022336769759450172)</f>
        <v>0.02233676976</v>
      </c>
      <c r="W16" s="31" t="str">
        <f>IFERROR(__xludf.DUMMYFUNCTION("IFERROR(FILTER('DoD RAW DATA'!$D:$D,'DoD RAW DATA'!$B:$B=$B16,'DoD RAW DATA'!$C:$C=W$1) / $A16)"),"")</f>
        <v/>
      </c>
      <c r="X16" s="31" t="str">
        <f>IFERROR(__xludf.DUMMYFUNCTION("IFERROR(FILTER('DoD RAW DATA'!$D:$D,'DoD RAW DATA'!$B:$B=$B16,'DoD RAW DATA'!$C:$C=X$1) / $A16)"),"")</f>
        <v/>
      </c>
    </row>
    <row r="17">
      <c r="A17" s="29">
        <f>IFERROR(__xludf.DUMMYFUNCTION("FILTER('DoD RAW DATA'!$D:$D,'DoD RAW DATA'!$B:$B=$B17,'DoD RAW DATA'!$C:$C=A$1)"),2177.0)</f>
        <v>2177</v>
      </c>
      <c r="B17" s="36">
        <v>43269.0</v>
      </c>
      <c r="C17" s="31">
        <f>IFERROR(__xludf.DUMMYFUNCTION("IFERROR(FILTER('DoD RAW DATA'!$D:$D,'DoD RAW DATA'!$B:$B=$B17,'DoD RAW DATA'!$C:$C=C$1) / $A17)"),1.0)</f>
        <v>1</v>
      </c>
      <c r="D17" s="31">
        <f>IFERROR(__xludf.DUMMYFUNCTION("IFERROR(FILTER('DoD RAW DATA'!$D:$D,'DoD RAW DATA'!$B:$B=$B17,'DoD RAW DATA'!$C:$C=D$1) / $A17)"),0.025264124942581533)</f>
        <v>0.02526412494</v>
      </c>
      <c r="E17" s="31">
        <f>IFERROR(__xludf.DUMMYFUNCTION("IFERROR(FILTER('DoD RAW DATA'!$D:$D,'DoD RAW DATA'!$B:$B=$B17,'DoD RAW DATA'!$C:$C=E$1) / $A17)"),0.03123564538355535)</f>
        <v>0.03123564538</v>
      </c>
      <c r="F17" s="31">
        <f>IFERROR(__xludf.DUMMYFUNCTION("IFERROR(FILTER('DoD RAW DATA'!$D:$D,'DoD RAW DATA'!$B:$B=$B17,'DoD RAW DATA'!$C:$C=F$1) / $A17)"),0.07119889756545705)</f>
        <v>0.07119889757</v>
      </c>
      <c r="G17" s="31">
        <f>IFERROR(__xludf.DUMMYFUNCTION("IFERROR(FILTER('DoD RAW DATA'!$D:$D,'DoD RAW DATA'!$B:$B=$B17,'DoD RAW DATA'!$C:$C=G$1) / $A17)"),0.3063849333945797)</f>
        <v>0.3063849334</v>
      </c>
      <c r="H17" s="31">
        <f>IFERROR(__xludf.DUMMYFUNCTION("IFERROR(FILTER('DoD RAW DATA'!$D:$D,'DoD RAW DATA'!$B:$B=$B17,'DoD RAW DATA'!$C:$C=H$1) / $A17)"),0.034451079467156635)</f>
        <v>0.03445107947</v>
      </c>
      <c r="I17" s="31">
        <f>IFERROR(__xludf.DUMMYFUNCTION("IFERROR(FILTER('DoD RAW DATA'!$D:$D,'DoD RAW DATA'!$B:$B=$B17,'DoD RAW DATA'!$C:$C=I$1) / $A17)"),0.0399632521819017)</f>
        <v>0.03996325218</v>
      </c>
      <c r="J17" s="31">
        <f>IFERROR(__xludf.DUMMYFUNCTION("IFERROR(FILTER('DoD RAW DATA'!$D:$D,'DoD RAW DATA'!$B:$B=$B17,'DoD RAW DATA'!$C:$C=J$1) / $A17)"),0.05236564079007809)</f>
        <v>0.05236564079</v>
      </c>
      <c r="K17" s="31">
        <f>IFERROR(__xludf.DUMMYFUNCTION("IFERROR(FILTER('DoD RAW DATA'!$D:$D,'DoD RAW DATA'!$B:$B=$B17,'DoD RAW DATA'!$C:$C=K$1) / $A17)"),0.2131373449701424)</f>
        <v>0.213137345</v>
      </c>
      <c r="L17" s="31">
        <f>IFERROR(__xludf.DUMMYFUNCTION("IFERROR(FILTER('DoD RAW DATA'!$D:$D,'DoD RAW DATA'!$B:$B=$B17,'DoD RAW DATA'!$C:$C=L$1) / $A17)"),0.06293063849333946)</f>
        <v>0.06293063849</v>
      </c>
      <c r="M17" s="31">
        <f>IFERROR(__xludf.DUMMYFUNCTION("IFERROR(FILTER('DoD RAW DATA'!$D:$D,'DoD RAW DATA'!$B:$B=$B17,'DoD RAW DATA'!$C:$C=M$1) / $A17)"),0.0633899862195682)</f>
        <v>0.06338998622</v>
      </c>
      <c r="N17" s="31">
        <f>IFERROR(__xludf.DUMMYFUNCTION("IFERROR(FILTER('DoD RAW DATA'!$D:$D,'DoD RAW DATA'!$B:$B=$B17,'DoD RAW DATA'!$C:$C=N$1) / $A17)"),0.04363803399173174)</f>
        <v>0.04363803399</v>
      </c>
      <c r="O17" s="31">
        <f>IFERROR(__xludf.DUMMYFUNCTION("IFERROR(FILTER('DoD RAW DATA'!$D:$D,'DoD RAW DATA'!$B:$B=$B17,'DoD RAW DATA'!$C:$C=O$1) / $A17)"),0.056499770326136886)</f>
        <v>0.05649977033</v>
      </c>
      <c r="P17" s="31">
        <f>IFERROR(__xludf.DUMMYFUNCTION("IFERROR(FILTER('DoD RAW DATA'!$D:$D,'DoD RAW DATA'!$B:$B=$B17,'DoD RAW DATA'!$C:$C=P$1) / $A17)"),0.1240238860817639)</f>
        <v>0.1240238861</v>
      </c>
      <c r="Q17" s="31">
        <f>IFERROR(__xludf.DUMMYFUNCTION("IFERROR(FILTER('DoD RAW DATA'!$D:$D,'DoD RAW DATA'!$B:$B=$B17,'DoD RAW DATA'!$C:$C=Q$1) / $A17)"),0.05236564079007809)</f>
        <v>0.05236564079</v>
      </c>
      <c r="R17" s="31">
        <f>IFERROR(__xludf.DUMMYFUNCTION("IFERROR(FILTER('DoD RAW DATA'!$D:$D,'DoD RAW DATA'!$B:$B=$B17,'DoD RAW DATA'!$C:$C=R$1) / $A17)"),0.040422599908130456)</f>
        <v>0.04042259991</v>
      </c>
      <c r="S17" s="31">
        <f>IFERROR(__xludf.DUMMYFUNCTION("IFERROR(FILTER('DoD RAW DATA'!$D:$D,'DoD RAW DATA'!$B:$B=$B17,'DoD RAW DATA'!$C:$C=S$1) / $A17)"),0.0532843362425356)</f>
        <v>0.05328433624</v>
      </c>
      <c r="T17" s="31">
        <f>IFERROR(__xludf.DUMMYFUNCTION("IFERROR(FILTER('DoD RAW DATA'!$D:$D,'DoD RAW DATA'!$B:$B=$B17,'DoD RAW DATA'!$C:$C=T$1) / $A17)"),0.12310519062930639)</f>
        <v>0.1231051906</v>
      </c>
      <c r="U17" s="31">
        <f>IFERROR(__xludf.DUMMYFUNCTION("IFERROR(FILTER('DoD RAW DATA'!$D:$D,'DoD RAW DATA'!$B:$B=$B17,'DoD RAW DATA'!$C:$C=U$1) / $A17)"),0.04501607717041801)</f>
        <v>0.04501607717</v>
      </c>
      <c r="V17" s="31">
        <f>IFERROR(__xludf.DUMMYFUNCTION("IFERROR(FILTER('DoD RAW DATA'!$D:$D,'DoD RAW DATA'!$B:$B=$B17,'DoD RAW DATA'!$C:$C=V$1) / $A17)"),0.00964630225080386)</f>
        <v>0.009646302251</v>
      </c>
      <c r="W17" s="31" t="str">
        <f>IFERROR(__xludf.DUMMYFUNCTION("IFERROR(FILTER('DoD RAW DATA'!$D:$D,'DoD RAW DATA'!$B:$B=$B17,'DoD RAW DATA'!$C:$C=W$1) / $A17)"),"")</f>
        <v/>
      </c>
      <c r="X17" s="31" t="str">
        <f>IFERROR(__xludf.DUMMYFUNCTION("IFERROR(FILTER('DoD RAW DATA'!$D:$D,'DoD RAW DATA'!$B:$B=$B17,'DoD RAW DATA'!$C:$C=X$1) / $A17)"),"")</f>
        <v/>
      </c>
    </row>
    <row r="18">
      <c r="A18" s="29">
        <f>IFERROR(__xludf.DUMMYFUNCTION("FILTER('DoD RAW DATA'!$D:$D,'DoD RAW DATA'!$B:$B=$B18,'DoD RAW DATA'!$C:$C=A$1)"),1116.0)</f>
        <v>1116</v>
      </c>
      <c r="B18" s="36">
        <v>43270.0</v>
      </c>
      <c r="C18" s="31">
        <f>IFERROR(__xludf.DUMMYFUNCTION("IFERROR(FILTER('DoD RAW DATA'!$D:$D,'DoD RAW DATA'!$B:$B=$B18,'DoD RAW DATA'!$C:$C=C$1) / $A18)"),1.0)</f>
        <v>1</v>
      </c>
      <c r="D18" s="31">
        <f>IFERROR(__xludf.DUMMYFUNCTION("IFERROR(FILTER('DoD RAW DATA'!$D:$D,'DoD RAW DATA'!$B:$B=$B18,'DoD RAW DATA'!$C:$C=D$1) / $A18)"),0.014336917562724014)</f>
        <v>0.01433691756</v>
      </c>
      <c r="E18" s="31">
        <f>IFERROR(__xludf.DUMMYFUNCTION("IFERROR(FILTER('DoD RAW DATA'!$D:$D,'DoD RAW DATA'!$B:$B=$B18,'DoD RAW DATA'!$C:$C=E$1) / $A18)"),0.021505376344086023)</f>
        <v>0.02150537634</v>
      </c>
      <c r="F18" s="31">
        <f>IFERROR(__xludf.DUMMYFUNCTION("IFERROR(FILTER('DoD RAW DATA'!$D:$D,'DoD RAW DATA'!$B:$B=$B18,'DoD RAW DATA'!$C:$C=F$1) / $A18)"),0.08154121863799284)</f>
        <v>0.08154121864</v>
      </c>
      <c r="G18" s="31">
        <f>IFERROR(__xludf.DUMMYFUNCTION("IFERROR(FILTER('DoD RAW DATA'!$D:$D,'DoD RAW DATA'!$B:$B=$B18,'DoD RAW DATA'!$C:$C=G$1) / $A18)"),0.26881720430107525)</f>
        <v>0.2688172043</v>
      </c>
      <c r="H18" s="31">
        <f>IFERROR(__xludf.DUMMYFUNCTION("IFERROR(FILTER('DoD RAW DATA'!$D:$D,'DoD RAW DATA'!$B:$B=$B18,'DoD RAW DATA'!$C:$C=H$1) / $A18)"),0.03046594982078853)</f>
        <v>0.03046594982</v>
      </c>
      <c r="I18" s="31">
        <f>IFERROR(__xludf.DUMMYFUNCTION("IFERROR(FILTER('DoD RAW DATA'!$D:$D,'DoD RAW DATA'!$B:$B=$B18,'DoD RAW DATA'!$C:$C=I$1) / $A18)"),0.047491039426523295)</f>
        <v>0.04749103943</v>
      </c>
      <c r="J18" s="31">
        <f>IFERROR(__xludf.DUMMYFUNCTION("IFERROR(FILTER('DoD RAW DATA'!$D:$D,'DoD RAW DATA'!$B:$B=$B18,'DoD RAW DATA'!$C:$C=J$1) / $A18)"),0.06182795698924731)</f>
        <v>0.06182795699</v>
      </c>
      <c r="K18" s="31">
        <f>IFERROR(__xludf.DUMMYFUNCTION("IFERROR(FILTER('DoD RAW DATA'!$D:$D,'DoD RAW DATA'!$B:$B=$B18,'DoD RAW DATA'!$C:$C=K$1) / $A18)"),0.19444444444444445)</f>
        <v>0.1944444444</v>
      </c>
      <c r="L18" s="31">
        <f>IFERROR(__xludf.DUMMYFUNCTION("IFERROR(FILTER('DoD RAW DATA'!$D:$D,'DoD RAW DATA'!$B:$B=$B18,'DoD RAW DATA'!$C:$C=L$1) / $A18)"),0.0528673835125448)</f>
        <v>0.05286738351</v>
      </c>
      <c r="M18" s="31">
        <f>IFERROR(__xludf.DUMMYFUNCTION("IFERROR(FILTER('DoD RAW DATA'!$D:$D,'DoD RAW DATA'!$B:$B=$B18,'DoD RAW DATA'!$C:$C=M$1) / $A18)"),0.056451612903225805)</f>
        <v>0.0564516129</v>
      </c>
      <c r="N18" s="31">
        <f>IFERROR(__xludf.DUMMYFUNCTION("IFERROR(FILTER('DoD RAW DATA'!$D:$D,'DoD RAW DATA'!$B:$B=$B18,'DoD RAW DATA'!$C:$C=N$1) / $A18)"),0.05555555555555555)</f>
        <v>0.05555555556</v>
      </c>
      <c r="O18" s="31">
        <f>IFERROR(__xludf.DUMMYFUNCTION("IFERROR(FILTER('DoD RAW DATA'!$D:$D,'DoD RAW DATA'!$B:$B=$B18,'DoD RAW DATA'!$C:$C=O$1) / $A18)"),0.07974910394265233)</f>
        <v>0.07974910394</v>
      </c>
      <c r="P18" s="31">
        <f>IFERROR(__xludf.DUMMYFUNCTION("IFERROR(FILTER('DoD RAW DATA'!$D:$D,'DoD RAW DATA'!$B:$B=$B18,'DoD RAW DATA'!$C:$C=P$1) / $A18)"),0.09408602150537634)</f>
        <v>0.09408602151</v>
      </c>
      <c r="Q18" s="31">
        <f>IFERROR(__xludf.DUMMYFUNCTION("IFERROR(FILTER('DoD RAW DATA'!$D:$D,'DoD RAW DATA'!$B:$B=$B18,'DoD RAW DATA'!$C:$C=Q$1) / $A18)"),0.05824372759856631)</f>
        <v>0.0582437276</v>
      </c>
      <c r="R18" s="31">
        <f>IFERROR(__xludf.DUMMYFUNCTION("IFERROR(FILTER('DoD RAW DATA'!$D:$D,'DoD RAW DATA'!$B:$B=$B18,'DoD RAW DATA'!$C:$C=R$1) / $A18)"),0.04659498207885305)</f>
        <v>0.04659498208</v>
      </c>
      <c r="S18" s="31">
        <f>IFERROR(__xludf.DUMMYFUNCTION("IFERROR(FILTER('DoD RAW DATA'!$D:$D,'DoD RAW DATA'!$B:$B=$B18,'DoD RAW DATA'!$C:$C=S$1) / $A18)"),0.043010752688172046)</f>
        <v>0.04301075269</v>
      </c>
      <c r="T18" s="31">
        <f>IFERROR(__xludf.DUMMYFUNCTION("IFERROR(FILTER('DoD RAW DATA'!$D:$D,'DoD RAW DATA'!$B:$B=$B18,'DoD RAW DATA'!$C:$C=T$1) / $A18)"),0.12455197132616487)</f>
        <v>0.1245519713</v>
      </c>
      <c r="U18" s="31">
        <f>IFERROR(__xludf.DUMMYFUNCTION("IFERROR(FILTER('DoD RAW DATA'!$D:$D,'DoD RAW DATA'!$B:$B=$B18,'DoD RAW DATA'!$C:$C=U$1) / $A18)"),0.04121863799283154)</f>
        <v>0.04121863799</v>
      </c>
      <c r="V18" s="31">
        <f>IFERROR(__xludf.DUMMYFUNCTION("IFERROR(FILTER('DoD RAW DATA'!$D:$D,'DoD RAW DATA'!$B:$B=$B18,'DoD RAW DATA'!$C:$C=V$1) / $A18)"),0.008064516129032258)</f>
        <v>0.008064516129</v>
      </c>
      <c r="W18" s="31" t="str">
        <f>IFERROR(__xludf.DUMMYFUNCTION("IFERROR(FILTER('DoD RAW DATA'!$D:$D,'DoD RAW DATA'!$B:$B=$B18,'DoD RAW DATA'!$C:$C=W$1) / $A18)"),"")</f>
        <v/>
      </c>
      <c r="X18" s="31" t="str">
        <f>IFERROR(__xludf.DUMMYFUNCTION("IFERROR(FILTER('DoD RAW DATA'!$D:$D,'DoD RAW DATA'!$B:$B=$B18,'DoD RAW DATA'!$C:$C=X$1) / $A18)"),"")</f>
        <v/>
      </c>
    </row>
    <row r="19">
      <c r="A19" s="29">
        <f>IFERROR(__xludf.DUMMYFUNCTION("FILTER('DoD RAW DATA'!$D:$D,'DoD RAW DATA'!$B:$B=$B19,'DoD RAW DATA'!$C:$C=A$1)"),1201.0)</f>
        <v>1201</v>
      </c>
      <c r="B19" s="36">
        <v>43271.0</v>
      </c>
      <c r="C19" s="31">
        <f>IFERROR(__xludf.DUMMYFUNCTION("IFERROR(FILTER('DoD RAW DATA'!$D:$D,'DoD RAW DATA'!$B:$B=$B19,'DoD RAW DATA'!$C:$C=C$1) / $A19)"),1.0)</f>
        <v>1</v>
      </c>
      <c r="D19" s="31">
        <f>IFERROR(__xludf.DUMMYFUNCTION("IFERROR(FILTER('DoD RAW DATA'!$D:$D,'DoD RAW DATA'!$B:$B=$B19,'DoD RAW DATA'!$C:$C=D$1) / $A19)"),0.01665278934221482)</f>
        <v>0.01665278934</v>
      </c>
      <c r="E19" s="31">
        <f>IFERROR(__xludf.DUMMYFUNCTION("IFERROR(FILTER('DoD RAW DATA'!$D:$D,'DoD RAW DATA'!$B:$B=$B19,'DoD RAW DATA'!$C:$C=E$1) / $A19)"),0.02414654454621149)</f>
        <v>0.02414654455</v>
      </c>
      <c r="F19" s="31">
        <f>IFERROR(__xludf.DUMMYFUNCTION("IFERROR(FILTER('DoD RAW DATA'!$D:$D,'DoD RAW DATA'!$B:$B=$B19,'DoD RAW DATA'!$C:$C=F$1) / $A19)"),0.09575353871773522)</f>
        <v>0.09575353872</v>
      </c>
      <c r="G19" s="31">
        <f>IFERROR(__xludf.DUMMYFUNCTION("IFERROR(FILTER('DoD RAW DATA'!$D:$D,'DoD RAW DATA'!$B:$B=$B19,'DoD RAW DATA'!$C:$C=G$1) / $A19)"),0.2939217318900916)</f>
        <v>0.2939217319</v>
      </c>
      <c r="H19" s="31">
        <f>IFERROR(__xludf.DUMMYFUNCTION("IFERROR(FILTER('DoD RAW DATA'!$D:$D,'DoD RAW DATA'!$B:$B=$B19,'DoD RAW DATA'!$C:$C=H$1) / $A19)"),0.03663613655287261)</f>
        <v>0.03663613655</v>
      </c>
      <c r="I19" s="31">
        <f>IFERROR(__xludf.DUMMYFUNCTION("IFERROR(FILTER('DoD RAW DATA'!$D:$D,'DoD RAW DATA'!$B:$B=$B19,'DoD RAW DATA'!$C:$C=I$1) / $A19)"),0.041631973355537054)</f>
        <v>0.04163197336</v>
      </c>
      <c r="J19" s="31">
        <f>IFERROR(__xludf.DUMMYFUNCTION("IFERROR(FILTER('DoD RAW DATA'!$D:$D,'DoD RAW DATA'!$B:$B=$B19,'DoD RAW DATA'!$C:$C=J$1) / $A19)"),0.05745212323064113)</f>
        <v>0.05745212323</v>
      </c>
      <c r="K19" s="31">
        <f>IFERROR(__xludf.DUMMYFUNCTION("IFERROR(FILTER('DoD RAW DATA'!$D:$D,'DoD RAW DATA'!$B:$B=$B19,'DoD RAW DATA'!$C:$C=K$1) / $A19)"),0.2206494587843464)</f>
        <v>0.2206494588</v>
      </c>
      <c r="L19" s="31">
        <f>IFERROR(__xludf.DUMMYFUNCTION("IFERROR(FILTER('DoD RAW DATA'!$D:$D,'DoD RAW DATA'!$B:$B=$B19,'DoD RAW DATA'!$C:$C=L$1) / $A19)"),0.0466278101582015)</f>
        <v>0.04662781016</v>
      </c>
      <c r="M19" s="31">
        <f>IFERROR(__xludf.DUMMYFUNCTION("IFERROR(FILTER('DoD RAW DATA'!$D:$D,'DoD RAW DATA'!$B:$B=$B19,'DoD RAW DATA'!$C:$C=M$1) / $A19)"),0.0507910074937552)</f>
        <v>0.05079100749</v>
      </c>
      <c r="N19" s="31">
        <f>IFERROR(__xludf.DUMMYFUNCTION("IFERROR(FILTER('DoD RAW DATA'!$D:$D,'DoD RAW DATA'!$B:$B=$B19,'DoD RAW DATA'!$C:$C=N$1) / $A19)"),0.051623646960865945)</f>
        <v>0.05162364696</v>
      </c>
      <c r="O19" s="31">
        <f>IFERROR(__xludf.DUMMYFUNCTION("IFERROR(FILTER('DoD RAW DATA'!$D:$D,'DoD RAW DATA'!$B:$B=$B19,'DoD RAW DATA'!$C:$C=O$1) / $A19)"),0.10907577019150708)</f>
        <v>0.1090757702</v>
      </c>
      <c r="P19" s="31">
        <f>IFERROR(__xludf.DUMMYFUNCTION("IFERROR(FILTER('DoD RAW DATA'!$D:$D,'DoD RAW DATA'!$B:$B=$B19,'DoD RAW DATA'!$C:$C=P$1) / $A19)"),0.0749375520399667)</f>
        <v>0.07493755204</v>
      </c>
      <c r="Q19" s="31">
        <f>IFERROR(__xludf.DUMMYFUNCTION("IFERROR(FILTER('DoD RAW DATA'!$D:$D,'DoD RAW DATA'!$B:$B=$B19,'DoD RAW DATA'!$C:$C=Q$1) / $A19)"),0.04079933388842631)</f>
        <v>0.04079933389</v>
      </c>
      <c r="R19" s="31">
        <f>IFERROR(__xludf.DUMMYFUNCTION("IFERROR(FILTER('DoD RAW DATA'!$D:$D,'DoD RAW DATA'!$B:$B=$B19,'DoD RAW DATA'!$C:$C=R$1) / $A19)"),0.04329725228975854)</f>
        <v>0.04329725229</v>
      </c>
      <c r="S19" s="31">
        <f>IFERROR(__xludf.DUMMYFUNCTION("IFERROR(FILTER('DoD RAW DATA'!$D:$D,'DoD RAW DATA'!$B:$B=$B19,'DoD RAW DATA'!$C:$C=S$1) / $A19)"),0.05578684429641965)</f>
        <v>0.0557868443</v>
      </c>
      <c r="T19" s="31">
        <f>IFERROR(__xludf.DUMMYFUNCTION("IFERROR(FILTER('DoD RAW DATA'!$D:$D,'DoD RAW DATA'!$B:$B=$B19,'DoD RAW DATA'!$C:$C=T$1) / $A19)"),0.08992506244796003)</f>
        <v>0.08992506245</v>
      </c>
      <c r="U19" s="31">
        <f>IFERROR(__xludf.DUMMYFUNCTION("IFERROR(FILTER('DoD RAW DATA'!$D:$D,'DoD RAW DATA'!$B:$B=$B19,'DoD RAW DATA'!$C:$C=U$1) / $A19)"),0.04079933388842631)</f>
        <v>0.04079933389</v>
      </c>
      <c r="V19" s="31" t="str">
        <f>IFERROR(__xludf.DUMMYFUNCTION("IFERROR(FILTER('DoD RAW DATA'!$D:$D,'DoD RAW DATA'!$B:$B=$B19,'DoD RAW DATA'!$C:$C=V$1) / $A19)"),"")</f>
        <v/>
      </c>
      <c r="W19" s="31" t="str">
        <f>IFERROR(__xludf.DUMMYFUNCTION("IFERROR(FILTER('DoD RAW DATA'!$D:$D,'DoD RAW DATA'!$B:$B=$B19,'DoD RAW DATA'!$C:$C=W$1) / $A19)"),"")</f>
        <v/>
      </c>
      <c r="X19" s="31" t="str">
        <f>IFERROR(__xludf.DUMMYFUNCTION("IFERROR(FILTER('DoD RAW DATA'!$D:$D,'DoD RAW DATA'!$B:$B=$B19,'DoD RAW DATA'!$C:$C=X$1) / $A19)"),"")</f>
        <v/>
      </c>
    </row>
    <row r="20">
      <c r="A20" s="29">
        <f>IFERROR(__xludf.DUMMYFUNCTION("FILTER('DoD RAW DATA'!$D:$D,'DoD RAW DATA'!$B:$B=$B20,'DoD RAW DATA'!$C:$C=A$1)"),1016.0)</f>
        <v>1016</v>
      </c>
      <c r="B20" s="36">
        <v>43272.0</v>
      </c>
      <c r="C20" s="31">
        <f>IFERROR(__xludf.DUMMYFUNCTION("IFERROR(FILTER('DoD RAW DATA'!$D:$D,'DoD RAW DATA'!$B:$B=$B20,'DoD RAW DATA'!$C:$C=C$1) / $A20)"),1.0)</f>
        <v>1</v>
      </c>
      <c r="D20" s="31">
        <f>IFERROR(__xludf.DUMMYFUNCTION("IFERROR(FILTER('DoD RAW DATA'!$D:$D,'DoD RAW DATA'!$B:$B=$B20,'DoD RAW DATA'!$C:$C=D$1) / $A20)"),0.00984251968503937)</f>
        <v>0.009842519685</v>
      </c>
      <c r="E20" s="31">
        <f>IFERROR(__xludf.DUMMYFUNCTION("IFERROR(FILTER('DoD RAW DATA'!$D:$D,'DoD RAW DATA'!$B:$B=$B20,'DoD RAW DATA'!$C:$C=E$1) / $A20)"),0.025590551181102362)</f>
        <v>0.02559055118</v>
      </c>
      <c r="F20" s="31">
        <f>IFERROR(__xludf.DUMMYFUNCTION("IFERROR(FILTER('DoD RAW DATA'!$D:$D,'DoD RAW DATA'!$B:$B=$B20,'DoD RAW DATA'!$C:$C=F$1) / $A20)"),0.07381889763779527)</f>
        <v>0.07381889764</v>
      </c>
      <c r="G20" s="31">
        <f>IFERROR(__xludf.DUMMYFUNCTION("IFERROR(FILTER('DoD RAW DATA'!$D:$D,'DoD RAW DATA'!$B:$B=$B20,'DoD RAW DATA'!$C:$C=G$1) / $A20)"),0.3051181102362205)</f>
        <v>0.3051181102</v>
      </c>
      <c r="H20" s="31">
        <f>IFERROR(__xludf.DUMMYFUNCTION("IFERROR(FILTER('DoD RAW DATA'!$D:$D,'DoD RAW DATA'!$B:$B=$B20,'DoD RAW DATA'!$C:$C=H$1) / $A20)"),0.03937007874015748)</f>
        <v>0.03937007874</v>
      </c>
      <c r="I20" s="31">
        <f>IFERROR(__xludf.DUMMYFUNCTION("IFERROR(FILTER('DoD RAW DATA'!$D:$D,'DoD RAW DATA'!$B:$B=$B20,'DoD RAW DATA'!$C:$C=I$1) / $A20)"),0.02952755905511811)</f>
        <v>0.02952755906</v>
      </c>
      <c r="J20" s="31">
        <f>IFERROR(__xludf.DUMMYFUNCTION("IFERROR(FILTER('DoD RAW DATA'!$D:$D,'DoD RAW DATA'!$B:$B=$B20,'DoD RAW DATA'!$C:$C=J$1) / $A20)"),0.04625984251968504)</f>
        <v>0.04625984252</v>
      </c>
      <c r="K20" s="31">
        <f>IFERROR(__xludf.DUMMYFUNCTION("IFERROR(FILTER('DoD RAW DATA'!$D:$D,'DoD RAW DATA'!$B:$B=$B20,'DoD RAW DATA'!$C:$C=K$1) / $A20)"),0.15255905511811024)</f>
        <v>0.1525590551</v>
      </c>
      <c r="L20" s="31">
        <f>IFERROR(__xludf.DUMMYFUNCTION("IFERROR(FILTER('DoD RAW DATA'!$D:$D,'DoD RAW DATA'!$B:$B=$B20,'DoD RAW DATA'!$C:$C=L$1) / $A20)"),0.10826771653543307)</f>
        <v>0.1082677165</v>
      </c>
      <c r="M20" s="31">
        <f>IFERROR(__xludf.DUMMYFUNCTION("IFERROR(FILTER('DoD RAW DATA'!$D:$D,'DoD RAW DATA'!$B:$B=$B20,'DoD RAW DATA'!$C:$C=M$1) / $A20)"),0.05610236220472441)</f>
        <v>0.0561023622</v>
      </c>
      <c r="N20" s="31">
        <f>IFERROR(__xludf.DUMMYFUNCTION("IFERROR(FILTER('DoD RAW DATA'!$D:$D,'DoD RAW DATA'!$B:$B=$B20,'DoD RAW DATA'!$C:$C=N$1) / $A20)"),0.04429133858267716)</f>
        <v>0.04429133858</v>
      </c>
      <c r="O20" s="31">
        <f>IFERROR(__xludf.DUMMYFUNCTION("IFERROR(FILTER('DoD RAW DATA'!$D:$D,'DoD RAW DATA'!$B:$B=$B20,'DoD RAW DATA'!$C:$C=O$1) / $A20)"),0.03740157480314961)</f>
        <v>0.0374015748</v>
      </c>
      <c r="P20" s="31">
        <f>IFERROR(__xludf.DUMMYFUNCTION("IFERROR(FILTER('DoD RAW DATA'!$D:$D,'DoD RAW DATA'!$B:$B=$B20,'DoD RAW DATA'!$C:$C=P$1) / $A20)"),0.1220472440944882)</f>
        <v>0.1220472441</v>
      </c>
      <c r="Q20" s="31">
        <f>IFERROR(__xludf.DUMMYFUNCTION("IFERROR(FILTER('DoD RAW DATA'!$D:$D,'DoD RAW DATA'!$B:$B=$B20,'DoD RAW DATA'!$C:$C=Q$1) / $A20)"),0.0610236220472441)</f>
        <v>0.06102362205</v>
      </c>
      <c r="R20" s="31">
        <f>IFERROR(__xludf.DUMMYFUNCTION("IFERROR(FILTER('DoD RAW DATA'!$D:$D,'DoD RAW DATA'!$B:$B=$B20,'DoD RAW DATA'!$C:$C=R$1) / $A20)"),0.038385826771653545)</f>
        <v>0.03838582677</v>
      </c>
      <c r="S20" s="31">
        <f>IFERROR(__xludf.DUMMYFUNCTION("IFERROR(FILTER('DoD RAW DATA'!$D:$D,'DoD RAW DATA'!$B:$B=$B20,'DoD RAW DATA'!$C:$C=S$1) / $A20)"),0.04429133858267716)</f>
        <v>0.04429133858</v>
      </c>
      <c r="T20" s="31">
        <f>IFERROR(__xludf.DUMMYFUNCTION("IFERROR(FILTER('DoD RAW DATA'!$D:$D,'DoD RAW DATA'!$B:$B=$B20,'DoD RAW DATA'!$C:$C=T$1) / $A20)"),0.07283464566929133)</f>
        <v>0.07283464567</v>
      </c>
      <c r="U20" s="31">
        <f>IFERROR(__xludf.DUMMYFUNCTION("IFERROR(FILTER('DoD RAW DATA'!$D:$D,'DoD RAW DATA'!$B:$B=$B20,'DoD RAW DATA'!$C:$C=U$1) / $A20)"),0.0688976377952756)</f>
        <v>0.0688976378</v>
      </c>
      <c r="V20" s="31" t="str">
        <f>IFERROR(__xludf.DUMMYFUNCTION("IFERROR(FILTER('DoD RAW DATA'!$D:$D,'DoD RAW DATA'!$B:$B=$B20,'DoD RAW DATA'!$C:$C=V$1) / $A20)"),"")</f>
        <v/>
      </c>
      <c r="W20" s="31" t="str">
        <f>IFERROR(__xludf.DUMMYFUNCTION("IFERROR(FILTER('DoD RAW DATA'!$D:$D,'DoD RAW DATA'!$B:$B=$B20,'DoD RAW DATA'!$C:$C=W$1) / $A20)"),"")</f>
        <v/>
      </c>
      <c r="X20" s="31" t="str">
        <f>IFERROR(__xludf.DUMMYFUNCTION("IFERROR(FILTER('DoD RAW DATA'!$D:$D,'DoD RAW DATA'!$B:$B=$B20,'DoD RAW DATA'!$C:$C=X$1) / $A20)"),"")</f>
        <v/>
      </c>
    </row>
    <row r="21">
      <c r="A21" s="29">
        <f>IFERROR(__xludf.DUMMYFUNCTION("FILTER('DoD RAW DATA'!$D:$D,'DoD RAW DATA'!$B:$B=$B21,'DoD RAW DATA'!$C:$C=A$1)"),1115.0)</f>
        <v>1115</v>
      </c>
      <c r="B21" s="36">
        <v>43273.0</v>
      </c>
      <c r="C21" s="31">
        <f>IFERROR(__xludf.DUMMYFUNCTION("IFERROR(FILTER('DoD RAW DATA'!$D:$D,'DoD RAW DATA'!$B:$B=$B21,'DoD RAW DATA'!$C:$C=C$1) / $A21)"),1.0)</f>
        <v>1</v>
      </c>
      <c r="D21" s="31">
        <f>IFERROR(__xludf.DUMMYFUNCTION("IFERROR(FILTER('DoD RAW DATA'!$D:$D,'DoD RAW DATA'!$B:$B=$B21,'DoD RAW DATA'!$C:$C=D$1) / $A21)"),0.017937219730941704)</f>
        <v>0.01793721973</v>
      </c>
      <c r="E21" s="31">
        <f>IFERROR(__xludf.DUMMYFUNCTION("IFERROR(FILTER('DoD RAW DATA'!$D:$D,'DoD RAW DATA'!$B:$B=$B21,'DoD RAW DATA'!$C:$C=E$1) / $A21)"),0.019730941704035873)</f>
        <v>0.0197309417</v>
      </c>
      <c r="F21" s="31">
        <f>IFERROR(__xludf.DUMMYFUNCTION("IFERROR(FILTER('DoD RAW DATA'!$D:$D,'DoD RAW DATA'!$B:$B=$B21,'DoD RAW DATA'!$C:$C=F$1) / $A21)"),0.07623318385650224)</f>
        <v>0.07623318386</v>
      </c>
      <c r="G21" s="31">
        <f>IFERROR(__xludf.DUMMYFUNCTION("IFERROR(FILTER('DoD RAW DATA'!$D:$D,'DoD RAW DATA'!$B:$B=$B21,'DoD RAW DATA'!$C:$C=G$1) / $A21)"),0.284304932735426)</f>
        <v>0.2843049327</v>
      </c>
      <c r="H21" s="31">
        <f>IFERROR(__xludf.DUMMYFUNCTION("IFERROR(FILTER('DoD RAW DATA'!$D:$D,'DoD RAW DATA'!$B:$B=$B21,'DoD RAW DATA'!$C:$C=H$1) / $A21)"),0.03856502242152467)</f>
        <v>0.03856502242</v>
      </c>
      <c r="I21" s="31">
        <f>IFERROR(__xludf.DUMMYFUNCTION("IFERROR(FILTER('DoD RAW DATA'!$D:$D,'DoD RAW DATA'!$B:$B=$B21,'DoD RAW DATA'!$C:$C=I$1) / $A21)"),0.036771300448430494)</f>
        <v>0.03677130045</v>
      </c>
      <c r="J21" s="31">
        <f>IFERROR(__xludf.DUMMYFUNCTION("IFERROR(FILTER('DoD RAW DATA'!$D:$D,'DoD RAW DATA'!$B:$B=$B21,'DoD RAW DATA'!$C:$C=J$1) / $A21)"),0.059192825112107626)</f>
        <v>0.05919282511</v>
      </c>
      <c r="K21" s="31">
        <f>IFERROR(__xludf.DUMMYFUNCTION("IFERROR(FILTER('DoD RAW DATA'!$D:$D,'DoD RAW DATA'!$B:$B=$B21,'DoD RAW DATA'!$C:$C=K$1) / $A21)"),0.18654708520179372)</f>
        <v>0.1865470852</v>
      </c>
      <c r="L21" s="31">
        <f>IFERROR(__xludf.DUMMYFUNCTION("IFERROR(FILTER('DoD RAW DATA'!$D:$D,'DoD RAW DATA'!$B:$B=$B21,'DoD RAW DATA'!$C:$C=L$1) / $A21)"),0.06995515695067264)</f>
        <v>0.06995515695</v>
      </c>
      <c r="M21" s="31">
        <f>IFERROR(__xludf.DUMMYFUNCTION("IFERROR(FILTER('DoD RAW DATA'!$D:$D,'DoD RAW DATA'!$B:$B=$B21,'DoD RAW DATA'!$C:$C=M$1) / $A21)"),0.06457399103139014)</f>
        <v>0.06457399103</v>
      </c>
      <c r="N21" s="31">
        <f>IFERROR(__xludf.DUMMYFUNCTION("IFERROR(FILTER('DoD RAW DATA'!$D:$D,'DoD RAW DATA'!$B:$B=$B21,'DoD RAW DATA'!$C:$C=N$1) / $A21)"),0.05291479820627803)</f>
        <v>0.05291479821</v>
      </c>
      <c r="O21" s="31">
        <f>IFERROR(__xludf.DUMMYFUNCTION("IFERROR(FILTER('DoD RAW DATA'!$D:$D,'DoD RAW DATA'!$B:$B=$B21,'DoD RAW DATA'!$C:$C=O$1) / $A21)"),0.06098654708520179)</f>
        <v>0.06098654709</v>
      </c>
      <c r="P21" s="31">
        <f>IFERROR(__xludf.DUMMYFUNCTION("IFERROR(FILTER('DoD RAW DATA'!$D:$D,'DoD RAW DATA'!$B:$B=$B21,'DoD RAW DATA'!$C:$C=P$1) / $A21)"),0.1031390134529148)</f>
        <v>0.1031390135</v>
      </c>
      <c r="Q21" s="31">
        <f>IFERROR(__xludf.DUMMYFUNCTION("IFERROR(FILTER('DoD RAW DATA'!$D:$D,'DoD RAW DATA'!$B:$B=$B21,'DoD RAW DATA'!$C:$C=Q$1) / $A21)"),0.051121076233183856)</f>
        <v>0.05112107623</v>
      </c>
      <c r="R21" s="31">
        <f>IFERROR(__xludf.DUMMYFUNCTION("IFERROR(FILTER('DoD RAW DATA'!$D:$D,'DoD RAW DATA'!$B:$B=$B21,'DoD RAW DATA'!$C:$C=R$1) / $A21)"),0.03587443946188341)</f>
        <v>0.03587443946</v>
      </c>
      <c r="S21" s="31">
        <f>IFERROR(__xludf.DUMMYFUNCTION("IFERROR(FILTER('DoD RAW DATA'!$D:$D,'DoD RAW DATA'!$B:$B=$B21,'DoD RAW DATA'!$C:$C=S$1) / $A21)"),0.05560538116591928)</f>
        <v>0.05560538117</v>
      </c>
      <c r="T21" s="31">
        <f>IFERROR(__xludf.DUMMYFUNCTION("IFERROR(FILTER('DoD RAW DATA'!$D:$D,'DoD RAW DATA'!$B:$B=$B21,'DoD RAW DATA'!$C:$C=T$1) / $A21)"),0.09058295964125561)</f>
        <v>0.09058295964</v>
      </c>
      <c r="U21" s="31">
        <f>IFERROR(__xludf.DUMMYFUNCTION("IFERROR(FILTER('DoD RAW DATA'!$D:$D,'DoD RAW DATA'!$B:$B=$B21,'DoD RAW DATA'!$C:$C=U$1) / $A21)"),0.042152466367713005)</f>
        <v>0.04215246637</v>
      </c>
      <c r="V21" s="31" t="str">
        <f>IFERROR(__xludf.DUMMYFUNCTION("IFERROR(FILTER('DoD RAW DATA'!$D:$D,'DoD RAW DATA'!$B:$B=$B21,'DoD RAW DATA'!$C:$C=V$1) / $A21)"),"")</f>
        <v/>
      </c>
      <c r="W21" s="31" t="str">
        <f>IFERROR(__xludf.DUMMYFUNCTION("IFERROR(FILTER('DoD RAW DATA'!$D:$D,'DoD RAW DATA'!$B:$B=$B21,'DoD RAW DATA'!$C:$C=W$1) / $A21)"),"")</f>
        <v/>
      </c>
      <c r="X21" s="31" t="str">
        <f>IFERROR(__xludf.DUMMYFUNCTION("IFERROR(FILTER('DoD RAW DATA'!$D:$D,'DoD RAW DATA'!$B:$B=$B21,'DoD RAW DATA'!$C:$C=X$1) / $A21)"),"")</f>
        <v/>
      </c>
    </row>
    <row r="22">
      <c r="A22" s="29">
        <f>IFERROR(__xludf.DUMMYFUNCTION("FILTER('DoD RAW DATA'!$D:$D,'DoD RAW DATA'!$B:$B=$B22,'DoD RAW DATA'!$C:$C=A$1)"),1117.0)</f>
        <v>1117</v>
      </c>
      <c r="B22" s="36">
        <v>43274.0</v>
      </c>
      <c r="C22" s="31">
        <f>IFERROR(__xludf.DUMMYFUNCTION("IFERROR(FILTER('DoD RAW DATA'!$D:$D,'DoD RAW DATA'!$B:$B=$B22,'DoD RAW DATA'!$C:$C=C$1) / $A22)"),1.0)</f>
        <v>1</v>
      </c>
      <c r="D22" s="31">
        <f>IFERROR(__xludf.DUMMYFUNCTION("IFERROR(FILTER('DoD RAW DATA'!$D:$D,'DoD RAW DATA'!$B:$B=$B22,'DoD RAW DATA'!$C:$C=D$1) / $A22)"),0.020590868397493287)</f>
        <v>0.0205908684</v>
      </c>
      <c r="E22" s="31">
        <f>IFERROR(__xludf.DUMMYFUNCTION("IFERROR(FILTER('DoD RAW DATA'!$D:$D,'DoD RAW DATA'!$B:$B=$B22,'DoD RAW DATA'!$C:$C=E$1) / $A22)"),0.019695613249776187)</f>
        <v>0.01969561325</v>
      </c>
      <c r="F22" s="31">
        <f>IFERROR(__xludf.DUMMYFUNCTION("IFERROR(FILTER('DoD RAW DATA'!$D:$D,'DoD RAW DATA'!$B:$B=$B22,'DoD RAW DATA'!$C:$C=F$1) / $A22)"),0.07341092211280215)</f>
        <v>0.07341092211</v>
      </c>
      <c r="G22" s="31">
        <f>IFERROR(__xludf.DUMMYFUNCTION("IFERROR(FILTER('DoD RAW DATA'!$D:$D,'DoD RAW DATA'!$B:$B=$B22,'DoD RAW DATA'!$C:$C=G$1) / $A22)"),0.2864816472694718)</f>
        <v>0.2864816473</v>
      </c>
      <c r="H22" s="31">
        <f>IFERROR(__xludf.DUMMYFUNCTION("IFERROR(FILTER('DoD RAW DATA'!$D:$D,'DoD RAW DATA'!$B:$B=$B22,'DoD RAW DATA'!$C:$C=H$1) / $A22)"),0.04207699194270367)</f>
        <v>0.04207699194</v>
      </c>
      <c r="I22" s="31">
        <f>IFERROR(__xludf.DUMMYFUNCTION("IFERROR(FILTER('DoD RAW DATA'!$D:$D,'DoD RAW DATA'!$B:$B=$B22,'DoD RAW DATA'!$C:$C=I$1) / $A22)"),0.03222918531781558)</f>
        <v>0.03222918532</v>
      </c>
      <c r="J22" s="31">
        <f>IFERROR(__xludf.DUMMYFUNCTION("IFERROR(FILTER('DoD RAW DATA'!$D:$D,'DoD RAW DATA'!$B:$B=$B22,'DoD RAW DATA'!$C:$C=J$1) / $A22)"),0.05819158460161146)</f>
        <v>0.0581915846</v>
      </c>
      <c r="K22" s="31">
        <f>IFERROR(__xludf.DUMMYFUNCTION("IFERROR(FILTER('DoD RAW DATA'!$D:$D,'DoD RAW DATA'!$B:$B=$B22,'DoD RAW DATA'!$C:$C=K$1) / $A22)"),0.19427036705461057)</f>
        <v>0.1942703671</v>
      </c>
      <c r="L22" s="31">
        <f>IFERROR(__xludf.DUMMYFUNCTION("IFERROR(FILTER('DoD RAW DATA'!$D:$D,'DoD RAW DATA'!$B:$B=$B22,'DoD RAW DATA'!$C:$C=L$1) / $A22)"),0.06624888093106536)</f>
        <v>0.06624888093</v>
      </c>
      <c r="M22" s="31">
        <f>IFERROR(__xludf.DUMMYFUNCTION("IFERROR(FILTER('DoD RAW DATA'!$D:$D,'DoD RAW DATA'!$B:$B=$B22,'DoD RAW DATA'!$C:$C=M$1) / $A22)"),0.06356311548791406)</f>
        <v>0.06356311549</v>
      </c>
      <c r="N22" s="31">
        <f>IFERROR(__xludf.DUMMYFUNCTION("IFERROR(FILTER('DoD RAW DATA'!$D:$D,'DoD RAW DATA'!$B:$B=$B22,'DoD RAW DATA'!$C:$C=N$1) / $A22)"),0.03849597135183527)</f>
        <v>0.03849597135</v>
      </c>
      <c r="O22" s="31">
        <f>IFERROR(__xludf.DUMMYFUNCTION("IFERROR(FILTER('DoD RAW DATA'!$D:$D,'DoD RAW DATA'!$B:$B=$B22,'DoD RAW DATA'!$C:$C=O$1) / $A22)"),0.046553267681289166)</f>
        <v>0.04655326768</v>
      </c>
      <c r="P22" s="31">
        <f>IFERROR(__xludf.DUMMYFUNCTION("IFERROR(FILTER('DoD RAW DATA'!$D:$D,'DoD RAW DATA'!$B:$B=$B22,'DoD RAW DATA'!$C:$C=P$1) / $A22)"),0.1360787824529991)</f>
        <v>0.1360787825</v>
      </c>
      <c r="Q22" s="31">
        <f>IFERROR(__xludf.DUMMYFUNCTION("IFERROR(FILTER('DoD RAW DATA'!$D:$D,'DoD RAW DATA'!$B:$B=$B22,'DoD RAW DATA'!$C:$C=Q$1) / $A22)"),0.047448522829006266)</f>
        <v>0.04744852283</v>
      </c>
      <c r="R22" s="31">
        <f>IFERROR(__xludf.DUMMYFUNCTION("IFERROR(FILTER('DoD RAW DATA'!$D:$D,'DoD RAW DATA'!$B:$B=$B22,'DoD RAW DATA'!$C:$C=R$1) / $A22)"),0.03312444046553268)</f>
        <v>0.03312444047</v>
      </c>
      <c r="S22" s="31">
        <f>IFERROR(__xludf.DUMMYFUNCTION("IFERROR(FILTER('DoD RAW DATA'!$D:$D,'DoD RAW DATA'!$B:$B=$B22,'DoD RAW DATA'!$C:$C=S$1) / $A22)"),0.05371530886302596)</f>
        <v>0.05371530886</v>
      </c>
      <c r="T22" s="31">
        <f>IFERROR(__xludf.DUMMYFUNCTION("IFERROR(FILTER('DoD RAW DATA'!$D:$D,'DoD RAW DATA'!$B:$B=$B22,'DoD RAW DATA'!$C:$C=T$1) / $A22)"),0.12533572068039392)</f>
        <v>0.1253357207</v>
      </c>
      <c r="U22" s="31">
        <f>IFERROR(__xludf.DUMMYFUNCTION("IFERROR(FILTER('DoD RAW DATA'!$D:$D,'DoD RAW DATA'!$B:$B=$B22,'DoD RAW DATA'!$C:$C=U$1) / $A22)"),0.020590868397493287)</f>
        <v>0.0205908684</v>
      </c>
      <c r="V22" s="31" t="str">
        <f>IFERROR(__xludf.DUMMYFUNCTION("IFERROR(FILTER('DoD RAW DATA'!$D:$D,'DoD RAW DATA'!$B:$B=$B22,'DoD RAW DATA'!$C:$C=V$1) / $A22)"),"")</f>
        <v/>
      </c>
      <c r="W22" s="31" t="str">
        <f>IFERROR(__xludf.DUMMYFUNCTION("IFERROR(FILTER('DoD RAW DATA'!$D:$D,'DoD RAW DATA'!$B:$B=$B22,'DoD RAW DATA'!$C:$C=W$1) / $A22)"),"")</f>
        <v/>
      </c>
      <c r="X22" s="31" t="str">
        <f>IFERROR(__xludf.DUMMYFUNCTION("IFERROR(FILTER('DoD RAW DATA'!$D:$D,'DoD RAW DATA'!$B:$B=$B22,'DoD RAW DATA'!$C:$C=X$1) / $A22)"),"")</f>
        <v/>
      </c>
    </row>
    <row r="23">
      <c r="A23" s="29">
        <f>IFERROR(__xludf.DUMMYFUNCTION("FILTER('DoD RAW DATA'!$D:$D,'DoD RAW DATA'!$B:$B=$B23,'DoD RAW DATA'!$C:$C=A$1)"),2095.0)</f>
        <v>2095</v>
      </c>
      <c r="B23" s="36">
        <v>43276.0</v>
      </c>
      <c r="C23" s="31">
        <f>IFERROR(__xludf.DUMMYFUNCTION("IFERROR(FILTER('DoD RAW DATA'!$D:$D,'DoD RAW DATA'!$B:$B=$B23,'DoD RAW DATA'!$C:$C=C$1) / $A23)"),1.0)</f>
        <v>1</v>
      </c>
      <c r="D23" s="31">
        <f>IFERROR(__xludf.DUMMYFUNCTION("IFERROR(FILTER('DoD RAW DATA'!$D:$D,'DoD RAW DATA'!$B:$B=$B23,'DoD RAW DATA'!$C:$C=D$1) / $A23)"),0.018138424821002388)</f>
        <v>0.01813842482</v>
      </c>
      <c r="E23" s="31">
        <f>IFERROR(__xludf.DUMMYFUNCTION("IFERROR(FILTER('DoD RAW DATA'!$D:$D,'DoD RAW DATA'!$B:$B=$B23,'DoD RAW DATA'!$C:$C=E$1) / $A23)"),0.03198090692124105)</f>
        <v>0.03198090692</v>
      </c>
      <c r="F23" s="31">
        <f>IFERROR(__xludf.DUMMYFUNCTION("IFERROR(FILTER('DoD RAW DATA'!$D:$D,'DoD RAW DATA'!$B:$B=$B23,'DoD RAW DATA'!$C:$C=F$1) / $A23)"),0.06443914081145585)</f>
        <v>0.06443914081</v>
      </c>
      <c r="G23" s="31">
        <f>IFERROR(__xludf.DUMMYFUNCTION("IFERROR(FILTER('DoD RAW DATA'!$D:$D,'DoD RAW DATA'!$B:$B=$B23,'DoD RAW DATA'!$C:$C=G$1) / $A23)"),0.2878281622911695)</f>
        <v>0.2878281623</v>
      </c>
      <c r="H23" s="31">
        <f>IFERROR(__xludf.DUMMYFUNCTION("IFERROR(FILTER('DoD RAW DATA'!$D:$D,'DoD RAW DATA'!$B:$B=$B23,'DoD RAW DATA'!$C:$C=H$1) / $A23)"),0.0477326968973747)</f>
        <v>0.0477326969</v>
      </c>
      <c r="I23" s="31">
        <f>IFERROR(__xludf.DUMMYFUNCTION("IFERROR(FILTER('DoD RAW DATA'!$D:$D,'DoD RAW DATA'!$B:$B=$B23,'DoD RAW DATA'!$C:$C=I$1) / $A23)"),0.037231503579952266)</f>
        <v>0.03723150358</v>
      </c>
      <c r="J23" s="31">
        <f>IFERROR(__xludf.DUMMYFUNCTION("IFERROR(FILTER('DoD RAW DATA'!$D:$D,'DoD RAW DATA'!$B:$B=$B23,'DoD RAW DATA'!$C:$C=J$1) / $A23)"),0.04725536992840095)</f>
        <v>0.04725536993</v>
      </c>
      <c r="K23" s="31">
        <f>IFERROR(__xludf.DUMMYFUNCTION("IFERROR(FILTER('DoD RAW DATA'!$D:$D,'DoD RAW DATA'!$B:$B=$B23,'DoD RAW DATA'!$C:$C=K$1) / $A23)"),0.2052505966587112)</f>
        <v>0.2052505967</v>
      </c>
      <c r="L23" s="31">
        <f>IFERROR(__xludf.DUMMYFUNCTION("IFERROR(FILTER('DoD RAW DATA'!$D:$D,'DoD RAW DATA'!$B:$B=$B23,'DoD RAW DATA'!$C:$C=L$1) / $A23)"),0.06634844868735083)</f>
        <v>0.06634844869</v>
      </c>
      <c r="M23" s="31">
        <f>IFERROR(__xludf.DUMMYFUNCTION("IFERROR(FILTER('DoD RAW DATA'!$D:$D,'DoD RAW DATA'!$B:$B=$B23,'DoD RAW DATA'!$C:$C=M$1) / $A23)"),0.057279236276849645)</f>
        <v>0.05727923628</v>
      </c>
      <c r="N23" s="31">
        <f>IFERROR(__xludf.DUMMYFUNCTION("IFERROR(FILTER('DoD RAW DATA'!$D:$D,'DoD RAW DATA'!$B:$B=$B23,'DoD RAW DATA'!$C:$C=N$1) / $A23)"),0.04486873508353222)</f>
        <v>0.04486873508</v>
      </c>
      <c r="O23" s="31">
        <f>IFERROR(__xludf.DUMMYFUNCTION("IFERROR(FILTER('DoD RAW DATA'!$D:$D,'DoD RAW DATA'!$B:$B=$B23,'DoD RAW DATA'!$C:$C=O$1) / $A23)"),0.057279236276849645)</f>
        <v>0.05727923628</v>
      </c>
      <c r="P23" s="31">
        <f>IFERROR(__xludf.DUMMYFUNCTION("IFERROR(FILTER('DoD RAW DATA'!$D:$D,'DoD RAW DATA'!$B:$B=$B23,'DoD RAW DATA'!$C:$C=P$1) / $A23)"),0.13269689737470167)</f>
        <v>0.1326968974</v>
      </c>
      <c r="Q23" s="31">
        <f>IFERROR(__xludf.DUMMYFUNCTION("IFERROR(FILTER('DoD RAW DATA'!$D:$D,'DoD RAW DATA'!$B:$B=$B23,'DoD RAW DATA'!$C:$C=Q$1) / $A23)"),0.043914081145584725)</f>
        <v>0.04391408115</v>
      </c>
      <c r="R23" s="31">
        <f>IFERROR(__xludf.DUMMYFUNCTION("IFERROR(FILTER('DoD RAW DATA'!$D:$D,'DoD RAW DATA'!$B:$B=$B23,'DoD RAW DATA'!$C:$C=R$1) / $A23)"),0.03389021479713604)</f>
        <v>0.0338902148</v>
      </c>
      <c r="S23" s="31">
        <f>IFERROR(__xludf.DUMMYFUNCTION("IFERROR(FILTER('DoD RAW DATA'!$D:$D,'DoD RAW DATA'!$B:$B=$B23,'DoD RAW DATA'!$C:$C=S$1) / $A23)"),0.06443914081145585)</f>
        <v>0.06443914081</v>
      </c>
      <c r="T23" s="31">
        <f>IFERROR(__xludf.DUMMYFUNCTION("IFERROR(FILTER('DoD RAW DATA'!$D:$D,'DoD RAW DATA'!$B:$B=$B23,'DoD RAW DATA'!$C:$C=T$1) / $A23)"),0.1126491646778043)</f>
        <v>0.1126491647</v>
      </c>
      <c r="U23" s="31">
        <f>IFERROR(__xludf.DUMMYFUNCTION("IFERROR(FILTER('DoD RAW DATA'!$D:$D,'DoD RAW DATA'!$B:$B=$B23,'DoD RAW DATA'!$C:$C=U$1) / $A23)"),0.015274463007159905)</f>
        <v>0.01527446301</v>
      </c>
      <c r="V23" s="31" t="str">
        <f>IFERROR(__xludf.DUMMYFUNCTION("IFERROR(FILTER('DoD RAW DATA'!$D:$D,'DoD RAW DATA'!$B:$B=$B23,'DoD RAW DATA'!$C:$C=V$1) / $A23)"),"")</f>
        <v/>
      </c>
      <c r="W23" s="31" t="str">
        <f>IFERROR(__xludf.DUMMYFUNCTION("IFERROR(FILTER('DoD RAW DATA'!$D:$D,'DoD RAW DATA'!$B:$B=$B23,'DoD RAW DATA'!$C:$C=W$1) / $A23)"),"")</f>
        <v/>
      </c>
      <c r="X23" s="31" t="str">
        <f>IFERROR(__xludf.DUMMYFUNCTION("IFERROR(FILTER('DoD RAW DATA'!$D:$D,'DoD RAW DATA'!$B:$B=$B23,'DoD RAW DATA'!$C:$C=X$1) / $A23)"),"")</f>
        <v/>
      </c>
    </row>
    <row r="24">
      <c r="A24" s="29">
        <f>IFERROR(__xludf.DUMMYFUNCTION("FILTER('DoD RAW DATA'!$D:$D,'DoD RAW DATA'!$B:$B=$B24,'DoD RAW DATA'!$C:$C=A$1)"),1092.0)</f>
        <v>1092</v>
      </c>
      <c r="B24" s="36">
        <v>43277.0</v>
      </c>
      <c r="C24" s="31">
        <f>IFERROR(__xludf.DUMMYFUNCTION("IFERROR(FILTER('DoD RAW DATA'!$D:$D,'DoD RAW DATA'!$B:$B=$B24,'DoD RAW DATA'!$C:$C=C$1) / $A24)"),1.0)</f>
        <v>1</v>
      </c>
      <c r="D24" s="31">
        <f>IFERROR(__xludf.DUMMYFUNCTION("IFERROR(FILTER('DoD RAW DATA'!$D:$D,'DoD RAW DATA'!$B:$B=$B24,'DoD RAW DATA'!$C:$C=D$1) / $A24)"),0.021062271062271064)</f>
        <v>0.02106227106</v>
      </c>
      <c r="E24" s="31">
        <f>IFERROR(__xludf.DUMMYFUNCTION("IFERROR(FILTER('DoD RAW DATA'!$D:$D,'DoD RAW DATA'!$B:$B=$B24,'DoD RAW DATA'!$C:$C=E$1) / $A24)"),0.02564102564102564)</f>
        <v>0.02564102564</v>
      </c>
      <c r="F24" s="31">
        <f>IFERROR(__xludf.DUMMYFUNCTION("IFERROR(FILTER('DoD RAW DATA'!$D:$D,'DoD RAW DATA'!$B:$B=$B24,'DoD RAW DATA'!$C:$C=F$1) / $A24)"),0.07692307692307693)</f>
        <v>0.07692307692</v>
      </c>
      <c r="G24" s="31">
        <f>IFERROR(__xludf.DUMMYFUNCTION("IFERROR(FILTER('DoD RAW DATA'!$D:$D,'DoD RAW DATA'!$B:$B=$B24,'DoD RAW DATA'!$C:$C=G$1) / $A24)"),0.27380952380952384)</f>
        <v>0.2738095238</v>
      </c>
      <c r="H24" s="31">
        <f>IFERROR(__xludf.DUMMYFUNCTION("IFERROR(FILTER('DoD RAW DATA'!$D:$D,'DoD RAW DATA'!$B:$B=$B24,'DoD RAW DATA'!$C:$C=H$1) / $A24)"),0.03205128205128205)</f>
        <v>0.03205128205</v>
      </c>
      <c r="I24" s="31">
        <f>IFERROR(__xludf.DUMMYFUNCTION("IFERROR(FILTER('DoD RAW DATA'!$D:$D,'DoD RAW DATA'!$B:$B=$B24,'DoD RAW DATA'!$C:$C=I$1) / $A24)"),0.03663003663003663)</f>
        <v>0.03663003663</v>
      </c>
      <c r="J24" s="31">
        <f>IFERROR(__xludf.DUMMYFUNCTION("IFERROR(FILTER('DoD RAW DATA'!$D:$D,'DoD RAW DATA'!$B:$B=$B24,'DoD RAW DATA'!$C:$C=J$1) / $A24)"),0.06501831501831502)</f>
        <v>0.06501831502</v>
      </c>
      <c r="K24" s="31">
        <f>IFERROR(__xludf.DUMMYFUNCTION("IFERROR(FILTER('DoD RAW DATA'!$D:$D,'DoD RAW DATA'!$B:$B=$B24,'DoD RAW DATA'!$C:$C=K$1) / $A24)"),0.21153846153846154)</f>
        <v>0.2115384615</v>
      </c>
      <c r="L24" s="31">
        <f>IFERROR(__xludf.DUMMYFUNCTION("IFERROR(FILTER('DoD RAW DATA'!$D:$D,'DoD RAW DATA'!$B:$B=$B24,'DoD RAW DATA'!$C:$C=L$1) / $A24)"),0.04304029304029304)</f>
        <v>0.04304029304</v>
      </c>
      <c r="M24" s="31">
        <f>IFERROR(__xludf.DUMMYFUNCTION("IFERROR(FILTER('DoD RAW DATA'!$D:$D,'DoD RAW DATA'!$B:$B=$B24,'DoD RAW DATA'!$C:$C=M$1) / $A24)"),0.06593406593406594)</f>
        <v>0.06593406593</v>
      </c>
      <c r="N24" s="31">
        <f>IFERROR(__xludf.DUMMYFUNCTION("IFERROR(FILTER('DoD RAW DATA'!$D:$D,'DoD RAW DATA'!$B:$B=$B24,'DoD RAW DATA'!$C:$C=N$1) / $A24)"),0.048534798534798536)</f>
        <v>0.04853479853</v>
      </c>
      <c r="O24" s="31">
        <f>IFERROR(__xludf.DUMMYFUNCTION("IFERROR(FILTER('DoD RAW DATA'!$D:$D,'DoD RAW DATA'!$B:$B=$B24,'DoD RAW DATA'!$C:$C=O$1) / $A24)"),0.08516483516483517)</f>
        <v>0.08516483516</v>
      </c>
      <c r="P24" s="31">
        <f>IFERROR(__xludf.DUMMYFUNCTION("IFERROR(FILTER('DoD RAW DATA'!$D:$D,'DoD RAW DATA'!$B:$B=$B24,'DoD RAW DATA'!$C:$C=P$1) / $A24)"),0.10622710622710622)</f>
        <v>0.1062271062</v>
      </c>
      <c r="Q24" s="31">
        <f>IFERROR(__xludf.DUMMYFUNCTION("IFERROR(FILTER('DoD RAW DATA'!$D:$D,'DoD RAW DATA'!$B:$B=$B24,'DoD RAW DATA'!$C:$C=Q$1) / $A24)"),0.03388278388278388)</f>
        <v>0.03388278388</v>
      </c>
      <c r="R24" s="31">
        <f>IFERROR(__xludf.DUMMYFUNCTION("IFERROR(FILTER('DoD RAW DATA'!$D:$D,'DoD RAW DATA'!$B:$B=$B24,'DoD RAW DATA'!$C:$C=R$1) / $A24)"),0.04395604395604396)</f>
        <v>0.04395604396</v>
      </c>
      <c r="S24" s="31">
        <f>IFERROR(__xludf.DUMMYFUNCTION("IFERROR(FILTER('DoD RAW DATA'!$D:$D,'DoD RAW DATA'!$B:$B=$B24,'DoD RAW DATA'!$C:$C=S$1) / $A24)"),0.057692307692307696)</f>
        <v>0.05769230769</v>
      </c>
      <c r="T24" s="31">
        <f>IFERROR(__xludf.DUMMYFUNCTION("IFERROR(FILTER('DoD RAW DATA'!$D:$D,'DoD RAW DATA'!$B:$B=$B24,'DoD RAW DATA'!$C:$C=T$1) / $A24)"),0.1227106227106227)</f>
        <v>0.1227106227</v>
      </c>
      <c r="U24" s="31">
        <f>IFERROR(__xludf.DUMMYFUNCTION("IFERROR(FILTER('DoD RAW DATA'!$D:$D,'DoD RAW DATA'!$B:$B=$B24,'DoD RAW DATA'!$C:$C=U$1) / $A24)"),0.004578754578754579)</f>
        <v>0.004578754579</v>
      </c>
      <c r="V24" s="31" t="str">
        <f>IFERROR(__xludf.DUMMYFUNCTION("IFERROR(FILTER('DoD RAW DATA'!$D:$D,'DoD RAW DATA'!$B:$B=$B24,'DoD RAW DATA'!$C:$C=V$1) / $A24)"),"")</f>
        <v/>
      </c>
      <c r="W24" s="31" t="str">
        <f>IFERROR(__xludf.DUMMYFUNCTION("IFERROR(FILTER('DoD RAW DATA'!$D:$D,'DoD RAW DATA'!$B:$B=$B24,'DoD RAW DATA'!$C:$C=W$1) / $A24)"),"")</f>
        <v/>
      </c>
      <c r="X24" s="31" t="str">
        <f>IFERROR(__xludf.DUMMYFUNCTION("IFERROR(FILTER('DoD RAW DATA'!$D:$D,'DoD RAW DATA'!$B:$B=$B24,'DoD RAW DATA'!$C:$C=X$1) / $A24)"),"")</f>
        <v/>
      </c>
    </row>
    <row r="25">
      <c r="A25" s="29">
        <f>IFERROR(__xludf.DUMMYFUNCTION("FILTER('DoD RAW DATA'!$D:$D,'DoD RAW DATA'!$B:$B=$B25,'DoD RAW DATA'!$C:$C=A$1)"),1049.0)</f>
        <v>1049</v>
      </c>
      <c r="B25" s="36">
        <v>43278.0</v>
      </c>
      <c r="C25" s="31">
        <f>IFERROR(__xludf.DUMMYFUNCTION("IFERROR(FILTER('DoD RAW DATA'!$D:$D,'DoD RAW DATA'!$B:$B=$B25,'DoD RAW DATA'!$C:$C=C$1) / $A25)"),1.0)</f>
        <v>1</v>
      </c>
      <c r="D25" s="31">
        <f>IFERROR(__xludf.DUMMYFUNCTION("IFERROR(FILTER('DoD RAW DATA'!$D:$D,'DoD RAW DATA'!$B:$B=$B25,'DoD RAW DATA'!$C:$C=D$1) / $A25)"),0.023832221163012392)</f>
        <v>0.02383222116</v>
      </c>
      <c r="E25" s="31">
        <f>IFERROR(__xludf.DUMMYFUNCTION("IFERROR(FILTER('DoD RAW DATA'!$D:$D,'DoD RAW DATA'!$B:$B=$B25,'DoD RAW DATA'!$C:$C=E$1) / $A25)"),0.03527168732125834)</f>
        <v>0.03527168732</v>
      </c>
      <c r="F25" s="31">
        <f>IFERROR(__xludf.DUMMYFUNCTION("IFERROR(FILTER('DoD RAW DATA'!$D:$D,'DoD RAW DATA'!$B:$B=$B25,'DoD RAW DATA'!$C:$C=F$1) / $A25)"),0.06005719733079123)</f>
        <v>0.06005719733</v>
      </c>
      <c r="G25" s="31">
        <f>IFERROR(__xludf.DUMMYFUNCTION("IFERROR(FILTER('DoD RAW DATA'!$D:$D,'DoD RAW DATA'!$B:$B=$B25,'DoD RAW DATA'!$C:$C=G$1) / $A25)"),0.29551954242135364)</f>
        <v>0.2955195424</v>
      </c>
      <c r="H25" s="31">
        <f>IFERROR(__xludf.DUMMYFUNCTION("IFERROR(FILTER('DoD RAW DATA'!$D:$D,'DoD RAW DATA'!$B:$B=$B25,'DoD RAW DATA'!$C:$C=H$1) / $A25)"),0.04099142040038131)</f>
        <v>0.0409914204</v>
      </c>
      <c r="I25" s="31">
        <f>IFERROR(__xludf.DUMMYFUNCTION("IFERROR(FILTER('DoD RAW DATA'!$D:$D,'DoD RAW DATA'!$B:$B=$B25,'DoD RAW DATA'!$C:$C=I$1) / $A25)"),0.028598665395614873)</f>
        <v>0.0285986654</v>
      </c>
      <c r="J25" s="31">
        <f>IFERROR(__xludf.DUMMYFUNCTION("IFERROR(FILTER('DoD RAW DATA'!$D:$D,'DoD RAW DATA'!$B:$B=$B25,'DoD RAW DATA'!$C:$C=J$1) / $A25)"),0.061010486177311724)</f>
        <v>0.06101048618</v>
      </c>
      <c r="K25" s="31">
        <f>IFERROR(__xludf.DUMMYFUNCTION("IFERROR(FILTER('DoD RAW DATA'!$D:$D,'DoD RAW DATA'!$B:$B=$B25,'DoD RAW DATA'!$C:$C=K$1) / $A25)"),0.18589132507149667)</f>
        <v>0.1858913251</v>
      </c>
      <c r="L25" s="31">
        <f>IFERROR(__xludf.DUMMYFUNCTION("IFERROR(FILTER('DoD RAW DATA'!$D:$D,'DoD RAW DATA'!$B:$B=$B25,'DoD RAW DATA'!$C:$C=L$1) / $A25)"),0.05338417540514776)</f>
        <v>0.05338417541</v>
      </c>
      <c r="M25" s="31">
        <f>IFERROR(__xludf.DUMMYFUNCTION("IFERROR(FILTER('DoD RAW DATA'!$D:$D,'DoD RAW DATA'!$B:$B=$B25,'DoD RAW DATA'!$C:$C=M$1) / $A25)"),0.052430886558627265)</f>
        <v>0.05243088656</v>
      </c>
      <c r="N25" s="31">
        <f>IFERROR(__xludf.DUMMYFUNCTION("IFERROR(FILTER('DoD RAW DATA'!$D:$D,'DoD RAW DATA'!$B:$B=$B25,'DoD RAW DATA'!$C:$C=N$1) / $A25)"),0.04003813155386082)</f>
        <v>0.04003813155</v>
      </c>
      <c r="O25" s="31">
        <f>IFERROR(__xludf.DUMMYFUNCTION("IFERROR(FILTER('DoD RAW DATA'!$D:$D,'DoD RAW DATA'!$B:$B=$B25,'DoD RAW DATA'!$C:$C=O$1) / $A25)"),0.10486177311725453)</f>
        <v>0.1048617731</v>
      </c>
      <c r="P25" s="31">
        <f>IFERROR(__xludf.DUMMYFUNCTION("IFERROR(FILTER('DoD RAW DATA'!$D:$D,'DoD RAW DATA'!$B:$B=$B25,'DoD RAW DATA'!$C:$C=P$1) / $A25)"),0.09437559580552908)</f>
        <v>0.09437559581</v>
      </c>
      <c r="Q25" s="31">
        <f>IFERROR(__xludf.DUMMYFUNCTION("IFERROR(FILTER('DoD RAW DATA'!$D:$D,'DoD RAW DATA'!$B:$B=$B25,'DoD RAW DATA'!$C:$C=Q$1) / $A25)"),0.034318398474737846)</f>
        <v>0.03431839847</v>
      </c>
      <c r="R25" s="31">
        <f>IFERROR(__xludf.DUMMYFUNCTION("IFERROR(FILTER('DoD RAW DATA'!$D:$D,'DoD RAW DATA'!$B:$B=$B25,'DoD RAW DATA'!$C:$C=R$1) / $A25)"),0.03908484270734033)</f>
        <v>0.03908484271</v>
      </c>
      <c r="S25" s="31">
        <f>IFERROR(__xludf.DUMMYFUNCTION("IFERROR(FILTER('DoD RAW DATA'!$D:$D,'DoD RAW DATA'!$B:$B=$B25,'DoD RAW DATA'!$C:$C=S$1) / $A25)"),0.0438512869399428)</f>
        <v>0.04385128694</v>
      </c>
      <c r="T25" s="31">
        <f>IFERROR(__xludf.DUMMYFUNCTION("IFERROR(FILTER('DoD RAW DATA'!$D:$D,'DoD RAW DATA'!$B:$B=$B25,'DoD RAW DATA'!$C:$C=T$1) / $A25)"),0.12011439466158245)</f>
        <v>0.1201143947</v>
      </c>
      <c r="U25" s="31" t="str">
        <f>IFERROR(__xludf.DUMMYFUNCTION("IFERROR(FILTER('DoD RAW DATA'!$D:$D,'DoD RAW DATA'!$B:$B=$B25,'DoD RAW DATA'!$C:$C=U$1) / $A25)"),"")</f>
        <v/>
      </c>
      <c r="V25" s="31" t="str">
        <f>IFERROR(__xludf.DUMMYFUNCTION("IFERROR(FILTER('DoD RAW DATA'!$D:$D,'DoD RAW DATA'!$B:$B=$B25,'DoD RAW DATA'!$C:$C=V$1) / $A25)"),"")</f>
        <v/>
      </c>
      <c r="W25" s="31" t="str">
        <f>IFERROR(__xludf.DUMMYFUNCTION("IFERROR(FILTER('DoD RAW DATA'!$D:$D,'DoD RAW DATA'!$B:$B=$B25,'DoD RAW DATA'!$C:$C=W$1) / $A25)"),"")</f>
        <v/>
      </c>
      <c r="X25" s="31" t="str">
        <f>IFERROR(__xludf.DUMMYFUNCTION("IFERROR(FILTER('DoD RAW DATA'!$D:$D,'DoD RAW DATA'!$B:$B=$B25,'DoD RAW DATA'!$C:$C=X$1) / $A25)"),"")</f>
        <v/>
      </c>
    </row>
    <row r="26">
      <c r="A26" s="29">
        <f>IFERROR(__xludf.DUMMYFUNCTION("FILTER('DoD RAW DATA'!$D:$D,'DoD RAW DATA'!$B:$B=$B26,'DoD RAW DATA'!$C:$C=A$1)"),1211.0)</f>
        <v>1211</v>
      </c>
      <c r="B26" s="36">
        <v>43279.0</v>
      </c>
      <c r="C26" s="31">
        <f>IFERROR(__xludf.DUMMYFUNCTION("IFERROR(FILTER('DoD RAW DATA'!$D:$D,'DoD RAW DATA'!$B:$B=$B26,'DoD RAW DATA'!$C:$C=C$1) / $A26)"),1.0)</f>
        <v>1</v>
      </c>
      <c r="D26" s="31">
        <f>IFERROR(__xludf.DUMMYFUNCTION("IFERROR(FILTER('DoD RAW DATA'!$D:$D,'DoD RAW DATA'!$B:$B=$B26,'DoD RAW DATA'!$C:$C=D$1) / $A26)"),0.01981833195706028)</f>
        <v>0.01981833196</v>
      </c>
      <c r="E26" s="31">
        <f>IFERROR(__xludf.DUMMYFUNCTION("IFERROR(FILTER('DoD RAW DATA'!$D:$D,'DoD RAW DATA'!$B:$B=$B26,'DoD RAW DATA'!$C:$C=E$1) / $A26)"),0.02477291494632535)</f>
        <v>0.02477291495</v>
      </c>
      <c r="F26" s="31">
        <f>IFERROR(__xludf.DUMMYFUNCTION("IFERROR(FILTER('DoD RAW DATA'!$D:$D,'DoD RAW DATA'!$B:$B=$B26,'DoD RAW DATA'!$C:$C=F$1) / $A26)"),0.06028075970272502)</f>
        <v>0.0602807597</v>
      </c>
      <c r="G26" s="31">
        <f>IFERROR(__xludf.DUMMYFUNCTION("IFERROR(FILTER('DoD RAW DATA'!$D:$D,'DoD RAW DATA'!$B:$B=$B26,'DoD RAW DATA'!$C:$C=G$1) / $A26)"),0.33773740710156896)</f>
        <v>0.3377374071</v>
      </c>
      <c r="H26" s="31">
        <f>IFERROR(__xludf.DUMMYFUNCTION("IFERROR(FILTER('DoD RAW DATA'!$D:$D,'DoD RAW DATA'!$B:$B=$B26,'DoD RAW DATA'!$C:$C=H$1) / $A26)"),0.026424442609413706)</f>
        <v>0.02642444261</v>
      </c>
      <c r="I26" s="31">
        <f>IFERROR(__xludf.DUMMYFUNCTION("IFERROR(FILTER('DoD RAW DATA'!$D:$D,'DoD RAW DATA'!$B:$B=$B26,'DoD RAW DATA'!$C:$C=I$1) / $A26)"),0.02972749793559042)</f>
        <v>0.02972749794</v>
      </c>
      <c r="J26" s="31">
        <f>IFERROR(__xludf.DUMMYFUNCTION("IFERROR(FILTER('DoD RAW DATA'!$D:$D,'DoD RAW DATA'!$B:$B=$B26,'DoD RAW DATA'!$C:$C=J$1) / $A26)"),0.038810900082576386)</f>
        <v>0.03881090008</v>
      </c>
      <c r="K26" s="31">
        <f>IFERROR(__xludf.DUMMYFUNCTION("IFERROR(FILTER('DoD RAW DATA'!$D:$D,'DoD RAW DATA'!$B:$B=$B26,'DoD RAW DATA'!$C:$C=K$1) / $A26)"),0.18166804293971925)</f>
        <v>0.1816680429</v>
      </c>
      <c r="L26" s="31">
        <f>IFERROR(__xludf.DUMMYFUNCTION("IFERROR(FILTER('DoD RAW DATA'!$D:$D,'DoD RAW DATA'!$B:$B=$B26,'DoD RAW DATA'!$C:$C=L$1) / $A26)"),0.09083402146985962)</f>
        <v>0.09083402147</v>
      </c>
      <c r="M26" s="31">
        <f>IFERROR(__xludf.DUMMYFUNCTION("IFERROR(FILTER('DoD RAW DATA'!$D:$D,'DoD RAW DATA'!$B:$B=$B26,'DoD RAW DATA'!$C:$C=M$1) / $A26)"),0.058629232039636665)</f>
        <v>0.05862923204</v>
      </c>
      <c r="N26" s="31">
        <f>IFERROR(__xludf.DUMMYFUNCTION("IFERROR(FILTER('DoD RAW DATA'!$D:$D,'DoD RAW DATA'!$B:$B=$B26,'DoD RAW DATA'!$C:$C=N$1) / $A26)"),0.037159372419488024)</f>
        <v>0.03715937242</v>
      </c>
      <c r="O26" s="31">
        <f>IFERROR(__xludf.DUMMYFUNCTION("IFERROR(FILTER('DoD RAW DATA'!$D:$D,'DoD RAW DATA'!$B:$B=$B26,'DoD RAW DATA'!$C:$C=O$1) / $A26)"),0.04128819157720892)</f>
        <v>0.04128819158</v>
      </c>
      <c r="P26" s="31">
        <f>IFERROR(__xludf.DUMMYFUNCTION("IFERROR(FILTER('DoD RAW DATA'!$D:$D,'DoD RAW DATA'!$B:$B=$B26,'DoD RAW DATA'!$C:$C=P$1) / $A26)"),0.14203137902559868)</f>
        <v>0.142031379</v>
      </c>
      <c r="Q26" s="31">
        <f>IFERROR(__xludf.DUMMYFUNCTION("IFERROR(FILTER('DoD RAW DATA'!$D:$D,'DoD RAW DATA'!$B:$B=$B26,'DoD RAW DATA'!$C:$C=Q$1) / $A26)"),0.04128819157720892)</f>
        <v>0.04128819158</v>
      </c>
      <c r="R26" s="31">
        <f>IFERROR(__xludf.DUMMYFUNCTION("IFERROR(FILTER('DoD RAW DATA'!$D:$D,'DoD RAW DATA'!$B:$B=$B26,'DoD RAW DATA'!$C:$C=R$1) / $A26)"),0.03220478943022296)</f>
        <v>0.03220478943</v>
      </c>
      <c r="S26" s="31">
        <f>IFERROR(__xludf.DUMMYFUNCTION("IFERROR(FILTER('DoD RAW DATA'!$D:$D,'DoD RAW DATA'!$B:$B=$B26,'DoD RAW DATA'!$C:$C=S$1) / $A26)"),0.046242774566473986)</f>
        <v>0.04624277457</v>
      </c>
      <c r="T26" s="31">
        <f>IFERROR(__xludf.DUMMYFUNCTION("IFERROR(FILTER('DoD RAW DATA'!$D:$D,'DoD RAW DATA'!$B:$B=$B26,'DoD RAW DATA'!$C:$C=T$1) / $A26)"),0.10156895127993394)</f>
        <v>0.1015689513</v>
      </c>
      <c r="U26" s="31" t="str">
        <f>IFERROR(__xludf.DUMMYFUNCTION("IFERROR(FILTER('DoD RAW DATA'!$D:$D,'DoD RAW DATA'!$B:$B=$B26,'DoD RAW DATA'!$C:$C=U$1) / $A26)"),"")</f>
        <v/>
      </c>
      <c r="V26" s="31" t="str">
        <f>IFERROR(__xludf.DUMMYFUNCTION("IFERROR(FILTER('DoD RAW DATA'!$D:$D,'DoD RAW DATA'!$B:$B=$B26,'DoD RAW DATA'!$C:$C=V$1) / $A26)"),"")</f>
        <v/>
      </c>
      <c r="W26" s="31" t="str">
        <f>IFERROR(__xludf.DUMMYFUNCTION("IFERROR(FILTER('DoD RAW DATA'!$D:$D,'DoD RAW DATA'!$B:$B=$B26,'DoD RAW DATA'!$C:$C=W$1) / $A26)"),"")</f>
        <v/>
      </c>
      <c r="X26" s="31" t="str">
        <f>IFERROR(__xludf.DUMMYFUNCTION("IFERROR(FILTER('DoD RAW DATA'!$D:$D,'DoD RAW DATA'!$B:$B=$B26,'DoD RAW DATA'!$C:$C=X$1) / $A26)"),"")</f>
        <v/>
      </c>
    </row>
    <row r="27">
      <c r="A27" s="29">
        <f>IFERROR(__xludf.DUMMYFUNCTION("FILTER('DoD RAW DATA'!$D:$D,'DoD RAW DATA'!$B:$B=$B27,'DoD RAW DATA'!$C:$C=A$1)"),1550.0)</f>
        <v>1550</v>
      </c>
      <c r="B27" s="36">
        <v>43280.0</v>
      </c>
      <c r="C27" s="31">
        <f>IFERROR(__xludf.DUMMYFUNCTION("IFERROR(FILTER('DoD RAW DATA'!$D:$D,'DoD RAW DATA'!$B:$B=$B27,'DoD RAW DATA'!$C:$C=C$1) / $A27)"),1.0)</f>
        <v>1</v>
      </c>
      <c r="D27" s="31">
        <f>IFERROR(__xludf.DUMMYFUNCTION("IFERROR(FILTER('DoD RAW DATA'!$D:$D,'DoD RAW DATA'!$B:$B=$B27,'DoD RAW DATA'!$C:$C=D$1) / $A27)"),0.01096774193548387)</f>
        <v>0.01096774194</v>
      </c>
      <c r="E27" s="31">
        <f>IFERROR(__xludf.DUMMYFUNCTION("IFERROR(FILTER('DoD RAW DATA'!$D:$D,'DoD RAW DATA'!$B:$B=$B27,'DoD RAW DATA'!$C:$C=E$1) / $A27)"),0.03354838709677419)</f>
        <v>0.0335483871</v>
      </c>
      <c r="F27" s="31">
        <f>IFERROR(__xludf.DUMMYFUNCTION("IFERROR(FILTER('DoD RAW DATA'!$D:$D,'DoD RAW DATA'!$B:$B=$B27,'DoD RAW DATA'!$C:$C=F$1) / $A27)"),0.06322580645161291)</f>
        <v>0.06322580645</v>
      </c>
      <c r="G27" s="31">
        <f>IFERROR(__xludf.DUMMYFUNCTION("IFERROR(FILTER('DoD RAW DATA'!$D:$D,'DoD RAW DATA'!$B:$B=$B27,'DoD RAW DATA'!$C:$C=G$1) / $A27)"),0.30193548387096775)</f>
        <v>0.3019354839</v>
      </c>
      <c r="H27" s="31">
        <f>IFERROR(__xludf.DUMMYFUNCTION("IFERROR(FILTER('DoD RAW DATA'!$D:$D,'DoD RAW DATA'!$B:$B=$B27,'DoD RAW DATA'!$C:$C=H$1) / $A27)"),0.03806451612903226)</f>
        <v>0.03806451613</v>
      </c>
      <c r="I27" s="31">
        <f>IFERROR(__xludf.DUMMYFUNCTION("IFERROR(FILTER('DoD RAW DATA'!$D:$D,'DoD RAW DATA'!$B:$B=$B27,'DoD RAW DATA'!$C:$C=I$1) / $A27)"),0.02838709677419355)</f>
        <v>0.02838709677</v>
      </c>
      <c r="J27" s="31">
        <f>IFERROR(__xludf.DUMMYFUNCTION("IFERROR(FILTER('DoD RAW DATA'!$D:$D,'DoD RAW DATA'!$B:$B=$B27,'DoD RAW DATA'!$C:$C=J$1) / $A27)"),0.05870967741935484)</f>
        <v>0.05870967742</v>
      </c>
      <c r="K27" s="31">
        <f>IFERROR(__xludf.DUMMYFUNCTION("IFERROR(FILTER('DoD RAW DATA'!$D:$D,'DoD RAW DATA'!$B:$B=$B27,'DoD RAW DATA'!$C:$C=K$1) / $A27)"),0.2)</f>
        <v>0.2</v>
      </c>
      <c r="L27" s="31">
        <f>IFERROR(__xludf.DUMMYFUNCTION("IFERROR(FILTER('DoD RAW DATA'!$D:$D,'DoD RAW DATA'!$B:$B=$B27,'DoD RAW DATA'!$C:$C=L$1) / $A27)"),0.05935483870967742)</f>
        <v>0.05935483871</v>
      </c>
      <c r="M27" s="31">
        <f>IFERROR(__xludf.DUMMYFUNCTION("IFERROR(FILTER('DoD RAW DATA'!$D:$D,'DoD RAW DATA'!$B:$B=$B27,'DoD RAW DATA'!$C:$C=M$1) / $A27)"),0.05806451612903226)</f>
        <v>0.05806451613</v>
      </c>
      <c r="N27" s="31">
        <f>IFERROR(__xludf.DUMMYFUNCTION("IFERROR(FILTER('DoD RAW DATA'!$D:$D,'DoD RAW DATA'!$B:$B=$B27,'DoD RAW DATA'!$C:$C=N$1) / $A27)"),0.03870967741935484)</f>
        <v>0.03870967742</v>
      </c>
      <c r="O27" s="31">
        <f>IFERROR(__xludf.DUMMYFUNCTION("IFERROR(FILTER('DoD RAW DATA'!$D:$D,'DoD RAW DATA'!$B:$B=$B27,'DoD RAW DATA'!$C:$C=O$1) / $A27)"),0.06903225806451613)</f>
        <v>0.06903225806</v>
      </c>
      <c r="P27" s="31">
        <f>IFERROR(__xludf.DUMMYFUNCTION("IFERROR(FILTER('DoD RAW DATA'!$D:$D,'DoD RAW DATA'!$B:$B=$B27,'DoD RAW DATA'!$C:$C=P$1) / $A27)"),0.12516129032258064)</f>
        <v>0.1251612903</v>
      </c>
      <c r="Q27" s="31">
        <f>IFERROR(__xludf.DUMMYFUNCTION("IFERROR(FILTER('DoD RAW DATA'!$D:$D,'DoD RAW DATA'!$B:$B=$B27,'DoD RAW DATA'!$C:$C=Q$1) / $A27)"),0.032903225806451615)</f>
        <v>0.03290322581</v>
      </c>
      <c r="R27" s="31">
        <f>IFERROR(__xludf.DUMMYFUNCTION("IFERROR(FILTER('DoD RAW DATA'!$D:$D,'DoD RAW DATA'!$B:$B=$B27,'DoD RAW DATA'!$C:$C=R$1) / $A27)"),0.041935483870967745)</f>
        <v>0.04193548387</v>
      </c>
      <c r="S27" s="31">
        <f>IFERROR(__xludf.DUMMYFUNCTION("IFERROR(FILTER('DoD RAW DATA'!$D:$D,'DoD RAW DATA'!$B:$B=$B27,'DoD RAW DATA'!$C:$C=S$1) / $A27)"),0.03935483870967742)</f>
        <v>0.03935483871</v>
      </c>
      <c r="T27" s="31">
        <f>IFERROR(__xludf.DUMMYFUNCTION("IFERROR(FILTER('DoD RAW DATA'!$D:$D,'DoD RAW DATA'!$B:$B=$B27,'DoD RAW DATA'!$C:$C=T$1) / $A27)"),0.08)</f>
        <v>0.08</v>
      </c>
      <c r="U27" s="31" t="str">
        <f>IFERROR(__xludf.DUMMYFUNCTION("IFERROR(FILTER('DoD RAW DATA'!$D:$D,'DoD RAW DATA'!$B:$B=$B27,'DoD RAW DATA'!$C:$C=U$1) / $A27)"),"")</f>
        <v/>
      </c>
      <c r="V27" s="31" t="str">
        <f>IFERROR(__xludf.DUMMYFUNCTION("IFERROR(FILTER('DoD RAW DATA'!$D:$D,'DoD RAW DATA'!$B:$B=$B27,'DoD RAW DATA'!$C:$C=V$1) / $A27)"),"")</f>
        <v/>
      </c>
      <c r="W27" s="31" t="str">
        <f>IFERROR(__xludf.DUMMYFUNCTION("IFERROR(FILTER('DoD RAW DATA'!$D:$D,'DoD RAW DATA'!$B:$B=$B27,'DoD RAW DATA'!$C:$C=W$1) / $A27)"),"")</f>
        <v/>
      </c>
      <c r="X27" s="31" t="str">
        <f>IFERROR(__xludf.DUMMYFUNCTION("IFERROR(FILTER('DoD RAW DATA'!$D:$D,'DoD RAW DATA'!$B:$B=$B27,'DoD RAW DATA'!$C:$C=X$1) / $A27)"),"")</f>
        <v/>
      </c>
    </row>
    <row r="28">
      <c r="A28" s="29">
        <f>IFERROR(__xludf.DUMMYFUNCTION("FILTER('DoD RAW DATA'!$D:$D,'DoD RAW DATA'!$B:$B=$B28,'DoD RAW DATA'!$C:$C=A$1)"),1561.0)</f>
        <v>1561</v>
      </c>
      <c r="B28" s="36">
        <v>43281.0</v>
      </c>
      <c r="C28" s="31">
        <f>IFERROR(__xludf.DUMMYFUNCTION("IFERROR(FILTER('DoD RAW DATA'!$D:$D,'DoD RAW DATA'!$B:$B=$B28,'DoD RAW DATA'!$C:$C=C$1) / $A28)"),1.0)</f>
        <v>1</v>
      </c>
      <c r="D28" s="31">
        <f>IFERROR(__xludf.DUMMYFUNCTION("IFERROR(FILTER('DoD RAW DATA'!$D:$D,'DoD RAW DATA'!$B:$B=$B28,'DoD RAW DATA'!$C:$C=D$1) / $A28)"),0.018577834721332478)</f>
        <v>0.01857783472</v>
      </c>
      <c r="E28" s="31">
        <f>IFERROR(__xludf.DUMMYFUNCTION("IFERROR(FILTER('DoD RAW DATA'!$D:$D,'DoD RAW DATA'!$B:$B=$B28,'DoD RAW DATA'!$C:$C=E$1) / $A28)"),0.03651505445227418)</f>
        <v>0.03651505445</v>
      </c>
      <c r="F28" s="31">
        <f>IFERROR(__xludf.DUMMYFUNCTION("IFERROR(FILTER('DoD RAW DATA'!$D:$D,'DoD RAW DATA'!$B:$B=$B28,'DoD RAW DATA'!$C:$C=F$1) / $A28)"),0.05573350416399744)</f>
        <v>0.05573350416</v>
      </c>
      <c r="G28" s="31">
        <f>IFERROR(__xludf.DUMMYFUNCTION("IFERROR(FILTER('DoD RAW DATA'!$D:$D,'DoD RAW DATA'!$B:$B=$B28,'DoD RAW DATA'!$C:$C=G$1) / $A28)"),0.293401665598975)</f>
        <v>0.2934016656</v>
      </c>
      <c r="H28" s="31">
        <f>IFERROR(__xludf.DUMMYFUNCTION("IFERROR(FILTER('DoD RAW DATA'!$D:$D,'DoD RAW DATA'!$B:$B=$B28,'DoD RAW DATA'!$C:$C=H$1) / $A28)"),0.026905829596412557)</f>
        <v>0.0269058296</v>
      </c>
      <c r="I28" s="31">
        <f>IFERROR(__xludf.DUMMYFUNCTION("IFERROR(FILTER('DoD RAW DATA'!$D:$D,'DoD RAW DATA'!$B:$B=$B28,'DoD RAW DATA'!$C:$C=I$1) / $A28)"),0.02626521460602178)</f>
        <v>0.02626521461</v>
      </c>
      <c r="J28" s="31">
        <f>IFERROR(__xludf.DUMMYFUNCTION("IFERROR(FILTER('DoD RAW DATA'!$D:$D,'DoD RAW DATA'!$B:$B=$B28,'DoD RAW DATA'!$C:$C=J$1) / $A28)"),0.0647021140294683)</f>
        <v>0.06470211403</v>
      </c>
      <c r="K28" s="31">
        <f>IFERROR(__xludf.DUMMYFUNCTION("IFERROR(FILTER('DoD RAW DATA'!$D:$D,'DoD RAW DATA'!$B:$B=$B28,'DoD RAW DATA'!$C:$C=K$1) / $A28)"),0.15566944266495836)</f>
        <v>0.1556694427</v>
      </c>
      <c r="L28" s="31">
        <f>IFERROR(__xludf.DUMMYFUNCTION("IFERROR(FILTER('DoD RAW DATA'!$D:$D,'DoD RAW DATA'!$B:$B=$B28,'DoD RAW DATA'!$C:$C=L$1) / $A28)"),0.07559256886611147)</f>
        <v>0.07559256887</v>
      </c>
      <c r="M28" s="31">
        <f>IFERROR(__xludf.DUMMYFUNCTION("IFERROR(FILTER('DoD RAW DATA'!$D:$D,'DoD RAW DATA'!$B:$B=$B28,'DoD RAW DATA'!$C:$C=M$1) / $A28)"),0.07174887892376682)</f>
        <v>0.07174887892</v>
      </c>
      <c r="N28" s="31">
        <f>IFERROR(__xludf.DUMMYFUNCTION("IFERROR(FILTER('DoD RAW DATA'!$D:$D,'DoD RAW DATA'!$B:$B=$B28,'DoD RAW DATA'!$C:$C=N$1) / $A28)"),0.03010890454836643)</f>
        <v>0.03010890455</v>
      </c>
      <c r="O28" s="31">
        <f>IFERROR(__xludf.DUMMYFUNCTION("IFERROR(FILTER('DoD RAW DATA'!$D:$D,'DoD RAW DATA'!$B:$B=$B28,'DoD RAW DATA'!$C:$C=O$1) / $A28)"),0.06278026905829596)</f>
        <v>0.06278026906</v>
      </c>
      <c r="P28" s="31">
        <f>IFERROR(__xludf.DUMMYFUNCTION("IFERROR(FILTER('DoD RAW DATA'!$D:$D,'DoD RAW DATA'!$B:$B=$B28,'DoD RAW DATA'!$C:$C=P$1) / $A28)"),0.12235746316463805)</f>
        <v>0.1223574632</v>
      </c>
      <c r="Q28" s="31">
        <f>IFERROR(__xludf.DUMMYFUNCTION("IFERROR(FILTER('DoD RAW DATA'!$D:$D,'DoD RAW DATA'!$B:$B=$B28,'DoD RAW DATA'!$C:$C=Q$1) / $A28)"),0.04868673926969891)</f>
        <v>0.04868673927</v>
      </c>
      <c r="R28" s="31">
        <f>IFERROR(__xludf.DUMMYFUNCTION("IFERROR(FILTER('DoD RAW DATA'!$D:$D,'DoD RAW DATA'!$B:$B=$B28,'DoD RAW DATA'!$C:$C=R$1) / $A28)"),0.03074951953875721)</f>
        <v>0.03074951954</v>
      </c>
      <c r="S28" s="31">
        <f>IFERROR(__xludf.DUMMYFUNCTION("IFERROR(FILTER('DoD RAW DATA'!$D:$D,'DoD RAW DATA'!$B:$B=$B28,'DoD RAW DATA'!$C:$C=S$1) / $A28)"),0.03971812940422806)</f>
        <v>0.0397181294</v>
      </c>
      <c r="T28" s="31">
        <f>IFERROR(__xludf.DUMMYFUNCTION("IFERROR(FILTER('DoD RAW DATA'!$D:$D,'DoD RAW DATA'!$B:$B=$B28,'DoD RAW DATA'!$C:$C=T$1) / $A28)"),0.06342088404868675)</f>
        <v>0.06342088405</v>
      </c>
      <c r="U28" s="31" t="str">
        <f>IFERROR(__xludf.DUMMYFUNCTION("IFERROR(FILTER('DoD RAW DATA'!$D:$D,'DoD RAW DATA'!$B:$B=$B28,'DoD RAW DATA'!$C:$C=U$1) / $A28)"),"")</f>
        <v/>
      </c>
      <c r="V28" s="31" t="str">
        <f>IFERROR(__xludf.DUMMYFUNCTION("IFERROR(FILTER('DoD RAW DATA'!$D:$D,'DoD RAW DATA'!$B:$B=$B28,'DoD RAW DATA'!$C:$C=V$1) / $A28)"),"")</f>
        <v/>
      </c>
      <c r="W28" s="31" t="str">
        <f>IFERROR(__xludf.DUMMYFUNCTION("IFERROR(FILTER('DoD RAW DATA'!$D:$D,'DoD RAW DATA'!$B:$B=$B28,'DoD RAW DATA'!$C:$C=W$1) / $A28)"),"")</f>
        <v/>
      </c>
      <c r="X28" s="31" t="str">
        <f>IFERROR(__xludf.DUMMYFUNCTION("IFERROR(FILTER('DoD RAW DATA'!$D:$D,'DoD RAW DATA'!$B:$B=$B28,'DoD RAW DATA'!$C:$C=X$1) / $A28)"),"")</f>
        <v/>
      </c>
    </row>
    <row r="29">
      <c r="A29" s="44"/>
    </row>
  </sheetData>
  <autoFilter ref="$B$2:$X$2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57"/>
    <col customWidth="1" min="2" max="2" width="16.14"/>
    <col customWidth="1" min="3" max="3" width="12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31">
      <c r="A31" s="59" t="s">
        <v>46</v>
      </c>
      <c r="B31" s="60" t="s">
        <v>47</v>
      </c>
      <c r="C31" s="59" t="s">
        <v>48</v>
      </c>
    </row>
    <row r="32">
      <c r="A32" t="s">
        <v>49</v>
      </c>
      <c r="B32">
        <v>2.0</v>
      </c>
      <c r="C32">
        <v>17964.0</v>
      </c>
    </row>
    <row r="33">
      <c r="A33" t="s">
        <v>50</v>
      </c>
      <c r="B33">
        <v>4.0</v>
      </c>
      <c r="C33">
        <v>3210.0</v>
      </c>
    </row>
    <row r="34">
      <c r="A34" t="s">
        <v>51</v>
      </c>
      <c r="B34">
        <v>5.0</v>
      </c>
      <c r="C34">
        <v>4326.0</v>
      </c>
    </row>
    <row r="35">
      <c r="A35" t="s">
        <v>52</v>
      </c>
      <c r="B35">
        <v>7.0</v>
      </c>
      <c r="C35">
        <v>5564.0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