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pivotTables/pivotTable10.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IKA MAWARNIE\Downloads\"/>
    </mc:Choice>
  </mc:AlternateContent>
  <xr:revisionPtr revIDLastSave="0" documentId="13_ncr:1_{A4F3F42B-8272-41B7-92CA-721101505F07}" xr6:coauthVersionLast="47" xr6:coauthVersionMax="47" xr10:uidLastSave="{00000000-0000-0000-0000-000000000000}"/>
  <bookViews>
    <workbookView xWindow="-110" yWindow="-110" windowWidth="19420" windowHeight="11020" tabRatio="842" firstSheet="6" activeTab="6" xr2:uid="{BFC8D658-6167-4DF2-8345-7E09AFF36591}"/>
  </bookViews>
  <sheets>
    <sheet name="LIST" sheetId="1" r:id="rId1"/>
    <sheet name="DETAIL PRODUCT" sheetId="2" r:id="rId2"/>
    <sheet name="PIVOT PRODUCT" sheetId="3" r:id="rId3"/>
    <sheet name="STOK" sheetId="25" r:id="rId4"/>
    <sheet name="TRANSACTION" sheetId="5" r:id="rId5"/>
    <sheet name="ALLTransaksi" sheetId="39" r:id="rId6"/>
    <sheet name="CUSTOMER" sheetId="35" r:id="rId7"/>
    <sheet name="pt 2" sheetId="34" r:id="rId8"/>
    <sheet name="pc" sheetId="32" r:id="rId9"/>
    <sheet name="DASHBOARD" sheetId="33" r:id="rId10"/>
    <sheet name="PURCHASE" sheetId="26" r:id="rId11"/>
    <sheet name="PIVOT PURCHASE" sheetId="29" r:id="rId12"/>
    <sheet name="Scenario Summary" sheetId="24" r:id="rId13"/>
    <sheet name="goalseek" sheetId="40" r:id="rId14"/>
    <sheet name="SCHEMA INSTALLMENT" sheetId="11" r:id="rId15"/>
    <sheet name="INSTALLMENT TRANSACTION 1 YEAR" sheetId="12" r:id="rId16"/>
    <sheet name="INSTALLMENT TRANSACTION 3 YEAR" sheetId="13" r:id="rId17"/>
    <sheet name="INSTALLMENT TRANSACTION 5 YEAR" sheetId="14" r:id="rId18"/>
    <sheet name="POWER PIVOT" sheetId="19" r:id="rId19"/>
  </sheets>
  <definedNames>
    <definedName name="_xlnm._FilterDatabase" localSheetId="6" hidden="1">'CUSTOMER'!$A$4:$D$68</definedName>
    <definedName name="_xlnm._FilterDatabase" localSheetId="1" hidden="1">'DETAIL PRODUCT'!$A$2:$F$2</definedName>
    <definedName name="_xlnm._FilterDatabase" localSheetId="10" hidden="1">PURCHASE!$A$3:$D$42</definedName>
    <definedName name="_xlnm._FilterDatabase" localSheetId="14" hidden="1">'SCHEMA INSTALLMENT'!$A$4:$L$4</definedName>
    <definedName name="_xlnm._FilterDatabase" localSheetId="4" hidden="1">TRANSACTION!$A$6:$J$6</definedName>
    <definedName name="_xlcn.WorksheetConnection_Project4.xlsxTable15" hidden="1">customer[]</definedName>
    <definedName name="_xlcn.WorksheetConnection_Project4.xlsxTable17" hidden="1">alltransaksi[]</definedName>
    <definedName name="_xlcn.WorksheetConnection_Project4.xlsxTable5" hidden="1">Detail_Produk[]</definedName>
    <definedName name="PIVOT_SCHEMA_INSTALLMENT">#REF!</definedName>
    <definedName name="pivotproduk">'PIVOT PRODUCT'!$B$30:$C$30</definedName>
    <definedName name="PURCHASE">#REF!</definedName>
    <definedName name="Slicer_Alamat">#N/A</definedName>
    <definedName name="Slicer_Branch">#N/A</definedName>
    <definedName name="Slicer_Sales">#N/A</definedName>
    <definedName name="Slicer_TRANSACTION_DATE">#N/A</definedName>
    <definedName name="Slicer_Years">#N/A</definedName>
  </definedNames>
  <calcPr calcId="191029"/>
  <pivotCaches>
    <pivotCache cacheId="0" r:id="rId20"/>
    <pivotCache cacheId="1" r:id="rId21"/>
    <pivotCache cacheId="2" r:id="rId22"/>
    <pivotCache cacheId="3" r:id="rId23"/>
    <pivotCache cacheId="4" r:id="rId24"/>
    <pivotCache cacheId="5" r:id="rId25"/>
    <pivotCache cacheId="6" r:id="rId26"/>
  </pivotCaches>
  <extLst>
    <ext xmlns:x14="http://schemas.microsoft.com/office/spreadsheetml/2009/9/main" uri="{BBE1A952-AA13-448e-AADC-164F8A28A991}">
      <x14:slicerCaches>
        <x14:slicerCache r:id="rId27"/>
        <x14:slicerCache r:id="rId28"/>
        <x14:slicerCache r:id="rId29"/>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5" name="DETAIL PRODUK" connection="WorksheetConnection_Project 4.xlsx!Table5"/>
          <x15:modelTable id="Table17" name="TRANSACTION" connection="WorksheetConnection_Project 4.xlsx!Table17"/>
          <x15:modelTable id="Table15" name="CUSTOMER" connection="WorksheetConnection_Project 4.xlsx!Table15"/>
        </x15:modelTables>
        <x15:modelRelationships>
          <x15:modelRelationship fromTable="CUSTOMER" fromColumn="NAMA" toTable="TRANSACTION" toColumn="NAMA"/>
          <x15:modelRelationship fromTable="TRANSACTION" fromColumn="ID-PRODUCT" toTable="DETAIL PRODUK" toColumn="ID Product"/>
        </x15:modelRelationship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6" i="40" l="1"/>
  <c r="B6" i="40"/>
  <c r="J48" i="39"/>
  <c r="J49" i="39"/>
  <c r="J50" i="39"/>
  <c r="J51" i="39"/>
  <c r="J52" i="39"/>
  <c r="J53" i="39"/>
  <c r="J54" i="39"/>
  <c r="J55" i="39"/>
  <c r="J56" i="39"/>
  <c r="J57" i="39"/>
  <c r="J58" i="39"/>
  <c r="J59" i="39"/>
  <c r="J60" i="39"/>
  <c r="J61" i="39"/>
  <c r="J62" i="39"/>
  <c r="J63" i="39"/>
  <c r="J64" i="39"/>
  <c r="J65" i="39"/>
  <c r="I49" i="39"/>
  <c r="I50" i="39"/>
  <c r="I51" i="39"/>
  <c r="I52" i="39"/>
  <c r="I53" i="39"/>
  <c r="I54" i="39"/>
  <c r="I55" i="39"/>
  <c r="I56" i="39"/>
  <c r="I57" i="39"/>
  <c r="I58" i="39"/>
  <c r="I59" i="39"/>
  <c r="I60" i="39"/>
  <c r="I61" i="39"/>
  <c r="I62" i="39"/>
  <c r="I63" i="39"/>
  <c r="I64" i="39"/>
  <c r="I65" i="39"/>
  <c r="I48" i="39"/>
  <c r="H48" i="39"/>
  <c r="H49" i="39"/>
  <c r="H50" i="39"/>
  <c r="H51" i="39"/>
  <c r="H52" i="39"/>
  <c r="H53" i="39"/>
  <c r="H54" i="39"/>
  <c r="H55" i="39"/>
  <c r="H56" i="39"/>
  <c r="H57" i="39"/>
  <c r="H58" i="39"/>
  <c r="H59" i="39"/>
  <c r="H60" i="39"/>
  <c r="H61" i="39"/>
  <c r="H62" i="39"/>
  <c r="H63" i="39"/>
  <c r="H64" i="39"/>
  <c r="H65" i="39"/>
  <c r="G49" i="39"/>
  <c r="G50" i="39"/>
  <c r="G51" i="39"/>
  <c r="G52" i="39"/>
  <c r="G53" i="39"/>
  <c r="G54" i="39"/>
  <c r="G55" i="39"/>
  <c r="G56" i="39"/>
  <c r="G57" i="39"/>
  <c r="G58" i="39"/>
  <c r="G59" i="39"/>
  <c r="G60" i="39"/>
  <c r="G61" i="39"/>
  <c r="G62" i="39"/>
  <c r="G63" i="39"/>
  <c r="G64" i="39"/>
  <c r="G65" i="39"/>
  <c r="G48" i="39"/>
  <c r="E48" i="39"/>
  <c r="E49" i="39"/>
  <c r="E50" i="39"/>
  <c r="E51" i="39"/>
  <c r="E52" i="39"/>
  <c r="E53" i="39"/>
  <c r="E54" i="39"/>
  <c r="E56" i="39"/>
  <c r="E57" i="39"/>
  <c r="E58" i="39"/>
  <c r="E59" i="39"/>
  <c r="E60" i="39"/>
  <c r="E61" i="39"/>
  <c r="E62" i="39"/>
  <c r="E63" i="39"/>
  <c r="E64" i="39"/>
  <c r="E65" i="39"/>
  <c r="E55" i="39"/>
  <c r="J38" i="39"/>
  <c r="J39" i="39"/>
  <c r="J40" i="39"/>
  <c r="J41" i="39"/>
  <c r="J42" i="39"/>
  <c r="J43" i="39"/>
  <c r="J44" i="39"/>
  <c r="J45" i="39"/>
  <c r="J46" i="39"/>
  <c r="J47" i="39"/>
  <c r="I39" i="39"/>
  <c r="I40" i="39"/>
  <c r="I41" i="39"/>
  <c r="I42" i="39"/>
  <c r="I43" i="39"/>
  <c r="I44" i="39"/>
  <c r="I45" i="39"/>
  <c r="I46" i="39"/>
  <c r="I47" i="39"/>
  <c r="I38" i="39"/>
  <c r="H38" i="39"/>
  <c r="H39" i="39"/>
  <c r="H40" i="39"/>
  <c r="H41" i="39"/>
  <c r="H42" i="39"/>
  <c r="H43" i="39"/>
  <c r="H44" i="39"/>
  <c r="H45" i="39"/>
  <c r="H46" i="39"/>
  <c r="H47" i="39"/>
  <c r="G39" i="39"/>
  <c r="G40" i="39"/>
  <c r="G41" i="39"/>
  <c r="G42" i="39"/>
  <c r="G43" i="39"/>
  <c r="G44" i="39"/>
  <c r="G45" i="39"/>
  <c r="G46" i="39"/>
  <c r="G47" i="39"/>
  <c r="G38" i="39"/>
  <c r="I22" i="39"/>
  <c r="I23" i="39"/>
  <c r="I24" i="39"/>
  <c r="I25" i="39"/>
  <c r="I26" i="39"/>
  <c r="I27" i="39"/>
  <c r="I28" i="39"/>
  <c r="I29" i="39"/>
  <c r="I30" i="39"/>
  <c r="I31" i="39"/>
  <c r="I32" i="39"/>
  <c r="I33" i="39"/>
  <c r="I34" i="39"/>
  <c r="I35" i="39"/>
  <c r="I36" i="39"/>
  <c r="I37" i="39"/>
  <c r="I21" i="39"/>
  <c r="H22" i="39"/>
  <c r="H23" i="39"/>
  <c r="H24" i="39"/>
  <c r="H25" i="39"/>
  <c r="H26" i="39"/>
  <c r="H27" i="39"/>
  <c r="H28" i="39"/>
  <c r="H29" i="39"/>
  <c r="H30" i="39"/>
  <c r="H31" i="39"/>
  <c r="H32" i="39"/>
  <c r="H33" i="39"/>
  <c r="H34" i="39"/>
  <c r="H35" i="39"/>
  <c r="H36" i="39"/>
  <c r="H37" i="39"/>
  <c r="H21" i="39"/>
  <c r="G22" i="39"/>
  <c r="G23" i="39"/>
  <c r="G24" i="39"/>
  <c r="G25" i="39"/>
  <c r="G26" i="39"/>
  <c r="G27" i="39"/>
  <c r="G28" i="39"/>
  <c r="G29" i="39"/>
  <c r="G30" i="39"/>
  <c r="G31" i="39"/>
  <c r="G32" i="39"/>
  <c r="G33" i="39"/>
  <c r="G34" i="39"/>
  <c r="G35" i="39"/>
  <c r="G36" i="39"/>
  <c r="G37" i="39"/>
  <c r="G21" i="39"/>
  <c r="J3" i="39"/>
  <c r="J4" i="39"/>
  <c r="J5" i="39"/>
  <c r="J6" i="39"/>
  <c r="J7" i="39"/>
  <c r="J8" i="39"/>
  <c r="J9" i="39"/>
  <c r="J10" i="39"/>
  <c r="J11" i="39"/>
  <c r="J12" i="39"/>
  <c r="J13" i="39"/>
  <c r="J14" i="39"/>
  <c r="J15" i="39"/>
  <c r="J16" i="39"/>
  <c r="J17" i="39"/>
  <c r="J18" i="39"/>
  <c r="J19" i="39"/>
  <c r="J20" i="39"/>
  <c r="J2" i="39"/>
  <c r="I3" i="39"/>
  <c r="I4" i="39"/>
  <c r="I5" i="39"/>
  <c r="I6" i="39"/>
  <c r="I7" i="39"/>
  <c r="I8" i="39"/>
  <c r="I9" i="39"/>
  <c r="I10" i="39"/>
  <c r="I11" i="39"/>
  <c r="I12" i="39"/>
  <c r="I13" i="39"/>
  <c r="I14" i="39"/>
  <c r="I15" i="39"/>
  <c r="I16" i="39"/>
  <c r="I17" i="39"/>
  <c r="I18" i="39"/>
  <c r="I19" i="39"/>
  <c r="I20" i="39"/>
  <c r="I2" i="39"/>
  <c r="H3" i="39"/>
  <c r="H4" i="39"/>
  <c r="H5" i="39"/>
  <c r="H6" i="39"/>
  <c r="H7" i="39"/>
  <c r="H8" i="39"/>
  <c r="H9" i="39"/>
  <c r="H10" i="39"/>
  <c r="H11" i="39"/>
  <c r="H12" i="39"/>
  <c r="H13" i="39"/>
  <c r="H14" i="39"/>
  <c r="H15" i="39"/>
  <c r="H16" i="39"/>
  <c r="H17" i="39"/>
  <c r="H18" i="39"/>
  <c r="H19" i="39"/>
  <c r="H20" i="39"/>
  <c r="H2" i="39"/>
  <c r="G3" i="39"/>
  <c r="G4" i="39"/>
  <c r="G5" i="39"/>
  <c r="G6" i="39"/>
  <c r="G7" i="39"/>
  <c r="G8" i="39"/>
  <c r="G9" i="39"/>
  <c r="G10" i="39"/>
  <c r="G11" i="39"/>
  <c r="G12" i="39"/>
  <c r="G13" i="39"/>
  <c r="G14" i="39"/>
  <c r="G15" i="39"/>
  <c r="G16" i="39"/>
  <c r="G17" i="39"/>
  <c r="G18" i="39"/>
  <c r="G19" i="39"/>
  <c r="G20" i="39"/>
  <c r="G2" i="39"/>
  <c r="E3" i="39"/>
  <c r="E4" i="39"/>
  <c r="E5" i="39"/>
  <c r="E6" i="39"/>
  <c r="E7" i="39"/>
  <c r="E8" i="39"/>
  <c r="E9" i="39"/>
  <c r="E10" i="39"/>
  <c r="E11" i="39"/>
  <c r="E12" i="39"/>
  <c r="E13" i="39"/>
  <c r="E14" i="39"/>
  <c r="E15" i="39"/>
  <c r="E16" i="39"/>
  <c r="E17" i="39"/>
  <c r="E18" i="39"/>
  <c r="E19" i="39"/>
  <c r="E20" i="39"/>
  <c r="E2" i="39"/>
  <c r="D65" i="39"/>
  <c r="D64" i="39"/>
  <c r="D63" i="39"/>
  <c r="D62" i="39"/>
  <c r="D61" i="39"/>
  <c r="D60" i="39"/>
  <c r="D59" i="39"/>
  <c r="D58" i="39"/>
  <c r="D57" i="39"/>
  <c r="D56" i="39"/>
  <c r="D55" i="39"/>
  <c r="D54" i="39"/>
  <c r="D53" i="39"/>
  <c r="D52" i="39"/>
  <c r="D51" i="39"/>
  <c r="D50" i="39"/>
  <c r="D49" i="39"/>
  <c r="D48" i="39"/>
  <c r="E47" i="39"/>
  <c r="D47" i="39"/>
  <c r="E46" i="39"/>
  <c r="D46" i="39"/>
  <c r="E45" i="39"/>
  <c r="D45" i="39"/>
  <c r="E44" i="39"/>
  <c r="D44" i="39"/>
  <c r="E43" i="39"/>
  <c r="D43" i="39"/>
  <c r="E42" i="39"/>
  <c r="D42" i="39"/>
  <c r="E41" i="39"/>
  <c r="D41" i="39"/>
  <c r="E40" i="39"/>
  <c r="D40" i="39"/>
  <c r="E39" i="39"/>
  <c r="D39" i="39"/>
  <c r="E38" i="39"/>
  <c r="D38" i="39"/>
  <c r="C37" i="39"/>
  <c r="A37" i="39"/>
  <c r="E37" i="39" s="1"/>
  <c r="E36" i="39"/>
  <c r="C36" i="39"/>
  <c r="A36" i="39"/>
  <c r="J35" i="39"/>
  <c r="E35" i="39"/>
  <c r="C35" i="39"/>
  <c r="A35" i="39"/>
  <c r="C34" i="39"/>
  <c r="A34" i="39"/>
  <c r="C33" i="39"/>
  <c r="A33" i="39"/>
  <c r="E33" i="39" s="1"/>
  <c r="E32" i="39"/>
  <c r="C32" i="39"/>
  <c r="A32" i="39"/>
  <c r="J31" i="39"/>
  <c r="E31" i="39"/>
  <c r="C31" i="39"/>
  <c r="A31" i="39"/>
  <c r="C30" i="39"/>
  <c r="A30" i="39"/>
  <c r="C29" i="39"/>
  <c r="A29" i="39"/>
  <c r="E29" i="39" s="1"/>
  <c r="E28" i="39"/>
  <c r="C28" i="39"/>
  <c r="A28" i="39"/>
  <c r="J28" i="39" s="1"/>
  <c r="J27" i="39"/>
  <c r="E27" i="39"/>
  <c r="C27" i="39"/>
  <c r="A27" i="39"/>
  <c r="C26" i="39"/>
  <c r="A26" i="39"/>
  <c r="C25" i="39"/>
  <c r="A25" i="39"/>
  <c r="E25" i="39" s="1"/>
  <c r="E24" i="39"/>
  <c r="C24" i="39"/>
  <c r="A24" i="39"/>
  <c r="J23" i="39"/>
  <c r="E23" i="39"/>
  <c r="C23" i="39"/>
  <c r="A23" i="39"/>
  <c r="C22" i="39"/>
  <c r="A22" i="39"/>
  <c r="C21" i="39"/>
  <c r="A21" i="39"/>
  <c r="E21" i="39" s="1"/>
  <c r="C7" i="39"/>
  <c r="C3" i="39"/>
  <c r="C2" i="39"/>
  <c r="F26" i="5"/>
  <c r="A38" i="5"/>
  <c r="I38" i="5" s="1"/>
  <c r="J38" i="5" s="1"/>
  <c r="C38" i="5"/>
  <c r="A39" i="5"/>
  <c r="I39" i="5" s="1"/>
  <c r="J39" i="5" s="1"/>
  <c r="C39" i="5"/>
  <c r="A40" i="5"/>
  <c r="G40" i="5" s="1"/>
  <c r="H40" i="5" s="1"/>
  <c r="C40" i="5"/>
  <c r="E40" i="5"/>
  <c r="I40" i="5"/>
  <c r="J40" i="5" s="1"/>
  <c r="A41" i="5"/>
  <c r="C41" i="5"/>
  <c r="E41" i="5"/>
  <c r="G41" i="5"/>
  <c r="H41" i="5" s="1"/>
  <c r="I41" i="5"/>
  <c r="J41" i="5" s="1"/>
  <c r="A42" i="5"/>
  <c r="I42" i="5" s="1"/>
  <c r="J42" i="5" s="1"/>
  <c r="C42" i="5"/>
  <c r="A43" i="5"/>
  <c r="I43" i="5" s="1"/>
  <c r="J43" i="5" s="1"/>
  <c r="C43" i="5"/>
  <c r="A44" i="5"/>
  <c r="G44" i="5" s="1"/>
  <c r="H44" i="5" s="1"/>
  <c r="C44" i="5"/>
  <c r="I44" i="5"/>
  <c r="J44" i="5" s="1"/>
  <c r="A45" i="5"/>
  <c r="E45" i="5" s="1"/>
  <c r="C45" i="5"/>
  <c r="G45" i="5"/>
  <c r="H45" i="5" s="1"/>
  <c r="I45" i="5"/>
  <c r="J45" i="5" s="1"/>
  <c r="A46" i="5"/>
  <c r="I46" i="5" s="1"/>
  <c r="J46" i="5" s="1"/>
  <c r="C46" i="5"/>
  <c r="G46" i="5"/>
  <c r="H46" i="5" s="1"/>
  <c r="A47" i="5"/>
  <c r="I47" i="5" s="1"/>
  <c r="J47" i="5" s="1"/>
  <c r="C47" i="5"/>
  <c r="A48" i="5"/>
  <c r="G48" i="5" s="1"/>
  <c r="H48" i="5" s="1"/>
  <c r="C48" i="5"/>
  <c r="A49" i="5"/>
  <c r="E49" i="5" s="1"/>
  <c r="C49" i="5"/>
  <c r="A50" i="5"/>
  <c r="I50" i="5" s="1"/>
  <c r="J50" i="5" s="1"/>
  <c r="C50" i="5"/>
  <c r="A51" i="5"/>
  <c r="I51" i="5" s="1"/>
  <c r="J51" i="5" s="1"/>
  <c r="C51" i="5"/>
  <c r="A52" i="5"/>
  <c r="G52" i="5" s="1"/>
  <c r="H52" i="5" s="1"/>
  <c r="C52" i="5"/>
  <c r="E52" i="5"/>
  <c r="A53" i="5"/>
  <c r="C53" i="5"/>
  <c r="E53" i="5"/>
  <c r="G53" i="5"/>
  <c r="H53" i="5" s="1"/>
  <c r="I53" i="5"/>
  <c r="J53" i="5"/>
  <c r="A54" i="5"/>
  <c r="I54" i="5" s="1"/>
  <c r="J54" i="5" s="1"/>
  <c r="C54" i="5"/>
  <c r="F55" i="5"/>
  <c r="D7" i="34"/>
  <c r="D8" i="34"/>
  <c r="D9" i="34"/>
  <c r="D10" i="34"/>
  <c r="D11" i="34"/>
  <c r="D12" i="34"/>
  <c r="D13" i="34"/>
  <c r="D14" i="34"/>
  <c r="D15" i="34"/>
  <c r="D16" i="34"/>
  <c r="D17" i="34"/>
  <c r="D18" i="34"/>
  <c r="D19" i="34"/>
  <c r="D20" i="34"/>
  <c r="D21" i="34"/>
  <c r="D22" i="34"/>
  <c r="D23" i="34"/>
  <c r="D24" i="34"/>
  <c r="D25" i="34"/>
  <c r="M8" i="34"/>
  <c r="M9" i="34"/>
  <c r="M10" i="34"/>
  <c r="M11" i="34"/>
  <c r="M12" i="34"/>
  <c r="M13" i="34"/>
  <c r="M14" i="34"/>
  <c r="M15" i="34"/>
  <c r="M16" i="34"/>
  <c r="M17" i="34"/>
  <c r="M18" i="34"/>
  <c r="M19" i="34"/>
  <c r="M20" i="34"/>
  <c r="M21" i="34"/>
  <c r="M22" i="34"/>
  <c r="M23" i="34"/>
  <c r="M24" i="34"/>
  <c r="M25" i="34"/>
  <c r="M27" i="34"/>
  <c r="M28" i="34"/>
  <c r="M29" i="34"/>
  <c r="M30" i="34"/>
  <c r="M31" i="34"/>
  <c r="M32" i="34"/>
  <c r="M33" i="34"/>
  <c r="M34" i="34"/>
  <c r="M35" i="34"/>
  <c r="M36" i="34"/>
  <c r="M37" i="34"/>
  <c r="M38" i="34"/>
  <c r="M39" i="34"/>
  <c r="M40" i="34"/>
  <c r="M41" i="34"/>
  <c r="M43" i="34"/>
  <c r="M44" i="34"/>
  <c r="M45" i="34"/>
  <c r="M46" i="34"/>
  <c r="M47" i="34"/>
  <c r="M48" i="34"/>
  <c r="M49" i="34"/>
  <c r="M50" i="34"/>
  <c r="M51" i="34"/>
  <c r="M52" i="34"/>
  <c r="M53" i="34"/>
  <c r="M54" i="34"/>
  <c r="M55" i="34"/>
  <c r="M56" i="34"/>
  <c r="M57" i="34"/>
  <c r="M58" i="34"/>
  <c r="M59" i="34"/>
  <c r="M60" i="34"/>
  <c r="M61" i="34"/>
  <c r="M62" i="34"/>
  <c r="M63" i="34"/>
  <c r="M64" i="34"/>
  <c r="M65" i="34"/>
  <c r="M66" i="34"/>
  <c r="M67" i="34"/>
  <c r="M68" i="34"/>
  <c r="M69" i="34"/>
  <c r="M70" i="34"/>
  <c r="M7" i="34"/>
  <c r="L8" i="34"/>
  <c r="L9" i="34"/>
  <c r="L10" i="34"/>
  <c r="L11" i="34"/>
  <c r="L12" i="34"/>
  <c r="L13" i="34"/>
  <c r="L14" i="34"/>
  <c r="L15" i="34"/>
  <c r="L16" i="34"/>
  <c r="L17" i="34"/>
  <c r="L18" i="34"/>
  <c r="L19" i="34"/>
  <c r="L20" i="34"/>
  <c r="L21" i="34"/>
  <c r="L22" i="34"/>
  <c r="L23" i="34"/>
  <c r="L24" i="34"/>
  <c r="L25" i="34"/>
  <c r="L27" i="34"/>
  <c r="L28" i="34"/>
  <c r="L29" i="34"/>
  <c r="L30" i="34"/>
  <c r="L31" i="34"/>
  <c r="L32" i="34"/>
  <c r="L33" i="34"/>
  <c r="L34" i="34"/>
  <c r="L35" i="34"/>
  <c r="L36" i="34"/>
  <c r="L37" i="34"/>
  <c r="L38" i="34"/>
  <c r="L39" i="34"/>
  <c r="L40" i="34"/>
  <c r="L41" i="34"/>
  <c r="L43" i="34"/>
  <c r="L44" i="34"/>
  <c r="L45" i="34"/>
  <c r="L46" i="34"/>
  <c r="L47" i="34"/>
  <c r="L48" i="34"/>
  <c r="L49" i="34"/>
  <c r="L50" i="34"/>
  <c r="L51" i="34"/>
  <c r="L52" i="34"/>
  <c r="L53" i="34"/>
  <c r="L54" i="34"/>
  <c r="L55" i="34"/>
  <c r="L56" i="34"/>
  <c r="L57" i="34"/>
  <c r="L58" i="34"/>
  <c r="L59" i="34"/>
  <c r="L60" i="34"/>
  <c r="L61" i="34"/>
  <c r="L62" i="34"/>
  <c r="L63" i="34"/>
  <c r="L64" i="34"/>
  <c r="L65" i="34"/>
  <c r="L66" i="34"/>
  <c r="L67" i="34"/>
  <c r="L68" i="34"/>
  <c r="L69" i="34"/>
  <c r="L70" i="34"/>
  <c r="L7" i="34"/>
  <c r="J32" i="39" l="1"/>
  <c r="J24" i="39"/>
  <c r="J36" i="39"/>
  <c r="J30" i="39"/>
  <c r="J34" i="39"/>
  <c r="J21" i="39"/>
  <c r="E22" i="39"/>
  <c r="J25" i="39"/>
  <c r="J29" i="39"/>
  <c r="E30" i="39"/>
  <c r="J33" i="39"/>
  <c r="E34" i="39"/>
  <c r="J37" i="39"/>
  <c r="J22" i="39"/>
  <c r="J26" i="39"/>
  <c r="E26" i="39"/>
  <c r="G49" i="5"/>
  <c r="H49" i="5" s="1"/>
  <c r="I48" i="5"/>
  <c r="J48" i="5" s="1"/>
  <c r="E44" i="5"/>
  <c r="G38" i="5"/>
  <c r="H38" i="5" s="1"/>
  <c r="I49" i="5"/>
  <c r="J49" i="5" s="1"/>
  <c r="E48" i="5"/>
  <c r="G42" i="5"/>
  <c r="H42" i="5" s="1"/>
  <c r="I52" i="5"/>
  <c r="J52" i="5" s="1"/>
  <c r="G54" i="5"/>
  <c r="H54" i="5" s="1"/>
  <c r="G50" i="5"/>
  <c r="H50" i="5" s="1"/>
  <c r="E54" i="5"/>
  <c r="G47" i="5"/>
  <c r="H47" i="5" s="1"/>
  <c r="E46" i="5"/>
  <c r="G43" i="5"/>
  <c r="H43" i="5" s="1"/>
  <c r="E42" i="5"/>
  <c r="G39" i="5"/>
  <c r="H39" i="5" s="1"/>
  <c r="E38" i="5"/>
  <c r="G51" i="5"/>
  <c r="H51" i="5" s="1"/>
  <c r="E50" i="5"/>
  <c r="E51" i="5"/>
  <c r="E47" i="5"/>
  <c r="E43" i="5"/>
  <c r="E39" i="5"/>
  <c r="A41" i="34"/>
  <c r="A40" i="34"/>
  <c r="A39" i="34"/>
  <c r="A38" i="34"/>
  <c r="H38" i="34" s="1"/>
  <c r="A37" i="34"/>
  <c r="A36" i="34"/>
  <c r="A35" i="34"/>
  <c r="A34" i="34"/>
  <c r="A33" i="34"/>
  <c r="H33" i="34" s="1"/>
  <c r="A32" i="34"/>
  <c r="H32" i="34" s="1"/>
  <c r="A31" i="34"/>
  <c r="H31" i="34" s="1"/>
  <c r="A30" i="34"/>
  <c r="H30" i="34" s="1"/>
  <c r="A29" i="34"/>
  <c r="A28" i="34"/>
  <c r="H28" i="34" s="1"/>
  <c r="A27" i="34"/>
  <c r="H27" i="34" s="1"/>
  <c r="H29" i="34"/>
  <c r="H34" i="34"/>
  <c r="H35" i="34"/>
  <c r="H36" i="34"/>
  <c r="H37" i="34"/>
  <c r="H39" i="34"/>
  <c r="H40" i="34"/>
  <c r="H41" i="34"/>
  <c r="H43" i="34"/>
  <c r="H44" i="34"/>
  <c r="H45" i="34"/>
  <c r="H46" i="34"/>
  <c r="H47" i="34"/>
  <c r="H48" i="34"/>
  <c r="H49" i="34"/>
  <c r="H50" i="34"/>
  <c r="H51" i="34"/>
  <c r="H52" i="34"/>
  <c r="H53" i="34"/>
  <c r="H54" i="34"/>
  <c r="H55" i="34"/>
  <c r="H56" i="34"/>
  <c r="H57" i="34"/>
  <c r="H58" i="34"/>
  <c r="H59" i="34"/>
  <c r="H60" i="34"/>
  <c r="H61" i="34"/>
  <c r="H62" i="34"/>
  <c r="H63" i="34"/>
  <c r="H64" i="34"/>
  <c r="H65" i="34"/>
  <c r="H66" i="34"/>
  <c r="H67" i="34"/>
  <c r="H68" i="34"/>
  <c r="H69" i="34"/>
  <c r="H70" i="34"/>
  <c r="D54" i="34"/>
  <c r="D55" i="34"/>
  <c r="D56" i="34"/>
  <c r="D57" i="34"/>
  <c r="D58" i="34"/>
  <c r="D59" i="34"/>
  <c r="D60" i="34"/>
  <c r="D61" i="34"/>
  <c r="D62" i="34"/>
  <c r="D63" i="34"/>
  <c r="D64" i="34"/>
  <c r="D65" i="34"/>
  <c r="D66" i="34"/>
  <c r="D67" i="34"/>
  <c r="D68" i="34"/>
  <c r="D69" i="34"/>
  <c r="D70" i="34"/>
  <c r="D53" i="34"/>
  <c r="D44" i="34"/>
  <c r="D45" i="34"/>
  <c r="D46" i="34"/>
  <c r="D47" i="34"/>
  <c r="D48" i="34"/>
  <c r="D49" i="34"/>
  <c r="D50" i="34"/>
  <c r="D51" i="34"/>
  <c r="D52" i="34"/>
  <c r="D43" i="34"/>
  <c r="C42" i="34"/>
  <c r="C41" i="34"/>
  <c r="C40" i="34"/>
  <c r="C39" i="34"/>
  <c r="C38" i="34"/>
  <c r="C37" i="34"/>
  <c r="C36" i="34"/>
  <c r="C35" i="34"/>
  <c r="C34" i="34"/>
  <c r="C33" i="34"/>
  <c r="C32" i="34"/>
  <c r="C31" i="34"/>
  <c r="C30" i="34"/>
  <c r="C29" i="34"/>
  <c r="C28" i="34"/>
  <c r="C27" i="34"/>
  <c r="C26" i="34"/>
  <c r="H8" i="34"/>
  <c r="H9" i="34"/>
  <c r="H10" i="34"/>
  <c r="H11" i="34"/>
  <c r="H12" i="34"/>
  <c r="H13" i="34"/>
  <c r="H14" i="34"/>
  <c r="H15" i="34"/>
  <c r="H16" i="34"/>
  <c r="H17" i="34"/>
  <c r="H18" i="34"/>
  <c r="H19" i="34"/>
  <c r="H20" i="34"/>
  <c r="H21" i="34"/>
  <c r="H22" i="34"/>
  <c r="H23" i="34"/>
  <c r="H24" i="34"/>
  <c r="H25" i="34"/>
  <c r="H7" i="34"/>
  <c r="C12" i="34"/>
  <c r="C8" i="34"/>
  <c r="C7" i="34"/>
  <c r="C6" i="25"/>
  <c r="C7" i="25"/>
  <c r="C8" i="25"/>
  <c r="C9" i="25"/>
  <c r="C10" i="25"/>
  <c r="C11" i="25"/>
  <c r="C12" i="25"/>
  <c r="C13" i="25"/>
  <c r="C14" i="25"/>
  <c r="C15" i="25"/>
  <c r="C16" i="25"/>
  <c r="C17" i="25"/>
  <c r="C18" i="25"/>
  <c r="C19" i="25"/>
  <c r="C20" i="25"/>
  <c r="C21" i="25"/>
  <c r="C22" i="25"/>
  <c r="C23" i="25"/>
  <c r="C24" i="25"/>
  <c r="C25" i="25"/>
  <c r="C26" i="25"/>
  <c r="C27" i="25"/>
  <c r="C28" i="25"/>
  <c r="C29" i="25"/>
  <c r="C30" i="25"/>
  <c r="C31" i="25"/>
  <c r="C32" i="25"/>
  <c r="C33" i="25"/>
  <c r="C34" i="25"/>
  <c r="C35" i="25"/>
  <c r="C36" i="25"/>
  <c r="C37" i="25"/>
  <c r="C38" i="25"/>
  <c r="C39" i="25"/>
  <c r="C40" i="25"/>
  <c r="C41" i="25"/>
  <c r="C42" i="25"/>
  <c r="C43" i="25"/>
  <c r="C5" i="25"/>
  <c r="D91" i="5"/>
  <c r="D5" i="26" l="1"/>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 i="26"/>
  <c r="C5" i="26"/>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C40" i="26"/>
  <c r="C41" i="26"/>
  <c r="C42" i="26"/>
  <c r="C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 i="26"/>
  <c r="F107" i="5"/>
  <c r="H44" i="25"/>
  <c r="G106" i="5"/>
  <c r="H106" i="5" s="1"/>
  <c r="H105" i="5"/>
  <c r="G89" i="5"/>
  <c r="H89" i="5" s="1"/>
  <c r="G90" i="5"/>
  <c r="H90" i="5" s="1"/>
  <c r="G91" i="5"/>
  <c r="H91" i="5" s="1"/>
  <c r="G92" i="5"/>
  <c r="H92" i="5" s="1"/>
  <c r="G93" i="5"/>
  <c r="H93" i="5" s="1"/>
  <c r="G94" i="5"/>
  <c r="H94" i="5" s="1"/>
  <c r="G95" i="5"/>
  <c r="H95" i="5" s="1"/>
  <c r="G96" i="5"/>
  <c r="H96" i="5" s="1"/>
  <c r="G97" i="5"/>
  <c r="H97" i="5" s="1"/>
  <c r="G98" i="5"/>
  <c r="H98" i="5" s="1"/>
  <c r="G99" i="5"/>
  <c r="H99" i="5" s="1"/>
  <c r="G100" i="5"/>
  <c r="H100" i="5" s="1"/>
  <c r="G101" i="5"/>
  <c r="H101" i="5" s="1"/>
  <c r="G102" i="5"/>
  <c r="H102" i="5" s="1"/>
  <c r="H103" i="5"/>
  <c r="G104" i="5"/>
  <c r="H104" i="5" s="1"/>
  <c r="G44" i="25"/>
  <c r="G68" i="5"/>
  <c r="G69" i="5"/>
  <c r="G70" i="5"/>
  <c r="G71" i="5"/>
  <c r="G72" i="5"/>
  <c r="G74" i="5"/>
  <c r="G76" i="5"/>
  <c r="F77" i="5"/>
  <c r="F44" i="25"/>
  <c r="E5" i="25"/>
  <c r="I90" i="5"/>
  <c r="J90" i="5" s="1"/>
  <c r="I91" i="5"/>
  <c r="J91" i="5" s="1"/>
  <c r="I92" i="5"/>
  <c r="J92" i="5" s="1"/>
  <c r="I93" i="5"/>
  <c r="J93" i="5" s="1"/>
  <c r="I94" i="5"/>
  <c r="J94" i="5" s="1"/>
  <c r="I95" i="5"/>
  <c r="J95" i="5" s="1"/>
  <c r="I96" i="5"/>
  <c r="J96" i="5" s="1"/>
  <c r="I97" i="5"/>
  <c r="J97" i="5" s="1"/>
  <c r="I98" i="5"/>
  <c r="J98" i="5" s="1"/>
  <c r="I99" i="5"/>
  <c r="J99" i="5" s="1"/>
  <c r="I100" i="5"/>
  <c r="J100" i="5" s="1"/>
  <c r="I101" i="5"/>
  <c r="J101" i="5" s="1"/>
  <c r="I102" i="5"/>
  <c r="J102" i="5" s="1"/>
  <c r="I103" i="5"/>
  <c r="J103" i="5" s="1"/>
  <c r="I104" i="5"/>
  <c r="J104" i="5" s="1"/>
  <c r="I105" i="5"/>
  <c r="J105" i="5" s="1"/>
  <c r="I106" i="5"/>
  <c r="J106" i="5" s="1"/>
  <c r="I89" i="5"/>
  <c r="J89" i="5" s="1"/>
  <c r="E90" i="5"/>
  <c r="E91" i="5"/>
  <c r="E92" i="5"/>
  <c r="E93" i="5"/>
  <c r="E94" i="5"/>
  <c r="E95" i="5"/>
  <c r="E96" i="5"/>
  <c r="E97" i="5"/>
  <c r="E98" i="5"/>
  <c r="E99" i="5"/>
  <c r="E100" i="5"/>
  <c r="E101" i="5"/>
  <c r="E102" i="5"/>
  <c r="E103" i="5"/>
  <c r="E104" i="5"/>
  <c r="E105" i="5"/>
  <c r="E106" i="5"/>
  <c r="E89" i="5"/>
  <c r="D90" i="5"/>
  <c r="D92" i="5"/>
  <c r="D93" i="5"/>
  <c r="D94" i="5"/>
  <c r="D95" i="5"/>
  <c r="D96" i="5"/>
  <c r="D97" i="5"/>
  <c r="D98" i="5"/>
  <c r="D99" i="5"/>
  <c r="D100" i="5"/>
  <c r="D101" i="5"/>
  <c r="D102" i="5"/>
  <c r="D103" i="5"/>
  <c r="D104" i="5"/>
  <c r="D105" i="5"/>
  <c r="D106" i="5"/>
  <c r="D89" i="5"/>
  <c r="I68" i="5"/>
  <c r="J68" i="5" s="1"/>
  <c r="I69" i="5"/>
  <c r="J69" i="5" s="1"/>
  <c r="I70" i="5"/>
  <c r="J70" i="5" s="1"/>
  <c r="I71" i="5"/>
  <c r="J71" i="5" s="1"/>
  <c r="I72" i="5"/>
  <c r="J72" i="5" s="1"/>
  <c r="I73" i="5"/>
  <c r="J73" i="5" s="1"/>
  <c r="I74" i="5"/>
  <c r="J74" i="5" s="1"/>
  <c r="I75" i="5"/>
  <c r="J75" i="5" s="1"/>
  <c r="I76" i="5"/>
  <c r="J76" i="5" s="1"/>
  <c r="I67" i="5"/>
  <c r="J67" i="5" s="1"/>
  <c r="E68" i="5"/>
  <c r="E69" i="5"/>
  <c r="E70" i="5"/>
  <c r="E71" i="5"/>
  <c r="E72" i="5"/>
  <c r="E73" i="5"/>
  <c r="E74" i="5"/>
  <c r="E75" i="5"/>
  <c r="E76" i="5"/>
  <c r="E67" i="5"/>
  <c r="D68" i="5"/>
  <c r="D69" i="5"/>
  <c r="D70" i="5"/>
  <c r="D71" i="5"/>
  <c r="D72" i="5"/>
  <c r="D73" i="5"/>
  <c r="D74" i="5"/>
  <c r="D75" i="5"/>
  <c r="D76" i="5"/>
  <c r="D67" i="5"/>
  <c r="I7" i="5"/>
  <c r="D44" i="25"/>
  <c r="E6" i="25"/>
  <c r="G67" i="5" s="1"/>
  <c r="E7" i="25"/>
  <c r="G8" i="5"/>
  <c r="H8" i="5" s="1"/>
  <c r="G9" i="5"/>
  <c r="H9" i="5" s="1"/>
  <c r="G10" i="5"/>
  <c r="H10" i="5" s="1"/>
  <c r="E8" i="5"/>
  <c r="E9" i="5"/>
  <c r="E10" i="5"/>
  <c r="E11" i="5"/>
  <c r="E12" i="5"/>
  <c r="E13" i="5"/>
  <c r="E14" i="5"/>
  <c r="E15" i="5"/>
  <c r="E16" i="5"/>
  <c r="E17" i="5"/>
  <c r="E18" i="5"/>
  <c r="E19" i="5"/>
  <c r="E20" i="5"/>
  <c r="E21" i="5"/>
  <c r="E22" i="5"/>
  <c r="E23" i="5"/>
  <c r="E24" i="5"/>
  <c r="E25" i="5"/>
  <c r="G11" i="5"/>
  <c r="H11" i="5" s="1"/>
  <c r="G12" i="5"/>
  <c r="G13" i="5"/>
  <c r="H13" i="5" s="1"/>
  <c r="G14" i="5"/>
  <c r="H14" i="5" s="1"/>
  <c r="G15" i="5"/>
  <c r="H15" i="5" s="1"/>
  <c r="G16" i="5"/>
  <c r="H16" i="5" s="1"/>
  <c r="G17" i="5"/>
  <c r="H17" i="5" s="1"/>
  <c r="G18" i="5"/>
  <c r="H18" i="5" s="1"/>
  <c r="G19" i="5"/>
  <c r="H19" i="5" s="1"/>
  <c r="G20" i="5"/>
  <c r="H20" i="5" s="1"/>
  <c r="G21" i="5"/>
  <c r="H21" i="5" s="1"/>
  <c r="G22" i="5"/>
  <c r="H22" i="5" s="1"/>
  <c r="G23" i="5"/>
  <c r="H23" i="5" s="1"/>
  <c r="G24" i="5"/>
  <c r="H24" i="5" s="1"/>
  <c r="G25" i="5"/>
  <c r="H25" i="5" s="1"/>
  <c r="E7" i="5"/>
  <c r="H12" i="5"/>
  <c r="C7" i="5"/>
  <c r="C8" i="5"/>
  <c r="I8" i="5"/>
  <c r="J8" i="5" s="1"/>
  <c r="I9" i="5"/>
  <c r="J9" i="5" s="1"/>
  <c r="I10" i="5"/>
  <c r="J10" i="5" s="1"/>
  <c r="I11" i="5"/>
  <c r="J11" i="5" s="1"/>
  <c r="C12" i="5"/>
  <c r="I12" i="5"/>
  <c r="J12" i="5" s="1"/>
  <c r="I13" i="5"/>
  <c r="J13" i="5" s="1"/>
  <c r="I14" i="5"/>
  <c r="J14" i="5" s="1"/>
  <c r="I15" i="5"/>
  <c r="J15" i="5" s="1"/>
  <c r="I16" i="5"/>
  <c r="J16" i="5" s="1"/>
  <c r="I17" i="5"/>
  <c r="J17" i="5" s="1"/>
  <c r="I18" i="5"/>
  <c r="J18" i="5" s="1"/>
  <c r="I19" i="5"/>
  <c r="J19" i="5" s="1"/>
  <c r="I20" i="5"/>
  <c r="J20" i="5" s="1"/>
  <c r="I21" i="5"/>
  <c r="J21" i="5" s="1"/>
  <c r="I22" i="5"/>
  <c r="J22" i="5" s="1"/>
  <c r="I23" i="5"/>
  <c r="J23" i="5" s="1"/>
  <c r="I24" i="5"/>
  <c r="J24" i="5" s="1"/>
  <c r="I25" i="5"/>
  <c r="J25" i="5" s="1"/>
  <c r="F23" i="14"/>
  <c r="F22" i="14"/>
  <c r="F21" i="14"/>
  <c r="F20" i="14"/>
  <c r="F19" i="14"/>
  <c r="F18" i="14"/>
  <c r="F17" i="14"/>
  <c r="F16" i="14"/>
  <c r="F15" i="14"/>
  <c r="F14" i="14"/>
  <c r="F13" i="14"/>
  <c r="F12" i="14"/>
  <c r="F11" i="14"/>
  <c r="F10" i="14"/>
  <c r="F9" i="14"/>
  <c r="F8" i="14"/>
  <c r="C8" i="14"/>
  <c r="F7" i="14"/>
  <c r="C7" i="14"/>
  <c r="F6" i="14"/>
  <c r="C6" i="14"/>
  <c r="F5" i="14"/>
  <c r="C5" i="14"/>
  <c r="F23" i="13"/>
  <c r="F22" i="13"/>
  <c r="F21" i="13"/>
  <c r="F20" i="13"/>
  <c r="F19" i="13"/>
  <c r="F18" i="13"/>
  <c r="F17" i="13"/>
  <c r="F16" i="13"/>
  <c r="F15" i="13"/>
  <c r="F14" i="13"/>
  <c r="F13" i="13"/>
  <c r="F12" i="13"/>
  <c r="F11" i="13"/>
  <c r="F10" i="13"/>
  <c r="F9" i="13"/>
  <c r="F8" i="13"/>
  <c r="C8" i="13"/>
  <c r="F7" i="13"/>
  <c r="C7" i="13"/>
  <c r="F6" i="13"/>
  <c r="C6" i="13"/>
  <c r="F5" i="13"/>
  <c r="C5" i="13"/>
  <c r="F6" i="12"/>
  <c r="F7" i="12"/>
  <c r="F8" i="12"/>
  <c r="F9" i="12"/>
  <c r="F10" i="12"/>
  <c r="F11" i="12"/>
  <c r="F12" i="12"/>
  <c r="F13" i="12"/>
  <c r="F14" i="12"/>
  <c r="F15" i="12"/>
  <c r="F16" i="12"/>
  <c r="F17" i="12"/>
  <c r="F18" i="12"/>
  <c r="F19" i="12"/>
  <c r="F20" i="12"/>
  <c r="F21" i="12"/>
  <c r="F22" i="12"/>
  <c r="F23" i="12"/>
  <c r="F5" i="12"/>
  <c r="J7" i="5" l="1"/>
  <c r="I26" i="5"/>
  <c r="G45" i="25"/>
  <c r="H67" i="5"/>
  <c r="H71" i="5"/>
  <c r="H70" i="5"/>
  <c r="H68" i="5"/>
  <c r="H69" i="5"/>
  <c r="H76" i="5"/>
  <c r="H74" i="5"/>
  <c r="H72" i="5"/>
  <c r="H45" i="25"/>
  <c r="E35" i="25"/>
  <c r="E39" i="25"/>
  <c r="E33" i="25"/>
  <c r="E34" i="25"/>
  <c r="E38" i="25"/>
  <c r="E37" i="25"/>
  <c r="E32" i="25"/>
  <c r="G7" i="5"/>
  <c r="H7" i="5" s="1"/>
  <c r="C8" i="12"/>
  <c r="C7" i="12"/>
  <c r="C6" i="12"/>
  <c r="C5" i="12"/>
  <c r="G131" i="11"/>
  <c r="H131" i="11" s="1"/>
  <c r="I131" i="11" s="1"/>
  <c r="J131" i="11" s="1"/>
  <c r="K131" i="11" s="1"/>
  <c r="L131" i="11" s="1"/>
  <c r="G130" i="11"/>
  <c r="H130" i="11" s="1"/>
  <c r="I130" i="11" s="1"/>
  <c r="J130" i="11" s="1"/>
  <c r="K130" i="11" s="1"/>
  <c r="L130" i="11" s="1"/>
  <c r="G129" i="11"/>
  <c r="H129" i="11" s="1"/>
  <c r="I129" i="11" s="1"/>
  <c r="J129" i="11" s="1"/>
  <c r="K129" i="11" s="1"/>
  <c r="L129" i="11" s="1"/>
  <c r="G128" i="11"/>
  <c r="H128" i="11" s="1"/>
  <c r="I128" i="11" s="1"/>
  <c r="J128" i="11" s="1"/>
  <c r="K128" i="11" s="1"/>
  <c r="L128" i="11" s="1"/>
  <c r="G127" i="11"/>
  <c r="H127" i="11" s="1"/>
  <c r="I127" i="11" s="1"/>
  <c r="G126" i="11"/>
  <c r="H126" i="11" s="1"/>
  <c r="I126" i="11" s="1"/>
  <c r="G125" i="11"/>
  <c r="H125" i="11" s="1"/>
  <c r="I125" i="11" s="1"/>
  <c r="G124" i="11"/>
  <c r="H124" i="11" s="1"/>
  <c r="I124" i="11" s="1"/>
  <c r="J124" i="11" s="1"/>
  <c r="K124" i="11" s="1"/>
  <c r="L124" i="11" s="1"/>
  <c r="G123" i="11"/>
  <c r="H123" i="11" s="1"/>
  <c r="I123" i="11" s="1"/>
  <c r="G122" i="11"/>
  <c r="H122" i="11" s="1"/>
  <c r="I122" i="11" s="1"/>
  <c r="G121" i="11"/>
  <c r="H121" i="11" s="1"/>
  <c r="I121" i="11" s="1"/>
  <c r="G120" i="11"/>
  <c r="H120" i="11" s="1"/>
  <c r="I120" i="11" s="1"/>
  <c r="G119" i="11"/>
  <c r="H119" i="11" s="1"/>
  <c r="I119" i="11" s="1"/>
  <c r="G118" i="11"/>
  <c r="H118" i="11" s="1"/>
  <c r="I118" i="11" s="1"/>
  <c r="G117" i="11"/>
  <c r="H117" i="11" s="1"/>
  <c r="I117" i="11" s="1"/>
  <c r="J117" i="11" s="1"/>
  <c r="K117" i="11" s="1"/>
  <c r="L117" i="11" s="1"/>
  <c r="G116" i="11"/>
  <c r="H116" i="11" s="1"/>
  <c r="I116" i="11" s="1"/>
  <c r="J116" i="11" s="1"/>
  <c r="K116" i="11" s="1"/>
  <c r="L116" i="11" s="1"/>
  <c r="G115" i="11"/>
  <c r="H115" i="11" s="1"/>
  <c r="I115" i="11" s="1"/>
  <c r="G114" i="11"/>
  <c r="H114" i="11" s="1"/>
  <c r="I114" i="11" s="1"/>
  <c r="J114" i="11" s="1"/>
  <c r="K114" i="11" s="1"/>
  <c r="L114" i="11" s="1"/>
  <c r="G113" i="11"/>
  <c r="H113" i="11" s="1"/>
  <c r="I113" i="11" s="1"/>
  <c r="J113" i="11" s="1"/>
  <c r="K113" i="11" s="1"/>
  <c r="L113" i="11" s="1"/>
  <c r="G112" i="11"/>
  <c r="H112" i="11" s="1"/>
  <c r="I112" i="11" s="1"/>
  <c r="J112" i="11" s="1"/>
  <c r="K112" i="11" s="1"/>
  <c r="L112" i="11" s="1"/>
  <c r="G111" i="11"/>
  <c r="H111" i="11" s="1"/>
  <c r="I111" i="11" s="1"/>
  <c r="J111" i="11" s="1"/>
  <c r="K111" i="11" s="1"/>
  <c r="L111" i="11" s="1"/>
  <c r="G110" i="11"/>
  <c r="H110" i="11" s="1"/>
  <c r="I110" i="11" s="1"/>
  <c r="G109" i="11"/>
  <c r="H109" i="11" s="1"/>
  <c r="I109" i="11" s="1"/>
  <c r="J109" i="11" s="1"/>
  <c r="K109" i="11" s="1"/>
  <c r="L109" i="11" s="1"/>
  <c r="G108" i="11"/>
  <c r="H108" i="11" s="1"/>
  <c r="I108" i="11" s="1"/>
  <c r="G107" i="11"/>
  <c r="H107" i="11" s="1"/>
  <c r="I107" i="11" s="1"/>
  <c r="G106" i="11"/>
  <c r="H106" i="11" s="1"/>
  <c r="I106" i="11" s="1"/>
  <c r="G105" i="11"/>
  <c r="H105" i="11" s="1"/>
  <c r="I105" i="11" s="1"/>
  <c r="J105" i="11" s="1"/>
  <c r="K105" i="11" s="1"/>
  <c r="L105" i="11" s="1"/>
  <c r="G104" i="11"/>
  <c r="H104" i="11" s="1"/>
  <c r="I104" i="11" s="1"/>
  <c r="J104" i="11" s="1"/>
  <c r="K104" i="11" s="1"/>
  <c r="L104" i="11" s="1"/>
  <c r="G103" i="11"/>
  <c r="H103" i="11" s="1"/>
  <c r="I103" i="11" s="1"/>
  <c r="J103" i="11" s="1"/>
  <c r="K103" i="11" s="1"/>
  <c r="L103" i="11" s="1"/>
  <c r="G102" i="11"/>
  <c r="H102" i="11" s="1"/>
  <c r="I102" i="11" s="1"/>
  <c r="J102" i="11" s="1"/>
  <c r="K102" i="11" s="1"/>
  <c r="L102" i="11" s="1"/>
  <c r="G101" i="11"/>
  <c r="H101" i="11" s="1"/>
  <c r="I101" i="11" s="1"/>
  <c r="J101" i="11" s="1"/>
  <c r="K101" i="11" s="1"/>
  <c r="L101" i="11" s="1"/>
  <c r="G100" i="11"/>
  <c r="H100" i="11" s="1"/>
  <c r="I100" i="11" s="1"/>
  <c r="J100" i="11" s="1"/>
  <c r="K100" i="11" s="1"/>
  <c r="L100" i="11" s="1"/>
  <c r="G99" i="11"/>
  <c r="H99" i="11" s="1"/>
  <c r="I99" i="11" s="1"/>
  <c r="G98" i="11"/>
  <c r="H98" i="11" s="1"/>
  <c r="I98" i="11" s="1"/>
  <c r="G97" i="11"/>
  <c r="H97" i="11" s="1"/>
  <c r="I97" i="11" s="1"/>
  <c r="J97" i="11" s="1"/>
  <c r="K97" i="11" s="1"/>
  <c r="L97" i="11" s="1"/>
  <c r="G96" i="11"/>
  <c r="H96" i="11" s="1"/>
  <c r="I96" i="11" s="1"/>
  <c r="J96" i="11" s="1"/>
  <c r="K96" i="11" s="1"/>
  <c r="L96" i="11" s="1"/>
  <c r="G95" i="11"/>
  <c r="H95" i="11" s="1"/>
  <c r="I95" i="11" s="1"/>
  <c r="G94" i="11"/>
  <c r="H94" i="11" s="1"/>
  <c r="I94" i="11" s="1"/>
  <c r="G93" i="11"/>
  <c r="H93" i="11" s="1"/>
  <c r="I93" i="11" s="1"/>
  <c r="G49" i="11"/>
  <c r="H49" i="11" s="1"/>
  <c r="I49" i="11" s="1"/>
  <c r="G50" i="11"/>
  <c r="H50" i="11" s="1"/>
  <c r="I50" i="11" s="1"/>
  <c r="G51" i="11"/>
  <c r="H51" i="11" s="1"/>
  <c r="I51" i="11" s="1"/>
  <c r="G52" i="11"/>
  <c r="H52" i="11" s="1"/>
  <c r="I52" i="11" s="1"/>
  <c r="J52" i="11" s="1"/>
  <c r="K52" i="11" s="1"/>
  <c r="L52" i="11" s="1"/>
  <c r="G53" i="11"/>
  <c r="H53" i="11" s="1"/>
  <c r="I53" i="11" s="1"/>
  <c r="J53" i="11" s="1"/>
  <c r="K53" i="11" s="1"/>
  <c r="L53" i="11" s="1"/>
  <c r="G54" i="11"/>
  <c r="H54" i="11" s="1"/>
  <c r="I54" i="11" s="1"/>
  <c r="G55" i="11"/>
  <c r="H55" i="11" s="1"/>
  <c r="I55" i="11" s="1"/>
  <c r="G56" i="11"/>
  <c r="H56" i="11" s="1"/>
  <c r="I56" i="11" s="1"/>
  <c r="J56" i="11" s="1"/>
  <c r="K56" i="11" s="1"/>
  <c r="L56" i="11" s="1"/>
  <c r="G57" i="11"/>
  <c r="H57" i="11" s="1"/>
  <c r="I57" i="11" s="1"/>
  <c r="J57" i="11" s="1"/>
  <c r="K57" i="11" s="1"/>
  <c r="L57" i="11" s="1"/>
  <c r="G58" i="11"/>
  <c r="H58" i="11" s="1"/>
  <c r="I58" i="11" s="1"/>
  <c r="J58" i="11" s="1"/>
  <c r="K58" i="11" s="1"/>
  <c r="L58" i="11" s="1"/>
  <c r="G59" i="11"/>
  <c r="H59" i="11" s="1"/>
  <c r="I59" i="11" s="1"/>
  <c r="J59" i="11" s="1"/>
  <c r="K59" i="11" s="1"/>
  <c r="L59" i="11" s="1"/>
  <c r="G60" i="11"/>
  <c r="H60" i="11" s="1"/>
  <c r="I60" i="11" s="1"/>
  <c r="J60" i="11" s="1"/>
  <c r="K60" i="11" s="1"/>
  <c r="L60" i="11" s="1"/>
  <c r="G61" i="11"/>
  <c r="H61" i="11" s="1"/>
  <c r="I61" i="11" s="1"/>
  <c r="J61" i="11" s="1"/>
  <c r="K61" i="11" s="1"/>
  <c r="L61" i="11" s="1"/>
  <c r="G62" i="11"/>
  <c r="H62" i="11" s="1"/>
  <c r="I62" i="11" s="1"/>
  <c r="G63" i="11"/>
  <c r="H63" i="11" s="1"/>
  <c r="I63" i="11" s="1"/>
  <c r="G64" i="11"/>
  <c r="H64" i="11" s="1"/>
  <c r="I64" i="11" s="1"/>
  <c r="G65" i="11"/>
  <c r="H65" i="11" s="1"/>
  <c r="I65" i="11" s="1"/>
  <c r="J65" i="11" s="1"/>
  <c r="K65" i="11" s="1"/>
  <c r="L65" i="11" s="1"/>
  <c r="G66" i="11"/>
  <c r="H66" i="11" s="1"/>
  <c r="I66" i="11" s="1"/>
  <c r="G67" i="11"/>
  <c r="H67" i="11" s="1"/>
  <c r="I67" i="11" s="1"/>
  <c r="J67" i="11" s="1"/>
  <c r="K67" i="11" s="1"/>
  <c r="L67" i="11" s="1"/>
  <c r="G68" i="11"/>
  <c r="H68" i="11" s="1"/>
  <c r="I68" i="11" s="1"/>
  <c r="J68" i="11" s="1"/>
  <c r="K68" i="11" s="1"/>
  <c r="L68" i="11" s="1"/>
  <c r="G69" i="11"/>
  <c r="H69" i="11" s="1"/>
  <c r="I69" i="11" s="1"/>
  <c r="J69" i="11" s="1"/>
  <c r="K69" i="11" s="1"/>
  <c r="L69" i="11" s="1"/>
  <c r="G70" i="11"/>
  <c r="H70" i="11" s="1"/>
  <c r="I70" i="11" s="1"/>
  <c r="J70" i="11" s="1"/>
  <c r="K70" i="11" s="1"/>
  <c r="L70" i="11" s="1"/>
  <c r="G71" i="11"/>
  <c r="H71" i="11" s="1"/>
  <c r="I71" i="11" s="1"/>
  <c r="G72" i="11"/>
  <c r="H72" i="11" s="1"/>
  <c r="I72" i="11" s="1"/>
  <c r="J72" i="11" s="1"/>
  <c r="K72" i="11" s="1"/>
  <c r="L72" i="11" s="1"/>
  <c r="G73" i="11"/>
  <c r="H73" i="11" s="1"/>
  <c r="I73" i="11" s="1"/>
  <c r="J73" i="11" s="1"/>
  <c r="K73" i="11" s="1"/>
  <c r="L73" i="11" s="1"/>
  <c r="G74" i="11"/>
  <c r="H74" i="11" s="1"/>
  <c r="I74" i="11" s="1"/>
  <c r="G75" i="11"/>
  <c r="H75" i="11" s="1"/>
  <c r="I75" i="11" s="1"/>
  <c r="G76" i="11"/>
  <c r="H76" i="11" s="1"/>
  <c r="I76" i="11" s="1"/>
  <c r="G77" i="11"/>
  <c r="H77" i="11" s="1"/>
  <c r="I77" i="11" s="1"/>
  <c r="G78" i="11"/>
  <c r="H78" i="11" s="1"/>
  <c r="I78" i="11" s="1"/>
  <c r="G79" i="11"/>
  <c r="H79" i="11" s="1"/>
  <c r="I79" i="11" s="1"/>
  <c r="G80" i="11"/>
  <c r="H80" i="11" s="1"/>
  <c r="I80" i="11" s="1"/>
  <c r="J80" i="11" s="1"/>
  <c r="K80" i="11" s="1"/>
  <c r="L80" i="11" s="1"/>
  <c r="G81" i="11"/>
  <c r="H81" i="11" s="1"/>
  <c r="I81" i="11" s="1"/>
  <c r="G82" i="11"/>
  <c r="H82" i="11" s="1"/>
  <c r="I82" i="11" s="1"/>
  <c r="G83" i="11"/>
  <c r="H83" i="11" s="1"/>
  <c r="I83" i="11" s="1"/>
  <c r="G84" i="11"/>
  <c r="H84" i="11" s="1"/>
  <c r="I84" i="11" s="1"/>
  <c r="J84" i="11" s="1"/>
  <c r="K84" i="11" s="1"/>
  <c r="L84" i="11" s="1"/>
  <c r="G85" i="11"/>
  <c r="H85" i="11" s="1"/>
  <c r="I85" i="11" s="1"/>
  <c r="J85" i="11" s="1"/>
  <c r="K85" i="11" s="1"/>
  <c r="L85" i="11" s="1"/>
  <c r="G86" i="11"/>
  <c r="H86" i="11" s="1"/>
  <c r="I86" i="11" s="1"/>
  <c r="J86" i="11" s="1"/>
  <c r="K86" i="11" s="1"/>
  <c r="L86" i="11" s="1"/>
  <c r="G87" i="11"/>
  <c r="H87" i="11" s="1"/>
  <c r="I87" i="11" s="1"/>
  <c r="J87" i="11" s="1"/>
  <c r="K87" i="11" s="1"/>
  <c r="L87" i="11" s="1"/>
  <c r="G6" i="11"/>
  <c r="H6" i="14" s="1"/>
  <c r="I6" i="14" s="1"/>
  <c r="G7" i="11"/>
  <c r="H7" i="14" s="1"/>
  <c r="I7" i="14" s="1"/>
  <c r="G8" i="11"/>
  <c r="H8" i="11" s="1"/>
  <c r="I8" i="11" s="1"/>
  <c r="J8" i="11" s="1"/>
  <c r="K8" i="11" s="1"/>
  <c r="L8" i="11" s="1"/>
  <c r="G9" i="11"/>
  <c r="H9" i="11" s="1"/>
  <c r="I9" i="11" s="1"/>
  <c r="J9" i="11" s="1"/>
  <c r="K9" i="11" s="1"/>
  <c r="L9" i="11" s="1"/>
  <c r="G10" i="11"/>
  <c r="H8" i="14" s="1"/>
  <c r="I8" i="14" s="1"/>
  <c r="G11" i="11"/>
  <c r="H9" i="14" s="1"/>
  <c r="I9" i="14" s="1"/>
  <c r="G12" i="11"/>
  <c r="H12" i="11" s="1"/>
  <c r="I12" i="11" s="1"/>
  <c r="J12" i="11" s="1"/>
  <c r="K12" i="11" s="1"/>
  <c r="L12" i="11" s="1"/>
  <c r="G13" i="11"/>
  <c r="H13" i="11" s="1"/>
  <c r="I13" i="11" s="1"/>
  <c r="J13" i="11" s="1"/>
  <c r="K13" i="11" s="1"/>
  <c r="L13" i="11" s="1"/>
  <c r="G14" i="11"/>
  <c r="H14" i="11" s="1"/>
  <c r="I14" i="11" s="1"/>
  <c r="J14" i="11" s="1"/>
  <c r="K14" i="11" s="1"/>
  <c r="L14" i="11" s="1"/>
  <c r="G15" i="11"/>
  <c r="H15" i="11" s="1"/>
  <c r="I15" i="11" s="1"/>
  <c r="J15" i="11" s="1"/>
  <c r="K15" i="11" s="1"/>
  <c r="L15" i="11" s="1"/>
  <c r="G16" i="11"/>
  <c r="H16" i="11" s="1"/>
  <c r="I16" i="11" s="1"/>
  <c r="J16" i="11" s="1"/>
  <c r="K16" i="11" s="1"/>
  <c r="L16" i="11" s="1"/>
  <c r="G17" i="11"/>
  <c r="H17" i="11" s="1"/>
  <c r="I17" i="11" s="1"/>
  <c r="J17" i="11" s="1"/>
  <c r="K17" i="11" s="1"/>
  <c r="L17" i="11" s="1"/>
  <c r="G18" i="11"/>
  <c r="H10" i="14" s="1"/>
  <c r="I10" i="14" s="1"/>
  <c r="G19" i="11"/>
  <c r="H11" i="14" s="1"/>
  <c r="I11" i="14" s="1"/>
  <c r="G20" i="11"/>
  <c r="H12" i="14" s="1"/>
  <c r="I12" i="14" s="1"/>
  <c r="G21" i="11"/>
  <c r="H21" i="11" s="1"/>
  <c r="I21" i="11" s="1"/>
  <c r="J21" i="11" s="1"/>
  <c r="K21" i="11" s="1"/>
  <c r="L21" i="11" s="1"/>
  <c r="G22" i="11"/>
  <c r="H15" i="14" s="1"/>
  <c r="I15" i="14" s="1"/>
  <c r="G23" i="11"/>
  <c r="H23" i="11" s="1"/>
  <c r="I23" i="11" s="1"/>
  <c r="J23" i="11" s="1"/>
  <c r="K23" i="11" s="1"/>
  <c r="L23" i="11" s="1"/>
  <c r="G24" i="11"/>
  <c r="H24" i="11" s="1"/>
  <c r="I24" i="11" s="1"/>
  <c r="J24" i="11" s="1"/>
  <c r="K24" i="11" s="1"/>
  <c r="L24" i="11" s="1"/>
  <c r="G25" i="11"/>
  <c r="H25" i="11" s="1"/>
  <c r="I25" i="11" s="1"/>
  <c r="J25" i="11" s="1"/>
  <c r="K25" i="11" s="1"/>
  <c r="L25" i="11" s="1"/>
  <c r="G26" i="11"/>
  <c r="H26" i="11" s="1"/>
  <c r="I26" i="11" s="1"/>
  <c r="J26" i="11" s="1"/>
  <c r="K26" i="11" s="1"/>
  <c r="L26" i="11" s="1"/>
  <c r="G27" i="11"/>
  <c r="H17" i="14" s="1"/>
  <c r="I17" i="14" s="1"/>
  <c r="G28" i="11"/>
  <c r="H28" i="11" s="1"/>
  <c r="I28" i="11" s="1"/>
  <c r="J28" i="11" s="1"/>
  <c r="K28" i="11" s="1"/>
  <c r="L28" i="11" s="1"/>
  <c r="G29" i="11"/>
  <c r="H29" i="11" s="1"/>
  <c r="I29" i="11" s="1"/>
  <c r="J29" i="11" s="1"/>
  <c r="K29" i="11" s="1"/>
  <c r="L29" i="11" s="1"/>
  <c r="G30" i="11"/>
  <c r="H20" i="14" s="1"/>
  <c r="I20" i="14" s="1"/>
  <c r="G31" i="11"/>
  <c r="H23" i="14" s="1"/>
  <c r="I23" i="14" s="1"/>
  <c r="G32" i="11"/>
  <c r="H13" i="14" s="1"/>
  <c r="I13" i="14" s="1"/>
  <c r="G33" i="11"/>
  <c r="H14" i="14" s="1"/>
  <c r="I14" i="14" s="1"/>
  <c r="G34" i="11"/>
  <c r="H16" i="14" s="1"/>
  <c r="I16" i="14" s="1"/>
  <c r="G35" i="11"/>
  <c r="H18" i="14" s="1"/>
  <c r="I18" i="14" s="1"/>
  <c r="G36" i="11"/>
  <c r="H36" i="11" s="1"/>
  <c r="I36" i="11" s="1"/>
  <c r="J36" i="11" s="1"/>
  <c r="K36" i="11" s="1"/>
  <c r="L36" i="11" s="1"/>
  <c r="G37" i="11"/>
  <c r="H19" i="14" s="1"/>
  <c r="I19" i="14" s="1"/>
  <c r="G38" i="11"/>
  <c r="H21" i="14" s="1"/>
  <c r="I21" i="14" s="1"/>
  <c r="G39" i="11"/>
  <c r="H22" i="14" s="1"/>
  <c r="I22" i="14" s="1"/>
  <c r="G40" i="11"/>
  <c r="H40" i="11" s="1"/>
  <c r="I40" i="11" s="1"/>
  <c r="J40" i="11" s="1"/>
  <c r="K40" i="11" s="1"/>
  <c r="L40" i="11" s="1"/>
  <c r="G41" i="11"/>
  <c r="H41" i="11" s="1"/>
  <c r="I41" i="11" s="1"/>
  <c r="J41" i="11" s="1"/>
  <c r="K41" i="11" s="1"/>
  <c r="L41" i="11" s="1"/>
  <c r="G42" i="11"/>
  <c r="H42" i="11" s="1"/>
  <c r="I42" i="11" s="1"/>
  <c r="J42" i="11" s="1"/>
  <c r="K42" i="11" s="1"/>
  <c r="L42" i="11" s="1"/>
  <c r="G43" i="11"/>
  <c r="H43" i="11" s="1"/>
  <c r="I43" i="11" s="1"/>
  <c r="J43" i="11" s="1"/>
  <c r="K43" i="11" s="1"/>
  <c r="L43" i="11" s="1"/>
  <c r="G5" i="11"/>
  <c r="H5" i="14" s="1"/>
  <c r="I5" i="14" s="1"/>
  <c r="G75" i="5" l="1"/>
  <c r="G73" i="5"/>
  <c r="E44" i="25"/>
  <c r="J120" i="11"/>
  <c r="K120" i="11" s="1"/>
  <c r="L120" i="11" s="1"/>
  <c r="J13" i="14"/>
  <c r="K13" i="14" s="1"/>
  <c r="L13" i="14" s="1"/>
  <c r="J121" i="11"/>
  <c r="K121" i="11" s="1"/>
  <c r="L121" i="11" s="1"/>
  <c r="J14" i="14"/>
  <c r="K14" i="14" s="1"/>
  <c r="L14" i="14" s="1"/>
  <c r="J106" i="11"/>
  <c r="K106" i="11" s="1"/>
  <c r="L106" i="11" s="1"/>
  <c r="J10" i="14"/>
  <c r="K10" i="14" s="1"/>
  <c r="L10" i="14" s="1"/>
  <c r="J122" i="11"/>
  <c r="K122" i="11" s="1"/>
  <c r="L122" i="11" s="1"/>
  <c r="J16" i="14"/>
  <c r="K16" i="14" s="1"/>
  <c r="L16" i="14" s="1"/>
  <c r="J107" i="11"/>
  <c r="K107" i="11" s="1"/>
  <c r="L107" i="11" s="1"/>
  <c r="J11" i="14"/>
  <c r="K11" i="14" s="1"/>
  <c r="L11" i="14" s="1"/>
  <c r="J123" i="11"/>
  <c r="K123" i="11" s="1"/>
  <c r="L123" i="11" s="1"/>
  <c r="J18" i="14"/>
  <c r="K18" i="14" s="1"/>
  <c r="L18" i="14" s="1"/>
  <c r="J108" i="11"/>
  <c r="K108" i="11" s="1"/>
  <c r="L108" i="11" s="1"/>
  <c r="J12" i="14"/>
  <c r="K12" i="14" s="1"/>
  <c r="L12" i="14" s="1"/>
  <c r="J93" i="11"/>
  <c r="K93" i="11" s="1"/>
  <c r="L93" i="11" s="1"/>
  <c r="J5" i="14"/>
  <c r="K5" i="14" s="1"/>
  <c r="L5" i="14" s="1"/>
  <c r="J125" i="11"/>
  <c r="K125" i="11" s="1"/>
  <c r="L125" i="11" s="1"/>
  <c r="J19" i="14"/>
  <c r="K19" i="14" s="1"/>
  <c r="L19" i="14" s="1"/>
  <c r="J110" i="11"/>
  <c r="K110" i="11" s="1"/>
  <c r="L110" i="11" s="1"/>
  <c r="J15" i="14"/>
  <c r="K15" i="14" s="1"/>
  <c r="L15" i="14" s="1"/>
  <c r="J126" i="11"/>
  <c r="K126" i="11" s="1"/>
  <c r="L126" i="11" s="1"/>
  <c r="J21" i="14"/>
  <c r="K21" i="14" s="1"/>
  <c r="L21" i="14" s="1"/>
  <c r="J94" i="11"/>
  <c r="K94" i="11" s="1"/>
  <c r="L94" i="11" s="1"/>
  <c r="J6" i="14"/>
  <c r="K6" i="14" s="1"/>
  <c r="L6" i="14" s="1"/>
  <c r="J95" i="11"/>
  <c r="K95" i="11" s="1"/>
  <c r="L95" i="11" s="1"/>
  <c r="J7" i="14"/>
  <c r="K7" i="14" s="1"/>
  <c r="L7" i="14" s="1"/>
  <c r="J127" i="11"/>
  <c r="K127" i="11" s="1"/>
  <c r="L127" i="11" s="1"/>
  <c r="J22" i="14"/>
  <c r="K22" i="14" s="1"/>
  <c r="L22" i="14" s="1"/>
  <c r="J99" i="11"/>
  <c r="K99" i="11" s="1"/>
  <c r="L99" i="11" s="1"/>
  <c r="J9" i="14"/>
  <c r="K9" i="14" s="1"/>
  <c r="L9" i="14" s="1"/>
  <c r="J115" i="11"/>
  <c r="K115" i="11" s="1"/>
  <c r="L115" i="11" s="1"/>
  <c r="J17" i="14"/>
  <c r="K17" i="14" s="1"/>
  <c r="L17" i="14" s="1"/>
  <c r="J98" i="11"/>
  <c r="K98" i="11" s="1"/>
  <c r="L98" i="11" s="1"/>
  <c r="J8" i="14"/>
  <c r="K8" i="14" s="1"/>
  <c r="L8" i="14" s="1"/>
  <c r="J118" i="11"/>
  <c r="K118" i="11" s="1"/>
  <c r="L118" i="11" s="1"/>
  <c r="J20" i="14"/>
  <c r="K20" i="14" s="1"/>
  <c r="L20" i="14" s="1"/>
  <c r="J119" i="11"/>
  <c r="K119" i="11" s="1"/>
  <c r="L119" i="11" s="1"/>
  <c r="J23" i="14"/>
  <c r="K23" i="14" s="1"/>
  <c r="L23" i="14" s="1"/>
  <c r="J82" i="11"/>
  <c r="K82" i="11" s="1"/>
  <c r="L82" i="11" s="1"/>
  <c r="J21" i="13"/>
  <c r="J66" i="11"/>
  <c r="K66" i="11" s="1"/>
  <c r="L66" i="11" s="1"/>
  <c r="J15" i="13"/>
  <c r="J50" i="11"/>
  <c r="K50" i="11" s="1"/>
  <c r="L50" i="11" s="1"/>
  <c r="J6" i="13"/>
  <c r="J83" i="11"/>
  <c r="K83" i="11" s="1"/>
  <c r="L83" i="11" s="1"/>
  <c r="J22" i="13"/>
  <c r="J51" i="11"/>
  <c r="K51" i="11" s="1"/>
  <c r="L51" i="11" s="1"/>
  <c r="J7" i="13"/>
  <c r="J81" i="11"/>
  <c r="K81" i="11" s="1"/>
  <c r="L81" i="11" s="1"/>
  <c r="J19" i="13"/>
  <c r="J49" i="11"/>
  <c r="K49" i="11" s="1"/>
  <c r="L49" i="11" s="1"/>
  <c r="J5" i="13"/>
  <c r="J64" i="11"/>
  <c r="K64" i="11" s="1"/>
  <c r="L64" i="11" s="1"/>
  <c r="J12" i="13"/>
  <c r="J79" i="11"/>
  <c r="K79" i="11" s="1"/>
  <c r="L79" i="11" s="1"/>
  <c r="J18" i="13"/>
  <c r="J63" i="11"/>
  <c r="K63" i="11" s="1"/>
  <c r="L63" i="11" s="1"/>
  <c r="J11" i="13"/>
  <c r="J62" i="11"/>
  <c r="K62" i="11" s="1"/>
  <c r="L62" i="11" s="1"/>
  <c r="J10" i="13"/>
  <c r="J78" i="11"/>
  <c r="K78" i="11" s="1"/>
  <c r="L78" i="11" s="1"/>
  <c r="J16" i="13"/>
  <c r="J77" i="11"/>
  <c r="K77" i="11" s="1"/>
  <c r="L77" i="11" s="1"/>
  <c r="J14" i="13"/>
  <c r="J76" i="11"/>
  <c r="K76" i="11" s="1"/>
  <c r="L76" i="11" s="1"/>
  <c r="J13" i="13"/>
  <c r="J74" i="11"/>
  <c r="K74" i="11" s="1"/>
  <c r="L74" i="11" s="1"/>
  <c r="J20" i="13"/>
  <c r="J75" i="11"/>
  <c r="K75" i="11" s="1"/>
  <c r="L75" i="11" s="1"/>
  <c r="J23" i="13"/>
  <c r="J71" i="11"/>
  <c r="K71" i="11" s="1"/>
  <c r="L71" i="11" s="1"/>
  <c r="J17" i="13"/>
  <c r="J55" i="11"/>
  <c r="K55" i="11" s="1"/>
  <c r="L55" i="11" s="1"/>
  <c r="J9" i="13"/>
  <c r="J54" i="11"/>
  <c r="K54" i="11" s="1"/>
  <c r="L54" i="11" s="1"/>
  <c r="J8" i="13"/>
  <c r="H19" i="11"/>
  <c r="I19" i="11" s="1"/>
  <c r="H11" i="12"/>
  <c r="I11" i="12" s="1"/>
  <c r="H11" i="13"/>
  <c r="I11" i="13" s="1"/>
  <c r="H34" i="11"/>
  <c r="I34" i="11" s="1"/>
  <c r="H16" i="12"/>
  <c r="I16" i="12" s="1"/>
  <c r="H16" i="13"/>
  <c r="I16" i="13" s="1"/>
  <c r="H18" i="11"/>
  <c r="I18" i="11" s="1"/>
  <c r="H10" i="12"/>
  <c r="I10" i="12" s="1"/>
  <c r="H10" i="13"/>
  <c r="H31" i="11"/>
  <c r="I31" i="11" s="1"/>
  <c r="H23" i="13"/>
  <c r="I23" i="13" s="1"/>
  <c r="H23" i="12"/>
  <c r="I23" i="12" s="1"/>
  <c r="H30" i="11"/>
  <c r="I30" i="11" s="1"/>
  <c r="H20" i="12"/>
  <c r="I20" i="12" s="1"/>
  <c r="H20" i="13"/>
  <c r="I20" i="13" s="1"/>
  <c r="H35" i="11"/>
  <c r="I35" i="11" s="1"/>
  <c r="H18" i="13"/>
  <c r="I18" i="13" s="1"/>
  <c r="H18" i="12"/>
  <c r="I18" i="12" s="1"/>
  <c r="H5" i="11"/>
  <c r="I5" i="11" s="1"/>
  <c r="H5" i="13"/>
  <c r="H5" i="12"/>
  <c r="I5" i="12" s="1"/>
  <c r="H27" i="11"/>
  <c r="I27" i="11" s="1"/>
  <c r="H17" i="13"/>
  <c r="H17" i="12"/>
  <c r="I17" i="12" s="1"/>
  <c r="H11" i="11"/>
  <c r="I11" i="11" s="1"/>
  <c r="H9" i="13"/>
  <c r="I9" i="13" s="1"/>
  <c r="H9" i="12"/>
  <c r="I9" i="12" s="1"/>
  <c r="H10" i="11"/>
  <c r="I10" i="11" s="1"/>
  <c r="H8" i="13"/>
  <c r="I8" i="13" s="1"/>
  <c r="H8" i="12"/>
  <c r="I8" i="12" s="1"/>
  <c r="H39" i="11"/>
  <c r="I39" i="11" s="1"/>
  <c r="H22" i="13"/>
  <c r="I22" i="13" s="1"/>
  <c r="H22" i="12"/>
  <c r="I22" i="12" s="1"/>
  <c r="H7" i="11"/>
  <c r="I7" i="11" s="1"/>
  <c r="H7" i="13"/>
  <c r="H7" i="12"/>
  <c r="I7" i="12" s="1"/>
  <c r="H33" i="11"/>
  <c r="I33" i="11" s="1"/>
  <c r="H14" i="12"/>
  <c r="I14" i="12" s="1"/>
  <c r="H14" i="13"/>
  <c r="I14" i="13" s="1"/>
  <c r="H38" i="11"/>
  <c r="I38" i="11" s="1"/>
  <c r="H21" i="13"/>
  <c r="I21" i="13" s="1"/>
  <c r="H21" i="12"/>
  <c r="I21" i="12" s="1"/>
  <c r="H22" i="11"/>
  <c r="I22" i="11" s="1"/>
  <c r="H15" i="12"/>
  <c r="I15" i="12" s="1"/>
  <c r="H15" i="13"/>
  <c r="I15" i="13" s="1"/>
  <c r="H6" i="11"/>
  <c r="I6" i="11" s="1"/>
  <c r="H6" i="12"/>
  <c r="I6" i="12" s="1"/>
  <c r="H6" i="13"/>
  <c r="I6" i="13" s="1"/>
  <c r="H37" i="11"/>
  <c r="I37" i="11" s="1"/>
  <c r="H19" i="12"/>
  <c r="I19" i="12" s="1"/>
  <c r="H19" i="13"/>
  <c r="H32" i="11"/>
  <c r="I32" i="11" s="1"/>
  <c r="H13" i="13"/>
  <c r="I13" i="13" s="1"/>
  <c r="H13" i="12"/>
  <c r="I13" i="12" s="1"/>
  <c r="H20" i="11"/>
  <c r="I20" i="11" s="1"/>
  <c r="H12" i="12"/>
  <c r="I12" i="12" s="1"/>
  <c r="H12" i="13"/>
  <c r="H73" i="5" l="1"/>
  <c r="H75" i="5"/>
  <c r="E45" i="25"/>
  <c r="F45" i="25"/>
  <c r="J39" i="11"/>
  <c r="K39" i="11" s="1"/>
  <c r="L39" i="11" s="1"/>
  <c r="K22" i="13"/>
  <c r="L22" i="13" s="1"/>
  <c r="J22" i="12"/>
  <c r="K22" i="12" s="1"/>
  <c r="L22" i="12" s="1"/>
  <c r="J30" i="11"/>
  <c r="K30" i="11" s="1"/>
  <c r="L30" i="11" s="1"/>
  <c r="J20" i="12"/>
  <c r="K20" i="12" s="1"/>
  <c r="L20" i="12" s="1"/>
  <c r="K20" i="13"/>
  <c r="L20" i="13" s="1"/>
  <c r="J10" i="11"/>
  <c r="K10" i="11" s="1"/>
  <c r="L10" i="11" s="1"/>
  <c r="K8" i="13"/>
  <c r="L8" i="13" s="1"/>
  <c r="J8" i="12"/>
  <c r="K8" i="12" s="1"/>
  <c r="L8" i="12" s="1"/>
  <c r="J22" i="11"/>
  <c r="K22" i="11" s="1"/>
  <c r="L22" i="11" s="1"/>
  <c r="J15" i="12"/>
  <c r="K15" i="12" s="1"/>
  <c r="L15" i="12" s="1"/>
  <c r="K15" i="13"/>
  <c r="L15" i="13" s="1"/>
  <c r="J31" i="11"/>
  <c r="K31" i="11" s="1"/>
  <c r="L31" i="11" s="1"/>
  <c r="K23" i="13"/>
  <c r="L23" i="13" s="1"/>
  <c r="J23" i="12"/>
  <c r="K23" i="12" s="1"/>
  <c r="L23" i="12" s="1"/>
  <c r="J35" i="11"/>
  <c r="K35" i="11" s="1"/>
  <c r="L35" i="11" s="1"/>
  <c r="K18" i="13"/>
  <c r="L18" i="13" s="1"/>
  <c r="J18" i="12"/>
  <c r="K18" i="12" s="1"/>
  <c r="L18" i="12" s="1"/>
  <c r="I12" i="13"/>
  <c r="J11" i="11"/>
  <c r="K11" i="11" s="1"/>
  <c r="L11" i="11" s="1"/>
  <c r="K9" i="13"/>
  <c r="L9" i="13" s="1"/>
  <c r="J9" i="12"/>
  <c r="K9" i="12" s="1"/>
  <c r="L9" i="12" s="1"/>
  <c r="I10" i="13"/>
  <c r="J38" i="11"/>
  <c r="K38" i="11" s="1"/>
  <c r="L38" i="11" s="1"/>
  <c r="J21" i="12"/>
  <c r="K21" i="12" s="1"/>
  <c r="L21" i="12" s="1"/>
  <c r="K21" i="13"/>
  <c r="L21" i="13" s="1"/>
  <c r="J20" i="11"/>
  <c r="K20" i="11" s="1"/>
  <c r="L20" i="11" s="1"/>
  <c r="K12" i="13"/>
  <c r="L12" i="13" s="1"/>
  <c r="J12" i="12"/>
  <c r="K12" i="12" s="1"/>
  <c r="L12" i="12" s="1"/>
  <c r="K17" i="13"/>
  <c r="L17" i="13" s="1"/>
  <c r="I17" i="13"/>
  <c r="J18" i="11"/>
  <c r="K18" i="11" s="1"/>
  <c r="L18" i="11" s="1"/>
  <c r="K10" i="13"/>
  <c r="L10" i="13" s="1"/>
  <c r="J10" i="12"/>
  <c r="K10" i="12" s="1"/>
  <c r="L10" i="12" s="1"/>
  <c r="J27" i="11"/>
  <c r="K27" i="11" s="1"/>
  <c r="L27" i="11" s="1"/>
  <c r="J17" i="12"/>
  <c r="K17" i="12" s="1"/>
  <c r="L17" i="12" s="1"/>
  <c r="J33" i="11"/>
  <c r="K33" i="11" s="1"/>
  <c r="L33" i="11" s="1"/>
  <c r="J14" i="12"/>
  <c r="K14" i="12" s="1"/>
  <c r="L14" i="12" s="1"/>
  <c r="K14" i="13"/>
  <c r="L14" i="13" s="1"/>
  <c r="J32" i="11"/>
  <c r="K32" i="11" s="1"/>
  <c r="L32" i="11" s="1"/>
  <c r="K13" i="13"/>
  <c r="L13" i="13" s="1"/>
  <c r="J13" i="12"/>
  <c r="K13" i="12" s="1"/>
  <c r="L13" i="12" s="1"/>
  <c r="K5" i="13"/>
  <c r="L5" i="13" s="1"/>
  <c r="I5" i="13"/>
  <c r="J34" i="11"/>
  <c r="K34" i="11" s="1"/>
  <c r="L34" i="11" s="1"/>
  <c r="J16" i="12"/>
  <c r="K16" i="12" s="1"/>
  <c r="L16" i="12" s="1"/>
  <c r="K16" i="13"/>
  <c r="L16" i="13" s="1"/>
  <c r="J6" i="11"/>
  <c r="K6" i="11" s="1"/>
  <c r="L6" i="11" s="1"/>
  <c r="J6" i="12"/>
  <c r="K6" i="12" s="1"/>
  <c r="L6" i="12" s="1"/>
  <c r="K6" i="13"/>
  <c r="L6" i="13" s="1"/>
  <c r="K19" i="13"/>
  <c r="L19" i="13" s="1"/>
  <c r="I19" i="13"/>
  <c r="I7" i="13"/>
  <c r="J5" i="11"/>
  <c r="K5" i="11" s="1"/>
  <c r="L5" i="11" s="1"/>
  <c r="J5" i="12"/>
  <c r="K5" i="12" s="1"/>
  <c r="L5" i="12" s="1"/>
  <c r="J7" i="11"/>
  <c r="K7" i="11" s="1"/>
  <c r="L7" i="11" s="1"/>
  <c r="K7" i="13"/>
  <c r="L7" i="13" s="1"/>
  <c r="J7" i="12"/>
  <c r="K7" i="12" s="1"/>
  <c r="L7" i="12" s="1"/>
  <c r="J37" i="11"/>
  <c r="K37" i="11" s="1"/>
  <c r="L37" i="11" s="1"/>
  <c r="J19" i="12"/>
  <c r="K19" i="12" s="1"/>
  <c r="L19" i="12" s="1"/>
  <c r="J19" i="11"/>
  <c r="K19" i="11" s="1"/>
  <c r="L19" i="11" s="1"/>
  <c r="K11" i="13"/>
  <c r="L11" i="13" s="1"/>
  <c r="J11" i="12"/>
  <c r="K11" i="12" s="1"/>
  <c r="L11" i="12" s="1"/>
  <c r="A42" i="34" l="1"/>
  <c r="H42" i="34" s="1"/>
  <c r="L42" i="34" l="1"/>
  <c r="M42" i="34" s="1"/>
  <c r="A26" i="34"/>
  <c r="L26" i="34" s="1"/>
  <c r="M26" i="34" s="1"/>
  <c r="H26" i="3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434508-7C47-4B02-BF07-013AE319A5A4}"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29BB6EF4-DD28-47FF-8A9E-9F26299C24DC}" name="WorksheetConnection_Project 4.xlsx!Table15" type="102" refreshedVersion="7" minRefreshableVersion="5">
    <extLst>
      <ext xmlns:x15="http://schemas.microsoft.com/office/spreadsheetml/2010/11/main" uri="{DE250136-89BD-433C-8126-D09CA5730AF9}">
        <x15:connection id="Table15">
          <x15:rangePr sourceName="_xlcn.WorksheetConnection_Project4.xlsxTable15"/>
        </x15:connection>
      </ext>
    </extLst>
  </connection>
  <connection id="3" xr16:uid="{88EC7A8C-2CAE-4D2F-9A4B-3E212C58B87E}" name="WorksheetConnection_Project 4.xlsx!Table17" type="102" refreshedVersion="7" minRefreshableVersion="5">
    <extLst>
      <ext xmlns:x15="http://schemas.microsoft.com/office/spreadsheetml/2010/11/main" uri="{DE250136-89BD-433C-8126-D09CA5730AF9}">
        <x15:connection id="Table17">
          <x15:rangePr sourceName="_xlcn.WorksheetConnection_Project4.xlsxTable17"/>
        </x15:connection>
      </ext>
    </extLst>
  </connection>
  <connection id="4" xr16:uid="{12B29E08-76CC-4CC2-8F0E-A3C8DDB33E94}" name="WorksheetConnection_Project 4.xlsx!Table5" type="102" refreshedVersion="7" minRefreshableVersion="5">
    <extLst>
      <ext xmlns:x15="http://schemas.microsoft.com/office/spreadsheetml/2010/11/main" uri="{DE250136-89BD-433C-8126-D09CA5730AF9}">
        <x15:connection id="Table5">
          <x15:rangePr sourceName="_xlcn.WorksheetConnection_Project4.xlsxTable5"/>
        </x15:connection>
      </ext>
    </extLst>
  </connection>
</connections>
</file>

<file path=xl/sharedStrings.xml><?xml version="1.0" encoding="utf-8"?>
<sst xmlns="http://schemas.openxmlformats.org/spreadsheetml/2006/main" count="2109" uniqueCount="335">
  <si>
    <t>LIST PRODUCT</t>
  </si>
  <si>
    <t>No</t>
  </si>
  <si>
    <t>Type Of Car</t>
  </si>
  <si>
    <t>HONDA All New Brio</t>
  </si>
  <si>
    <t>HONDA All New Brio Satya S MT</t>
  </si>
  <si>
    <t>HONDA All New Brio Satya E MT</t>
  </si>
  <si>
    <t>HONDA All New Brio Satya E CVT</t>
  </si>
  <si>
    <t>HONDA All New Brio RS CVT</t>
  </si>
  <si>
    <t>HONDA All New Brio RS MT</t>
  </si>
  <si>
    <t>HONDA Mobilio</t>
  </si>
  <si>
    <t>HONDA Mobilio S MT</t>
  </si>
  <si>
    <t>HONDA Mobilio E MT</t>
  </si>
  <si>
    <t>HONDA Mobilio E CVT</t>
  </si>
  <si>
    <t>HONDA Mobilio E S CVT</t>
  </si>
  <si>
    <t>HONDA Mobilio RS MT</t>
  </si>
  <si>
    <t>HONDA Mobilio RS CVT</t>
  </si>
  <si>
    <t>HONDA Mobilio RT MT (2tone)</t>
  </si>
  <si>
    <t>HONDA Mobilio RS CVT (2one)</t>
  </si>
  <si>
    <t>PRICE</t>
  </si>
  <si>
    <t>HONDA BRV</t>
  </si>
  <si>
    <t>HONDA BRV  S MT</t>
  </si>
  <si>
    <t>HONDA BRV E MT</t>
  </si>
  <si>
    <t>HONDA BRV E CVT</t>
  </si>
  <si>
    <t>HONDA BRV Prestige CVT</t>
  </si>
  <si>
    <t>HONDA Jazz</t>
  </si>
  <si>
    <t>HONDA Jazz S MT</t>
  </si>
  <si>
    <t>HONDA Jazz S CVT</t>
  </si>
  <si>
    <t>HONDA Jazz RS CVT</t>
  </si>
  <si>
    <t>HONDA Jazz RS MT</t>
  </si>
  <si>
    <t>HONDA Jazz M/T RS 2Tone</t>
  </si>
  <si>
    <t>HONDA Jazz RS 2tone</t>
  </si>
  <si>
    <t>HONDA NEW HRV</t>
  </si>
  <si>
    <t>HONDA NEW HRV 1.5 S MT</t>
  </si>
  <si>
    <t>HONDA NEW HRV 1.5 S CVT</t>
  </si>
  <si>
    <t>HONDA NEW HRV 1.5 E CVT</t>
  </si>
  <si>
    <t>HONDA NEW HRV 1.5 E CVT SE</t>
  </si>
  <si>
    <t>HONDA NEW HRV 1.8 Prestige CVT</t>
  </si>
  <si>
    <t>HONDA NEW HRV 1.8 Prestige CVT 2Tone CVT</t>
  </si>
  <si>
    <t>HONDA CITY</t>
  </si>
  <si>
    <t>HONDA CITY E MT</t>
  </si>
  <si>
    <t>HONDA CITY ECVT</t>
  </si>
  <si>
    <t>HONDA Civic</t>
  </si>
  <si>
    <t>HONDA Civic E MT</t>
  </si>
  <si>
    <t>HONDA Civic E CVT</t>
  </si>
  <si>
    <t>HONDA Civic HATCHBACK S CVT</t>
  </si>
  <si>
    <t>HONDA Civic HATCHBACK E CVT</t>
  </si>
  <si>
    <t>HONDA Civic 1.5L Turbo AT</t>
  </si>
  <si>
    <t>HONDA NEW CRV 2.0L CVT</t>
  </si>
  <si>
    <t>HONDA NEW CRV 1.5L Turbo CVT</t>
  </si>
  <si>
    <t xml:space="preserve">HONDA NEW CRV </t>
  </si>
  <si>
    <t>ID PRODUCT</t>
  </si>
  <si>
    <t>HB-0101200201</t>
  </si>
  <si>
    <t>HB-0101200202</t>
  </si>
  <si>
    <t>HB-0101200203</t>
  </si>
  <si>
    <t>HB-0101200204</t>
  </si>
  <si>
    <t>HB-0101200205</t>
  </si>
  <si>
    <t>HM-0202200201</t>
  </si>
  <si>
    <t>HM-0202200202</t>
  </si>
  <si>
    <t>HM-0202200203</t>
  </si>
  <si>
    <t>HM-0202200204</t>
  </si>
  <si>
    <t>HM-0202200205</t>
  </si>
  <si>
    <t>HM-0202200206</t>
  </si>
  <si>
    <t>HM-0202200207</t>
  </si>
  <si>
    <t>HM-0202200208</t>
  </si>
  <si>
    <t>HBRV-0303200201</t>
  </si>
  <si>
    <t>HBRV-0303200202</t>
  </si>
  <si>
    <t>HBRV-0303200203</t>
  </si>
  <si>
    <t>HBRV-0303200204</t>
  </si>
  <si>
    <t>HJ-0404202201</t>
  </si>
  <si>
    <t>HJ-0404202202</t>
  </si>
  <si>
    <t>HJ-0404202203</t>
  </si>
  <si>
    <t>HJ-0404202204</t>
  </si>
  <si>
    <t>HJ-0404202205</t>
  </si>
  <si>
    <t>HJ-0404202206</t>
  </si>
  <si>
    <t>HRV-209819801</t>
  </si>
  <si>
    <t>HRV-209819802</t>
  </si>
  <si>
    <t>HRV-209819803</t>
  </si>
  <si>
    <t>HRV-209819804</t>
  </si>
  <si>
    <t>HRV-209819805</t>
  </si>
  <si>
    <t>HRV-209819806</t>
  </si>
  <si>
    <t>HCRV-98765001</t>
  </si>
  <si>
    <t>HCRV-98765002</t>
  </si>
  <si>
    <t>HCRV-98765003</t>
  </si>
  <si>
    <t>HCT-081320001</t>
  </si>
  <si>
    <t>HCT-081320002</t>
  </si>
  <si>
    <t>HCV-3004200301</t>
  </si>
  <si>
    <t>HCV-3004200302</t>
  </si>
  <si>
    <t>HCV-3004200303</t>
  </si>
  <si>
    <t>HCV-3004200304</t>
  </si>
  <si>
    <t>HCV-3004200305</t>
  </si>
  <si>
    <t>Price</t>
  </si>
  <si>
    <t>Stok</t>
  </si>
  <si>
    <t>Category</t>
  </si>
  <si>
    <t>Year</t>
  </si>
  <si>
    <t>ID Product</t>
  </si>
  <si>
    <t>Type</t>
  </si>
  <si>
    <t>HONEST CAR DEALER</t>
  </si>
  <si>
    <t>Brio</t>
  </si>
  <si>
    <t>Mobilio</t>
  </si>
  <si>
    <t>BRV</t>
  </si>
  <si>
    <t>Jazz</t>
  </si>
  <si>
    <t>Civic</t>
  </si>
  <si>
    <t>HRV</t>
  </si>
  <si>
    <t>CRV</t>
  </si>
  <si>
    <t>HONDA NEW CRV 1.5Turbo Prestige CVT</t>
  </si>
  <si>
    <t>Hcity</t>
  </si>
  <si>
    <t>Sum of Price</t>
  </si>
  <si>
    <t>(All)</t>
  </si>
  <si>
    <t>Row Labels</t>
  </si>
  <si>
    <t>Grand Total</t>
  </si>
  <si>
    <t>Honest Car Dealer</t>
  </si>
  <si>
    <t xml:space="preserve"> </t>
  </si>
  <si>
    <t>TOTAL</t>
  </si>
  <si>
    <t>Mobillio</t>
  </si>
  <si>
    <t>CITY</t>
  </si>
  <si>
    <t>TAEYONG</t>
  </si>
  <si>
    <t>TAEIL</t>
  </si>
  <si>
    <t>JOHHNY</t>
  </si>
  <si>
    <t>YUTA</t>
  </si>
  <si>
    <t>KUN</t>
  </si>
  <si>
    <t>DOYOUNG</t>
  </si>
  <si>
    <t>TEN</t>
  </si>
  <si>
    <t>JAEHYUN</t>
  </si>
  <si>
    <t>WINWIN</t>
  </si>
  <si>
    <t>JUNGWOO</t>
  </si>
  <si>
    <t>LUCAS</t>
  </si>
  <si>
    <t xml:space="preserve">MARK </t>
  </si>
  <si>
    <t>XIAOJUN</t>
  </si>
  <si>
    <t>HENDERY</t>
  </si>
  <si>
    <t>YANGYANG</t>
  </si>
  <si>
    <t>RENJUN</t>
  </si>
  <si>
    <t>HAECHAN</t>
  </si>
  <si>
    <t>JENO</t>
  </si>
  <si>
    <t>JAEMIN</t>
  </si>
  <si>
    <t>2019</t>
  </si>
  <si>
    <t>Number Of Installment</t>
  </si>
  <si>
    <t>Interest Rate</t>
  </si>
  <si>
    <t>DP Interest Rate</t>
  </si>
  <si>
    <t>TYPE</t>
  </si>
  <si>
    <t>Presentasi profit</t>
  </si>
  <si>
    <t>DP</t>
  </si>
  <si>
    <t>Remaining Payment</t>
  </si>
  <si>
    <t>Monthly Installment</t>
  </si>
  <si>
    <t>Total Payment</t>
  </si>
  <si>
    <t>Profit</t>
  </si>
  <si>
    <t>SCHEMA INSTALLMENT 3 YEARS</t>
  </si>
  <si>
    <t>SCHEMA INSTALLMENT 1 YEAR</t>
  </si>
  <si>
    <t>SCHEMA INSTALLMENT 5 YEARS</t>
  </si>
  <si>
    <t>CATEGORY</t>
  </si>
  <si>
    <t>ITEM NAME</t>
  </si>
  <si>
    <t>TRANSACTION DATE</t>
  </si>
  <si>
    <t>CUSTOMER NAME</t>
  </si>
  <si>
    <t>ID PRODUK</t>
  </si>
  <si>
    <t>QUANTITY</t>
  </si>
  <si>
    <t>STOCK</t>
  </si>
  <si>
    <t>STOCK LEFT</t>
  </si>
  <si>
    <t>TOTAL PRICE</t>
  </si>
  <si>
    <t>MONTHLY INSTALLMENT</t>
  </si>
  <si>
    <t>REMAINING PAYMENT</t>
  </si>
  <si>
    <t>TOTAL PAYMENT</t>
  </si>
  <si>
    <t>PROFIT</t>
  </si>
  <si>
    <t>NUMBER OF INSTALLMENT</t>
  </si>
  <si>
    <t>INSTALLMENT TRANSACTION 1 YEAR</t>
  </si>
  <si>
    <t>INSTALLMENT TRANSACTION 3 YEAR</t>
  </si>
  <si>
    <t>INSTALLMENT TRANSACTION 5 YEAR</t>
  </si>
  <si>
    <t>$E$5</t>
  </si>
  <si>
    <t>$F$5</t>
  </si>
  <si>
    <t>Created by IKA MAWARNIE on 08/01/2022</t>
  </si>
  <si>
    <t>Scenario Summary</t>
  </si>
  <si>
    <t>Changing Cells:</t>
  </si>
  <si>
    <t>Current Values:</t>
  </si>
  <si>
    <t>Result Cells:</t>
  </si>
  <si>
    <t>Notes:  Current Values column represents values of changing cells at</t>
  </si>
  <si>
    <t>time Scenario Summary Report was created.  Changing cells for each</t>
  </si>
  <si>
    <t>scenario are highlighted in gray.</t>
  </si>
  <si>
    <t>ins1.1</t>
  </si>
  <si>
    <t>ins1.2</t>
  </si>
  <si>
    <t>ins5.1</t>
  </si>
  <si>
    <t>ins5.2</t>
  </si>
  <si>
    <t>ins3.2</t>
  </si>
  <si>
    <t>ins3.1</t>
  </si>
  <si>
    <t>$E$49</t>
  </si>
  <si>
    <t>$F$49</t>
  </si>
  <si>
    <t>$E$93</t>
  </si>
  <si>
    <t>$F$93</t>
  </si>
  <si>
    <t>$L$5</t>
  </si>
  <si>
    <t>$L$49</t>
  </si>
  <si>
    <t>$L$93</t>
  </si>
  <si>
    <t>JIHYO</t>
  </si>
  <si>
    <t>TSUYU</t>
  </si>
  <si>
    <t>MOMO</t>
  </si>
  <si>
    <t>NAEYON</t>
  </si>
  <si>
    <t>TSANA</t>
  </si>
  <si>
    <t>MINA</t>
  </si>
  <si>
    <t>DAHYUN</t>
  </si>
  <si>
    <t>JEONGYEON</t>
  </si>
  <si>
    <t>CHAEYOUNG</t>
  </si>
  <si>
    <t>ROSE</t>
  </si>
  <si>
    <t>LISA</t>
  </si>
  <si>
    <t>JENNIE</t>
  </si>
  <si>
    <t>JISOO</t>
  </si>
  <si>
    <t>KARINA</t>
  </si>
  <si>
    <t>MINJEONG</t>
  </si>
  <si>
    <t>NING-NING</t>
  </si>
  <si>
    <t>GISELLE</t>
  </si>
  <si>
    <t>STOK</t>
  </si>
  <si>
    <t>STOK AWAL</t>
  </si>
  <si>
    <t>NAMA MOBIL</t>
  </si>
  <si>
    <t>ID-MOBIL</t>
  </si>
  <si>
    <t>TERJUAL</t>
  </si>
  <si>
    <t>BELLA</t>
  </si>
  <si>
    <t>LOUIS</t>
  </si>
  <si>
    <t>LEON</t>
  </si>
  <si>
    <t>LILI</t>
  </si>
  <si>
    <t>LUCA</t>
  </si>
  <si>
    <t>DALGOM</t>
  </si>
  <si>
    <t>MARYA</t>
  </si>
  <si>
    <t>PUDU</t>
  </si>
  <si>
    <t>ANDY</t>
  </si>
  <si>
    <t>JHONY</t>
  </si>
  <si>
    <t>JAKE</t>
  </si>
  <si>
    <t>JAY</t>
  </si>
  <si>
    <t>NIKI</t>
  </si>
  <si>
    <t>SUNGHOON</t>
  </si>
  <si>
    <t>JEONGWOO</t>
  </si>
  <si>
    <t>JUNE</t>
  </si>
  <si>
    <t>KEY</t>
  </si>
  <si>
    <t>ONEW</t>
  </si>
  <si>
    <t>SUHO</t>
  </si>
  <si>
    <t>CHEN</t>
  </si>
  <si>
    <t>SEHUN</t>
  </si>
  <si>
    <t>YUNHO</t>
  </si>
  <si>
    <t>ANASTASIA</t>
  </si>
  <si>
    <t>ABIGAIL</t>
  </si>
  <si>
    <t>CALLAGHAN</t>
  </si>
  <si>
    <t>YURI</t>
  </si>
  <si>
    <t>SUGA</t>
  </si>
  <si>
    <t>JEFFERY</t>
  </si>
  <si>
    <t>TREND TERJUAL</t>
  </si>
  <si>
    <t>ID-PRODUK</t>
  </si>
  <si>
    <t>NAMA</t>
  </si>
  <si>
    <t>JUMLAH TERJUAL</t>
  </si>
  <si>
    <t>Sum of JUMLAH TERJUAL</t>
  </si>
  <si>
    <t>Alamat</t>
  </si>
  <si>
    <t>Jakarta</t>
  </si>
  <si>
    <t>Depok</t>
  </si>
  <si>
    <t>Bandung</t>
  </si>
  <si>
    <t>Sum of QUANTITY</t>
  </si>
  <si>
    <t>Sum of TOTAL PRICE</t>
  </si>
  <si>
    <t>Column Labels</t>
  </si>
  <si>
    <t>Sum of STOK AWAL</t>
  </si>
  <si>
    <t>Branch</t>
  </si>
  <si>
    <t>Sales</t>
  </si>
  <si>
    <t>A</t>
  </si>
  <si>
    <t>Ahmad</t>
  </si>
  <si>
    <t>B</t>
  </si>
  <si>
    <t>Budi</t>
  </si>
  <si>
    <t>C</t>
  </si>
  <si>
    <t>Cika</t>
  </si>
  <si>
    <t>CUSTOMER</t>
  </si>
  <si>
    <t>ID-CUSTOMER</t>
  </si>
  <si>
    <t>ALAMAT</t>
  </si>
  <si>
    <t>BRANCH</t>
  </si>
  <si>
    <t>OR-00001</t>
  </si>
  <si>
    <t>OR-00002</t>
  </si>
  <si>
    <t>OR-00003</t>
  </si>
  <si>
    <t>OR-00004</t>
  </si>
  <si>
    <t>OR-00005</t>
  </si>
  <si>
    <t>OR-00006</t>
  </si>
  <si>
    <t>OR-00007</t>
  </si>
  <si>
    <t>OR-00008</t>
  </si>
  <si>
    <t>OR-00009</t>
  </si>
  <si>
    <t>OR-00010</t>
  </si>
  <si>
    <t>OR-00011</t>
  </si>
  <si>
    <t>OR-00012</t>
  </si>
  <si>
    <t>OR-00013</t>
  </si>
  <si>
    <t>OR-00014</t>
  </si>
  <si>
    <t>OR-00015</t>
  </si>
  <si>
    <t>OR-00016</t>
  </si>
  <si>
    <t>OR-00017</t>
  </si>
  <si>
    <t>OR-00018</t>
  </si>
  <si>
    <t>OR-00019</t>
  </si>
  <si>
    <t>OR-00020</t>
  </si>
  <si>
    <t>OR-00021</t>
  </si>
  <si>
    <t>OR-00022</t>
  </si>
  <si>
    <t>OR-00023</t>
  </si>
  <si>
    <t>OR-00024</t>
  </si>
  <si>
    <t>OR-00025</t>
  </si>
  <si>
    <t>OR-00026</t>
  </si>
  <si>
    <t>OR-00027</t>
  </si>
  <si>
    <t>OR-00028</t>
  </si>
  <si>
    <t>OR-00029</t>
  </si>
  <si>
    <t>OR-00030</t>
  </si>
  <si>
    <t>OR-00031</t>
  </si>
  <si>
    <t>OR-00032</t>
  </si>
  <si>
    <t>OR-00033</t>
  </si>
  <si>
    <t>OR-00034</t>
  </si>
  <si>
    <t>OR-00035</t>
  </si>
  <si>
    <t>OR-00036</t>
  </si>
  <si>
    <t>OR-00037</t>
  </si>
  <si>
    <t>OR-00038</t>
  </si>
  <si>
    <t>OR-00039</t>
  </si>
  <si>
    <t>OR-00040</t>
  </si>
  <si>
    <t>OR-00041</t>
  </si>
  <si>
    <t>OR-00042</t>
  </si>
  <si>
    <t>OR-00043</t>
  </si>
  <si>
    <t>OR-00044</t>
  </si>
  <si>
    <t>OR-00045</t>
  </si>
  <si>
    <t>OR-00046</t>
  </si>
  <si>
    <t>OR-00047</t>
  </si>
  <si>
    <t>OR-00048</t>
  </si>
  <si>
    <t>OR-00049</t>
  </si>
  <si>
    <t>OR-00050</t>
  </si>
  <si>
    <t>OR-00051</t>
  </si>
  <si>
    <t>OR-00052</t>
  </si>
  <si>
    <t>OR-00053</t>
  </si>
  <si>
    <t>OR-00054</t>
  </si>
  <si>
    <t>OR-00055</t>
  </si>
  <si>
    <t>OR-00056</t>
  </si>
  <si>
    <t>OR-00057</t>
  </si>
  <si>
    <t>OR-00058</t>
  </si>
  <si>
    <t>OR-00059</t>
  </si>
  <si>
    <t>OR-00060</t>
  </si>
  <si>
    <t>OR-00061</t>
  </si>
  <si>
    <t>OR-00062</t>
  </si>
  <si>
    <t>OR-00063</t>
  </si>
  <si>
    <t>OR-00064</t>
  </si>
  <si>
    <t>ID-PRODUCT</t>
  </si>
  <si>
    <t>TANGGAL</t>
  </si>
  <si>
    <t>JENIS</t>
  </si>
  <si>
    <t>goal seek</t>
  </si>
  <si>
    <t>annual rate</t>
  </si>
  <si>
    <t>year</t>
  </si>
  <si>
    <t>loan amount</t>
  </si>
  <si>
    <t>monthly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</si>
</sst>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8" formatCode="&quot;Rp&quot;#,##0.00;[Red]\-&quot;Rp&quot;#,##0.00"/>
    <numFmt numFmtId="42" formatCode="_-&quot;Rp&quot;* #,##0_-;\-&quot;Rp&quot;* #,##0_-;_-&quot;Rp&quot;* &quot;-&quot;_-;_-@_-"/>
    <numFmt numFmtId="164" formatCode="_-[$Rp-3809]* #,##0.00_-;\-[$Rp-3809]* #,##0.00_-;_-[$Rp-3809]* &quot;-&quot;??_-;_-@_-"/>
    <numFmt numFmtId="165" formatCode="_-[$Rp-421]* #,##0.00_-;\-[$Rp-421]* #,##0.00_-;_-[$Rp-421]* &quot;-&quot;??_-;_-@_-"/>
    <numFmt numFmtId="166" formatCode="_-&quot;Rp&quot;* #,##0.00_-;\-&quot;Rp&quot;* #,##0.00_-;_-&quot;Rp&quot;* &quot;-&quot;_-;_-@_-"/>
    <numFmt numFmtId="167" formatCode="_-[$Rp-421]* #,##0_-;\-[$Rp-421]* #,##0_-;_-[$Rp-421]* &quot;-&quot;_-;_-@_-"/>
  </numFmts>
  <fonts count="18">
    <font>
      <sz val="11"/>
      <color theme="1"/>
      <name val="Tw Cen MT"/>
      <family val="2"/>
      <scheme val="minor"/>
    </font>
    <font>
      <sz val="11"/>
      <color theme="1"/>
      <name val="Tw Cen MT"/>
      <family val="2"/>
      <scheme val="minor"/>
    </font>
    <font>
      <b/>
      <sz val="11"/>
      <color theme="1"/>
      <name val="Tw Cen MT"/>
      <family val="2"/>
      <scheme val="minor"/>
    </font>
    <font>
      <sz val="8"/>
      <name val="Tw Cen MT"/>
      <family val="2"/>
      <scheme val="minor"/>
    </font>
    <font>
      <b/>
      <sz val="11"/>
      <color theme="0"/>
      <name val="Tw Cen MT"/>
      <family val="2"/>
      <scheme val="minor"/>
    </font>
    <font>
      <b/>
      <sz val="22"/>
      <color theme="0"/>
      <name val="Tw Cen MT"/>
      <family val="2"/>
      <scheme val="minor"/>
    </font>
    <font>
      <b/>
      <sz val="26"/>
      <color theme="0"/>
      <name val="Tw Cen MT"/>
      <family val="2"/>
      <scheme val="minor"/>
    </font>
    <font>
      <b/>
      <sz val="20"/>
      <color theme="0"/>
      <name val="Calibri "/>
    </font>
    <font>
      <b/>
      <sz val="36"/>
      <color theme="1"/>
      <name val="Tw Cen MT"/>
      <family val="2"/>
      <scheme val="minor"/>
    </font>
    <font>
      <b/>
      <sz val="48"/>
      <color theme="1"/>
      <name val="Tw Cen MT"/>
      <family val="2"/>
      <scheme val="minor"/>
    </font>
    <font>
      <b/>
      <sz val="12"/>
      <color indexed="9"/>
      <name val="Tw Cen MT"/>
      <family val="2"/>
      <scheme val="minor"/>
    </font>
    <font>
      <b/>
      <sz val="11"/>
      <color indexed="8"/>
      <name val="Tw Cen MT"/>
      <family val="2"/>
      <scheme val="minor"/>
    </font>
    <font>
      <b/>
      <sz val="11"/>
      <color indexed="18"/>
      <name val="Tw Cen MT"/>
      <family val="2"/>
      <scheme val="minor"/>
    </font>
    <font>
      <sz val="10"/>
      <color indexed="9"/>
      <name val="Tw Cen MT"/>
      <family val="2"/>
      <scheme val="minor"/>
    </font>
    <font>
      <sz val="8"/>
      <color theme="1"/>
      <name val="Tw Cen MT"/>
      <family val="2"/>
      <scheme val="minor"/>
    </font>
    <font>
      <sz val="20"/>
      <color theme="1"/>
      <name val="Tw Cen MT"/>
      <family val="2"/>
      <scheme val="minor"/>
    </font>
    <font>
      <sz val="28"/>
      <color theme="1"/>
      <name val="Tw Cen MT"/>
      <family val="2"/>
      <scheme val="minor"/>
    </font>
    <font>
      <sz val="24"/>
      <color theme="1"/>
      <name val="Tw Cen MT"/>
      <family val="2"/>
      <scheme val="minor"/>
    </font>
  </fonts>
  <fills count="13">
    <fill>
      <patternFill patternType="none"/>
    </fill>
    <fill>
      <patternFill patternType="gray125"/>
    </fill>
    <fill>
      <patternFill patternType="solid">
        <fgColor theme="1"/>
        <bgColor indexed="64"/>
      </patternFill>
    </fill>
    <fill>
      <patternFill patternType="solid">
        <fgColor theme="4"/>
        <bgColor indexed="64"/>
      </patternFill>
    </fill>
    <fill>
      <patternFill patternType="solid">
        <fgColor theme="0"/>
        <bgColor theme="4" tint="0.79998168889431442"/>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4"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medium">
        <color indexed="64"/>
      </top>
      <bottom/>
      <diagonal/>
    </border>
    <border>
      <left/>
      <right/>
      <top/>
      <bottom style="medium">
        <color indexed="64"/>
      </bottom>
      <diagonal/>
    </border>
    <border>
      <left/>
      <right style="thin">
        <color indexed="64"/>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42" fontId="1" fillId="0" borderId="0" applyFont="0" applyFill="0" applyBorder="0" applyAlignment="0" applyProtection="0"/>
    <xf numFmtId="9" fontId="1" fillId="0" borderId="0" applyFont="0" applyFill="0" applyBorder="0" applyAlignment="0" applyProtection="0"/>
  </cellStyleXfs>
  <cellXfs count="175">
    <xf numFmtId="0" fontId="0" fillId="0" borderId="0" xfId="0"/>
    <xf numFmtId="0" fontId="0" fillId="0" borderId="0" xfId="0" applyAlignment="1">
      <alignment vertical="center"/>
    </xf>
    <xf numFmtId="0" fontId="2" fillId="0" borderId="1" xfId="0" applyFont="1" applyBorder="1"/>
    <xf numFmtId="0" fontId="0" fillId="0" borderId="1" xfId="0" applyBorder="1"/>
    <xf numFmtId="165" fontId="0" fillId="0" borderId="1" xfId="1" applyNumberFormat="1" applyFont="1" applyBorder="1"/>
    <xf numFmtId="165" fontId="0" fillId="0" borderId="1" xfId="0" applyNumberFormat="1" applyBorder="1"/>
    <xf numFmtId="164" fontId="0" fillId="0" borderId="1" xfId="0" applyNumberFormat="1" applyBorder="1"/>
    <xf numFmtId="164" fontId="0" fillId="0" borderId="1" xfId="1" applyNumberFormat="1" applyFont="1" applyBorder="1"/>
    <xf numFmtId="42" fontId="0" fillId="0" borderId="1" xfId="1" applyFont="1" applyBorder="1"/>
    <xf numFmtId="166" fontId="0" fillId="0" borderId="1" xfId="1" applyNumberFormat="1" applyFont="1" applyBorder="1"/>
    <xf numFmtId="0" fontId="0" fillId="0" borderId="1" xfId="0" applyBorder="1" applyAlignment="1">
      <alignment horizontal="left"/>
    </xf>
    <xf numFmtId="0" fontId="0" fillId="0" borderId="0" xfId="0" pivotButton="1"/>
    <xf numFmtId="0" fontId="0" fillId="0" borderId="0" xfId="0" applyAlignment="1">
      <alignment horizontal="left"/>
    </xf>
    <xf numFmtId="0" fontId="0" fillId="0" borderId="0" xfId="0" applyAlignment="1">
      <alignment horizontal="left" indent="1"/>
    </xf>
    <xf numFmtId="167" fontId="0" fillId="0" borderId="1" xfId="1" applyNumberFormat="1" applyFont="1" applyBorder="1" applyAlignment="1">
      <alignment horizontal="left"/>
    </xf>
    <xf numFmtId="167" fontId="0" fillId="0" borderId="1" xfId="0" applyNumberFormat="1" applyBorder="1" applyAlignment="1">
      <alignment horizontal="left"/>
    </xf>
    <xf numFmtId="42" fontId="0" fillId="0" borderId="0" xfId="0" applyNumberFormat="1"/>
    <xf numFmtId="0" fontId="0" fillId="0" borderId="1" xfId="0" applyBorder="1" applyAlignment="1">
      <alignment horizontal="center"/>
    </xf>
    <xf numFmtId="167" fontId="0" fillId="0" borderId="1" xfId="0" applyNumberFormat="1" applyBorder="1"/>
    <xf numFmtId="14" fontId="0" fillId="0" borderId="1" xfId="0" applyNumberFormat="1" applyBorder="1"/>
    <xf numFmtId="164" fontId="0" fillId="0" borderId="0" xfId="0" applyNumberFormat="1"/>
    <xf numFmtId="9" fontId="0" fillId="0" borderId="1" xfId="0" applyNumberFormat="1" applyBorder="1" applyAlignment="1">
      <alignment horizontal="center"/>
    </xf>
    <xf numFmtId="0" fontId="0" fillId="0" borderId="0" xfId="0" applyAlignment="1">
      <alignment horizontal="center"/>
    </xf>
    <xf numFmtId="42" fontId="0" fillId="0" borderId="1" xfId="0" applyNumberFormat="1" applyBorder="1"/>
    <xf numFmtId="42" fontId="0" fillId="0" borderId="1" xfId="0" applyNumberFormat="1" applyBorder="1" applyAlignment="1">
      <alignment horizontal="center"/>
    </xf>
    <xf numFmtId="0" fontId="4" fillId="2" borderId="1" xfId="0" applyFont="1" applyFill="1" applyBorder="1"/>
    <xf numFmtId="14" fontId="0" fillId="0" borderId="1" xfId="0" applyNumberFormat="1" applyBorder="1" applyAlignment="1">
      <alignment horizontal="left"/>
    </xf>
    <xf numFmtId="0" fontId="4" fillId="2" borderId="8" xfId="0" applyFont="1" applyFill="1" applyBorder="1"/>
    <xf numFmtId="0" fontId="4" fillId="2" borderId="7" xfId="0" applyFont="1" applyFill="1" applyBorder="1"/>
    <xf numFmtId="0" fontId="0" fillId="0" borderId="9" xfId="0" applyBorder="1"/>
    <xf numFmtId="0" fontId="0" fillId="0" borderId="3" xfId="0" applyBorder="1" applyAlignment="1">
      <alignment horizontal="left"/>
    </xf>
    <xf numFmtId="9" fontId="0" fillId="0" borderId="2" xfId="2" applyFont="1" applyBorder="1" applyAlignment="1">
      <alignment horizontal="center"/>
    </xf>
    <xf numFmtId="0" fontId="4" fillId="2" borderId="10" xfId="0" applyFont="1" applyFill="1" applyBorder="1" applyAlignment="1">
      <alignment horizontal="left"/>
    </xf>
    <xf numFmtId="0" fontId="4" fillId="2" borderId="8" xfId="0" applyFont="1" applyFill="1" applyBorder="1" applyAlignment="1">
      <alignment horizontal="left"/>
    </xf>
    <xf numFmtId="42" fontId="4" fillId="2" borderId="8" xfId="0" applyNumberFormat="1" applyFont="1" applyFill="1" applyBorder="1" applyAlignment="1">
      <alignment horizontal="left"/>
    </xf>
    <xf numFmtId="0" fontId="4" fillId="2" borderId="7" xfId="0" applyFont="1" applyFill="1" applyBorder="1" applyAlignment="1">
      <alignment horizontal="left"/>
    </xf>
    <xf numFmtId="0" fontId="0" fillId="0" borderId="9" xfId="0" applyBorder="1" applyAlignment="1">
      <alignment horizontal="left"/>
    </xf>
    <xf numFmtId="0" fontId="0" fillId="0" borderId="11" xfId="0" applyBorder="1" applyAlignment="1">
      <alignment horizontal="left"/>
    </xf>
    <xf numFmtId="167" fontId="0" fillId="0" borderId="11" xfId="1" applyNumberFormat="1" applyFont="1" applyBorder="1" applyAlignment="1">
      <alignment horizontal="left"/>
    </xf>
    <xf numFmtId="0" fontId="0" fillId="0" borderId="11" xfId="0" applyBorder="1" applyAlignment="1">
      <alignment horizontal="center"/>
    </xf>
    <xf numFmtId="9" fontId="0" fillId="0" borderId="11" xfId="0" applyNumberFormat="1" applyBorder="1" applyAlignment="1">
      <alignment horizontal="center"/>
    </xf>
    <xf numFmtId="167" fontId="0" fillId="0" borderId="11" xfId="0" applyNumberFormat="1" applyBorder="1"/>
    <xf numFmtId="42" fontId="0" fillId="0" borderId="11" xfId="0" applyNumberFormat="1" applyBorder="1"/>
    <xf numFmtId="42" fontId="0" fillId="0" borderId="11" xfId="0" applyNumberFormat="1" applyBorder="1" applyAlignment="1">
      <alignment horizontal="center"/>
    </xf>
    <xf numFmtId="9" fontId="0" fillId="0" borderId="12" xfId="2" applyFont="1" applyBorder="1" applyAlignment="1">
      <alignment horizontal="center"/>
    </xf>
    <xf numFmtId="167" fontId="4" fillId="2" borderId="8" xfId="0" applyNumberFormat="1" applyFont="1" applyFill="1" applyBorder="1" applyAlignment="1">
      <alignment horizontal="left"/>
    </xf>
    <xf numFmtId="0" fontId="4" fillId="2" borderId="10" xfId="0" applyFont="1" applyFill="1" applyBorder="1" applyAlignment="1">
      <alignment horizontal="center"/>
    </xf>
    <xf numFmtId="0" fontId="4" fillId="2" borderId="8" xfId="0" applyFont="1" applyFill="1" applyBorder="1" applyAlignment="1">
      <alignment horizontal="center"/>
    </xf>
    <xf numFmtId="167" fontId="4" fillId="2" borderId="8" xfId="0" applyNumberFormat="1" applyFont="1" applyFill="1" applyBorder="1" applyAlignment="1">
      <alignment horizontal="center"/>
    </xf>
    <xf numFmtId="42" fontId="4" fillId="2" borderId="8" xfId="0" applyNumberFormat="1" applyFont="1" applyFill="1" applyBorder="1" applyAlignment="1">
      <alignment horizontal="center"/>
    </xf>
    <xf numFmtId="0" fontId="0" fillId="0" borderId="2" xfId="0" applyBorder="1" applyAlignment="1">
      <alignment horizontal="left"/>
    </xf>
    <xf numFmtId="0" fontId="0" fillId="0" borderId="12" xfId="0" applyBorder="1" applyAlignment="1">
      <alignment horizontal="left"/>
    </xf>
    <xf numFmtId="0" fontId="4" fillId="2" borderId="10" xfId="0" applyFont="1" applyFill="1" applyBorder="1"/>
    <xf numFmtId="0" fontId="0" fillId="0" borderId="3" xfId="0" applyBorder="1"/>
    <xf numFmtId="42" fontId="0" fillId="0" borderId="2" xfId="1" applyFont="1" applyBorder="1"/>
    <xf numFmtId="0" fontId="0" fillId="0" borderId="11" xfId="0" applyBorder="1"/>
    <xf numFmtId="14" fontId="0" fillId="0" borderId="11" xfId="0" applyNumberFormat="1" applyBorder="1"/>
    <xf numFmtId="42" fontId="0" fillId="0" borderId="11" xfId="1" applyFont="1" applyBorder="1"/>
    <xf numFmtId="42" fontId="0" fillId="0" borderId="12" xfId="1" applyFont="1" applyBorder="1"/>
    <xf numFmtId="0" fontId="0" fillId="4" borderId="1" xfId="0" applyFill="1" applyBorder="1" applyAlignment="1">
      <alignment horizontal="left"/>
    </xf>
    <xf numFmtId="0" fontId="0" fillId="4" borderId="3" xfId="0" applyFill="1" applyBorder="1" applyAlignment="1">
      <alignment horizontal="left"/>
    </xf>
    <xf numFmtId="164" fontId="0" fillId="0" borderId="2" xfId="0" applyNumberFormat="1" applyBorder="1"/>
    <xf numFmtId="14" fontId="0" fillId="0" borderId="11" xfId="0" applyNumberFormat="1" applyBorder="1" applyAlignment="1">
      <alignment horizontal="left"/>
    </xf>
    <xf numFmtId="164" fontId="0" fillId="0" borderId="11" xfId="1" applyNumberFormat="1" applyFont="1" applyBorder="1"/>
    <xf numFmtId="164" fontId="0" fillId="0" borderId="11" xfId="0" applyNumberFormat="1" applyBorder="1"/>
    <xf numFmtId="164" fontId="0" fillId="0" borderId="12" xfId="0" applyNumberFormat="1" applyBorder="1"/>
    <xf numFmtId="0" fontId="4" fillId="2" borderId="1" xfId="0" applyFont="1" applyFill="1" applyBorder="1" applyAlignment="1">
      <alignment horizontal="left"/>
    </xf>
    <xf numFmtId="164" fontId="0" fillId="0" borderId="13" xfId="0" applyNumberFormat="1" applyBorder="1"/>
    <xf numFmtId="0" fontId="4" fillId="2" borderId="6" xfId="0" applyFont="1" applyFill="1" applyBorder="1"/>
    <xf numFmtId="164" fontId="0" fillId="0" borderId="5" xfId="0" applyNumberFormat="1" applyBorder="1"/>
    <xf numFmtId="164" fontId="0" fillId="0" borderId="8" xfId="0" applyNumberFormat="1" applyBorder="1"/>
    <xf numFmtId="9" fontId="0" fillId="0" borderId="0" xfId="0" applyNumberFormat="1"/>
    <xf numFmtId="0" fontId="10" fillId="5" borderId="6" xfId="0" applyFont="1" applyFill="1" applyBorder="1" applyAlignment="1">
      <alignment horizontal="left"/>
    </xf>
    <xf numFmtId="0" fontId="10" fillId="5" borderId="14" xfId="0" applyFont="1" applyFill="1" applyBorder="1" applyAlignment="1">
      <alignment horizontal="left"/>
    </xf>
    <xf numFmtId="0" fontId="0" fillId="0" borderId="13" xfId="0" applyBorder="1"/>
    <xf numFmtId="0" fontId="11" fillId="6" borderId="0" xfId="0" applyFont="1" applyFill="1" applyAlignment="1">
      <alignment horizontal="left"/>
    </xf>
    <xf numFmtId="0" fontId="12" fillId="6" borderId="13" xfId="0" applyFont="1" applyFill="1" applyBorder="1" applyAlignment="1">
      <alignment horizontal="left"/>
    </xf>
    <xf numFmtId="0" fontId="11" fillId="6" borderId="15" xfId="0" applyFont="1" applyFill="1" applyBorder="1" applyAlignment="1">
      <alignment horizontal="left"/>
    </xf>
    <xf numFmtId="0" fontId="13" fillId="5" borderId="14" xfId="0" applyFont="1" applyFill="1" applyBorder="1" applyAlignment="1">
      <alignment horizontal="right"/>
    </xf>
    <xf numFmtId="0" fontId="13" fillId="5" borderId="6" xfId="0" applyFont="1" applyFill="1" applyBorder="1" applyAlignment="1">
      <alignment horizontal="right"/>
    </xf>
    <xf numFmtId="9" fontId="0" fillId="7" borderId="0" xfId="0" applyNumberFormat="1" applyFill="1"/>
    <xf numFmtId="0" fontId="14" fillId="0" borderId="0" xfId="0" applyFont="1" applyAlignment="1">
      <alignment vertical="top" wrapText="1"/>
    </xf>
    <xf numFmtId="9" fontId="0" fillId="0" borderId="15" xfId="0" applyNumberFormat="1" applyBorder="1"/>
    <xf numFmtId="0" fontId="0" fillId="8" borderId="1" xfId="0" applyFill="1" applyBorder="1" applyAlignment="1">
      <alignment horizontal="left"/>
    </xf>
    <xf numFmtId="0" fontId="0" fillId="4" borderId="1" xfId="0" applyFill="1" applyBorder="1" applyAlignment="1">
      <alignment horizontal="center"/>
    </xf>
    <xf numFmtId="0" fontId="0" fillId="10" borderId="1" xfId="0" applyFill="1" applyBorder="1" applyAlignment="1">
      <alignment horizontal="left"/>
    </xf>
    <xf numFmtId="0" fontId="0" fillId="10" borderId="1" xfId="0" applyFill="1" applyBorder="1" applyAlignment="1">
      <alignment horizontal="center"/>
    </xf>
    <xf numFmtId="0" fontId="0" fillId="4" borderId="1" xfId="0" applyFill="1" applyBorder="1" applyAlignment="1">
      <alignment horizontal="left" wrapText="1"/>
    </xf>
    <xf numFmtId="0" fontId="0" fillId="10" borderId="1" xfId="0" applyFill="1" applyBorder="1"/>
    <xf numFmtId="0" fontId="0" fillId="0" borderId="7" xfId="0" applyBorder="1"/>
    <xf numFmtId="0" fontId="0" fillId="0" borderId="10" xfId="0" applyBorder="1"/>
    <xf numFmtId="0" fontId="0" fillId="8" borderId="3" xfId="0" applyFill="1" applyBorder="1" applyAlignment="1">
      <alignment horizontal="left"/>
    </xf>
    <xf numFmtId="0" fontId="0" fillId="0" borderId="8" xfId="0" applyBorder="1"/>
    <xf numFmtId="0" fontId="0" fillId="4" borderId="9" xfId="0" applyFill="1" applyBorder="1" applyAlignment="1">
      <alignment horizontal="left"/>
    </xf>
    <xf numFmtId="0" fontId="0" fillId="8" borderId="11" xfId="0" applyFill="1" applyBorder="1" applyAlignment="1">
      <alignment horizontal="left"/>
    </xf>
    <xf numFmtId="0" fontId="0" fillId="11" borderId="1" xfId="0" applyFill="1" applyBorder="1"/>
    <xf numFmtId="0" fontId="0" fillId="11" borderId="1" xfId="0" applyFill="1" applyBorder="1" applyAlignment="1">
      <alignment horizontal="left"/>
    </xf>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15" fillId="0" borderId="0" xfId="0" applyFont="1" applyAlignment="1">
      <alignment vertical="center"/>
    </xf>
    <xf numFmtId="0" fontId="0" fillId="0" borderId="0" xfId="0" applyAlignment="1">
      <alignment horizontal="left" wrapText="1"/>
    </xf>
    <xf numFmtId="0" fontId="0" fillId="12" borderId="0" xfId="0" applyFill="1"/>
    <xf numFmtId="0" fontId="4" fillId="0" borderId="10" xfId="0" applyFont="1" applyBorder="1"/>
    <xf numFmtId="0" fontId="4" fillId="0" borderId="8" xfId="0" applyFont="1" applyBorder="1"/>
    <xf numFmtId="0" fontId="4" fillId="0" borderId="7" xfId="0" applyFont="1" applyBorder="1"/>
    <xf numFmtId="0" fontId="0" fillId="12" borderId="3" xfId="0" applyFill="1" applyBorder="1" applyAlignment="1">
      <alignment horizontal="left"/>
    </xf>
    <xf numFmtId="167" fontId="0" fillId="0" borderId="0" xfId="0" applyNumberFormat="1"/>
    <xf numFmtId="1" fontId="0" fillId="0" borderId="1" xfId="0" applyNumberFormat="1" applyBorder="1"/>
    <xf numFmtId="1" fontId="0" fillId="0" borderId="11" xfId="0" applyNumberFormat="1" applyBorder="1"/>
    <xf numFmtId="0" fontId="0" fillId="4" borderId="1" xfId="0" applyFill="1" applyBorder="1"/>
    <xf numFmtId="0" fontId="0" fillId="10" borderId="3" xfId="0" applyFill="1" applyBorder="1"/>
    <xf numFmtId="0" fontId="0" fillId="4" borderId="2" xfId="0" applyFill="1" applyBorder="1"/>
    <xf numFmtId="0" fontId="0" fillId="10" borderId="2" xfId="0" applyFill="1" applyBorder="1"/>
    <xf numFmtId="0" fontId="0" fillId="11" borderId="10" xfId="0" applyFill="1" applyBorder="1"/>
    <xf numFmtId="0" fontId="0" fillId="11" borderId="8" xfId="0" applyFill="1" applyBorder="1"/>
    <xf numFmtId="0" fontId="0" fillId="11" borderId="7" xfId="0" applyFill="1" applyBorder="1"/>
    <xf numFmtId="0" fontId="0" fillId="10" borderId="9" xfId="0" applyFill="1" applyBorder="1"/>
    <xf numFmtId="0" fontId="0" fillId="10" borderId="11" xfId="0" applyFill="1" applyBorder="1"/>
    <xf numFmtId="0" fontId="0" fillId="10" borderId="11" xfId="0" applyFill="1" applyBorder="1" applyAlignment="1">
      <alignment horizontal="center"/>
    </xf>
    <xf numFmtId="0" fontId="0" fillId="10" borderId="12" xfId="0" applyFill="1" applyBorder="1"/>
    <xf numFmtId="14" fontId="0" fillId="8" borderId="1" xfId="0" applyNumberFormat="1" applyFill="1" applyBorder="1" applyAlignment="1">
      <alignment horizontal="left"/>
    </xf>
    <xf numFmtId="42" fontId="0" fillId="8" borderId="1" xfId="1" applyFont="1" applyFill="1" applyBorder="1" applyAlignment="1">
      <alignment horizontal="left"/>
    </xf>
    <xf numFmtId="164" fontId="0" fillId="8" borderId="1" xfId="0" applyNumberFormat="1" applyFill="1" applyBorder="1" applyAlignment="1">
      <alignment horizontal="left"/>
    </xf>
    <xf numFmtId="164" fontId="0" fillId="8" borderId="1" xfId="1" applyNumberFormat="1" applyFont="1" applyFill="1" applyBorder="1" applyAlignment="1">
      <alignment horizontal="left"/>
    </xf>
    <xf numFmtId="42" fontId="0" fillId="8" borderId="2" xfId="1" applyFont="1" applyFill="1" applyBorder="1" applyAlignment="1">
      <alignment horizontal="left"/>
    </xf>
    <xf numFmtId="164" fontId="0" fillId="8" borderId="2" xfId="0" applyNumberFormat="1" applyFill="1" applyBorder="1" applyAlignment="1">
      <alignment horizontal="left"/>
    </xf>
    <xf numFmtId="164" fontId="0" fillId="0" borderId="2" xfId="0" applyNumberFormat="1" applyBorder="1" applyAlignment="1">
      <alignment horizontal="left"/>
    </xf>
    <xf numFmtId="0" fontId="0" fillId="0" borderId="10" xfId="0" applyBorder="1" applyAlignment="1">
      <alignment horizontal="left"/>
    </xf>
    <xf numFmtId="0" fontId="0" fillId="0" borderId="8" xfId="0" applyBorder="1" applyAlignment="1">
      <alignment horizontal="left"/>
    </xf>
    <xf numFmtId="0" fontId="0" fillId="0" borderId="7" xfId="0" applyBorder="1" applyAlignment="1">
      <alignment horizontal="left"/>
    </xf>
    <xf numFmtId="164" fontId="0" fillId="8" borderId="11" xfId="0" applyNumberFormat="1" applyFill="1" applyBorder="1" applyAlignment="1">
      <alignment horizontal="left"/>
    </xf>
    <xf numFmtId="164" fontId="0" fillId="8" borderId="12" xfId="0" applyNumberFormat="1" applyFill="1" applyBorder="1" applyAlignment="1">
      <alignment horizontal="left"/>
    </xf>
    <xf numFmtId="0" fontId="0" fillId="0" borderId="0" xfId="0" applyAlignment="1">
      <alignment horizontal="left" indent="2"/>
    </xf>
    <xf numFmtId="9" fontId="0" fillId="0" borderId="1" xfId="0" applyNumberFormat="1" applyBorder="1"/>
    <xf numFmtId="8" fontId="0" fillId="0" borderId="1" xfId="0" applyNumberFormat="1" applyBorder="1"/>
    <xf numFmtId="0" fontId="7" fillId="3" borderId="1" xfId="0" applyFont="1" applyFill="1" applyBorder="1" applyAlignment="1">
      <alignment horizontal="center" vertical="center"/>
    </xf>
    <xf numFmtId="0" fontId="6"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15" fillId="9" borderId="12" xfId="0" applyFont="1" applyFill="1" applyBorder="1" applyAlignment="1">
      <alignment horizontal="center" vertical="center"/>
    </xf>
    <xf numFmtId="0" fontId="15" fillId="9" borderId="5" xfId="0" applyFont="1" applyFill="1" applyBorder="1" applyAlignment="1">
      <alignment horizontal="center" vertical="center"/>
    </xf>
    <xf numFmtId="0" fontId="15" fillId="9" borderId="9" xfId="0" applyFont="1" applyFill="1" applyBorder="1" applyAlignment="1">
      <alignment horizontal="center" vertical="center"/>
    </xf>
    <xf numFmtId="0" fontId="15" fillId="9" borderId="4" xfId="0" applyFont="1" applyFill="1" applyBorder="1" applyAlignment="1">
      <alignment horizontal="center" vertical="center"/>
    </xf>
    <xf numFmtId="0" fontId="15" fillId="9" borderId="0" xfId="0" applyFont="1" applyFill="1" applyAlignment="1">
      <alignment horizontal="center" vertical="center"/>
    </xf>
    <xf numFmtId="0" fontId="15" fillId="9" borderId="16" xfId="0" applyFont="1" applyFill="1" applyBorder="1" applyAlignment="1">
      <alignment horizontal="center" vertical="center"/>
    </xf>
    <xf numFmtId="0" fontId="15" fillId="9" borderId="7" xfId="0" applyFont="1" applyFill="1" applyBorder="1" applyAlignment="1">
      <alignment horizontal="center" vertical="center"/>
    </xf>
    <xf numFmtId="0" fontId="15" fillId="9" borderId="6" xfId="0" applyFont="1" applyFill="1" applyBorder="1" applyAlignment="1">
      <alignment horizontal="center" vertical="center"/>
    </xf>
    <xf numFmtId="0" fontId="15" fillId="9" borderId="10" xfId="0" applyFont="1" applyFill="1" applyBorder="1" applyAlignment="1">
      <alignment horizontal="center" vertical="center"/>
    </xf>
    <xf numFmtId="0" fontId="0" fillId="10" borderId="1" xfId="0" applyFill="1" applyBorder="1" applyAlignment="1">
      <alignment horizontal="center" vertical="center"/>
    </xf>
    <xf numFmtId="0" fontId="0" fillId="10" borderId="2" xfId="0" applyFill="1" applyBorder="1" applyAlignment="1">
      <alignment horizontal="center" vertical="center"/>
    </xf>
    <xf numFmtId="0" fontId="0" fillId="10" borderId="13" xfId="0" applyFill="1" applyBorder="1" applyAlignment="1">
      <alignment horizontal="center" vertical="center"/>
    </xf>
    <xf numFmtId="0" fontId="0" fillId="10" borderId="3" xfId="0" applyFill="1" applyBorder="1" applyAlignment="1">
      <alignment horizontal="center" vertical="center"/>
    </xf>
    <xf numFmtId="0" fontId="5" fillId="3" borderId="4" xfId="0" applyFont="1" applyFill="1" applyBorder="1" applyAlignment="1">
      <alignment horizontal="center"/>
    </xf>
    <xf numFmtId="0" fontId="5" fillId="3" borderId="0" xfId="0" applyFont="1" applyFill="1" applyAlignment="1">
      <alignment horizontal="center"/>
    </xf>
    <xf numFmtId="0" fontId="5" fillId="3" borderId="7" xfId="0" applyFont="1" applyFill="1" applyBorder="1" applyAlignment="1">
      <alignment horizontal="center"/>
    </xf>
    <xf numFmtId="0" fontId="5" fillId="3" borderId="6" xfId="0" applyFont="1" applyFill="1" applyBorder="1" applyAlignment="1">
      <alignment horizontal="center"/>
    </xf>
    <xf numFmtId="0" fontId="16" fillId="9" borderId="0" xfId="0" applyFont="1" applyFill="1" applyAlignment="1">
      <alignment horizontal="center"/>
    </xf>
    <xf numFmtId="0" fontId="0" fillId="9" borderId="0" xfId="0" applyFill="1" applyAlignment="1">
      <alignment horizontal="center"/>
    </xf>
    <xf numFmtId="0" fontId="17" fillId="9" borderId="1" xfId="0" applyFont="1" applyFill="1" applyBorder="1" applyAlignment="1">
      <alignment horizontal="center"/>
    </xf>
    <xf numFmtId="0" fontId="0" fillId="9" borderId="1" xfId="0" applyFill="1" applyBorder="1" applyAlignment="1">
      <alignment horizontal="center"/>
    </xf>
    <xf numFmtId="0" fontId="17" fillId="0" borderId="0" xfId="0" applyFont="1" applyAlignment="1">
      <alignment horizontal="center"/>
    </xf>
    <xf numFmtId="0" fontId="9" fillId="3" borderId="5" xfId="0" applyFont="1" applyFill="1" applyBorder="1" applyAlignment="1">
      <alignment horizontal="center"/>
    </xf>
    <xf numFmtId="0" fontId="9" fillId="3" borderId="0" xfId="0" applyFont="1" applyFill="1" applyAlignment="1">
      <alignment horizontal="center"/>
    </xf>
    <xf numFmtId="0" fontId="9" fillId="3" borderId="6" xfId="0" applyFont="1" applyFill="1" applyBorder="1" applyAlignment="1">
      <alignment horizontal="center"/>
    </xf>
    <xf numFmtId="0" fontId="2" fillId="3" borderId="5" xfId="0" applyFont="1" applyFill="1" applyBorder="1" applyAlignment="1">
      <alignment horizontal="center"/>
    </xf>
    <xf numFmtId="0" fontId="2" fillId="3" borderId="0" xfId="0" applyFont="1" applyFill="1" applyAlignment="1">
      <alignment horizontal="center"/>
    </xf>
    <xf numFmtId="0" fontId="2" fillId="3" borderId="6" xfId="0" applyFont="1" applyFill="1" applyBorder="1" applyAlignment="1">
      <alignment horizontal="center"/>
    </xf>
    <xf numFmtId="0" fontId="8" fillId="3" borderId="0" xfId="0" applyFont="1" applyFill="1" applyAlignment="1">
      <alignment horizontal="center"/>
    </xf>
    <xf numFmtId="0" fontId="0" fillId="0" borderId="0" xfId="0" applyNumberFormat="1"/>
  </cellXfs>
  <cellStyles count="3">
    <cellStyle name="Currency [0]" xfId="1" builtinId="7"/>
    <cellStyle name="Normal" xfId="0" builtinId="0"/>
    <cellStyle name="Percent" xfId="2" builtinId="5"/>
  </cellStyles>
  <dxfs count="296">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dxf>
    <dxf>
      <numFmt numFmtId="164" formatCode="_-[$Rp-3809]* #,##0.00_-;\-[$Rp-3809]* #,##0.00_-;_-[$Rp-3809]* &quot;-&quot;??_-;_-@_-"/>
      <border diagonalUp="0" diagonalDown="0" outline="0">
        <left style="thin">
          <color indexed="64"/>
        </left>
        <right style="thin">
          <color indexed="64"/>
        </right>
        <top style="thin">
          <color indexed="64"/>
        </top>
        <bottom/>
      </border>
    </dxf>
    <dxf>
      <numFmt numFmtId="164" formatCode="_-[$Rp-3809]* #,##0.00_-;\-[$Rp-3809]* #,##0.00_-;_-[$Rp-3809]*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Rp-3809]* #,##0.00_-;\-[$Rp-3809]* #,##0.00_-;_-[$Rp-3809]* &quot;-&quot;??_-;_-@_-"/>
      <border diagonalUp="0" diagonalDown="0" outline="0">
        <left style="thin">
          <color indexed="64"/>
        </left>
        <right/>
        <top style="thin">
          <color indexed="64"/>
        </top>
        <bottom/>
      </border>
    </dxf>
    <dxf>
      <numFmt numFmtId="164" formatCode="_-[$Rp-3809]* #,##0.00_-;\-[$Rp-3809]* #,##0.00_-;_-[$Rp-3809]* &quot;-&quot;??_-;_-@_-"/>
      <border diagonalUp="0" diagonalDown="0">
        <left style="thin">
          <color indexed="64"/>
        </left>
        <right/>
        <top style="thin">
          <color indexed="64"/>
        </top>
        <bottom style="thin">
          <color indexed="64"/>
        </bottom>
        <vertical style="thin">
          <color indexed="64"/>
        </vertical>
        <horizontal style="thin">
          <color indexed="64"/>
        </horizontal>
      </border>
    </dxf>
    <dxf>
      <numFmt numFmtId="164" formatCode="_-[$Rp-3809]* #,##0.00_-;\-[$Rp-3809]* #,##0.00_-;_-[$Rp-3809]* &quot;-&quot;??_-;_-@_-"/>
      <border diagonalUp="0" diagonalDown="0" outline="0">
        <left style="thin">
          <color indexed="64"/>
        </left>
        <right style="thin">
          <color indexed="64"/>
        </right>
        <top style="thin">
          <color indexed="64"/>
        </top>
        <bottom/>
      </border>
    </dxf>
    <dxf>
      <numFmt numFmtId="164" formatCode="_-[$Rp-3809]* #,##0.00_-;\-[$Rp-3809]* #,##0.00_-;_-[$Rp-3809]*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Rp-3809]* #,##0.00_-;\-[$Rp-3809]* #,##0.00_-;_-[$Rp-3809]* &quot;-&quot;??_-;_-@_-"/>
      <border diagonalUp="0" diagonalDown="0" outline="0">
        <left style="thin">
          <color indexed="64"/>
        </left>
        <right style="thin">
          <color indexed="64"/>
        </right>
        <top style="thin">
          <color indexed="64"/>
        </top>
        <bottom/>
      </border>
    </dxf>
    <dxf>
      <numFmt numFmtId="164" formatCode="_-[$Rp-3809]* #,##0.00_-;\-[$Rp-3809]* #,##0.00_-;_-[$Rp-3809]*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Rp-3809]* #,##0.00_-;\-[$Rp-3809]* #,##0.00_-;_-[$Rp-3809]* &quot;-&quot;??_-;_-@_-"/>
      <border diagonalUp="0" diagonalDown="0" outline="0">
        <left style="thin">
          <color indexed="64"/>
        </left>
        <right style="thin">
          <color indexed="64"/>
        </right>
        <top style="thin">
          <color indexed="64"/>
        </top>
        <bottom/>
      </border>
    </dxf>
    <dxf>
      <numFmt numFmtId="164" formatCode="_-[$Rp-3809]* #,##0.00_-;\-[$Rp-3809]* #,##0.00_-;_-[$Rp-3809]*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family val="2"/>
        <scheme val="minor"/>
      </font>
      <numFmt numFmtId="164" formatCode="_-[$Rp-3809]* #,##0.00_-;\-[$Rp-3809]* #,##0.00_-;_-[$Rp-3809]*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Tw Cen MT"/>
        <family val="2"/>
        <scheme val="minor"/>
      </font>
      <numFmt numFmtId="164" formatCode="_-[$Rp-3809]* #,##0.00_-;\-[$Rp-3809]* #,##0.00_-;_-[$Rp-3809]*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right style="thin">
          <color indexed="64"/>
        </right>
        <top style="thin">
          <color indexed="64"/>
        </top>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0"/>
        <name val="Tw Cen MT"/>
        <family val="2"/>
        <scheme val="minor"/>
      </font>
      <fill>
        <patternFill patternType="solid">
          <fgColor indexed="64"/>
          <bgColor theme="1"/>
        </patternFill>
      </fill>
      <border diagonalUp="0" diagonalDown="0">
        <left style="thin">
          <color indexed="64"/>
        </left>
        <right style="thin">
          <color indexed="64"/>
        </right>
        <top/>
        <bottom/>
        <vertical style="thin">
          <color indexed="64"/>
        </vertical>
        <horizontal style="thin">
          <color indexed="64"/>
        </horizontal>
      </border>
    </dxf>
    <dxf>
      <numFmt numFmtId="164" formatCode="_-[$Rp-3809]* #,##0.00_-;\-[$Rp-3809]* #,##0.00_-;_-[$Rp-3809]*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Rp-3809]* #,##0.00_-;\-[$Rp-3809]* #,##0.00_-;_-[$Rp-3809]* &quot;-&quot;??_-;_-@_-"/>
      <border diagonalUp="0" diagonalDown="0">
        <left style="thin">
          <color indexed="64"/>
        </left>
        <right/>
        <top style="thin">
          <color indexed="64"/>
        </top>
        <bottom style="thin">
          <color indexed="64"/>
        </bottom>
        <vertical style="thin">
          <color indexed="64"/>
        </vertical>
        <horizontal style="thin">
          <color indexed="64"/>
        </horizontal>
      </border>
    </dxf>
    <dxf>
      <numFmt numFmtId="164" formatCode="_-[$Rp-3809]* #,##0.00_-;\-[$Rp-3809]* #,##0.00_-;_-[$Rp-3809]*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Rp-3809]* #,##0.00_-;\-[$Rp-3809]* #,##0.00_-;_-[$Rp-3809]*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Rp-3809]* #,##0.00_-;\-[$Rp-3809]* #,##0.00_-;_-[$Rp-3809]*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family val="2"/>
        <scheme val="minor"/>
      </font>
      <numFmt numFmtId="164" formatCode="_-[$Rp-3809]* #,##0.00_-;\-[$Rp-3809]* #,##0.00_-;_-[$Rp-3809]*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0"/>
        <name val="Tw Cen MT"/>
        <family val="2"/>
        <scheme val="minor"/>
      </font>
      <fill>
        <patternFill patternType="solid">
          <fgColor indexed="64"/>
          <bgColor theme="1"/>
        </patternFill>
      </fill>
      <border diagonalUp="0" diagonalDown="0">
        <left style="thin">
          <color indexed="64"/>
        </left>
        <right style="thin">
          <color indexed="64"/>
        </right>
        <top/>
        <bottom/>
        <vertical style="thin">
          <color indexed="64"/>
        </vertical>
        <horizontal style="thin">
          <color indexed="64"/>
        </horizontal>
      </border>
    </dxf>
    <dxf>
      <numFmt numFmtId="164" formatCode="_-[$Rp-3809]* #,##0.00_-;\-[$Rp-3809]* #,##0.00_-;_-[$Rp-3809]* &quot;-&quot;??_-;_-@_-"/>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Tw Cen MT"/>
        <family val="2"/>
        <scheme val="minor"/>
      </font>
      <fill>
        <patternFill patternType="solid">
          <fgColor indexed="64"/>
          <bgColor theme="1"/>
        </patternFill>
      </fill>
    </dxf>
    <dxf>
      <numFmt numFmtId="164" formatCode="_-[$Rp-3809]* #,##0.00_-;\-[$Rp-3809]* #,##0.00_-;_-[$Rp-3809]* &quot;-&quot;??_-;_-@_-"/>
      <border diagonalUp="0" diagonalDown="0">
        <left style="thin">
          <color indexed="64"/>
        </left>
        <right/>
        <top style="thin">
          <color indexed="64"/>
        </top>
        <bottom style="thin">
          <color indexed="64"/>
        </bottom>
        <vertical style="thin">
          <color indexed="64"/>
        </vertical>
        <horizontal style="thin">
          <color indexed="64"/>
        </horizontal>
      </border>
    </dxf>
    <dxf>
      <numFmt numFmtId="164" formatCode="_-[$Rp-3809]* #,##0.00_-;\-[$Rp-3809]* #,##0.00_-;_-[$Rp-3809]*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Rp-3809]* #,##0.00_-;\-[$Rp-3809]* #,##0.00_-;_-[$Rp-3809]*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Rp-3809]* #,##0.00_-;\-[$Rp-3809]* #,##0.00_-;_-[$Rp-3809]*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family val="2"/>
        <scheme val="minor"/>
      </font>
      <numFmt numFmtId="164" formatCode="_-[$Rp-3809]* #,##0.00_-;\-[$Rp-3809]* #,##0.00_-;_-[$Rp-3809]*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0"/>
        <name val="Tw Cen MT"/>
        <family val="2"/>
        <scheme val="minor"/>
      </font>
      <fill>
        <patternFill patternType="solid">
          <fgColor indexed="64"/>
          <bgColor theme="1"/>
        </patternFill>
      </fill>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Tw Cen MT"/>
        <family val="2"/>
        <scheme val="minor"/>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32" formatCode="_-&quot;Rp&quot;* #,##0_-;\-&quot;Rp&quot;* #,##0_-;_-&quot;Rp&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2" formatCode="_-&quot;Rp&quot;* #,##0_-;\-&quot;Rp&quot;* #,##0_-;_-&quot;Rp&quot;* &quot;-&quot;_-;_-@_-"/>
      <border diagonalUp="0" diagonalDown="0">
        <left style="thin">
          <color indexed="64"/>
        </left>
        <right style="thin">
          <color indexed="64"/>
        </right>
        <top style="thin">
          <color indexed="64"/>
        </top>
        <bottom style="thin">
          <color indexed="64"/>
        </bottom>
        <vertical/>
        <horizontal/>
      </border>
    </dxf>
    <dxf>
      <numFmt numFmtId="32" formatCode="_-&quot;Rp&quot;* #,##0_-;\-&quot;Rp&quot;* #,##0_-;_-&quot;Rp&quot;* &quot;-&quot;_-;_-@_-"/>
      <border diagonalUp="0" diagonalDown="0">
        <left style="thin">
          <color indexed="64"/>
        </left>
        <right style="thin">
          <color indexed="64"/>
        </right>
        <top style="thin">
          <color indexed="64"/>
        </top>
        <bottom style="thin">
          <color indexed="64"/>
        </bottom>
        <vertical/>
        <horizontal/>
      </border>
    </dxf>
    <dxf>
      <numFmt numFmtId="167" formatCode="_-[$Rp-421]* #,##0_-;\-[$Rp-421]* #,##0_-;_-[$Rp-421]* &quot;-&quot;_-;_-@_-"/>
      <border diagonalUp="0" diagonalDown="0">
        <left style="thin">
          <color indexed="64"/>
        </left>
        <right style="thin">
          <color indexed="64"/>
        </right>
        <top style="thin">
          <color indexed="64"/>
        </top>
        <bottom style="thin">
          <color indexed="64"/>
        </bottom>
        <vertical/>
        <horizontal/>
      </border>
    </dxf>
    <dxf>
      <numFmt numFmtId="167" formatCode="_-[$Rp-421]* #,##0_-;\-[$Rp-421]* #,##0_-;_-[$Rp-421]* &quot;-&quot;_-;_-@_-"/>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w Cen MT"/>
        <family val="2"/>
        <scheme val="minor"/>
      </font>
      <numFmt numFmtId="167" formatCode="_-[$Rp-421]* #,##0_-;\-[$Rp-421]* #,##0_-;_-[$Rp-421]* &quot;-&quot;_-;_-@_-"/>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Tw Cen MT"/>
        <family val="2"/>
        <scheme val="minor"/>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32" formatCode="_-&quot;Rp&quot;* #,##0_-;\-&quot;Rp&quot;* #,##0_-;_-&quot;Rp&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2" formatCode="_-&quot;Rp&quot;* #,##0_-;\-&quot;Rp&quot;* #,##0_-;_-&quot;Rp&quot;* &quot;-&quot;_-;_-@_-"/>
      <border diagonalUp="0" diagonalDown="0">
        <left style="thin">
          <color indexed="64"/>
        </left>
        <right style="thin">
          <color indexed="64"/>
        </right>
        <top style="thin">
          <color indexed="64"/>
        </top>
        <bottom style="thin">
          <color indexed="64"/>
        </bottom>
        <vertical/>
        <horizontal/>
      </border>
    </dxf>
    <dxf>
      <numFmt numFmtId="32" formatCode="_-&quot;Rp&quot;* #,##0_-;\-&quot;Rp&quot;* #,##0_-;_-&quot;Rp&quot;* &quot;-&quot;_-;_-@_-"/>
      <border diagonalUp="0" diagonalDown="0">
        <left style="thin">
          <color indexed="64"/>
        </left>
        <right style="thin">
          <color indexed="64"/>
        </right>
        <top style="thin">
          <color indexed="64"/>
        </top>
        <bottom style="thin">
          <color indexed="64"/>
        </bottom>
        <vertical/>
        <horizontal/>
      </border>
    </dxf>
    <dxf>
      <numFmt numFmtId="167" formatCode="_-[$Rp-421]* #,##0_-;\-[$Rp-421]* #,##0_-;_-[$Rp-421]* &quot;-&quot;_-;_-@_-"/>
      <border diagonalUp="0" diagonalDown="0">
        <left style="thin">
          <color indexed="64"/>
        </left>
        <right style="thin">
          <color indexed="64"/>
        </right>
        <top style="thin">
          <color indexed="64"/>
        </top>
        <bottom style="thin">
          <color indexed="64"/>
        </bottom>
        <vertical/>
        <horizontal/>
      </border>
    </dxf>
    <dxf>
      <numFmt numFmtId="167" formatCode="_-[$Rp-421]* #,##0_-;\-[$Rp-421]* #,##0_-;_-[$Rp-421]* &quot;-&quot;_-;_-@_-"/>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w Cen MT"/>
        <family val="2"/>
        <scheme val="minor"/>
      </font>
      <numFmt numFmtId="167" formatCode="_-[$Rp-421]* #,##0_-;\-[$Rp-421]* #,##0_-;_-[$Rp-421]* &quot;-&quot;_-;_-@_-"/>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Tw Cen MT"/>
        <family val="2"/>
        <scheme val="minor"/>
      </font>
      <fill>
        <patternFill patternType="solid">
          <fgColor indexed="64"/>
          <bgColor theme="1"/>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Tw Cen MT"/>
        <family val="2"/>
        <scheme val="minor"/>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32" formatCode="_-&quot;Rp&quot;* #,##0_-;\-&quot;Rp&quot;* #,##0_-;_-&quot;Rp&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2" formatCode="_-&quot;Rp&quot;* #,##0_-;\-&quot;Rp&quot;* #,##0_-;_-&quot;Rp&quot;* &quot;-&quot;_-;_-@_-"/>
      <border diagonalUp="0" diagonalDown="0">
        <left style="thin">
          <color indexed="64"/>
        </left>
        <right style="thin">
          <color indexed="64"/>
        </right>
        <top style="thin">
          <color indexed="64"/>
        </top>
        <bottom style="thin">
          <color indexed="64"/>
        </bottom>
        <vertical/>
        <horizontal/>
      </border>
    </dxf>
    <dxf>
      <numFmt numFmtId="32" formatCode="_-&quot;Rp&quot;* #,##0_-;\-&quot;Rp&quot;* #,##0_-;_-&quot;Rp&quot;* &quot;-&quot;_-;_-@_-"/>
      <border diagonalUp="0" diagonalDown="0">
        <left style="thin">
          <color indexed="64"/>
        </left>
        <right style="thin">
          <color indexed="64"/>
        </right>
        <top style="thin">
          <color indexed="64"/>
        </top>
        <bottom style="thin">
          <color indexed="64"/>
        </bottom>
        <vertical/>
        <horizontal/>
      </border>
    </dxf>
    <dxf>
      <numFmt numFmtId="167" formatCode="_-[$Rp-421]* #,##0_-;\-[$Rp-421]* #,##0_-;_-[$Rp-421]* &quot;-&quot;_-;_-@_-"/>
      <border diagonalUp="0" diagonalDown="0">
        <left style="thin">
          <color indexed="64"/>
        </left>
        <right style="thin">
          <color indexed="64"/>
        </right>
        <top style="thin">
          <color indexed="64"/>
        </top>
        <bottom style="thin">
          <color indexed="64"/>
        </bottom>
        <vertical/>
        <horizontal/>
      </border>
    </dxf>
    <dxf>
      <numFmt numFmtId="167" formatCode="_-[$Rp-421]* #,##0_-;\-[$Rp-421]* #,##0_-;_-[$Rp-421]* &quot;-&quot;_-;_-@_-"/>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w Cen MT"/>
        <family val="2"/>
        <scheme val="minor"/>
      </font>
      <numFmt numFmtId="167" formatCode="_-[$Rp-421]* #,##0_-;\-[$Rp-421]* #,##0_-;_-[$Rp-421]* &quot;-&quot;_-;_-@_-"/>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Tw Cen MT"/>
        <family val="2"/>
        <scheme val="minor"/>
      </font>
      <fill>
        <patternFill patternType="solid">
          <fgColor indexed="64"/>
          <bgColor theme="1"/>
        </patternFill>
      </fill>
      <alignment horizontal="left" vertical="bottom" textRotation="0" wrapText="0" indent="0" justifyLastLine="0" shrinkToFit="0" readingOrder="0"/>
      <border diagonalUp="0" diagonalDown="0" outline="0">
        <left style="thin">
          <color indexed="64"/>
        </left>
        <right style="thin">
          <color indexed="64"/>
        </right>
        <top/>
        <bottom/>
      </border>
    </dxf>
    <dxf>
      <numFmt numFmtId="164" formatCode="_-[$Rp-3809]* #,##0.00_-;\-[$Rp-3809]* #,##0.00_-;_-[$Rp-3809]* &quot;-&quot;??_-;_-@_-"/>
    </dxf>
    <dxf>
      <numFmt numFmtId="164" formatCode="_-[$Rp-3809]* #,##0.00_-;\-[$Rp-3809]* #,##0.00_-;_-[$Rp-3809]* &quot;-&quot;??_-;_-@_-"/>
      <fill>
        <patternFill patternType="none">
          <fgColor indexed="64"/>
          <bgColor indexed="65"/>
        </patternFill>
      </fill>
      <border diagonalUp="0" diagonalDown="0">
        <left style="thin">
          <color indexed="64"/>
        </left>
        <right/>
        <top style="thin">
          <color indexed="64"/>
        </top>
        <bottom style="thin">
          <color indexed="64"/>
        </bottom>
        <vertical/>
        <horizontal/>
      </border>
    </dxf>
    <dxf>
      <numFmt numFmtId="164" formatCode="_-[$Rp-3809]* #,##0.00_-;\-[$Rp-3809]* #,##0.00_-;_-[$Rp-3809]*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w Cen MT"/>
        <family val="2"/>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w Cen MT"/>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w Cen MT"/>
        <family val="2"/>
        <scheme val="minor"/>
      </font>
      <numFmt numFmtId="19" formatCode="dd/mm/yyyy"/>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w Cen MT"/>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w Cen MT"/>
        <family val="2"/>
        <scheme val="minor"/>
      </font>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1"/>
        <color theme="0"/>
        <name val="Tw Cen MT"/>
        <family val="2"/>
        <scheme val="minor"/>
      </font>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Tw Cen MT"/>
        <family val="2"/>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Tw Cen MT"/>
        <family val="2"/>
        <scheme val="minor"/>
      </font>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w Cen MT"/>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rgb="FF92D05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Tw Cen MT"/>
        <family val="2"/>
        <scheme val="minor"/>
      </font>
      <numFmt numFmtId="164" formatCode="_-[$Rp-3809]* #,##0.00_-;\-[$Rp-3809]* #,##0.00_-;_-[$Rp-3809]* &quot;-&quot;??_-;_-@_-"/>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Tw Cen MT"/>
        <family val="2"/>
        <scheme val="minor"/>
      </font>
      <numFmt numFmtId="164" formatCode="_-[$Rp-3809]* #,##0.00_-;\-[$Rp-3809]* #,##0.00_-;_-[$Rp-3809]* &quot;-&quot;??_-;_-@_-"/>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w Cen MT"/>
        <family val="2"/>
        <scheme val="minor"/>
      </font>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w Cen MT"/>
        <family val="2"/>
        <scheme val="minor"/>
      </font>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w Cen MT"/>
        <family val="2"/>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w Cen MT"/>
        <family val="2"/>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w Cen MT"/>
        <family val="2"/>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w Cen MT"/>
        <family val="2"/>
        <scheme val="minor"/>
      </font>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w Cen MT"/>
        <family val="2"/>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bottom/>
      </border>
    </dxf>
    <dxf>
      <numFmt numFmtId="164" formatCode="_-[$Rp-3809]* #,##0.00_-;\-[$Rp-3809]* #,##0.00_-;_-[$Rp-3809]* &quot;-&quot;??_-;_-@_-"/>
      <border diagonalUp="0" diagonalDown="0">
        <left style="thin">
          <color indexed="64"/>
        </left>
        <right/>
        <top style="thin">
          <color indexed="64"/>
        </top>
        <bottom style="thin">
          <color indexed="64"/>
        </bottom>
        <vertical/>
        <horizontal/>
      </border>
    </dxf>
    <dxf>
      <numFmt numFmtId="164" formatCode="_-[$Rp-3809]* #,##0.00_-;\-[$Rp-3809]* #,##0.00_-;_-[$Rp-3809]* &quot;-&quot;??_-;_-@_-"/>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w Cen MT"/>
        <family val="2"/>
        <scheme val="minor"/>
      </font>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numFmt numFmtId="164" formatCode="_-[$Rp-3809]* #,##0.00_-;\-[$Rp-3809]* #,##0.00_-;_-[$Rp-3809]* &quot;-&quot;??_-;_-@_-"/>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Tw Cen MT"/>
        <family val="2"/>
        <scheme val="minor"/>
      </font>
      <numFmt numFmtId="164" formatCode="_-[$Rp-3809]* #,##0.00_-;\-[$Rp-3809]* #,##0.00_-;_-[$Rp-3809]* &quot;-&quot;??_-;_-@_-"/>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w Cen MT"/>
        <family val="2"/>
        <scheme val="minor"/>
      </font>
      <fill>
        <patternFill patternType="solid">
          <fgColor theme="4" tint="0.79998168889431442"/>
          <bgColor theme="0"/>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numFmt numFmtId="164" formatCode="_-[$Rp-3809]* #,##0.00_-;\-[$Rp-3809]* #,##0.00_-;_-[$Rp-3809]* &quot;-&quot;??_-;_-@_-"/>
      <border diagonalUp="0" diagonalDown="0">
        <left style="thin">
          <color indexed="64"/>
        </left>
        <right/>
        <top style="thin">
          <color indexed="64"/>
        </top>
        <bottom style="thin">
          <color indexed="64"/>
        </bottom>
        <vertical/>
        <horizontal/>
      </border>
    </dxf>
    <dxf>
      <numFmt numFmtId="164" formatCode="_-[$Rp-3809]* #,##0.00_-;\-[$Rp-3809]* #,##0.00_-;_-[$Rp-3809]* &quot;-&quot;??_-;_-@_-"/>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w Cen MT"/>
        <family val="2"/>
        <scheme val="minor"/>
      </font>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Tw Cen MT"/>
        <family val="2"/>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Tw Cen MT"/>
        <family val="2"/>
        <scheme val="minor"/>
      </font>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Tw Cen MT"/>
        <family val="2"/>
        <scheme val="minor"/>
      </font>
      <fill>
        <patternFill patternType="solid">
          <fgColor indexed="64"/>
          <bgColor theme="1"/>
        </patternFill>
      </fill>
      <border diagonalUp="0" diagonalDown="0" outline="0">
        <left style="thin">
          <color indexed="64"/>
        </left>
        <right style="thin">
          <color indexed="64"/>
        </right>
        <top/>
        <bottom/>
      </border>
    </dxf>
    <dxf>
      <numFmt numFmtId="32" formatCode="_-&quot;Rp&quot;* #,##0_-;\-&quot;Rp&quot;* #,##0_-;_-&quot;Rp&quot;* &quot;-&quot;_-;_-@_-"/>
    </dxf>
    <dxf>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w Cen MT"/>
        <family val="2"/>
        <scheme val="minor"/>
      </font>
      <numFmt numFmtId="167" formatCode="_-[$Rp-421]* #,##0_-;\-[$Rp-421]* #,##0_-;_-[$Rp-421]* &quot;-&quot;_-;_-@_-"/>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Tw Cen MT"/>
        <family val="2"/>
        <scheme val="minor"/>
      </font>
      <fill>
        <patternFill patternType="solid">
          <fgColor indexed="64"/>
          <bgColor theme="1"/>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i val="0"/>
        <color theme="0"/>
      </font>
      <border>
        <bottom style="thin">
          <color theme="4"/>
        </bottom>
        <vertical/>
        <horizontal/>
      </border>
    </dxf>
    <dxf>
      <font>
        <color theme="1"/>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14917051-2F03-4D82-95CB-2DE9ED16886E}">
      <tableStyleElement type="wholeTable" dxfId="295"/>
      <tableStyleElement type="headerRow" dxfId="29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7.xml"/><Relationship Id="rId39" Type="http://schemas.openxmlformats.org/officeDocument/2006/relationships/customXml" Target="../customXml/item2.xml"/><Relationship Id="rId21" Type="http://schemas.openxmlformats.org/officeDocument/2006/relationships/pivotCacheDefinition" Target="pivotCache/pivotCacheDefinition2.xml"/><Relationship Id="rId34" Type="http://schemas.openxmlformats.org/officeDocument/2006/relationships/styles" Target="styles.xml"/><Relationship Id="rId42" Type="http://schemas.openxmlformats.org/officeDocument/2006/relationships/customXml" Target="../customXml/item5.xml"/><Relationship Id="rId47" Type="http://schemas.openxmlformats.org/officeDocument/2006/relationships/customXml" Target="../customXml/item10.xml"/><Relationship Id="rId50" Type="http://schemas.openxmlformats.org/officeDocument/2006/relationships/customXml" Target="../customXml/item13.xml"/><Relationship Id="rId55"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microsoft.com/office/2007/relationships/slicerCache" Target="slicerCaches/slicerCache3.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32" Type="http://schemas.openxmlformats.org/officeDocument/2006/relationships/theme" Target="theme/theme1.xml"/><Relationship Id="rId37" Type="http://schemas.openxmlformats.org/officeDocument/2006/relationships/calcChain" Target="calcChain.xml"/><Relationship Id="rId40" Type="http://schemas.openxmlformats.org/officeDocument/2006/relationships/customXml" Target="../customXml/item3.xml"/><Relationship Id="rId45" Type="http://schemas.openxmlformats.org/officeDocument/2006/relationships/customXml" Target="../customXml/item8.xml"/><Relationship Id="rId53" Type="http://schemas.openxmlformats.org/officeDocument/2006/relationships/customXml" Target="../customXml/item16.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5.xml"/><Relationship Id="rId44" Type="http://schemas.openxmlformats.org/officeDocument/2006/relationships/customXml" Target="../customXml/item7.xml"/><Relationship Id="rId52"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microsoft.com/office/2007/relationships/slicerCache" Target="slicerCaches/slicerCache1.xml"/><Relationship Id="rId30" Type="http://schemas.microsoft.com/office/2007/relationships/slicerCache" Target="slicerCaches/slicerCache4.xml"/><Relationship Id="rId35" Type="http://schemas.openxmlformats.org/officeDocument/2006/relationships/sharedStrings" Target="sharedStrings.xml"/><Relationship Id="rId43" Type="http://schemas.openxmlformats.org/officeDocument/2006/relationships/customXml" Target="../customXml/item6.xml"/><Relationship Id="rId48" Type="http://schemas.openxmlformats.org/officeDocument/2006/relationships/customXml" Target="../customXml/item11.xml"/><Relationship Id="rId8" Type="http://schemas.openxmlformats.org/officeDocument/2006/relationships/worksheet" Target="worksheets/sheet8.xml"/><Relationship Id="rId51" Type="http://schemas.openxmlformats.org/officeDocument/2006/relationships/customXml" Target="../customXml/item1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6.xml"/><Relationship Id="rId33" Type="http://schemas.openxmlformats.org/officeDocument/2006/relationships/connections" Target="connections.xml"/><Relationship Id="rId38" Type="http://schemas.openxmlformats.org/officeDocument/2006/relationships/customXml" Target="../customXml/item1.xml"/><Relationship Id="rId46" Type="http://schemas.openxmlformats.org/officeDocument/2006/relationships/customXml" Target="../customXml/item9.xml"/><Relationship Id="rId20" Type="http://schemas.openxmlformats.org/officeDocument/2006/relationships/pivotCacheDefinition" Target="pivotCache/pivotCacheDefinition1.xml"/><Relationship Id="rId41" Type="http://schemas.openxmlformats.org/officeDocument/2006/relationships/customXml" Target="../customXml/item4.xml"/><Relationship Id="rId54"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microsoft.com/office/2007/relationships/slicerCache" Target="slicerCaches/slicerCache2.xml"/><Relationship Id="rId36" Type="http://schemas.openxmlformats.org/officeDocument/2006/relationships/powerPivotData" Target="model/item.data"/><Relationship Id="rId49"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 (2).xlsx]pc!PivotTable11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pc!$B$11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pc!$A$12:$A$13</c:f>
              <c:strCache>
                <c:ptCount val="1"/>
                <c:pt idx="0">
                  <c:v>2019</c:v>
                </c:pt>
              </c:strCache>
            </c:strRef>
          </c:cat>
          <c:val>
            <c:numRef>
              <c:f>pc!$B$12:$B$13</c:f>
              <c:numCache>
                <c:formatCode>General</c:formatCode>
                <c:ptCount val="1"/>
                <c:pt idx="0">
                  <c:v>17</c:v>
                </c:pt>
              </c:numCache>
            </c:numRef>
          </c:val>
          <c:smooth val="0"/>
          <c:extLst>
            <c:ext xmlns:c16="http://schemas.microsoft.com/office/drawing/2014/chart" uri="{C3380CC4-5D6E-409C-BE32-E72D297353CC}">
              <c16:uniqueId val="{00000000-F96A-47A3-85F0-125D4837B1B7}"/>
            </c:ext>
          </c:extLst>
        </c:ser>
        <c:dLbls>
          <c:showLegendKey val="0"/>
          <c:showVal val="0"/>
          <c:showCatName val="0"/>
          <c:showSerName val="0"/>
          <c:showPercent val="0"/>
          <c:showBubbleSize val="0"/>
        </c:dLbls>
        <c:smooth val="0"/>
        <c:axId val="1943950463"/>
        <c:axId val="1943940895"/>
      </c:lineChart>
      <c:catAx>
        <c:axId val="194395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940895"/>
        <c:crosses val="autoZero"/>
        <c:auto val="1"/>
        <c:lblAlgn val="ctr"/>
        <c:lblOffset val="100"/>
        <c:noMultiLvlLbl val="0"/>
      </c:catAx>
      <c:valAx>
        <c:axId val="194394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95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 (2).xlsx]pc!PivotTable4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pc!$B$80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pc!$A$81:$A$84</c:f>
              <c:strCache>
                <c:ptCount val="3"/>
                <c:pt idx="0">
                  <c:v>A</c:v>
                </c:pt>
                <c:pt idx="1">
                  <c:v>B</c:v>
                </c:pt>
                <c:pt idx="2">
                  <c:v>C</c:v>
                </c:pt>
              </c:strCache>
            </c:strRef>
          </c:cat>
          <c:val>
            <c:numRef>
              <c:f>pc!$B$81:$B$84</c:f>
              <c:numCache>
                <c:formatCode>General</c:formatCode>
                <c:ptCount val="3"/>
                <c:pt idx="0">
                  <c:v>23</c:v>
                </c:pt>
                <c:pt idx="1">
                  <c:v>23</c:v>
                </c:pt>
                <c:pt idx="2">
                  <c:v>18</c:v>
                </c:pt>
              </c:numCache>
            </c:numRef>
          </c:val>
          <c:extLst>
            <c:ext xmlns:c16="http://schemas.microsoft.com/office/drawing/2014/chart" uri="{C3380CC4-5D6E-409C-BE32-E72D297353CC}">
              <c16:uniqueId val="{00000000-86AE-4931-B506-A1DCA0077695}"/>
            </c:ext>
          </c:extLst>
        </c:ser>
        <c:dLbls>
          <c:showLegendKey val="0"/>
          <c:showVal val="0"/>
          <c:showCatName val="0"/>
          <c:showSerName val="0"/>
          <c:showPercent val="0"/>
          <c:showBubbleSize val="0"/>
        </c:dLbls>
        <c:gapWidth val="219"/>
        <c:overlap val="-27"/>
        <c:axId val="1750018335"/>
        <c:axId val="1750020831"/>
      </c:barChart>
      <c:catAx>
        <c:axId val="175001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020831"/>
        <c:crosses val="autoZero"/>
        <c:auto val="1"/>
        <c:lblAlgn val="ctr"/>
        <c:lblOffset val="100"/>
        <c:noMultiLvlLbl val="0"/>
      </c:catAx>
      <c:valAx>
        <c:axId val="175002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01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 (2).xlsx]pc!PivotTable5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pc!$B$97</c:f>
              <c:strCache>
                <c:ptCount val="1"/>
                <c:pt idx="0">
                  <c:v>Total</c:v>
                </c:pt>
              </c:strCache>
            </c:strRef>
          </c:tx>
          <c:spPr>
            <a:solidFill>
              <a:schemeClr val="accent1"/>
            </a:solidFill>
            <a:ln>
              <a:noFill/>
            </a:ln>
            <a:effectLst/>
          </c:spPr>
          <c:invertIfNegative val="0"/>
          <c:cat>
            <c:strRef>
              <c:f>pc!$A$98:$A$101</c:f>
              <c:strCache>
                <c:ptCount val="3"/>
                <c:pt idx="0">
                  <c:v>Ahmad</c:v>
                </c:pt>
                <c:pt idx="1">
                  <c:v>Budi</c:v>
                </c:pt>
                <c:pt idx="2">
                  <c:v>Cika</c:v>
                </c:pt>
              </c:strCache>
            </c:strRef>
          </c:cat>
          <c:val>
            <c:numRef>
              <c:f>pc!$B$98:$B$101</c:f>
              <c:numCache>
                <c:formatCode>General</c:formatCode>
                <c:ptCount val="3"/>
                <c:pt idx="0">
                  <c:v>23</c:v>
                </c:pt>
                <c:pt idx="1">
                  <c:v>23</c:v>
                </c:pt>
                <c:pt idx="2">
                  <c:v>18</c:v>
                </c:pt>
              </c:numCache>
            </c:numRef>
          </c:val>
          <c:extLst>
            <c:ext xmlns:c16="http://schemas.microsoft.com/office/drawing/2014/chart" uri="{C3380CC4-5D6E-409C-BE32-E72D297353CC}">
              <c16:uniqueId val="{00000000-988C-4218-9976-E075849283DD}"/>
            </c:ext>
          </c:extLst>
        </c:ser>
        <c:dLbls>
          <c:showLegendKey val="0"/>
          <c:showVal val="0"/>
          <c:showCatName val="0"/>
          <c:showSerName val="0"/>
          <c:showPercent val="0"/>
          <c:showBubbleSize val="0"/>
        </c:dLbls>
        <c:gapWidth val="219"/>
        <c:overlap val="-27"/>
        <c:axId val="1827804399"/>
        <c:axId val="1827805231"/>
      </c:barChart>
      <c:catAx>
        <c:axId val="182780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805231"/>
        <c:crosses val="autoZero"/>
        <c:auto val="1"/>
        <c:lblAlgn val="ctr"/>
        <c:lblOffset val="100"/>
        <c:noMultiLvlLbl val="0"/>
      </c:catAx>
      <c:valAx>
        <c:axId val="182780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80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 (2).xlsx]pc!PivotTable10</c:name>
    <c:fmtId val="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pc!$B$1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pc!$A$2:$A$3</c:f>
              <c:strCache>
                <c:ptCount val="1"/>
                <c:pt idx="0">
                  <c:v>2019</c:v>
                </c:pt>
              </c:strCache>
            </c:strRef>
          </c:cat>
          <c:val>
            <c:numRef>
              <c:f>pc!$B$2:$B$3</c:f>
              <c:numCache>
                <c:formatCode>_-[$Rp-3809]* #,##0.00_-;\-[$Rp-3809]* #,##0.00_-;_-[$Rp-3809]* "-"??_-;_-@_-</c:formatCode>
                <c:ptCount val="1"/>
                <c:pt idx="0">
                  <c:v>5586000000</c:v>
                </c:pt>
              </c:numCache>
            </c:numRef>
          </c:val>
          <c:extLst>
            <c:ext xmlns:c16="http://schemas.microsoft.com/office/drawing/2014/chart" uri="{C3380CC4-5D6E-409C-BE32-E72D297353CC}">
              <c16:uniqueId val="{00000000-0523-4F90-9C4D-CF1E1102F4C2}"/>
            </c:ext>
          </c:extLst>
        </c:ser>
        <c:dLbls>
          <c:showLegendKey val="0"/>
          <c:showVal val="0"/>
          <c:showCatName val="0"/>
          <c:showSerName val="0"/>
          <c:showPercent val="0"/>
          <c:showBubbleSize val="0"/>
        </c:dLbls>
        <c:gapWidth val="219"/>
        <c:overlap val="-27"/>
        <c:axId val="194624496"/>
        <c:axId val="194614512"/>
      </c:barChart>
      <c:catAx>
        <c:axId val="19462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94614512"/>
        <c:crosses val="autoZero"/>
        <c:auto val="1"/>
        <c:lblAlgn val="ctr"/>
        <c:lblOffset val="100"/>
        <c:noMultiLvlLbl val="0"/>
      </c:catAx>
      <c:valAx>
        <c:axId val="194614512"/>
        <c:scaling>
          <c:orientation val="minMax"/>
        </c:scaling>
        <c:delete val="0"/>
        <c:axPos val="l"/>
        <c:majorGridlines>
          <c:spPr>
            <a:ln w="9525" cap="flat" cmpd="sng" algn="ctr">
              <a:solidFill>
                <a:schemeClr val="tx1">
                  <a:lumMod val="15000"/>
                  <a:lumOff val="85000"/>
                </a:schemeClr>
              </a:solidFill>
              <a:round/>
            </a:ln>
            <a:effectLst/>
          </c:spPr>
        </c:majorGridlines>
        <c:numFmt formatCode="_-[$Rp-3809]* #,##0.00_-;\-[$Rp-3809]* #,##0.00_-;_-[$Rp-3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9462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 (2).xlsx]pc!PivotTable11</c:name>
    <c:fmtId val="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pc!$B$11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pc!$A$12:$A$13</c:f>
              <c:strCache>
                <c:ptCount val="1"/>
                <c:pt idx="0">
                  <c:v>2019</c:v>
                </c:pt>
              </c:strCache>
            </c:strRef>
          </c:cat>
          <c:val>
            <c:numRef>
              <c:f>pc!$B$12:$B$13</c:f>
              <c:numCache>
                <c:formatCode>General</c:formatCode>
                <c:ptCount val="1"/>
                <c:pt idx="0">
                  <c:v>17</c:v>
                </c:pt>
              </c:numCache>
            </c:numRef>
          </c:val>
          <c:extLst>
            <c:ext xmlns:c16="http://schemas.microsoft.com/office/drawing/2014/chart" uri="{C3380CC4-5D6E-409C-BE32-E72D297353CC}">
              <c16:uniqueId val="{00000000-D08F-4750-9F89-476C5E59849F}"/>
            </c:ext>
          </c:extLst>
        </c:ser>
        <c:dLbls>
          <c:showLegendKey val="0"/>
          <c:showVal val="0"/>
          <c:showCatName val="0"/>
          <c:showSerName val="0"/>
          <c:showPercent val="0"/>
          <c:showBubbleSize val="0"/>
        </c:dLbls>
        <c:gapWidth val="150"/>
        <c:axId val="1943950463"/>
        <c:axId val="1943940895"/>
      </c:barChart>
      <c:catAx>
        <c:axId val="1943950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943940895"/>
        <c:crosses val="autoZero"/>
        <c:auto val="1"/>
        <c:lblAlgn val="ctr"/>
        <c:lblOffset val="100"/>
        <c:noMultiLvlLbl val="0"/>
      </c:catAx>
      <c:valAx>
        <c:axId val="1943940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94395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 (2).xlsx]pc!PivotTable5</c:name>
    <c:fmtId val="5"/>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pc!$B$97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pc!$A$98:$A$101</c:f>
              <c:strCache>
                <c:ptCount val="3"/>
                <c:pt idx="0">
                  <c:v>Ahmad</c:v>
                </c:pt>
                <c:pt idx="1">
                  <c:v>Budi</c:v>
                </c:pt>
                <c:pt idx="2">
                  <c:v>Cika</c:v>
                </c:pt>
              </c:strCache>
            </c:strRef>
          </c:cat>
          <c:val>
            <c:numRef>
              <c:f>pc!$B$98:$B$101</c:f>
              <c:numCache>
                <c:formatCode>General</c:formatCode>
                <c:ptCount val="3"/>
                <c:pt idx="0">
                  <c:v>23</c:v>
                </c:pt>
                <c:pt idx="1">
                  <c:v>23</c:v>
                </c:pt>
                <c:pt idx="2">
                  <c:v>18</c:v>
                </c:pt>
              </c:numCache>
            </c:numRef>
          </c:val>
          <c:extLst>
            <c:ext xmlns:c16="http://schemas.microsoft.com/office/drawing/2014/chart" uri="{C3380CC4-5D6E-409C-BE32-E72D297353CC}">
              <c16:uniqueId val="{00000000-0F10-4F43-8A4C-10A3A37DE29D}"/>
            </c:ext>
          </c:extLst>
        </c:ser>
        <c:dLbls>
          <c:showLegendKey val="0"/>
          <c:showVal val="0"/>
          <c:showCatName val="0"/>
          <c:showSerName val="0"/>
          <c:showPercent val="0"/>
          <c:showBubbleSize val="0"/>
        </c:dLbls>
        <c:gapWidth val="219"/>
        <c:overlap val="-27"/>
        <c:axId val="1827804399"/>
        <c:axId val="1827805231"/>
      </c:barChart>
      <c:catAx>
        <c:axId val="182780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827805231"/>
        <c:crosses val="autoZero"/>
        <c:auto val="1"/>
        <c:lblAlgn val="ctr"/>
        <c:lblOffset val="100"/>
        <c:noMultiLvlLbl val="0"/>
      </c:catAx>
      <c:valAx>
        <c:axId val="182780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82780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 (2).xlsx]pc!PivotTable4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pc!$B$80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pc!$A$81:$A$84</c:f>
              <c:strCache>
                <c:ptCount val="3"/>
                <c:pt idx="0">
                  <c:v>A</c:v>
                </c:pt>
                <c:pt idx="1">
                  <c:v>B</c:v>
                </c:pt>
                <c:pt idx="2">
                  <c:v>C</c:v>
                </c:pt>
              </c:strCache>
            </c:strRef>
          </c:cat>
          <c:val>
            <c:numRef>
              <c:f>pc!$B$81:$B$84</c:f>
              <c:numCache>
                <c:formatCode>General</c:formatCode>
                <c:ptCount val="3"/>
                <c:pt idx="0">
                  <c:v>23</c:v>
                </c:pt>
                <c:pt idx="1">
                  <c:v>23</c:v>
                </c:pt>
                <c:pt idx="2">
                  <c:v>18</c:v>
                </c:pt>
              </c:numCache>
            </c:numRef>
          </c:val>
          <c:extLst>
            <c:ext xmlns:c16="http://schemas.microsoft.com/office/drawing/2014/chart" uri="{C3380CC4-5D6E-409C-BE32-E72D297353CC}">
              <c16:uniqueId val="{00000000-DF3D-40E5-ADA7-0B57ED017014}"/>
            </c:ext>
          </c:extLst>
        </c:ser>
        <c:dLbls>
          <c:showLegendKey val="0"/>
          <c:showVal val="0"/>
          <c:showCatName val="0"/>
          <c:showSerName val="0"/>
          <c:showPercent val="0"/>
          <c:showBubbleSize val="0"/>
        </c:dLbls>
        <c:gapWidth val="219"/>
        <c:overlap val="-27"/>
        <c:axId val="1750018335"/>
        <c:axId val="1750020831"/>
      </c:barChart>
      <c:catAx>
        <c:axId val="175001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750020831"/>
        <c:crosses val="autoZero"/>
        <c:auto val="1"/>
        <c:lblAlgn val="ctr"/>
        <c:lblOffset val="100"/>
        <c:noMultiLvlLbl val="0"/>
      </c:catAx>
      <c:valAx>
        <c:axId val="175002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75001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PURCHASE!$D$3</c:f>
              <c:strCache>
                <c:ptCount val="1"/>
                <c:pt idx="0">
                  <c:v>JUMLAH TERJUAL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trendline>
            <c:spPr>
              <a:ln w="25400" cap="rnd">
                <a:solidFill>
                  <a:schemeClr val="accent1">
                    <a:alpha val="50000"/>
                  </a:schemeClr>
                </a:solidFill>
              </a:ln>
              <a:effectLst/>
            </c:spPr>
            <c:trendlineType val="movingAvg"/>
            <c:period val="2"/>
            <c:forward val="1"/>
            <c:intercept val="0"/>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PURCHASE!$A$4:$C$42</c15:sqref>
                  </c15:fullRef>
                  <c15:levelRef>
                    <c15:sqref>PURCHASE!$A$4:$A$42</c15:sqref>
                  </c15:levelRef>
                </c:ext>
              </c:extLst>
              <c:f>PURCHASE!$A$4:$A$42</c:f>
              <c:strCache>
                <c:ptCount val="39"/>
                <c:pt idx="0">
                  <c:v>HONDA All New Brio Satya S MT</c:v>
                </c:pt>
                <c:pt idx="1">
                  <c:v>HONDA All New Brio Satya E MT</c:v>
                </c:pt>
                <c:pt idx="2">
                  <c:v>HONDA All New Brio Satya E CVT</c:v>
                </c:pt>
                <c:pt idx="3">
                  <c:v>HONDA All New Brio RS CVT</c:v>
                </c:pt>
                <c:pt idx="4">
                  <c:v>HONDA All New Brio RS MT</c:v>
                </c:pt>
                <c:pt idx="5">
                  <c:v>HONDA Mobilio S MT</c:v>
                </c:pt>
                <c:pt idx="6">
                  <c:v>HONDA Mobilio E MT</c:v>
                </c:pt>
                <c:pt idx="7">
                  <c:v>HONDA Mobilio E CVT</c:v>
                </c:pt>
                <c:pt idx="8">
                  <c:v>HONDA Mobilio E S CVT</c:v>
                </c:pt>
                <c:pt idx="9">
                  <c:v>HONDA Mobilio RS MT</c:v>
                </c:pt>
                <c:pt idx="10">
                  <c:v>HONDA Mobilio RS CVT</c:v>
                </c:pt>
                <c:pt idx="11">
                  <c:v>HONDA Mobilio RT MT (2tone)</c:v>
                </c:pt>
                <c:pt idx="12">
                  <c:v>HONDA Mobilio RS CVT (2one)</c:v>
                </c:pt>
                <c:pt idx="13">
                  <c:v>HONDA BRV  S MT</c:v>
                </c:pt>
                <c:pt idx="14">
                  <c:v>HONDA BRV E MT</c:v>
                </c:pt>
                <c:pt idx="15">
                  <c:v>HONDA BRV E CVT</c:v>
                </c:pt>
                <c:pt idx="16">
                  <c:v>HONDA BRV Prestige CVT</c:v>
                </c:pt>
                <c:pt idx="17">
                  <c:v>HONDA Jazz S MT</c:v>
                </c:pt>
                <c:pt idx="18">
                  <c:v>HONDA Jazz S CVT</c:v>
                </c:pt>
                <c:pt idx="19">
                  <c:v>HONDA Jazz RS MT</c:v>
                </c:pt>
                <c:pt idx="20">
                  <c:v>HONDA Jazz M/T RS 2Tone</c:v>
                </c:pt>
                <c:pt idx="21">
                  <c:v>HONDA Jazz RS CVT</c:v>
                </c:pt>
                <c:pt idx="22">
                  <c:v>HONDA Jazz RS 2tone</c:v>
                </c:pt>
                <c:pt idx="23">
                  <c:v>HONDA NEW HRV 1.5 S MT</c:v>
                </c:pt>
                <c:pt idx="24">
                  <c:v>HONDA NEW HRV 1.5 S CVT</c:v>
                </c:pt>
                <c:pt idx="25">
                  <c:v>HONDA NEW HRV 1.5 E CVT</c:v>
                </c:pt>
                <c:pt idx="26">
                  <c:v>HONDA NEW HRV 1.5 E CVT SE</c:v>
                </c:pt>
                <c:pt idx="27">
                  <c:v>HONDA NEW HRV 1.8 Prestige CVT</c:v>
                </c:pt>
                <c:pt idx="28">
                  <c:v>HONDA NEW HRV 1.8 Prestige CVT 2Tone CVT</c:v>
                </c:pt>
                <c:pt idx="29">
                  <c:v>HONDA NEW CRV 2.0L CVT</c:v>
                </c:pt>
                <c:pt idx="30">
                  <c:v>HONDA NEW CRV 1.5L Turbo CVT</c:v>
                </c:pt>
                <c:pt idx="31">
                  <c:v>HONDA NEW CRV 1.5Turbo Prestige CVT</c:v>
                </c:pt>
                <c:pt idx="32">
                  <c:v>HONDA CITY E MT</c:v>
                </c:pt>
                <c:pt idx="33">
                  <c:v>HONDA CITY ECVT</c:v>
                </c:pt>
                <c:pt idx="34">
                  <c:v>HONDA Civic E MT</c:v>
                </c:pt>
                <c:pt idx="35">
                  <c:v>HONDA Civic E CVT</c:v>
                </c:pt>
                <c:pt idx="36">
                  <c:v>HONDA Civic HATCHBACK S CVT</c:v>
                </c:pt>
                <c:pt idx="37">
                  <c:v>HONDA Civic HATCHBACK E CVT</c:v>
                </c:pt>
                <c:pt idx="38">
                  <c:v>HONDA Civic 1.5L Turbo AT</c:v>
                </c:pt>
              </c:strCache>
            </c:strRef>
          </c:cat>
          <c:val>
            <c:numRef>
              <c:f>PURCHASE!$D$4:$D$42</c:f>
              <c:numCache>
                <c:formatCode>General</c:formatCode>
                <c:ptCount val="39"/>
                <c:pt idx="0">
                  <c:v>1</c:v>
                </c:pt>
                <c:pt idx="1">
                  <c:v>2</c:v>
                </c:pt>
                <c:pt idx="2">
                  <c:v>3</c:v>
                </c:pt>
                <c:pt idx="3">
                  <c:v>2</c:v>
                </c:pt>
                <c:pt idx="4">
                  <c:v>2</c:v>
                </c:pt>
                <c:pt idx="5">
                  <c:v>3</c:v>
                </c:pt>
                <c:pt idx="6">
                  <c:v>2</c:v>
                </c:pt>
                <c:pt idx="7">
                  <c:v>0</c:v>
                </c:pt>
                <c:pt idx="8">
                  <c:v>1</c:v>
                </c:pt>
                <c:pt idx="9">
                  <c:v>1</c:v>
                </c:pt>
                <c:pt idx="10">
                  <c:v>0</c:v>
                </c:pt>
                <c:pt idx="11">
                  <c:v>1</c:v>
                </c:pt>
                <c:pt idx="12">
                  <c:v>0</c:v>
                </c:pt>
                <c:pt idx="13">
                  <c:v>2</c:v>
                </c:pt>
                <c:pt idx="14">
                  <c:v>2</c:v>
                </c:pt>
                <c:pt idx="15">
                  <c:v>2</c:v>
                </c:pt>
                <c:pt idx="16">
                  <c:v>1</c:v>
                </c:pt>
                <c:pt idx="17">
                  <c:v>3</c:v>
                </c:pt>
                <c:pt idx="18">
                  <c:v>2</c:v>
                </c:pt>
                <c:pt idx="19">
                  <c:v>0</c:v>
                </c:pt>
                <c:pt idx="20">
                  <c:v>2</c:v>
                </c:pt>
                <c:pt idx="21">
                  <c:v>1</c:v>
                </c:pt>
                <c:pt idx="22">
                  <c:v>0</c:v>
                </c:pt>
                <c:pt idx="23">
                  <c:v>1</c:v>
                </c:pt>
                <c:pt idx="24">
                  <c:v>0</c:v>
                </c:pt>
                <c:pt idx="25">
                  <c:v>4</c:v>
                </c:pt>
                <c:pt idx="26">
                  <c:v>2</c:v>
                </c:pt>
                <c:pt idx="27">
                  <c:v>2</c:v>
                </c:pt>
                <c:pt idx="28">
                  <c:v>2</c:v>
                </c:pt>
                <c:pt idx="29">
                  <c:v>3</c:v>
                </c:pt>
                <c:pt idx="30">
                  <c:v>3</c:v>
                </c:pt>
                <c:pt idx="31">
                  <c:v>0</c:v>
                </c:pt>
                <c:pt idx="32">
                  <c:v>2</c:v>
                </c:pt>
                <c:pt idx="33">
                  <c:v>3</c:v>
                </c:pt>
                <c:pt idx="34">
                  <c:v>3</c:v>
                </c:pt>
                <c:pt idx="35">
                  <c:v>2</c:v>
                </c:pt>
                <c:pt idx="36">
                  <c:v>2</c:v>
                </c:pt>
                <c:pt idx="37">
                  <c:v>1</c:v>
                </c:pt>
                <c:pt idx="38">
                  <c:v>1</c:v>
                </c:pt>
              </c:numCache>
            </c:numRef>
          </c:val>
          <c:extLst>
            <c:ext xmlns:c16="http://schemas.microsoft.com/office/drawing/2014/chart" uri="{C3380CC4-5D6E-409C-BE32-E72D297353CC}">
              <c16:uniqueId val="{00000000-F388-4CC7-9FBA-B38F595ED179}"/>
            </c:ext>
          </c:extLst>
        </c:ser>
        <c:dLbls>
          <c:showLegendKey val="0"/>
          <c:showVal val="0"/>
          <c:showCatName val="0"/>
          <c:showSerName val="0"/>
          <c:showPercent val="0"/>
          <c:showBubbleSize val="0"/>
        </c:dLbls>
        <c:gapWidth val="315"/>
        <c:overlap val="-40"/>
        <c:axId val="100283424"/>
        <c:axId val="100292160"/>
      </c:barChart>
      <c:catAx>
        <c:axId val="1002834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292160"/>
        <c:crosses val="autoZero"/>
        <c:auto val="1"/>
        <c:lblAlgn val="ctr"/>
        <c:lblOffset val="100"/>
        <c:noMultiLvlLbl val="0"/>
      </c:catAx>
      <c:valAx>
        <c:axId val="1002921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283424"/>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 (2).xlsx]PIVOT PURCHASE!PivotTable9</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PURCHASE'!$B$3</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multiLvlStrRef>
              <c:f>'PIVOT PURCHASE'!$A$4:$A$51</c:f>
              <c:multiLvlStrCache>
                <c:ptCount val="39"/>
                <c:lvl>
                  <c:pt idx="0">
                    <c:v>HONDA All New Brio RS CVT</c:v>
                  </c:pt>
                  <c:pt idx="1">
                    <c:v>HONDA All New Brio RS MT</c:v>
                  </c:pt>
                  <c:pt idx="2">
                    <c:v>HONDA All New Brio Satya E CVT</c:v>
                  </c:pt>
                  <c:pt idx="3">
                    <c:v>HONDA All New Brio Satya E MT</c:v>
                  </c:pt>
                  <c:pt idx="4">
                    <c:v>HONDA All New Brio Satya S MT</c:v>
                  </c:pt>
                  <c:pt idx="5">
                    <c:v>HONDA BRV  S MT</c:v>
                  </c:pt>
                  <c:pt idx="6">
                    <c:v>HONDA BRV E CVT</c:v>
                  </c:pt>
                  <c:pt idx="7">
                    <c:v>HONDA BRV E MT</c:v>
                  </c:pt>
                  <c:pt idx="8">
                    <c:v>HONDA BRV Prestige CVT</c:v>
                  </c:pt>
                  <c:pt idx="9">
                    <c:v>HONDA Civic 1.5L Turbo AT</c:v>
                  </c:pt>
                  <c:pt idx="10">
                    <c:v>HONDA Civic E CVT</c:v>
                  </c:pt>
                  <c:pt idx="11">
                    <c:v>HONDA Civic E MT</c:v>
                  </c:pt>
                  <c:pt idx="12">
                    <c:v>HONDA Civic HATCHBACK E CVT</c:v>
                  </c:pt>
                  <c:pt idx="13">
                    <c:v>HONDA Civic HATCHBACK S CVT</c:v>
                  </c:pt>
                  <c:pt idx="14">
                    <c:v>HONDA NEW CRV 1.5L Turbo CVT</c:v>
                  </c:pt>
                  <c:pt idx="15">
                    <c:v>HONDA NEW CRV 1.5Turbo Prestige CVT</c:v>
                  </c:pt>
                  <c:pt idx="16">
                    <c:v>HONDA NEW CRV 2.0L CVT</c:v>
                  </c:pt>
                  <c:pt idx="17">
                    <c:v>HONDA CITY E MT</c:v>
                  </c:pt>
                  <c:pt idx="18">
                    <c:v>HONDA CITY ECVT</c:v>
                  </c:pt>
                  <c:pt idx="19">
                    <c:v>HONDA NEW HRV 1.5 E CVT</c:v>
                  </c:pt>
                  <c:pt idx="20">
                    <c:v>HONDA NEW HRV 1.5 E CVT SE</c:v>
                  </c:pt>
                  <c:pt idx="21">
                    <c:v>HONDA NEW HRV 1.5 S CVT</c:v>
                  </c:pt>
                  <c:pt idx="22">
                    <c:v>HONDA NEW HRV 1.5 S MT</c:v>
                  </c:pt>
                  <c:pt idx="23">
                    <c:v>HONDA NEW HRV 1.8 Prestige CVT</c:v>
                  </c:pt>
                  <c:pt idx="24">
                    <c:v>HONDA NEW HRV 1.8 Prestige CVT 2Tone CVT</c:v>
                  </c:pt>
                  <c:pt idx="25">
                    <c:v>HONDA Jazz M/T RS 2Tone</c:v>
                  </c:pt>
                  <c:pt idx="26">
                    <c:v>HONDA Jazz RS 2tone</c:v>
                  </c:pt>
                  <c:pt idx="27">
                    <c:v>HONDA Jazz RS CVT</c:v>
                  </c:pt>
                  <c:pt idx="28">
                    <c:v>HONDA Jazz RS MT</c:v>
                  </c:pt>
                  <c:pt idx="29">
                    <c:v>HONDA Jazz S CVT</c:v>
                  </c:pt>
                  <c:pt idx="30">
                    <c:v>HONDA Jazz S MT</c:v>
                  </c:pt>
                  <c:pt idx="31">
                    <c:v>HONDA Mobilio E CVT</c:v>
                  </c:pt>
                  <c:pt idx="32">
                    <c:v>HONDA Mobilio E MT</c:v>
                  </c:pt>
                  <c:pt idx="33">
                    <c:v>HONDA Mobilio E S CVT</c:v>
                  </c:pt>
                  <c:pt idx="34">
                    <c:v>HONDA Mobilio RS CVT</c:v>
                  </c:pt>
                  <c:pt idx="35">
                    <c:v>HONDA Mobilio RS CVT (2one)</c:v>
                  </c:pt>
                  <c:pt idx="36">
                    <c:v>HONDA Mobilio RS MT</c:v>
                  </c:pt>
                  <c:pt idx="37">
                    <c:v>HONDA Mobilio RT MT (2tone)</c:v>
                  </c:pt>
                  <c:pt idx="38">
                    <c:v>HONDA Mobilio S MT</c:v>
                  </c:pt>
                </c:lvl>
                <c:lvl>
                  <c:pt idx="0">
                    <c:v>Brio</c:v>
                  </c:pt>
                  <c:pt idx="5">
                    <c:v>BRV</c:v>
                  </c:pt>
                  <c:pt idx="9">
                    <c:v>Civic</c:v>
                  </c:pt>
                  <c:pt idx="14">
                    <c:v>CRV</c:v>
                  </c:pt>
                  <c:pt idx="17">
                    <c:v>Hcity</c:v>
                  </c:pt>
                  <c:pt idx="19">
                    <c:v>HRV</c:v>
                  </c:pt>
                  <c:pt idx="25">
                    <c:v>Jazz</c:v>
                  </c:pt>
                  <c:pt idx="31">
                    <c:v>Mobilio</c:v>
                  </c:pt>
                </c:lvl>
              </c:multiLvlStrCache>
            </c:multiLvlStrRef>
          </c:cat>
          <c:val>
            <c:numRef>
              <c:f>'PIVOT PURCHASE'!$B$4:$B$51</c:f>
              <c:numCache>
                <c:formatCode>General</c:formatCode>
                <c:ptCount val="39"/>
                <c:pt idx="0">
                  <c:v>2</c:v>
                </c:pt>
                <c:pt idx="1">
                  <c:v>2</c:v>
                </c:pt>
                <c:pt idx="2">
                  <c:v>3</c:v>
                </c:pt>
                <c:pt idx="3">
                  <c:v>2</c:v>
                </c:pt>
                <c:pt idx="4">
                  <c:v>1</c:v>
                </c:pt>
                <c:pt idx="5">
                  <c:v>2</c:v>
                </c:pt>
                <c:pt idx="6">
                  <c:v>2</c:v>
                </c:pt>
                <c:pt idx="7">
                  <c:v>2</c:v>
                </c:pt>
                <c:pt idx="8">
                  <c:v>1</c:v>
                </c:pt>
                <c:pt idx="9">
                  <c:v>1</c:v>
                </c:pt>
                <c:pt idx="10">
                  <c:v>2</c:v>
                </c:pt>
                <c:pt idx="11">
                  <c:v>3</c:v>
                </c:pt>
                <c:pt idx="12">
                  <c:v>1</c:v>
                </c:pt>
                <c:pt idx="13">
                  <c:v>2</c:v>
                </c:pt>
                <c:pt idx="14">
                  <c:v>3</c:v>
                </c:pt>
                <c:pt idx="15">
                  <c:v>0</c:v>
                </c:pt>
                <c:pt idx="16">
                  <c:v>3</c:v>
                </c:pt>
                <c:pt idx="17">
                  <c:v>2</c:v>
                </c:pt>
                <c:pt idx="18">
                  <c:v>3</c:v>
                </c:pt>
                <c:pt idx="19">
                  <c:v>4</c:v>
                </c:pt>
                <c:pt idx="20">
                  <c:v>2</c:v>
                </c:pt>
                <c:pt idx="21">
                  <c:v>0</c:v>
                </c:pt>
                <c:pt idx="22">
                  <c:v>1</c:v>
                </c:pt>
                <c:pt idx="23">
                  <c:v>2</c:v>
                </c:pt>
                <c:pt idx="24">
                  <c:v>2</c:v>
                </c:pt>
                <c:pt idx="25">
                  <c:v>2</c:v>
                </c:pt>
                <c:pt idx="26">
                  <c:v>0</c:v>
                </c:pt>
                <c:pt idx="27">
                  <c:v>1</c:v>
                </c:pt>
                <c:pt idx="28">
                  <c:v>0</c:v>
                </c:pt>
                <c:pt idx="29">
                  <c:v>2</c:v>
                </c:pt>
                <c:pt idx="30">
                  <c:v>3</c:v>
                </c:pt>
                <c:pt idx="31">
                  <c:v>0</c:v>
                </c:pt>
                <c:pt idx="32">
                  <c:v>2</c:v>
                </c:pt>
                <c:pt idx="33">
                  <c:v>1</c:v>
                </c:pt>
                <c:pt idx="34">
                  <c:v>0</c:v>
                </c:pt>
                <c:pt idx="35">
                  <c:v>0</c:v>
                </c:pt>
                <c:pt idx="36">
                  <c:v>1</c:v>
                </c:pt>
                <c:pt idx="37">
                  <c:v>1</c:v>
                </c:pt>
                <c:pt idx="38">
                  <c:v>3</c:v>
                </c:pt>
              </c:numCache>
            </c:numRef>
          </c:val>
          <c:extLst>
            <c:ext xmlns:c16="http://schemas.microsoft.com/office/drawing/2014/chart" uri="{C3380CC4-5D6E-409C-BE32-E72D297353CC}">
              <c16:uniqueId val="{00000001-E9AE-4639-832A-36B156E7715B}"/>
            </c:ext>
          </c:extLst>
        </c:ser>
        <c:dLbls>
          <c:showLegendKey val="0"/>
          <c:showVal val="0"/>
          <c:showCatName val="0"/>
          <c:showSerName val="0"/>
          <c:showPercent val="0"/>
          <c:showBubbleSize val="0"/>
        </c:dLbls>
        <c:gapWidth val="100"/>
        <c:overlap val="-24"/>
        <c:axId val="106934016"/>
        <c:axId val="106934432"/>
      </c:barChart>
      <c:catAx>
        <c:axId val="1069340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934432"/>
        <c:crosses val="autoZero"/>
        <c:auto val="1"/>
        <c:lblAlgn val="ctr"/>
        <c:lblOffset val="100"/>
        <c:noMultiLvlLbl val="0"/>
      </c:catAx>
      <c:valAx>
        <c:axId val="1069344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93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392430</xdr:colOff>
      <xdr:row>6</xdr:row>
      <xdr:rowOff>0</xdr:rowOff>
    </xdr:from>
    <xdr:to>
      <xdr:col>10</xdr:col>
      <xdr:colOff>270510</xdr:colOff>
      <xdr:row>21</xdr:row>
      <xdr:rowOff>114300</xdr:rowOff>
    </xdr:to>
    <xdr:graphicFrame macro="">
      <xdr:nvGraphicFramePr>
        <xdr:cNvPr id="3" name="Chart 2">
          <a:extLst>
            <a:ext uri="{FF2B5EF4-FFF2-40B4-BE49-F238E27FC236}">
              <a16:creationId xmlns:a16="http://schemas.microsoft.com/office/drawing/2014/main" id="{0A472835-24C5-4BC0-AE46-1C44E6D019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377190</xdr:colOff>
      <xdr:row>74</xdr:row>
      <xdr:rowOff>41910</xdr:rowOff>
    </xdr:from>
    <xdr:to>
      <xdr:col>11</xdr:col>
      <xdr:colOff>224790</xdr:colOff>
      <xdr:row>89</xdr:row>
      <xdr:rowOff>156210</xdr:rowOff>
    </xdr:to>
    <xdr:graphicFrame macro="">
      <xdr:nvGraphicFramePr>
        <xdr:cNvPr id="2" name="Chart 1">
          <a:extLst>
            <a:ext uri="{FF2B5EF4-FFF2-40B4-BE49-F238E27FC236}">
              <a16:creationId xmlns:a16="http://schemas.microsoft.com/office/drawing/2014/main" id="{6925B5C8-6653-4372-9C8B-6A56BE9898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243840</xdr:colOff>
      <xdr:row>77</xdr:row>
      <xdr:rowOff>106681</xdr:rowOff>
    </xdr:from>
    <xdr:to>
      <xdr:col>5</xdr:col>
      <xdr:colOff>251460</xdr:colOff>
      <xdr:row>83</xdr:row>
      <xdr:rowOff>160021</xdr:rowOff>
    </xdr:to>
    <mc:AlternateContent xmlns:mc="http://schemas.openxmlformats.org/markup-compatibility/2006" xmlns:a14="http://schemas.microsoft.com/office/drawing/2010/main">
      <mc:Choice Requires="a14">
        <xdr:graphicFrame macro="">
          <xdr:nvGraphicFramePr>
            <xdr:cNvPr id="4" name="Branch">
              <a:extLst>
                <a:ext uri="{FF2B5EF4-FFF2-40B4-BE49-F238E27FC236}">
                  <a16:creationId xmlns:a16="http://schemas.microsoft.com/office/drawing/2014/main" id="{E6BBCEC2-3DAE-46AB-AE07-B63028122E00}"/>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2636520" y="13601701"/>
              <a:ext cx="1112520" cy="11049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163830</xdr:colOff>
      <xdr:row>86</xdr:row>
      <xdr:rowOff>19050</xdr:rowOff>
    </xdr:from>
    <xdr:to>
      <xdr:col>14</xdr:col>
      <xdr:colOff>621030</xdr:colOff>
      <xdr:row>101</xdr:row>
      <xdr:rowOff>133350</xdr:rowOff>
    </xdr:to>
    <xdr:graphicFrame macro="">
      <xdr:nvGraphicFramePr>
        <xdr:cNvPr id="5" name="Chart 4">
          <a:extLst>
            <a:ext uri="{FF2B5EF4-FFF2-40B4-BE49-F238E27FC236}">
              <a16:creationId xmlns:a16="http://schemas.microsoft.com/office/drawing/2014/main" id="{408FA79B-F7EB-4717-9109-AC80255504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304800</xdr:colOff>
      <xdr:row>83</xdr:row>
      <xdr:rowOff>68581</xdr:rowOff>
    </xdr:from>
    <xdr:to>
      <xdr:col>6</xdr:col>
      <xdr:colOff>15240</xdr:colOff>
      <xdr:row>89</xdr:row>
      <xdr:rowOff>137161</xdr:rowOff>
    </xdr:to>
    <mc:AlternateContent xmlns:mc="http://schemas.openxmlformats.org/markup-compatibility/2006" xmlns:a14="http://schemas.microsoft.com/office/drawing/2010/main">
      <mc:Choice Requires="a14">
        <xdr:graphicFrame macro="">
          <xdr:nvGraphicFramePr>
            <xdr:cNvPr id="6" name="Sales">
              <a:extLst>
                <a:ext uri="{FF2B5EF4-FFF2-40B4-BE49-F238E27FC236}">
                  <a16:creationId xmlns:a16="http://schemas.microsoft.com/office/drawing/2014/main" id="{05C44A54-B335-41DC-A447-134985FA1ECE}"/>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mlns="">
        <xdr:sp macro="" textlink="">
          <xdr:nvSpPr>
            <xdr:cNvPr id="0" name=""/>
            <xdr:cNvSpPr>
              <a:spLocks noTextEdit="1"/>
            </xdr:cNvSpPr>
          </xdr:nvSpPr>
          <xdr:spPr>
            <a:xfrm>
              <a:off x="2697480" y="14615161"/>
              <a:ext cx="1150620" cy="112014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289560</xdr:colOff>
      <xdr:row>15</xdr:row>
      <xdr:rowOff>137160</xdr:rowOff>
    </xdr:from>
    <xdr:to>
      <xdr:col>13</xdr:col>
      <xdr:colOff>106680</xdr:colOff>
      <xdr:row>26</xdr:row>
      <xdr:rowOff>76200</xdr:rowOff>
    </xdr:to>
    <xdr:sp macro="" textlink="">
      <xdr:nvSpPr>
        <xdr:cNvPr id="14" name="Rectangle 13">
          <a:extLst>
            <a:ext uri="{FF2B5EF4-FFF2-40B4-BE49-F238E27FC236}">
              <a16:creationId xmlns:a16="http://schemas.microsoft.com/office/drawing/2014/main" id="{B03BD1B1-289D-4795-B2CB-A4E0F00F4606}"/>
            </a:ext>
          </a:extLst>
        </xdr:cNvPr>
        <xdr:cNvSpPr/>
      </xdr:nvSpPr>
      <xdr:spPr>
        <a:xfrm>
          <a:off x="3642360" y="2766060"/>
          <a:ext cx="5181600" cy="1866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5</xdr:col>
      <xdr:colOff>274320</xdr:colOff>
      <xdr:row>0</xdr:row>
      <xdr:rowOff>106680</xdr:rowOff>
    </xdr:from>
    <xdr:to>
      <xdr:col>13</xdr:col>
      <xdr:colOff>83820</xdr:colOff>
      <xdr:row>14</xdr:row>
      <xdr:rowOff>106680</xdr:rowOff>
    </xdr:to>
    <xdr:sp macro="" textlink="">
      <xdr:nvSpPr>
        <xdr:cNvPr id="12" name="Rectangle 11">
          <a:extLst>
            <a:ext uri="{FF2B5EF4-FFF2-40B4-BE49-F238E27FC236}">
              <a16:creationId xmlns:a16="http://schemas.microsoft.com/office/drawing/2014/main" id="{D0974DBA-5FD4-4A0A-BED7-49CD9A2A638E}"/>
            </a:ext>
          </a:extLst>
        </xdr:cNvPr>
        <xdr:cNvSpPr/>
      </xdr:nvSpPr>
      <xdr:spPr>
        <a:xfrm>
          <a:off x="3627120" y="106680"/>
          <a:ext cx="5173980" cy="24536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13</xdr:col>
      <xdr:colOff>312420</xdr:colOff>
      <xdr:row>10</xdr:row>
      <xdr:rowOff>45720</xdr:rowOff>
    </xdr:from>
    <xdr:to>
      <xdr:col>17</xdr:col>
      <xdr:colOff>68580</xdr:colOff>
      <xdr:row>26</xdr:row>
      <xdr:rowOff>76200</xdr:rowOff>
    </xdr:to>
    <xdr:sp macro="" textlink="">
      <xdr:nvSpPr>
        <xdr:cNvPr id="20" name="Rectangle 19">
          <a:extLst>
            <a:ext uri="{FF2B5EF4-FFF2-40B4-BE49-F238E27FC236}">
              <a16:creationId xmlns:a16="http://schemas.microsoft.com/office/drawing/2014/main" id="{129023E7-646E-4FD4-9810-A3F0E38EF039}"/>
            </a:ext>
          </a:extLst>
        </xdr:cNvPr>
        <xdr:cNvSpPr/>
      </xdr:nvSpPr>
      <xdr:spPr>
        <a:xfrm>
          <a:off x="9029700" y="1798320"/>
          <a:ext cx="2438400" cy="28346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17</xdr:col>
      <xdr:colOff>205740</xdr:colOff>
      <xdr:row>10</xdr:row>
      <xdr:rowOff>45720</xdr:rowOff>
    </xdr:from>
    <xdr:to>
      <xdr:col>20</xdr:col>
      <xdr:colOff>609600</xdr:colOff>
      <xdr:row>26</xdr:row>
      <xdr:rowOff>83820</xdr:rowOff>
    </xdr:to>
    <xdr:sp macro="" textlink="">
      <xdr:nvSpPr>
        <xdr:cNvPr id="19" name="Rectangle 18">
          <a:extLst>
            <a:ext uri="{FF2B5EF4-FFF2-40B4-BE49-F238E27FC236}">
              <a16:creationId xmlns:a16="http://schemas.microsoft.com/office/drawing/2014/main" id="{6A87907A-F5BB-4BE2-AF53-154BEBC989DC}"/>
            </a:ext>
          </a:extLst>
        </xdr:cNvPr>
        <xdr:cNvSpPr/>
      </xdr:nvSpPr>
      <xdr:spPr>
        <a:xfrm>
          <a:off x="11605260" y="1798320"/>
          <a:ext cx="2415540" cy="28422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5</xdr:col>
      <xdr:colOff>617219</xdr:colOff>
      <xdr:row>2</xdr:row>
      <xdr:rowOff>129539</xdr:rowOff>
    </xdr:from>
    <xdr:to>
      <xdr:col>12</xdr:col>
      <xdr:colOff>328390</xdr:colOff>
      <xdr:row>14</xdr:row>
      <xdr:rowOff>109698</xdr:rowOff>
    </xdr:to>
    <xdr:graphicFrame macro="">
      <xdr:nvGraphicFramePr>
        <xdr:cNvPr id="6" name="Chart 5">
          <a:extLst>
            <a:ext uri="{FF2B5EF4-FFF2-40B4-BE49-F238E27FC236}">
              <a16:creationId xmlns:a16="http://schemas.microsoft.com/office/drawing/2014/main" id="{16EC7BFD-2A21-4FCC-A9A6-AE5BFF3B4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134129</xdr:colOff>
      <xdr:row>17</xdr:row>
      <xdr:rowOff>147975</xdr:rowOff>
    </xdr:from>
    <xdr:to>
      <xdr:col>12</xdr:col>
      <xdr:colOff>254500</xdr:colOff>
      <xdr:row>26</xdr:row>
      <xdr:rowOff>76200</xdr:rowOff>
    </xdr:to>
    <xdr:graphicFrame macro="">
      <xdr:nvGraphicFramePr>
        <xdr:cNvPr id="8" name="Chart 7">
          <a:extLst>
            <a:ext uri="{FF2B5EF4-FFF2-40B4-BE49-F238E27FC236}">
              <a16:creationId xmlns:a16="http://schemas.microsoft.com/office/drawing/2014/main" id="{7699456B-AAEC-4CD2-9E07-220F1C9ED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495300</xdr:colOff>
      <xdr:row>0</xdr:row>
      <xdr:rowOff>0</xdr:rowOff>
    </xdr:from>
    <xdr:to>
      <xdr:col>5</xdr:col>
      <xdr:colOff>45720</xdr:colOff>
      <xdr:row>29</xdr:row>
      <xdr:rowOff>106680</xdr:rowOff>
    </xdr:to>
    <xdr:sp macro="" textlink="">
      <xdr:nvSpPr>
        <xdr:cNvPr id="5" name="Rectangle 4">
          <a:extLst>
            <a:ext uri="{FF2B5EF4-FFF2-40B4-BE49-F238E27FC236}">
              <a16:creationId xmlns:a16="http://schemas.microsoft.com/office/drawing/2014/main" id="{9E17CAC4-77F5-4E9F-A6CC-58E01CC1CB64}"/>
            </a:ext>
          </a:extLst>
        </xdr:cNvPr>
        <xdr:cNvSpPr/>
      </xdr:nvSpPr>
      <xdr:spPr>
        <a:xfrm>
          <a:off x="495300" y="0"/>
          <a:ext cx="2903220" cy="518922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647700</xdr:colOff>
      <xdr:row>9</xdr:row>
      <xdr:rowOff>167640</xdr:rowOff>
    </xdr:from>
    <xdr:to>
      <xdr:col>4</xdr:col>
      <xdr:colOff>518160</xdr:colOff>
      <xdr:row>18</xdr:row>
      <xdr:rowOff>76199</xdr:rowOff>
    </xdr:to>
    <mc:AlternateContent xmlns:mc="http://schemas.openxmlformats.org/markup-compatibility/2006" xmlns:a14="http://schemas.microsoft.com/office/drawing/2010/main">
      <mc:Choice Requires="a14">
        <xdr:graphicFrame macro="">
          <xdr:nvGraphicFramePr>
            <xdr:cNvPr id="2" name="TRANSACTION DATE 1">
              <a:extLst>
                <a:ext uri="{FF2B5EF4-FFF2-40B4-BE49-F238E27FC236}">
                  <a16:creationId xmlns:a16="http://schemas.microsoft.com/office/drawing/2014/main" id="{E7D2E996-016A-4B0A-A6A2-4E01AF83B8E0}"/>
                </a:ext>
              </a:extLst>
            </xdr:cNvPr>
            <xdr:cNvGraphicFramePr/>
          </xdr:nvGraphicFramePr>
          <xdr:xfrm>
            <a:off x="0" y="0"/>
            <a:ext cx="0" cy="0"/>
          </xdr:xfrm>
          <a:graphic>
            <a:graphicData uri="http://schemas.microsoft.com/office/drawing/2010/slicer">
              <sle:slicer xmlns:sle="http://schemas.microsoft.com/office/drawing/2010/slicer" name="TRANSACTION DATE 1"/>
            </a:graphicData>
          </a:graphic>
        </xdr:graphicFrame>
      </mc:Choice>
      <mc:Fallback xmlns="">
        <xdr:sp macro="" textlink="">
          <xdr:nvSpPr>
            <xdr:cNvPr id="0" name=""/>
            <xdr:cNvSpPr>
              <a:spLocks noTextEdit="1"/>
            </xdr:cNvSpPr>
          </xdr:nvSpPr>
          <xdr:spPr>
            <a:xfrm>
              <a:off x="647700" y="1744980"/>
              <a:ext cx="2552700" cy="148589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662940</xdr:colOff>
      <xdr:row>19</xdr:row>
      <xdr:rowOff>15240</xdr:rowOff>
    </xdr:from>
    <xdr:to>
      <xdr:col>4</xdr:col>
      <xdr:colOff>533400</xdr:colOff>
      <xdr:row>25</xdr:row>
      <xdr:rowOff>121920</xdr:rowOff>
    </xdr:to>
    <mc:AlternateContent xmlns:mc="http://schemas.openxmlformats.org/markup-compatibility/2006" xmlns:a14="http://schemas.microsoft.com/office/drawing/2010/main">
      <mc:Choice Requires="a14">
        <xdr:graphicFrame macro="">
          <xdr:nvGraphicFramePr>
            <xdr:cNvPr id="3" name="Alamat 1">
              <a:extLst>
                <a:ext uri="{FF2B5EF4-FFF2-40B4-BE49-F238E27FC236}">
                  <a16:creationId xmlns:a16="http://schemas.microsoft.com/office/drawing/2014/main" id="{69B15248-7342-4FEA-A874-58E4BA119C0E}"/>
                </a:ext>
              </a:extLst>
            </xdr:cNvPr>
            <xdr:cNvGraphicFramePr/>
          </xdr:nvGraphicFramePr>
          <xdr:xfrm>
            <a:off x="0" y="0"/>
            <a:ext cx="0" cy="0"/>
          </xdr:xfrm>
          <a:graphic>
            <a:graphicData uri="http://schemas.microsoft.com/office/drawing/2010/slicer">
              <sle:slicer xmlns:sle="http://schemas.microsoft.com/office/drawing/2010/slicer" name="Alamat 1"/>
            </a:graphicData>
          </a:graphic>
        </xdr:graphicFrame>
      </mc:Choice>
      <mc:Fallback xmlns="">
        <xdr:sp macro="" textlink="">
          <xdr:nvSpPr>
            <xdr:cNvPr id="0" name=""/>
            <xdr:cNvSpPr>
              <a:spLocks noTextEdit="1"/>
            </xdr:cNvSpPr>
          </xdr:nvSpPr>
          <xdr:spPr>
            <a:xfrm>
              <a:off x="662940" y="3345180"/>
              <a:ext cx="2552700" cy="115824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662940</xdr:colOff>
      <xdr:row>5</xdr:row>
      <xdr:rowOff>152401</xdr:rowOff>
    </xdr:from>
    <xdr:to>
      <xdr:col>4</xdr:col>
      <xdr:colOff>533400</xdr:colOff>
      <xdr:row>9</xdr:row>
      <xdr:rowOff>53340</xdr:rowOff>
    </xdr:to>
    <mc:AlternateContent xmlns:mc="http://schemas.openxmlformats.org/markup-compatibility/2006" xmlns:a14="http://schemas.microsoft.com/office/drawing/2010/main">
      <mc:Choice Requires="a14">
        <xdr:graphicFrame macro="">
          <xdr:nvGraphicFramePr>
            <xdr:cNvPr id="4" name="Years 2">
              <a:extLst>
                <a:ext uri="{FF2B5EF4-FFF2-40B4-BE49-F238E27FC236}">
                  <a16:creationId xmlns:a16="http://schemas.microsoft.com/office/drawing/2014/main" id="{05FB305D-741C-4E29-9782-6BD4B12B8785}"/>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mlns="">
        <xdr:sp macro="" textlink="">
          <xdr:nvSpPr>
            <xdr:cNvPr id="0" name=""/>
            <xdr:cNvSpPr>
              <a:spLocks noTextEdit="1"/>
            </xdr:cNvSpPr>
          </xdr:nvSpPr>
          <xdr:spPr>
            <a:xfrm>
              <a:off x="662940" y="1028701"/>
              <a:ext cx="2552700" cy="60197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xdr:row>
      <xdr:rowOff>7620</xdr:rowOff>
    </xdr:from>
    <xdr:to>
      <xdr:col>4</xdr:col>
      <xdr:colOff>495300</xdr:colOff>
      <xdr:row>4</xdr:row>
      <xdr:rowOff>152400</xdr:rowOff>
    </xdr:to>
    <xdr:sp macro="" textlink="">
      <xdr:nvSpPr>
        <xdr:cNvPr id="11" name="TextBox 10">
          <a:extLst>
            <a:ext uri="{FF2B5EF4-FFF2-40B4-BE49-F238E27FC236}">
              <a16:creationId xmlns:a16="http://schemas.microsoft.com/office/drawing/2014/main" id="{8D80EDED-7F68-447D-8392-2642D750499E}"/>
            </a:ext>
          </a:extLst>
        </xdr:cNvPr>
        <xdr:cNvSpPr txBox="1"/>
      </xdr:nvSpPr>
      <xdr:spPr>
        <a:xfrm>
          <a:off x="670560" y="182880"/>
          <a:ext cx="2506980" cy="670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800" b="1">
              <a:solidFill>
                <a:schemeClr val="accent1"/>
              </a:solidFill>
            </a:rPr>
            <a:t>HONEST</a:t>
          </a:r>
          <a:r>
            <a:rPr lang="en-ID" sz="1800" b="1" baseline="0">
              <a:solidFill>
                <a:schemeClr val="accent1"/>
              </a:solidFill>
            </a:rPr>
            <a:t> CAR DEALER</a:t>
          </a:r>
          <a:endParaRPr lang="en-ID" sz="1800" b="1">
            <a:solidFill>
              <a:schemeClr val="accent1"/>
            </a:solidFill>
          </a:endParaRPr>
        </a:p>
      </xdr:txBody>
    </xdr:sp>
    <xdr:clientData/>
  </xdr:twoCellAnchor>
  <xdr:twoCellAnchor>
    <xdr:from>
      <xdr:col>13</xdr:col>
      <xdr:colOff>297180</xdr:colOff>
      <xdr:row>0</xdr:row>
      <xdr:rowOff>106680</xdr:rowOff>
    </xdr:from>
    <xdr:to>
      <xdr:col>20</xdr:col>
      <xdr:colOff>632460</xdr:colOff>
      <xdr:row>8</xdr:row>
      <xdr:rowOff>152400</xdr:rowOff>
    </xdr:to>
    <xdr:sp macro="" textlink="">
      <xdr:nvSpPr>
        <xdr:cNvPr id="7" name="Rectangle 6">
          <a:extLst>
            <a:ext uri="{FF2B5EF4-FFF2-40B4-BE49-F238E27FC236}">
              <a16:creationId xmlns:a16="http://schemas.microsoft.com/office/drawing/2014/main" id="{BFAB0104-EE44-4A3C-9322-9DD654A6C2DC}"/>
            </a:ext>
          </a:extLst>
        </xdr:cNvPr>
        <xdr:cNvSpPr/>
      </xdr:nvSpPr>
      <xdr:spPr>
        <a:xfrm>
          <a:off x="9014460" y="106680"/>
          <a:ext cx="5029200" cy="1447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editAs="oneCell">
    <xdr:from>
      <xdr:col>16</xdr:col>
      <xdr:colOff>525780</xdr:colOff>
      <xdr:row>1</xdr:row>
      <xdr:rowOff>83820</xdr:rowOff>
    </xdr:from>
    <xdr:to>
      <xdr:col>18</xdr:col>
      <xdr:colOff>297180</xdr:colOff>
      <xdr:row>7</xdr:row>
      <xdr:rowOff>137160</xdr:rowOff>
    </xdr:to>
    <mc:AlternateContent xmlns:mc="http://schemas.openxmlformats.org/markup-compatibility/2006" xmlns:a14="http://schemas.microsoft.com/office/drawing/2010/main">
      <mc:Choice Requires="a14">
        <xdr:graphicFrame macro="">
          <xdr:nvGraphicFramePr>
            <xdr:cNvPr id="10" name="Branch 1">
              <a:extLst>
                <a:ext uri="{FF2B5EF4-FFF2-40B4-BE49-F238E27FC236}">
                  <a16:creationId xmlns:a16="http://schemas.microsoft.com/office/drawing/2014/main" id="{269AD50B-22A4-4920-8523-E43E590D5F8F}"/>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11254740" y="259080"/>
              <a:ext cx="1112520" cy="11049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464820</xdr:colOff>
      <xdr:row>1</xdr:row>
      <xdr:rowOff>91440</xdr:rowOff>
    </xdr:from>
    <xdr:to>
      <xdr:col>16</xdr:col>
      <xdr:colOff>228600</xdr:colOff>
      <xdr:row>7</xdr:row>
      <xdr:rowOff>129540</xdr:rowOff>
    </xdr:to>
    <xdr:sp macro="" textlink="">
      <xdr:nvSpPr>
        <xdr:cNvPr id="9" name="TextBox 8">
          <a:extLst>
            <a:ext uri="{FF2B5EF4-FFF2-40B4-BE49-F238E27FC236}">
              <a16:creationId xmlns:a16="http://schemas.microsoft.com/office/drawing/2014/main" id="{291FF4C4-A760-4E10-81DB-C7AFFD8877B9}"/>
            </a:ext>
          </a:extLst>
        </xdr:cNvPr>
        <xdr:cNvSpPr txBox="1"/>
      </xdr:nvSpPr>
      <xdr:spPr>
        <a:xfrm>
          <a:off x="9182100" y="266700"/>
          <a:ext cx="1775460" cy="1089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D" sz="1800" b="1">
              <a:solidFill>
                <a:schemeClr val="accent1"/>
              </a:solidFill>
              <a:effectLst/>
              <a:latin typeface="+mn-lt"/>
              <a:ea typeface="+mn-ea"/>
              <a:cs typeface="+mn-cs"/>
            </a:rPr>
            <a:t>HONEST</a:t>
          </a:r>
          <a:r>
            <a:rPr lang="en-ID" sz="1800" b="1" baseline="0">
              <a:solidFill>
                <a:schemeClr val="accent1"/>
              </a:solidFill>
              <a:effectLst/>
              <a:latin typeface="+mn-lt"/>
              <a:ea typeface="+mn-ea"/>
              <a:cs typeface="+mn-cs"/>
            </a:rPr>
            <a:t> CAR DEALER</a:t>
          </a:r>
          <a:endParaRPr lang="en-ID" sz="1800">
            <a:solidFill>
              <a:schemeClr val="accent1"/>
            </a:solidFill>
            <a:effectLst/>
          </a:endParaRPr>
        </a:p>
      </xdr:txBody>
    </xdr:sp>
    <xdr:clientData/>
  </xdr:twoCellAnchor>
  <xdr:twoCellAnchor editAs="oneCell">
    <xdr:from>
      <xdr:col>18</xdr:col>
      <xdr:colOff>563880</xdr:colOff>
      <xdr:row>1</xdr:row>
      <xdr:rowOff>68580</xdr:rowOff>
    </xdr:from>
    <xdr:to>
      <xdr:col>20</xdr:col>
      <xdr:colOff>373380</xdr:colOff>
      <xdr:row>7</xdr:row>
      <xdr:rowOff>137160</xdr:rowOff>
    </xdr:to>
    <mc:AlternateContent xmlns:mc="http://schemas.openxmlformats.org/markup-compatibility/2006" xmlns:a14="http://schemas.microsoft.com/office/drawing/2010/main">
      <mc:Choice Requires="a14">
        <xdr:graphicFrame macro="">
          <xdr:nvGraphicFramePr>
            <xdr:cNvPr id="13" name="Sales 1">
              <a:extLst>
                <a:ext uri="{FF2B5EF4-FFF2-40B4-BE49-F238E27FC236}">
                  <a16:creationId xmlns:a16="http://schemas.microsoft.com/office/drawing/2014/main" id="{C7FF33D0-C03E-449C-A618-BE0E4DD1E0D1}"/>
                </a:ext>
              </a:extLst>
            </xdr:cNvPr>
            <xdr:cNvGraphicFramePr/>
          </xdr:nvGraphicFramePr>
          <xdr:xfrm>
            <a:off x="0" y="0"/>
            <a:ext cx="0" cy="0"/>
          </xdr:xfrm>
          <a:graphic>
            <a:graphicData uri="http://schemas.microsoft.com/office/drawing/2010/slicer">
              <sle:slicer xmlns:sle="http://schemas.microsoft.com/office/drawing/2010/slicer" name="Sales 1"/>
            </a:graphicData>
          </a:graphic>
        </xdr:graphicFrame>
      </mc:Choice>
      <mc:Fallback xmlns="">
        <xdr:sp macro="" textlink="">
          <xdr:nvSpPr>
            <xdr:cNvPr id="0" name=""/>
            <xdr:cNvSpPr>
              <a:spLocks noTextEdit="1"/>
            </xdr:cNvSpPr>
          </xdr:nvSpPr>
          <xdr:spPr>
            <a:xfrm>
              <a:off x="12633960" y="243840"/>
              <a:ext cx="1150620" cy="112014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411481</xdr:colOff>
      <xdr:row>13</xdr:row>
      <xdr:rowOff>0</xdr:rowOff>
    </xdr:from>
    <xdr:to>
      <xdr:col>20</xdr:col>
      <xdr:colOff>419100</xdr:colOff>
      <xdr:row>25</xdr:row>
      <xdr:rowOff>30480</xdr:rowOff>
    </xdr:to>
    <xdr:graphicFrame macro="">
      <xdr:nvGraphicFramePr>
        <xdr:cNvPr id="15" name="Chart 14">
          <a:extLst>
            <a:ext uri="{FF2B5EF4-FFF2-40B4-BE49-F238E27FC236}">
              <a16:creationId xmlns:a16="http://schemas.microsoft.com/office/drawing/2014/main" id="{85758418-DB63-432D-AE55-AA41673E0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502920</xdr:colOff>
      <xdr:row>12</xdr:row>
      <xdr:rowOff>137931</xdr:rowOff>
    </xdr:from>
    <xdr:to>
      <xdr:col>16</xdr:col>
      <xdr:colOff>551534</xdr:colOff>
      <xdr:row>25</xdr:row>
      <xdr:rowOff>48742</xdr:rowOff>
    </xdr:to>
    <xdr:graphicFrame macro="">
      <xdr:nvGraphicFramePr>
        <xdr:cNvPr id="16" name="Chart 15">
          <a:extLst>
            <a:ext uri="{FF2B5EF4-FFF2-40B4-BE49-F238E27FC236}">
              <a16:creationId xmlns:a16="http://schemas.microsoft.com/office/drawing/2014/main" id="{A0E69C6B-60A7-46DF-876B-EE778CB0A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282783</xdr:colOff>
      <xdr:row>17</xdr:row>
      <xdr:rowOff>27531</xdr:rowOff>
    </xdr:from>
    <xdr:to>
      <xdr:col>10</xdr:col>
      <xdr:colOff>165419</xdr:colOff>
      <xdr:row>18</xdr:row>
      <xdr:rowOff>144780</xdr:rowOff>
    </xdr:to>
    <xdr:sp macro="" textlink="">
      <xdr:nvSpPr>
        <xdr:cNvPr id="17" name="TextBox 16">
          <a:extLst>
            <a:ext uri="{FF2B5EF4-FFF2-40B4-BE49-F238E27FC236}">
              <a16:creationId xmlns:a16="http://schemas.microsoft.com/office/drawing/2014/main" id="{EFCE29C3-E6E4-4FA5-A83C-98C0E0843A8D}"/>
            </a:ext>
          </a:extLst>
        </xdr:cNvPr>
        <xdr:cNvSpPr txBox="1"/>
      </xdr:nvSpPr>
      <xdr:spPr>
        <a:xfrm>
          <a:off x="5647263" y="3006951"/>
          <a:ext cx="1223756" cy="2925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800" b="1">
              <a:solidFill>
                <a:schemeClr val="accent1"/>
              </a:solidFill>
            </a:rPr>
            <a:t>Quantity</a:t>
          </a:r>
        </a:p>
      </xdr:txBody>
    </xdr:sp>
    <xdr:clientData/>
  </xdr:twoCellAnchor>
  <xdr:twoCellAnchor>
    <xdr:from>
      <xdr:col>7</xdr:col>
      <xdr:colOff>601980</xdr:colOff>
      <xdr:row>1</xdr:row>
      <xdr:rowOff>53340</xdr:rowOff>
    </xdr:from>
    <xdr:to>
      <xdr:col>10</xdr:col>
      <xdr:colOff>396240</xdr:colOff>
      <xdr:row>2</xdr:row>
      <xdr:rowOff>137160</xdr:rowOff>
    </xdr:to>
    <xdr:sp macro="" textlink="">
      <xdr:nvSpPr>
        <xdr:cNvPr id="21" name="TextBox 20">
          <a:extLst>
            <a:ext uri="{FF2B5EF4-FFF2-40B4-BE49-F238E27FC236}">
              <a16:creationId xmlns:a16="http://schemas.microsoft.com/office/drawing/2014/main" id="{CFB37870-7A8F-491C-9FD9-E7442C41E18B}"/>
            </a:ext>
          </a:extLst>
        </xdr:cNvPr>
        <xdr:cNvSpPr txBox="1"/>
      </xdr:nvSpPr>
      <xdr:spPr>
        <a:xfrm>
          <a:off x="5295900" y="228600"/>
          <a:ext cx="1805940" cy="259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800" b="1">
              <a:solidFill>
                <a:schemeClr val="accent1"/>
              </a:solidFill>
            </a:rPr>
            <a:t>TOTAL</a:t>
          </a:r>
          <a:r>
            <a:rPr lang="en-ID" sz="1800" b="1" baseline="0">
              <a:solidFill>
                <a:schemeClr val="accent1"/>
              </a:solidFill>
            </a:rPr>
            <a:t> PROFIT</a:t>
          </a:r>
          <a:endParaRPr lang="en-ID" sz="1800" b="1">
            <a:solidFill>
              <a:schemeClr val="accent1"/>
            </a:solidFill>
          </a:endParaRPr>
        </a:p>
      </xdr:txBody>
    </xdr:sp>
    <xdr:clientData/>
  </xdr:twoCellAnchor>
  <xdr:twoCellAnchor>
    <xdr:from>
      <xdr:col>14</xdr:col>
      <xdr:colOff>220980</xdr:colOff>
      <xdr:row>11</xdr:row>
      <xdr:rowOff>30480</xdr:rowOff>
    </xdr:from>
    <xdr:to>
      <xdr:col>16</xdr:col>
      <xdr:colOff>103616</xdr:colOff>
      <xdr:row>12</xdr:row>
      <xdr:rowOff>147729</xdr:rowOff>
    </xdr:to>
    <xdr:sp macro="" textlink="">
      <xdr:nvSpPr>
        <xdr:cNvPr id="22" name="TextBox 21">
          <a:extLst>
            <a:ext uri="{FF2B5EF4-FFF2-40B4-BE49-F238E27FC236}">
              <a16:creationId xmlns:a16="http://schemas.microsoft.com/office/drawing/2014/main" id="{280EF181-6812-4E2E-8CBE-04422A0EF441}"/>
            </a:ext>
          </a:extLst>
        </xdr:cNvPr>
        <xdr:cNvSpPr txBox="1"/>
      </xdr:nvSpPr>
      <xdr:spPr>
        <a:xfrm>
          <a:off x="9608820" y="1958340"/>
          <a:ext cx="1223756" cy="2925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800" b="1">
              <a:solidFill>
                <a:schemeClr val="accent1"/>
              </a:solidFill>
            </a:rPr>
            <a:t>Branch</a:t>
          </a:r>
        </a:p>
      </xdr:txBody>
    </xdr:sp>
    <xdr:clientData/>
  </xdr:twoCellAnchor>
  <xdr:twoCellAnchor>
    <xdr:from>
      <xdr:col>18</xdr:col>
      <xdr:colOff>83820</xdr:colOff>
      <xdr:row>11</xdr:row>
      <xdr:rowOff>68580</xdr:rowOff>
    </xdr:from>
    <xdr:to>
      <xdr:col>19</xdr:col>
      <xdr:colOff>637016</xdr:colOff>
      <xdr:row>13</xdr:row>
      <xdr:rowOff>10569</xdr:rowOff>
    </xdr:to>
    <xdr:sp macro="" textlink="">
      <xdr:nvSpPr>
        <xdr:cNvPr id="23" name="TextBox 22">
          <a:extLst>
            <a:ext uri="{FF2B5EF4-FFF2-40B4-BE49-F238E27FC236}">
              <a16:creationId xmlns:a16="http://schemas.microsoft.com/office/drawing/2014/main" id="{CAE1A568-DA3F-4450-A277-3C1A779B348F}"/>
            </a:ext>
          </a:extLst>
        </xdr:cNvPr>
        <xdr:cNvSpPr txBox="1"/>
      </xdr:nvSpPr>
      <xdr:spPr>
        <a:xfrm>
          <a:off x="12153900" y="1996440"/>
          <a:ext cx="1223756" cy="2925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800" b="1">
              <a:solidFill>
                <a:schemeClr val="accent1"/>
              </a:solidFill>
            </a:rPr>
            <a:t>Sales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195438</xdr:colOff>
      <xdr:row>1</xdr:row>
      <xdr:rowOff>151457</xdr:rowOff>
    </xdr:from>
    <xdr:to>
      <xdr:col>25</xdr:col>
      <xdr:colOff>188148</xdr:colOff>
      <xdr:row>31</xdr:row>
      <xdr:rowOff>82313</xdr:rowOff>
    </xdr:to>
    <xdr:graphicFrame macro="">
      <xdr:nvGraphicFramePr>
        <xdr:cNvPr id="3" name="Chart 2">
          <a:extLst>
            <a:ext uri="{FF2B5EF4-FFF2-40B4-BE49-F238E27FC236}">
              <a16:creationId xmlns:a16="http://schemas.microsoft.com/office/drawing/2014/main" id="{C7D3D5DC-395C-47B6-9D60-B57CD0035D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466725</xdr:colOff>
      <xdr:row>7</xdr:row>
      <xdr:rowOff>82551</xdr:rowOff>
    </xdr:from>
    <xdr:to>
      <xdr:col>20</xdr:col>
      <xdr:colOff>168275</xdr:colOff>
      <xdr:row>38</xdr:row>
      <xdr:rowOff>47625</xdr:rowOff>
    </xdr:to>
    <xdr:graphicFrame macro="">
      <xdr:nvGraphicFramePr>
        <xdr:cNvPr id="2" name="Chart 1">
          <a:extLst>
            <a:ext uri="{FF2B5EF4-FFF2-40B4-BE49-F238E27FC236}">
              <a16:creationId xmlns:a16="http://schemas.microsoft.com/office/drawing/2014/main" id="{1663E3A4-27BC-425E-8AE8-63D8DC1AE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88900</xdr:colOff>
      <xdr:row>2</xdr:row>
      <xdr:rowOff>12700</xdr:rowOff>
    </xdr:from>
    <xdr:to>
      <xdr:col>2</xdr:col>
      <xdr:colOff>965200</xdr:colOff>
      <xdr:row>4</xdr:row>
      <xdr:rowOff>152400</xdr:rowOff>
    </xdr:to>
    <xdr:sp macro="" textlink="">
      <xdr:nvSpPr>
        <xdr:cNvPr id="2" name="Arrow: Right 1">
          <a:extLst>
            <a:ext uri="{FF2B5EF4-FFF2-40B4-BE49-F238E27FC236}">
              <a16:creationId xmlns:a16="http://schemas.microsoft.com/office/drawing/2014/main" id="{0115F572-E45A-4766-9699-B40C4A6E27B5}"/>
            </a:ext>
          </a:extLst>
        </xdr:cNvPr>
        <xdr:cNvSpPr/>
      </xdr:nvSpPr>
      <xdr:spPr>
        <a:xfrm>
          <a:off x="2711450" y="571500"/>
          <a:ext cx="876300" cy="495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r Alif" refreshedDate="44563.798554513887" createdVersion="7" refreshedVersion="7" minRefreshableVersion="3" recordCount="39" xr:uid="{C5DFEB9F-EF04-4522-9086-36A65DBC5109}">
  <cacheSource type="worksheet">
    <worksheetSource ref="B2:G41" sheet="DETAIL PRODUCT"/>
  </cacheSource>
  <cacheFields count="6">
    <cacheField name="Type" numFmtId="0">
      <sharedItems count="39">
        <s v="HONDA All New Brio Satya S MT"/>
        <s v="HONDA All New Brio Satya E MT"/>
        <s v="HONDA All New Brio Satya E CVT"/>
        <s v="HONDA All New Brio RS CVT"/>
        <s v="HONDA All New Brio RS MT"/>
        <s v="HONDA Mobilio S MT"/>
        <s v="HONDA Mobilio E MT"/>
        <s v="HONDA Mobilio E CVT"/>
        <s v="HONDA Mobilio E S CVT"/>
        <s v="HONDA Mobilio RS MT"/>
        <s v="HONDA Mobilio RS CVT"/>
        <s v="HONDA Mobilio RT MT (2tone)"/>
        <s v="HONDA Mobilio RS CVT (2one)"/>
        <s v="HONDA BRV  S MT"/>
        <s v="HONDA BRV E MT"/>
        <s v="HONDA BRV E CVT"/>
        <s v="HONDA BRV Prestige CVT"/>
        <s v="HONDA Jazz S MT"/>
        <s v="HONDA Jazz S CVT"/>
        <s v="HONDA Jazz RS MT"/>
        <s v="HONDA Jazz M/T RS 2Tone"/>
        <s v="HONDA Jazz RS CVT"/>
        <s v="HONDA Jazz RS 2tone"/>
        <s v="HONDA NEW HRV 1.5 S MT"/>
        <s v="HONDA NEW HRV 1.5 S CVT"/>
        <s v="HONDA NEW HRV 1.5 E CVT"/>
        <s v="HONDA NEW HRV 1.5 E CVT SE"/>
        <s v="HONDA NEW HRV 1.8 Prestige CVT"/>
        <s v="HONDA NEW HRV 1.8 Prestige CVT 2Tone CVT"/>
        <s v="HONDA NEW CRV 2.0L CVT"/>
        <s v="HONDA NEW CRV 1.5L Turbo CVT"/>
        <s v="HONDA NEW CRV 1.5Turbo Prestige CVT"/>
        <s v="HONDA CITY E MT"/>
        <s v="HONDA CITY ECVT"/>
        <s v="HONDA Civic E MT"/>
        <s v="HONDA Civic E CVT"/>
        <s v="HONDA Civic HATCHBACK S CVT"/>
        <s v="HONDA Civic HATCHBACK E CVT"/>
        <s v="HONDA Civic 1.5L Turbo AT"/>
      </sharedItems>
    </cacheField>
    <cacheField name="Price" numFmtId="0">
      <sharedItems containsSemiMixedTypes="0" containsString="0" containsNumber="1" containsInteger="1" minValue="140000000" maxValue="1034500000"/>
    </cacheField>
    <cacheField name="Stok" numFmtId="0">
      <sharedItems containsNonDate="0" containsString="0" containsBlank="1"/>
    </cacheField>
    <cacheField name="Category" numFmtId="0">
      <sharedItems count="8">
        <s v="Brio"/>
        <s v="Mobilio"/>
        <s v="BRV"/>
        <s v="Jazz"/>
        <s v="HRV"/>
        <s v="CRV"/>
        <s v="Hcity"/>
        <s v="Civic"/>
      </sharedItems>
    </cacheField>
    <cacheField name="Year" numFmtId="0">
      <sharedItems containsNonDate="0" containsString="0" containsBlank="1"/>
    </cacheField>
    <cacheField name="ID Product" numFmtId="0">
      <sharedItems count="39">
        <s v="HB-0101200201"/>
        <s v="HB-0101200202"/>
        <s v="HB-0101200203"/>
        <s v="HB-0101200204"/>
        <s v="HB-0101200205"/>
        <s v="HM-0202200201"/>
        <s v="HM-0202200202"/>
        <s v="HM-0202200203"/>
        <s v="HM-0202200204"/>
        <s v="HM-0202200205"/>
        <s v="HM-0202200206"/>
        <s v="HM-0202200207"/>
        <s v="HM-0202200208"/>
        <s v="HBRV-0303200201"/>
        <s v="HBRV-0303200202"/>
        <s v="HBRV-0303200203"/>
        <s v="HBRV-0303200204"/>
        <s v="HJ-0404202201"/>
        <s v="HJ-0404202202"/>
        <s v="HJ-0404202203"/>
        <s v="HJ-0404202204"/>
        <s v="HJ-0404202205"/>
        <s v="HJ-0404202206"/>
        <s v="HRV-209819801"/>
        <s v="HRV-209819802"/>
        <s v="HRV-209819803"/>
        <s v="HRV-209819804"/>
        <s v="HRV-209819805"/>
        <s v="HRV-209819806"/>
        <s v="HCRV-98765001"/>
        <s v="HCRV-98765002"/>
        <s v="HCRV-98765003"/>
        <s v="HCT-081320001"/>
        <s v="HCT-081320002"/>
        <s v="HCV-3004200301"/>
        <s v="HCV-3004200302"/>
        <s v="HCV-3004200303"/>
        <s v="HCV-3004200304"/>
        <s v="HCV-3004200305"/>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A MAWARNIE" refreshedDate="44572.492966319442" createdVersion="7" refreshedVersion="7" minRefreshableVersion="3" recordCount="39" xr:uid="{014C5446-71F5-41AD-8665-7A6A247B4B44}">
  <cacheSource type="worksheet">
    <worksheetSource ref="A3:D42" sheet="PURCHASE"/>
  </cacheSource>
  <cacheFields count="4">
    <cacheField name="NAMA" numFmtId="0">
      <sharedItems count="39">
        <s v="HONDA All New Brio Satya S MT"/>
        <s v="HONDA All New Brio Satya E MT"/>
        <s v="HONDA All New Brio Satya E CVT"/>
        <s v="HONDA All New Brio RS CVT"/>
        <s v="HONDA All New Brio RS MT"/>
        <s v="HONDA Mobilio S MT"/>
        <s v="HONDA Mobilio E MT"/>
        <s v="HONDA Mobilio E CVT"/>
        <s v="HONDA Mobilio E S CVT"/>
        <s v="HONDA Mobilio RS MT"/>
        <s v="HONDA Mobilio RS CVT"/>
        <s v="HONDA Mobilio RT MT (2tone)"/>
        <s v="HONDA Mobilio RS CVT (2one)"/>
        <s v="HONDA BRV  S MT"/>
        <s v="HONDA BRV E MT"/>
        <s v="HONDA BRV E CVT"/>
        <s v="HONDA BRV Prestige CVT"/>
        <s v="HONDA Jazz S MT"/>
        <s v="HONDA Jazz S CVT"/>
        <s v="HONDA Jazz RS MT"/>
        <s v="HONDA Jazz M/T RS 2Tone"/>
        <s v="HONDA Jazz RS CVT"/>
        <s v="HONDA Jazz RS 2tone"/>
        <s v="HONDA NEW HRV 1.5 S MT"/>
        <s v="HONDA NEW HRV 1.5 S CVT"/>
        <s v="HONDA NEW HRV 1.5 E CVT"/>
        <s v="HONDA NEW HRV 1.5 E CVT SE"/>
        <s v="HONDA NEW HRV 1.8 Prestige CVT"/>
        <s v="HONDA NEW HRV 1.8 Prestige CVT 2Tone CVT"/>
        <s v="HONDA NEW CRV 2.0L CVT"/>
        <s v="HONDA NEW CRV 1.5L Turbo CVT"/>
        <s v="HONDA NEW CRV 1.5Turbo Prestige CVT"/>
        <s v="HONDA CITY E MT"/>
        <s v="HONDA CITY ECVT"/>
        <s v="HONDA Civic E MT"/>
        <s v="HONDA Civic E CVT"/>
        <s v="HONDA Civic HATCHBACK S CVT"/>
        <s v="HONDA Civic HATCHBACK E CVT"/>
        <s v="HONDA Civic 1.5L Turbo AT"/>
      </sharedItems>
    </cacheField>
    <cacheField name="ID-PRODUK" numFmtId="0">
      <sharedItems/>
    </cacheField>
    <cacheField name="TYPE" numFmtId="0">
      <sharedItems count="8">
        <s v="Brio"/>
        <s v="Mobilio"/>
        <s v="BRV"/>
        <s v="Jazz"/>
        <s v="HRV"/>
        <s v="CRV"/>
        <s v="Hcity"/>
        <s v="Civic"/>
      </sharedItems>
    </cacheField>
    <cacheField name="JUMLAH TERJUAL" numFmtId="0">
      <sharedItems containsSemiMixedTypes="0" containsString="0" containsNumber="1" containsInteger="1" minValue="0" maxValue="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r Alif" refreshedDate="44572.823047453705" createdVersion="7" refreshedVersion="7" minRefreshableVersion="3" recordCount="64" xr:uid="{581462BB-98B6-43EF-9A4C-C886BDFF4C28}">
  <cacheSource type="worksheet">
    <worksheetSource name="Table88"/>
  </cacheSource>
  <cacheFields count="13">
    <cacheField name="ID PRODUCT" numFmtId="0">
      <sharedItems/>
    </cacheField>
    <cacheField name="CUSTOMER NAME" numFmtId="0">
      <sharedItems count="64">
        <s v="TAEYONG"/>
        <s v="TAEIL"/>
        <s v="JOHHNY"/>
        <s v="YUTA"/>
        <s v="KUN"/>
        <s v="DOYOUNG"/>
        <s v="TEN"/>
        <s v="JAEHYUN"/>
        <s v="XIAOJUN"/>
        <s v="HENDERY"/>
        <s v="WINWIN"/>
        <s v="YANGYANG"/>
        <s v="JUNGWOO"/>
        <s v="RENJUN"/>
        <s v="HAECHAN"/>
        <s v="LUCAS"/>
        <s v="JENO"/>
        <s v="JAEMIN"/>
        <s v="MARK "/>
        <s v="JIHYO"/>
        <s v="TSUYU"/>
        <s v="MOMO"/>
        <s v="NAEYON"/>
        <s v="TSANA"/>
        <s v="MINA"/>
        <s v="DAHYUN"/>
        <s v="JEONGYEON"/>
        <s v="CHAEYOUNG"/>
        <s v="ROSE"/>
        <s v="LISA"/>
        <s v="JENNIE"/>
        <s v="JISOO"/>
        <s v="KARINA"/>
        <s v="MINJEONG"/>
        <s v="NING-NING"/>
        <s v="GISELLE"/>
        <s v="BELLA"/>
        <s v="LOUIS"/>
        <s v="LEON"/>
        <s v="LILI"/>
        <s v="LUCA"/>
        <s v="DALGOM"/>
        <s v="MARYA"/>
        <s v="PUDU"/>
        <s v="ANDY"/>
        <s v="JHONY"/>
        <s v="JAKE"/>
        <s v="JAY"/>
        <s v="NIKI"/>
        <s v="SUNGHOON"/>
        <s v="JEONGWOO"/>
        <s v="JUNE"/>
        <s v="KEY"/>
        <s v="ONEW"/>
        <s v="SUHO"/>
        <s v="CHEN"/>
        <s v="SEHUN"/>
        <s v="YUNHO"/>
        <s v="ANASTASIA"/>
        <s v="ABIGAIL"/>
        <s v="CALLAGHAN"/>
        <s v="YURI"/>
        <s v="SUGA"/>
        <s v="JEFFERY"/>
      </sharedItems>
    </cacheField>
    <cacheField name="TRANSACTION DATE" numFmtId="14">
      <sharedItems containsSemiMixedTypes="0" containsNonDate="0" containsDate="1" containsString="0" minDate="2018-01-12T00:00:00" maxDate="2021-12-23T00:00:00" count="63">
        <d v="2018-01-30T00:00:00"/>
        <d v="2018-01-12T00:00:00"/>
        <d v="2020-01-10T00:00:00"/>
        <d v="2020-02-15T00:00:00"/>
        <d v="2018-02-01T00:00:00"/>
        <d v="2018-03-05T00:00:00"/>
        <d v="2018-04-02T00:00:00"/>
        <d v="2018-04-10T00:00:00"/>
        <d v="2018-05-11T00:00:00"/>
        <d v="2018-05-09T00:00:00"/>
        <d v="2018-06-10T00:00:00"/>
        <d v="2018-07-12T00:00:00"/>
        <d v="2018-08-06T00:00:00"/>
        <d v="2018-09-20T00:00:00"/>
        <d v="2018-10-03T00:00:00"/>
        <d v="2018-11-03T00:00:00"/>
        <d v="2018-11-20T00:00:00"/>
        <d v="2018-12-05T00:00:00"/>
        <d v="2019-01-21T00:00:00"/>
        <d v="2019-02-08T00:00:00"/>
        <d v="2019-02-14T00:00:00"/>
        <d v="2019-03-12T00:00:00"/>
        <d v="2019-03-22T00:00:00"/>
        <d v="2019-03-29T00:00:00"/>
        <d v="2019-05-09T00:00:00"/>
        <d v="2019-05-30T00:00:00"/>
        <d v="2019-06-17T00:00:00"/>
        <d v="2019-07-23T00:00:00"/>
        <d v="2019-08-17T00:00:00"/>
        <d v="2019-08-24T00:00:00"/>
        <d v="2019-08-29T00:00:00"/>
        <d v="2019-11-11T00:00:00"/>
        <d v="2019-12-16T00:00:00"/>
        <d v="2019-12-23T00:00:00"/>
        <d v="2019-12-30T00:00:00"/>
        <d v="2020-02-14T00:00:00"/>
        <d v="2020-03-20T00:00:00"/>
        <d v="2020-03-29T00:00:00"/>
        <d v="2020-06-05T00:00:00"/>
        <d v="2020-06-21T00:00:00"/>
        <d v="2020-07-15T00:00:00"/>
        <d v="2020-07-22T00:00:00"/>
        <d v="2020-08-25T00:00:00"/>
        <d v="2020-10-09T00:00:00"/>
        <d v="2020-12-08T00:00:00"/>
        <d v="2021-01-05T00:00:00"/>
        <d v="2021-01-25T00:00:00"/>
        <d v="2021-01-30T00:00:00"/>
        <d v="2021-03-03T00:00:00"/>
        <d v="2021-04-04T00:00:00"/>
        <d v="2021-04-18T00:00:00"/>
        <d v="2021-06-06T00:00:00"/>
        <d v="2021-06-29T00:00:00"/>
        <d v="2021-07-22T00:00:00"/>
        <d v="2021-07-25T00:00:00"/>
        <d v="2021-08-30T00:00:00"/>
        <d v="2021-09-02T00:00:00"/>
        <d v="2021-09-12T00:00:00"/>
        <d v="2021-09-17T00:00:00"/>
        <d v="2021-11-03T00:00:00"/>
        <d v="2021-11-19T00:00:00"/>
        <d v="2021-12-10T00:00:00"/>
        <d v="2021-12-22T00:00:00"/>
      </sharedItems>
      <fieldGroup par="12" base="2">
        <rangePr groupBy="months" startDate="2018-01-12T00:00:00" endDate="2021-12-23T00:00:00"/>
        <groupItems count="14">
          <s v="&lt;12/01/2018"/>
          <s v="Jan"/>
          <s v="Feb"/>
          <s v="Mar"/>
          <s v="Apr"/>
          <s v="May"/>
          <s v="Jun"/>
          <s v="Jul"/>
          <s v="Aug"/>
          <s v="Sep"/>
          <s v="Oct"/>
          <s v="Nov"/>
          <s v="Dec"/>
          <s v="&gt;23/12/2021"/>
        </groupItems>
      </fieldGroup>
    </cacheField>
    <cacheField name="ITEM NAME" numFmtId="0">
      <sharedItems count="33">
        <s v="HONDA All New Brio Satya S MT"/>
        <s v="HONDA All New Brio Satya E MT"/>
        <s v="HONDA All New Brio Satya E CVT"/>
        <s v="HONDA Mobilio S MT"/>
        <s v="HONDA Mobilio E MT"/>
        <s v="HONDA BRV  S MT"/>
        <s v="HONDA BRV E MT"/>
        <s v="HONDA BRV E CVT"/>
        <s v="HONDA NEW HRV 1.8 Prestige CVT"/>
        <s v="HONDA NEW HRV 1.8 Prestige CVT 2Tone CVT"/>
        <s v="HONDA Jazz S MT"/>
        <s v="HONDA NEW CRV 2.0L CVT"/>
        <s v="HONDA Jazz RS 2tone"/>
        <s v="HONDA NEW CRV 1.5L Turbo CVT"/>
        <s v="HONDA CITY E MT"/>
        <s v="HONDA NEW HRV 1.5 E CVT"/>
        <s v="HONDA CITY ECVT"/>
        <s v="HONDA Civic E MT"/>
        <s v="HONDA NEW HRV 1.5 E CVT SE"/>
        <s v="HONDA All New Brio RS CVT"/>
        <s v="HONDA All New Brio RS MT"/>
        <s v="HONDA BRV Prestige CVT"/>
        <s v="HONDA Jazz S CVT"/>
        <s v="HONDA Civic E CVT"/>
        <s v="HONDA Civic HATCHBACK S CVT"/>
        <s v="HONDA Mobilio E S CVT"/>
        <s v="HONDA Civic HATCHBACK E CVT"/>
        <s v="HONDA Jazz M/T RS 2Tone"/>
        <s v="HONDA Civic 1.5L Turbo AT"/>
        <s v="HONDA Mobilio RT MT (2tone)"/>
        <s v="HONDA NEW HRV 1.5 S MT"/>
        <s v="HONDA Jazz RS CVT"/>
        <s v="HONDA Mobilio RS MT"/>
      </sharedItems>
    </cacheField>
    <cacheField name="CATEGORY" numFmtId="0">
      <sharedItems count="8">
        <s v="Brio"/>
        <s v="Mobilio"/>
        <s v="BRV"/>
        <s v="HRV"/>
        <s v="Jazz"/>
        <s v="CRV"/>
        <s v="Hcity"/>
        <s v="Civic"/>
      </sharedItems>
    </cacheField>
    <cacheField name="QUANTITY" numFmtId="0">
      <sharedItems containsSemiMixedTypes="0" containsString="0" containsNumber="1" containsInteger="1" minValue="1" maxValue="1" count="1">
        <n v="1"/>
      </sharedItems>
    </cacheField>
    <cacheField name="STOCK" numFmtId="0">
      <sharedItems containsSemiMixedTypes="0" containsString="0" containsNumber="1" containsInteger="1" minValue="1" maxValue="15"/>
    </cacheField>
    <cacheField name="STOCK LEFT" numFmtId="0">
      <sharedItems containsSemiMixedTypes="0" containsString="0" containsNumber="1" containsInteger="1" minValue="0" maxValue="14"/>
    </cacheField>
    <cacheField name="PRICE" numFmtId="42">
      <sharedItems containsSemiMixedTypes="0" containsString="0" containsNumber="1" containsInteger="1" minValue="140000000" maxValue="1034500000"/>
    </cacheField>
    <cacheField name="TOTAL PRICE" numFmtId="42">
      <sharedItems containsSemiMixedTypes="0" containsString="0" containsNumber="1" containsInteger="1" minValue="140000000" maxValue="1034500000"/>
    </cacheField>
    <cacheField name="Alamat" numFmtId="0">
      <sharedItems count="3">
        <s v="Jakarta"/>
        <s v="Depok"/>
        <s v="Bandung"/>
      </sharedItems>
    </cacheField>
    <cacheField name="Quarters" numFmtId="0" databaseField="0">
      <fieldGroup base="2">
        <rangePr groupBy="quarters" startDate="2018-01-12T00:00:00" endDate="2021-12-23T00:00:00"/>
        <groupItems count="6">
          <s v="&lt;12/01/2018"/>
          <s v="Qtr1"/>
          <s v="Qtr2"/>
          <s v="Qtr3"/>
          <s v="Qtr4"/>
          <s v="&gt;23/12/2021"/>
        </groupItems>
      </fieldGroup>
    </cacheField>
    <cacheField name="Years" numFmtId="0" databaseField="0">
      <fieldGroup base="2">
        <rangePr groupBy="years" startDate="2018-01-12T00:00:00" endDate="2021-12-23T00:00:00"/>
        <groupItems count="6">
          <s v="&lt;12/01/2018"/>
          <s v="2018"/>
          <s v="2019"/>
          <s v="2020"/>
          <s v="2021"/>
          <s v="&gt;23/12/2021"/>
        </groupItems>
      </fieldGroup>
    </cacheField>
  </cacheFields>
  <extLst>
    <ext xmlns:x14="http://schemas.microsoft.com/office/spreadsheetml/2009/9/main" uri="{725AE2AE-9491-48be-B2B4-4EB974FC3084}">
      <x14:pivotCacheDefinition pivotCacheId="151433626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r Alif" refreshedDate="44572.93827997685" createdVersion="7" refreshedVersion="7" minRefreshableVersion="3" recordCount="39" xr:uid="{80FDCA4D-505F-44E9-B2EA-3D45C81C91FE}">
  <cacheSource type="worksheet">
    <worksheetSource ref="A4:H43" sheet="STOK"/>
  </cacheSource>
  <cacheFields count="8">
    <cacheField name="ID-MOBIL" numFmtId="0">
      <sharedItems/>
    </cacheField>
    <cacheField name="NAMA MOBIL" numFmtId="0">
      <sharedItems count="39">
        <s v="HONDA All New Brio Satya S MT"/>
        <s v="HONDA All New Brio Satya E MT"/>
        <s v="HONDA All New Brio Satya E CVT"/>
        <s v="HONDA All New Brio RS CVT"/>
        <s v="HONDA All New Brio RS MT"/>
        <s v="HONDA Mobilio S MT"/>
        <s v="HONDA Mobilio E MT"/>
        <s v="HONDA Mobilio E CVT"/>
        <s v="HONDA Mobilio E S CVT"/>
        <s v="HONDA Mobilio RS MT"/>
        <s v="HONDA Mobilio RS CVT"/>
        <s v="HONDA Mobilio RT MT (2tone)"/>
        <s v="HONDA Mobilio RS CVT (2one)"/>
        <s v="HONDA BRV  S MT"/>
        <s v="HONDA BRV E MT"/>
        <s v="HONDA BRV E CVT"/>
        <s v="HONDA BRV Prestige CVT"/>
        <s v="HONDA Jazz S MT"/>
        <s v="HONDA Jazz S CVT"/>
        <s v="HONDA Jazz RS MT"/>
        <s v="HONDA Jazz M/T RS 2Tone"/>
        <s v="HONDA Jazz RS CVT"/>
        <s v="HONDA Jazz RS 2tone"/>
        <s v="HONDA NEW HRV 1.5 S MT"/>
        <s v="HONDA NEW HRV 1.5 S CVT"/>
        <s v="HONDA NEW HRV 1.5 E CVT"/>
        <s v="HONDA NEW HRV 1.5 E CVT SE"/>
        <s v="HONDA NEW HRV 1.8 Prestige CVT"/>
        <s v="HONDA NEW HRV 1.8 Prestige CVT 2Tone CVT"/>
        <s v="HONDA NEW CRV 2.0L CVT"/>
        <s v="HONDA NEW CRV 1.5L Turbo CVT"/>
        <s v="HONDA NEW CRV 1.5Turbo Prestige CVT"/>
        <s v="HONDA CITY E MT"/>
        <s v="HONDA CITY ECVT"/>
        <s v="HONDA Civic E MT"/>
        <s v="HONDA Civic E CVT"/>
        <s v="HONDA Civic HATCHBACK S CVT"/>
        <s v="HONDA Civic HATCHBACK E CVT"/>
        <s v="HONDA Civic 1.5L Turbo AT"/>
      </sharedItems>
    </cacheField>
    <cacheField name="CATEGORY" numFmtId="0">
      <sharedItems count="8">
        <s v="Brio"/>
        <s v="Mobilio"/>
        <s v="BRV"/>
        <s v="Jazz"/>
        <s v="HRV"/>
        <s v="CRV"/>
        <s v="Hcity"/>
        <s v="Civic"/>
      </sharedItems>
    </cacheField>
    <cacheField name="STOK AWAL" numFmtId="0">
      <sharedItems containsSemiMixedTypes="0" containsString="0" containsNumber="1" containsInteger="1" minValue="4" maxValue="15" count="6">
        <n v="15"/>
        <n v="10"/>
        <n v="5"/>
        <n v="8"/>
        <n v="4"/>
        <n v="7"/>
      </sharedItems>
    </cacheField>
    <cacheField name="2018" numFmtId="0">
      <sharedItems containsSemiMixedTypes="0" containsString="0" containsNumber="1" containsInteger="1" minValue="3" maxValue="15" count="10">
        <n v="14"/>
        <n v="15"/>
        <n v="9"/>
        <n v="10"/>
        <n v="4"/>
        <n v="5"/>
        <n v="7"/>
        <n v="8"/>
        <n v="3"/>
        <n v="6"/>
      </sharedItems>
    </cacheField>
    <cacheField name="2019" numFmtId="0">
      <sharedItems containsSemiMixedTypes="0" containsString="0" containsNumber="1" containsInteger="1" minValue="2" maxValue="14" count="10">
        <n v="14"/>
        <n v="8"/>
        <n v="10"/>
        <n v="4"/>
        <n v="3"/>
        <n v="6"/>
        <n v="7"/>
        <n v="2"/>
        <n v="5"/>
        <n v="9"/>
      </sharedItems>
    </cacheField>
    <cacheField name="2020" numFmtId="0">
      <sharedItems containsSemiMixedTypes="0" containsString="0" containsNumber="1" containsInteger="1" minValue="2" maxValue="14"/>
    </cacheField>
    <cacheField name="2021" numFmtId="0">
      <sharedItems containsSemiMixedTypes="0" containsString="0" containsNumber="1" containsInteger="1" minValue="0" maxValue="14"/>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r Alif" refreshedDate="44572.954932407411" createdVersion="7" refreshedVersion="7" minRefreshableVersion="3" recordCount="2" xr:uid="{4531C997-EC92-48AD-86DF-0D7E60D807D7}">
  <cacheSource type="worksheet">
    <worksheetSource ref="J8:R10" sheet="STOK"/>
  </cacheSource>
  <cacheFields count="9">
    <cacheField name="year" numFmtId="0">
      <sharedItems containsSemiMixedTypes="0" containsString="0" containsNumber="1" containsInteger="1" minValue="2018" maxValue="2019" count="2">
        <n v="2018"/>
        <n v="2019"/>
      </sharedItems>
    </cacheField>
    <cacheField name="brio" numFmtId="0">
      <sharedItems containsSemiMixedTypes="0" containsString="0" containsNumber="1" containsInteger="1" minValue="70" maxValue="72"/>
    </cacheField>
    <cacheField name="mobilio" numFmtId="0">
      <sharedItems containsSemiMixedTypes="0" containsString="0" containsNumber="1" containsInteger="1" minValue="76" maxValue="78"/>
    </cacheField>
    <cacheField name="brv" numFmtId="0">
      <sharedItems containsSemiMixedTypes="0" containsString="0" containsNumber="1" containsInteger="1" minValue="15" maxValue="17" count="2">
        <n v="17"/>
        <n v="15"/>
      </sharedItems>
    </cacheField>
    <cacheField name="jazz" numFmtId="0">
      <sharedItems containsSemiMixedTypes="0" containsString="0" containsNumber="1" containsInteger="1" minValue="44" maxValue="46"/>
    </cacheField>
    <cacheField name="hrv" numFmtId="0">
      <sharedItems containsSemiMixedTypes="0" containsString="0" containsNumber="1" containsInteger="1" minValue="18" maxValue="20"/>
    </cacheField>
    <cacheField name="crv" numFmtId="0">
      <sharedItems containsSemiMixedTypes="0" containsString="0" containsNumber="1" containsInteger="1" minValue="26" maxValue="28" count="2">
        <n v="28"/>
        <n v="26"/>
      </sharedItems>
    </cacheField>
    <cacheField name="hcity" numFmtId="0">
      <sharedItems containsSemiMixedTypes="0" containsString="0" containsNumber="1" containsInteger="1" minValue="10" maxValue="12" count="2">
        <n v="12"/>
        <n v="10"/>
      </sharedItems>
    </cacheField>
    <cacheField name="civic" numFmtId="0">
      <sharedItems containsSemiMixedTypes="0" containsString="0" containsNumber="1" containsInteger="1" minValue="46" maxValue="49" count="2">
        <n v="49"/>
        <n v="46"/>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r Alif" refreshedDate="44573.013533217592" createdVersion="7" refreshedVersion="7" minRefreshableVersion="3" recordCount="64" xr:uid="{E790C649-0CED-42ED-8748-C3936B7044A2}">
  <cacheSource type="worksheet">
    <worksheetSource ref="A6:M70" sheet="pt 2"/>
  </cacheSource>
  <cacheFields count="13">
    <cacheField name="ID PRODUCT" numFmtId="0">
      <sharedItems/>
    </cacheField>
    <cacheField name="CUSTOMER NAME" numFmtId="0">
      <sharedItems/>
    </cacheField>
    <cacheField name="TRANSACTION DATE" numFmtId="14">
      <sharedItems containsSemiMixedTypes="0" containsNonDate="0" containsDate="1" containsString="0" minDate="2018-01-12T00:00:00" maxDate="2021-12-23T00:00:00"/>
    </cacheField>
    <cacheField name="ITEM NAME" numFmtId="0">
      <sharedItems/>
    </cacheField>
    <cacheField name="Alamat" numFmtId="0">
      <sharedItems/>
    </cacheField>
    <cacheField name="Branch" numFmtId="0">
      <sharedItems count="3">
        <s v="A"/>
        <s v="B"/>
        <s v="C"/>
      </sharedItems>
    </cacheField>
    <cacheField name="Sales" numFmtId="0">
      <sharedItems count="3">
        <s v="Ahmad"/>
        <s v="Budi"/>
        <s v="Cika"/>
      </sharedItems>
    </cacheField>
    <cacheField name="CATEGORY" numFmtId="0">
      <sharedItems/>
    </cacheField>
    <cacheField name="QUANTITY" numFmtId="0">
      <sharedItems containsSemiMixedTypes="0" containsString="0" containsNumber="1" containsInteger="1" minValue="1" maxValue="1"/>
    </cacheField>
    <cacheField name="STOCK" numFmtId="0">
      <sharedItems containsSemiMixedTypes="0" containsString="0" containsNumber="1" containsInteger="1" minValue="1" maxValue="15"/>
    </cacheField>
    <cacheField name="STOCK LEFT" numFmtId="0">
      <sharedItems containsSemiMixedTypes="0" containsString="0" containsNumber="1" containsInteger="1" minValue="0" maxValue="14"/>
    </cacheField>
    <cacheField name="PRICE" numFmtId="164">
      <sharedItems containsSemiMixedTypes="0" containsString="0" containsNumber="1" containsInteger="1" minValue="140000000" maxValue="1034500000"/>
    </cacheField>
    <cacheField name="TOTAL PRICE" numFmtId="164">
      <sharedItems containsSemiMixedTypes="0" containsString="0" containsNumber="1" containsInteger="1" minValue="140000000" maxValue="1034500000"/>
    </cacheField>
  </cacheFields>
  <extLst>
    <ext xmlns:x14="http://schemas.microsoft.com/office/spreadsheetml/2009/9/main" uri="{725AE2AE-9491-48be-B2B4-4EB974FC3084}">
      <x14:pivotCacheDefinition pivotCacheId="32441626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r Alif" refreshedDate="44576.650503819445" createdVersion="5" refreshedVersion="7" minRefreshableVersion="3" recordCount="0" supportSubquery="1" supportAdvancedDrill="1" xr:uid="{875A8582-74D9-4188-8F2A-01C6E1D7C57B}">
  <cacheSource type="external" connectionId="1"/>
  <cacheFields count="4">
    <cacheField name="[Measures].[Sum of TOTAL PRICE]" caption="Sum of TOTAL PRICE" numFmtId="0" hierarchy="24" level="32767"/>
    <cacheField name="[DETAIL PRODUK].[Type].[Type]" caption="Type" numFmtId="0" hierarchy="5" level="1">
      <sharedItems count="33">
        <s v="HONDA All New Brio Satya S MT"/>
        <s v="HONDA All New Brio Satya E MT"/>
        <s v="HONDA All New Brio Satya E CVT"/>
        <s v="HONDA All New Brio RS CVT"/>
        <s v="HONDA All New Brio RS MT"/>
        <s v="HONDA BRV  S MT"/>
        <s v="HONDA BRV E MT"/>
        <s v="HONDA BRV E CVT"/>
        <s v="HONDA BRV Prestige CVT"/>
        <s v="HONDA Civic E MT"/>
        <s v="HONDA Civic E CVT"/>
        <s v="HONDA Civic HATCHBACK S CVT"/>
        <s v="HONDA Civic HATCHBACK E CVT"/>
        <s v="HONDA Civic 1.5L Turbo AT"/>
        <s v="HONDA NEW CRV 2.0L CVT"/>
        <s v="HONDA NEW CRV 1.5L Turbo CVT"/>
        <s v="HONDA CITY E MT"/>
        <s v="HONDA CITY ECVT"/>
        <s v="HONDA NEW HRV 1.5 S MT"/>
        <s v="HONDA NEW HRV 1.5 E CVT"/>
        <s v="HONDA NEW HRV 1.5 E CVT SE"/>
        <s v="HONDA NEW HRV 1.8 Prestige CVT"/>
        <s v="HONDA NEW HRV 1.8 Prestige CVT 2Tone CVT"/>
        <s v="HONDA Jazz S MT"/>
        <s v="HONDA Jazz S CVT"/>
        <s v="HONDA Jazz M/T RS 2Tone"/>
        <s v="HONDA Jazz RS CVT"/>
        <s v="HONDA Jazz RS 2tone"/>
        <s v="HONDA Mobilio S MT"/>
        <s v="HONDA Mobilio E MT"/>
        <s v="HONDA Mobilio E S CVT"/>
        <s v="HONDA Mobilio RS MT"/>
        <s v="HONDA Mobilio RT MT (2tone)"/>
      </sharedItems>
    </cacheField>
    <cacheField name="[DETAIL PRODUK].[Category].[Category]" caption="Category" numFmtId="0" hierarchy="8" level="1">
      <sharedItems count="8">
        <s v="Brio"/>
        <s v="BRV"/>
        <s v="Civic"/>
        <s v="CRV"/>
        <s v="Hcity"/>
        <s v="HRV"/>
        <s v="Jazz"/>
        <s v="Mobilio"/>
      </sharedItems>
    </cacheField>
    <cacheField name="[DETAIL PRODUK].[ID Product].[ID Product]" caption="ID Product" numFmtId="0" hierarchy="4" level="1">
      <sharedItems count="33">
        <s v="HB-0101200201"/>
        <s v="HB-0101200202"/>
        <s v="HB-0101200203"/>
        <s v="HB-0101200204"/>
        <s v="HB-0101200205"/>
        <s v="HBRV-0303200201"/>
        <s v="HBRV-0303200202"/>
        <s v="HBRV-0303200203"/>
        <s v="HBRV-0303200204"/>
        <s v="HCV-3004200301"/>
        <s v="HCV-3004200302"/>
        <s v="HCV-3004200303"/>
        <s v="HCV-3004200304"/>
        <s v="HCV-3004200305"/>
        <s v="HCRV-98765001"/>
        <s v="HCRV-98765002"/>
        <s v="HCT-081320001"/>
        <s v="HCT-081320002"/>
        <s v="HRV-209819801"/>
        <s v="HRV-209819803"/>
        <s v="HRV-209819804"/>
        <s v="HRV-209819805"/>
        <s v="HRV-209819806"/>
        <s v="HJ-0404202201"/>
        <s v="HJ-0404202202"/>
        <s v="HJ-0404202204"/>
        <s v="HJ-0404202205"/>
        <s v="HJ-0404202206"/>
        <s v="HM-0202200201"/>
        <s v="HM-0202200202"/>
        <s v="HM-0202200204"/>
        <s v="HM-0202200205"/>
        <s v="HM-0202200207"/>
      </sharedItems>
    </cacheField>
  </cacheFields>
  <cacheHierarchies count="25">
    <cacheHierarchy uniqueName="[CUSTOMER].[ID-CUSTOMER]" caption="ID-CUSTOMER" attribute="1" defaultMemberUniqueName="[CUSTOMER].[ID-CUSTOMER].[All]" allUniqueName="[CUSTOMER].[ID-CUSTOMER].[All]" dimensionUniqueName="[CUSTOMER]" displayFolder="" count="2" memberValueDatatype="130" unbalanced="0"/>
    <cacheHierarchy uniqueName="[CUSTOMER].[NAMA]" caption="NAMA" attribute="1" defaultMemberUniqueName="[CUSTOMER].[NAMA].[All]" allUniqueName="[CUSTOMER].[NAMA].[All]" dimensionUniqueName="[CUSTOMER]" displayFolder="" count="2" memberValueDatatype="130" unbalanced="0"/>
    <cacheHierarchy uniqueName="[CUSTOMER].[ALAMAT]" caption="ALAMAT" attribute="1" defaultMemberUniqueName="[CUSTOMER].[ALAMAT].[All]" allUniqueName="[CUSTOMER].[ALAMAT].[All]" dimensionUniqueName="[CUSTOMER]" displayFolder="" count="0" memberValueDatatype="130" unbalanced="0"/>
    <cacheHierarchy uniqueName="[CUSTOMER].[BRANCH]" caption="BRANCH" attribute="1" defaultMemberUniqueName="[CUSTOMER].[BRANCH].[All]" allUniqueName="[CUSTOMER].[BRANCH].[All]" dimensionUniqueName="[CUSTOMER]" displayFolder="" count="0" memberValueDatatype="130" unbalanced="0"/>
    <cacheHierarchy uniqueName="[DETAIL PRODUK].[ID Product]" caption="ID Product" attribute="1" defaultMemberUniqueName="[DETAIL PRODUK].[ID Product].[All]" allUniqueName="[DETAIL PRODUK].[ID Product].[All]" dimensionUniqueName="[DETAIL PRODUK]" displayFolder="" count="2" memberValueDatatype="130" unbalanced="0">
      <fieldsUsage count="2">
        <fieldUsage x="-1"/>
        <fieldUsage x="3"/>
      </fieldsUsage>
    </cacheHierarchy>
    <cacheHierarchy uniqueName="[DETAIL PRODUK].[Type]" caption="Type" attribute="1" defaultMemberUniqueName="[DETAIL PRODUK].[Type].[All]" allUniqueName="[DETAIL PRODUK].[Type].[All]" dimensionUniqueName="[DETAIL PRODUK]" displayFolder="" count="2" memberValueDatatype="130" unbalanced="0">
      <fieldsUsage count="2">
        <fieldUsage x="-1"/>
        <fieldUsage x="1"/>
      </fieldsUsage>
    </cacheHierarchy>
    <cacheHierarchy uniqueName="[DETAIL PRODUK].[Price]" caption="Price" attribute="1" defaultMemberUniqueName="[DETAIL PRODUK].[Price].[All]" allUniqueName="[DETAIL PRODUK].[Price].[All]" dimensionUniqueName="[DETAIL PRODUK]" displayFolder="" count="0" memberValueDatatype="20" unbalanced="0"/>
    <cacheHierarchy uniqueName="[DETAIL PRODUK].[Stok]" caption="Stok" attribute="1" defaultMemberUniqueName="[DETAIL PRODUK].[Stok].[All]" allUniqueName="[DETAIL PRODUK].[Stok].[All]" dimensionUniqueName="[DETAIL PRODUK]" displayFolder="" count="0" memberValueDatatype="20" unbalanced="0"/>
    <cacheHierarchy uniqueName="[DETAIL PRODUK].[Category]" caption="Category" attribute="1" defaultMemberUniqueName="[DETAIL PRODUK].[Category].[All]" allUniqueName="[DETAIL PRODUK].[Category].[All]" dimensionUniqueName="[DETAIL PRODUK]" displayFolder="" count="2" memberValueDatatype="130" unbalanced="0">
      <fieldsUsage count="2">
        <fieldUsage x="-1"/>
        <fieldUsage x="2"/>
      </fieldsUsage>
    </cacheHierarchy>
    <cacheHierarchy uniqueName="[DETAIL PRODUK].[Year]" caption="Year" attribute="1" defaultMemberUniqueName="[DETAIL PRODUK].[Year].[All]" allUniqueName="[DETAIL PRODUK].[Year].[All]" dimensionUniqueName="[DETAIL PRODUK]" displayFolder="" count="0" memberValueDatatype="20" unbalanced="0"/>
    <cacheHierarchy uniqueName="[TRANSACTION].[ID-PRODUCT]" caption="ID-PRODUCT" attribute="1" defaultMemberUniqueName="[TRANSACTION].[ID-PRODUCT].[All]" allUniqueName="[TRANSACTION].[ID-PRODUCT].[All]" dimensionUniqueName="[TRANSACTION]" displayFolder="" count="2" memberValueDatatype="130" unbalanced="0"/>
    <cacheHierarchy uniqueName="[TRANSACTION].[NAMA]" caption="NAMA" attribute="1" defaultMemberUniqueName="[TRANSACTION].[NAMA].[All]" allUniqueName="[TRANSACTION].[NAMA].[All]" dimensionUniqueName="[TRANSACTION]" displayFolder="" count="2" memberValueDatatype="130" unbalanced="0"/>
    <cacheHierarchy uniqueName="[TRANSACTION].[TANGGAL]" caption="TANGGAL" attribute="1" time="1" defaultMemberUniqueName="[TRANSACTION].[TANGGAL].[All]" allUniqueName="[TRANSACTION].[TANGGAL].[All]" dimensionUniqueName="[TRANSACTION]" displayFolder="" count="0" memberValueDatatype="7" unbalanced="0"/>
    <cacheHierarchy uniqueName="[TRANSACTION].[TYPE]" caption="TYPE" attribute="1" defaultMemberUniqueName="[TRANSACTION].[TYPE].[All]" allUniqueName="[TRANSACTION].[TYPE].[All]" dimensionUniqueName="[TRANSACTION]" displayFolder="" count="0" memberValueDatatype="130" unbalanced="0"/>
    <cacheHierarchy uniqueName="[TRANSACTION].[JENIS]" caption="JENIS" attribute="1" defaultMemberUniqueName="[TRANSACTION].[JENIS].[All]" allUniqueName="[TRANSACTION].[JENIS].[All]" dimensionUniqueName="[TRANSACTION]" displayFolder="" count="0" memberValueDatatype="130" unbalanced="0"/>
    <cacheHierarchy uniqueName="[TRANSACTION].[QUANTITY]" caption="QUANTITY" attribute="1" defaultMemberUniqueName="[TRANSACTION].[QUANTITY].[All]" allUniqueName="[TRANSACTION].[QUANTITY].[All]" dimensionUniqueName="[TRANSACTION]" displayFolder="" count="0" memberValueDatatype="20" unbalanced="0"/>
    <cacheHierarchy uniqueName="[TRANSACTION].[STOCK]" caption="STOCK" attribute="1" defaultMemberUniqueName="[TRANSACTION].[STOCK].[All]" allUniqueName="[TRANSACTION].[STOCK].[All]" dimensionUniqueName="[TRANSACTION]" displayFolder="" count="0" memberValueDatatype="20" unbalanced="0"/>
    <cacheHierarchy uniqueName="[TRANSACTION].[STOCK LEFT]" caption="STOCK LEFT" attribute="1" defaultMemberUniqueName="[TRANSACTION].[STOCK LEFT].[All]" allUniqueName="[TRANSACTION].[STOCK LEFT].[All]" dimensionUniqueName="[TRANSACTION]" displayFolder="" count="0" memberValueDatatype="20" unbalanced="0"/>
    <cacheHierarchy uniqueName="[TRANSACTION].[PRICE]" caption="PRICE" attribute="1" defaultMemberUniqueName="[TRANSACTION].[PRICE].[All]" allUniqueName="[TRANSACTION].[PRICE].[All]" dimensionUniqueName="[TRANSACTION]" displayFolder="" count="0" memberValueDatatype="20" unbalanced="0"/>
    <cacheHierarchy uniqueName="[TRANSACTION].[TOTAL PRICE]" caption="TOTAL PRICE" attribute="1" defaultMemberUniqueName="[TRANSACTION].[TOTAL PRICE].[All]" allUniqueName="[TRANSACTION].[TOTAL PRICE].[All]" dimensionUniqueName="[TRANSACTION]" displayFolder="" count="0" memberValueDatatype="20" unbalanced="0"/>
    <cacheHierarchy uniqueName="[Measures].[__XL_Count Table5]" caption="__XL_Count Table5" measure="1" displayFolder="" measureGroup="DETAIL PRODUK" count="0" hidden="1"/>
    <cacheHierarchy uniqueName="[Measures].[__XL_Count Table15]" caption="__XL_Count Table15" measure="1" displayFolder="" measureGroup="CUSTOMER" count="0" hidden="1"/>
    <cacheHierarchy uniqueName="[Measures].[__XL_Count Table17]" caption="__XL_Count Table17" measure="1" displayFolder="" measureGroup="TRANSACTION" count="0" hidden="1"/>
    <cacheHierarchy uniqueName="[Measures].[__No measures defined]" caption="__No measures defined" measure="1" displayFolder="" count="0" hidden="1"/>
    <cacheHierarchy uniqueName="[Measures].[Sum of TOTAL PRICE]" caption="Sum of TOTAL PRICE" measure="1" displayFolder="" measureGroup="TRANSACTION" count="0" oneField="1" hidden="1">
      <fieldsUsage count="1">
        <fieldUsage x="0"/>
      </fieldsUsage>
      <extLst>
        <ext xmlns:x15="http://schemas.microsoft.com/office/spreadsheetml/2010/11/main" uri="{B97F6D7D-B522-45F9-BDA1-12C45D357490}">
          <x15:cacheHierarchy aggregatedColumn="19"/>
        </ext>
      </extLst>
    </cacheHierarchy>
  </cacheHierarchies>
  <kpis count="0"/>
  <dimensions count="4">
    <dimension name="CUSTOMER" uniqueName="[CUSTOMER]" caption="CUSTOMER"/>
    <dimension name="DETAIL PRODUK" uniqueName="[DETAIL PRODUK]" caption="DETAIL PRODUK"/>
    <dimension measure="1" name="Measures" uniqueName="[Measures]" caption="Measures"/>
    <dimension name="TRANSACTION" uniqueName="[TRANSACTION]" caption="TRANSACTION"/>
  </dimensions>
  <measureGroups count="3">
    <measureGroup name="CUSTOMER" caption="CUSTOMER"/>
    <measureGroup name="DETAIL PRODUK" caption="DETAIL PRODUK"/>
    <measureGroup name="TRANSACTION" caption="TRANSACTION"/>
  </measureGroups>
  <maps count="6">
    <map measureGroup="0" dimension="0"/>
    <map measureGroup="0" dimension="1"/>
    <map measureGroup="0" dimension="3"/>
    <map measureGroup="1" dimension="1"/>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n v="140000000"/>
    <m/>
    <x v="0"/>
    <m/>
    <x v="0"/>
  </r>
  <r>
    <x v="1"/>
    <n v="148500000"/>
    <m/>
    <x v="0"/>
    <m/>
    <x v="1"/>
  </r>
  <r>
    <x v="2"/>
    <n v="163500000"/>
    <m/>
    <x v="0"/>
    <m/>
    <x v="2"/>
  </r>
  <r>
    <x v="3"/>
    <n v="176000000"/>
    <m/>
    <x v="0"/>
    <m/>
    <x v="3"/>
  </r>
  <r>
    <x v="4"/>
    <n v="191000000"/>
    <m/>
    <x v="0"/>
    <m/>
    <x v="4"/>
  </r>
  <r>
    <x v="5"/>
    <n v="195500000"/>
    <m/>
    <x v="1"/>
    <m/>
    <x v="5"/>
  </r>
  <r>
    <x v="6"/>
    <n v="216000000"/>
    <m/>
    <x v="1"/>
    <m/>
    <x v="6"/>
  </r>
  <r>
    <x v="7"/>
    <n v="227000000"/>
    <m/>
    <x v="1"/>
    <m/>
    <x v="7"/>
  </r>
  <r>
    <x v="8"/>
    <n v="231400000"/>
    <m/>
    <x v="1"/>
    <m/>
    <x v="8"/>
  </r>
  <r>
    <x v="9"/>
    <n v="237500000"/>
    <m/>
    <x v="1"/>
    <m/>
    <x v="9"/>
  </r>
  <r>
    <x v="10"/>
    <n v="248000000"/>
    <m/>
    <x v="1"/>
    <m/>
    <x v="10"/>
  </r>
  <r>
    <x v="11"/>
    <n v="239000000"/>
    <m/>
    <x v="1"/>
    <m/>
    <x v="11"/>
  </r>
  <r>
    <x v="12"/>
    <n v="249500000"/>
    <m/>
    <x v="1"/>
    <m/>
    <x v="12"/>
  </r>
  <r>
    <x v="13"/>
    <n v="239500000"/>
    <m/>
    <x v="2"/>
    <m/>
    <x v="13"/>
  </r>
  <r>
    <x v="14"/>
    <n v="250500000"/>
    <m/>
    <x v="2"/>
    <m/>
    <x v="14"/>
  </r>
  <r>
    <x v="15"/>
    <n v="260500000"/>
    <m/>
    <x v="2"/>
    <m/>
    <x v="15"/>
  </r>
  <r>
    <x v="16"/>
    <n v="275500000"/>
    <m/>
    <x v="2"/>
    <m/>
    <x v="16"/>
  </r>
  <r>
    <x v="17"/>
    <n v="240500000"/>
    <m/>
    <x v="3"/>
    <m/>
    <x v="17"/>
  </r>
  <r>
    <x v="18"/>
    <n v="271000000"/>
    <m/>
    <x v="3"/>
    <m/>
    <x v="18"/>
  </r>
  <r>
    <x v="19"/>
    <n v="272500000"/>
    <m/>
    <x v="3"/>
    <m/>
    <x v="19"/>
  </r>
  <r>
    <x v="20"/>
    <n v="275000000"/>
    <m/>
    <x v="3"/>
    <m/>
    <x v="20"/>
  </r>
  <r>
    <x v="21"/>
    <n v="281000000"/>
    <m/>
    <x v="3"/>
    <m/>
    <x v="21"/>
  </r>
  <r>
    <x v="22"/>
    <n v="282500000"/>
    <m/>
    <x v="3"/>
    <m/>
    <x v="22"/>
  </r>
  <r>
    <x v="23"/>
    <n v="286000000"/>
    <m/>
    <x v="4"/>
    <m/>
    <x v="23"/>
  </r>
  <r>
    <x v="24"/>
    <n v="296000000"/>
    <m/>
    <x v="4"/>
    <m/>
    <x v="24"/>
  </r>
  <r>
    <x v="25"/>
    <n v="319000000"/>
    <m/>
    <x v="4"/>
    <m/>
    <x v="25"/>
  </r>
  <r>
    <x v="26"/>
    <n v="336000000"/>
    <m/>
    <x v="4"/>
    <m/>
    <x v="26"/>
  </r>
  <r>
    <x v="27"/>
    <n v="401500000"/>
    <m/>
    <x v="4"/>
    <m/>
    <x v="27"/>
  </r>
  <r>
    <x v="28"/>
    <n v="403000000"/>
    <m/>
    <x v="4"/>
    <m/>
    <x v="28"/>
  </r>
  <r>
    <x v="29"/>
    <n v="446500000"/>
    <m/>
    <x v="5"/>
    <m/>
    <x v="29"/>
  </r>
  <r>
    <x v="30"/>
    <n v="480500000"/>
    <m/>
    <x v="5"/>
    <m/>
    <x v="30"/>
  </r>
  <r>
    <x v="31"/>
    <n v="520500000"/>
    <m/>
    <x v="5"/>
    <m/>
    <x v="31"/>
  </r>
  <r>
    <x v="32"/>
    <n v="324500000"/>
    <m/>
    <x v="6"/>
    <m/>
    <x v="32"/>
  </r>
  <r>
    <x v="33"/>
    <n v="334500000"/>
    <m/>
    <x v="6"/>
    <m/>
    <x v="33"/>
  </r>
  <r>
    <x v="34"/>
    <n v="416500000"/>
    <m/>
    <x v="7"/>
    <m/>
    <x v="34"/>
  </r>
  <r>
    <x v="35"/>
    <n v="455500000"/>
    <m/>
    <x v="7"/>
    <m/>
    <x v="35"/>
  </r>
  <r>
    <x v="36"/>
    <n v="497500000"/>
    <m/>
    <x v="7"/>
    <m/>
    <x v="36"/>
  </r>
  <r>
    <x v="37"/>
    <n v="500500000"/>
    <m/>
    <x v="7"/>
    <m/>
    <x v="37"/>
  </r>
  <r>
    <x v="38"/>
    <n v="1034500000"/>
    <m/>
    <x v="7"/>
    <m/>
    <x v="3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s v="HB-0101200201"/>
    <x v="0"/>
    <n v="1"/>
  </r>
  <r>
    <x v="1"/>
    <s v="HB-0101200202"/>
    <x v="0"/>
    <n v="2"/>
  </r>
  <r>
    <x v="2"/>
    <s v="HB-0101200203"/>
    <x v="0"/>
    <n v="3"/>
  </r>
  <r>
    <x v="3"/>
    <s v="HB-0101200204"/>
    <x v="0"/>
    <n v="2"/>
  </r>
  <r>
    <x v="4"/>
    <s v="HB-0101200205"/>
    <x v="0"/>
    <n v="2"/>
  </r>
  <r>
    <x v="5"/>
    <s v="HM-0202200201"/>
    <x v="1"/>
    <n v="3"/>
  </r>
  <r>
    <x v="6"/>
    <s v="HM-0202200202"/>
    <x v="1"/>
    <n v="2"/>
  </r>
  <r>
    <x v="7"/>
    <s v="HM-0202200203"/>
    <x v="1"/>
    <n v="0"/>
  </r>
  <r>
    <x v="8"/>
    <s v="HM-0202200204"/>
    <x v="1"/>
    <n v="1"/>
  </r>
  <r>
    <x v="9"/>
    <s v="HM-0202200205"/>
    <x v="1"/>
    <n v="1"/>
  </r>
  <r>
    <x v="10"/>
    <s v="HM-0202200206"/>
    <x v="1"/>
    <n v="0"/>
  </r>
  <r>
    <x v="11"/>
    <s v="HM-0202200207"/>
    <x v="1"/>
    <n v="1"/>
  </r>
  <r>
    <x v="12"/>
    <s v="HM-0202200208"/>
    <x v="1"/>
    <n v="0"/>
  </r>
  <r>
    <x v="13"/>
    <s v="HBRV-0303200201"/>
    <x v="2"/>
    <n v="2"/>
  </r>
  <r>
    <x v="14"/>
    <s v="HBRV-0303200202"/>
    <x v="2"/>
    <n v="2"/>
  </r>
  <r>
    <x v="15"/>
    <s v="HBRV-0303200203"/>
    <x v="2"/>
    <n v="2"/>
  </r>
  <r>
    <x v="16"/>
    <s v="HBRV-0303200204"/>
    <x v="2"/>
    <n v="1"/>
  </r>
  <r>
    <x v="17"/>
    <s v="HJ-0404202201"/>
    <x v="3"/>
    <n v="3"/>
  </r>
  <r>
    <x v="18"/>
    <s v="HJ-0404202202"/>
    <x v="3"/>
    <n v="2"/>
  </r>
  <r>
    <x v="19"/>
    <s v="HJ-0404202203"/>
    <x v="3"/>
    <n v="0"/>
  </r>
  <r>
    <x v="20"/>
    <s v="HJ-0404202204"/>
    <x v="3"/>
    <n v="2"/>
  </r>
  <r>
    <x v="21"/>
    <s v="HJ-0404202205"/>
    <x v="3"/>
    <n v="1"/>
  </r>
  <r>
    <x v="22"/>
    <s v="HJ-0404202206"/>
    <x v="3"/>
    <n v="0"/>
  </r>
  <r>
    <x v="23"/>
    <s v="HRV-209819801"/>
    <x v="4"/>
    <n v="1"/>
  </r>
  <r>
    <x v="24"/>
    <s v="HRV-209819802"/>
    <x v="4"/>
    <n v="0"/>
  </r>
  <r>
    <x v="25"/>
    <s v="HRV-209819803"/>
    <x v="4"/>
    <n v="4"/>
  </r>
  <r>
    <x v="26"/>
    <s v="HRV-209819804"/>
    <x v="4"/>
    <n v="2"/>
  </r>
  <r>
    <x v="27"/>
    <s v="HRV-209819805"/>
    <x v="4"/>
    <n v="2"/>
  </r>
  <r>
    <x v="28"/>
    <s v="HRV-209819806"/>
    <x v="4"/>
    <n v="2"/>
  </r>
  <r>
    <x v="29"/>
    <s v="HCRV-98765001"/>
    <x v="5"/>
    <n v="3"/>
  </r>
  <r>
    <x v="30"/>
    <s v="HCRV-98765002"/>
    <x v="5"/>
    <n v="3"/>
  </r>
  <r>
    <x v="31"/>
    <s v="HCRV-98765003"/>
    <x v="5"/>
    <n v="0"/>
  </r>
  <r>
    <x v="32"/>
    <s v="HCT-081320001"/>
    <x v="6"/>
    <n v="2"/>
  </r>
  <r>
    <x v="33"/>
    <s v="HCT-081320002"/>
    <x v="6"/>
    <n v="3"/>
  </r>
  <r>
    <x v="34"/>
    <s v="HCV-3004200301"/>
    <x v="7"/>
    <n v="3"/>
  </r>
  <r>
    <x v="35"/>
    <s v="HCV-3004200302"/>
    <x v="7"/>
    <n v="2"/>
  </r>
  <r>
    <x v="36"/>
    <s v="HCV-3004200303"/>
    <x v="7"/>
    <n v="2"/>
  </r>
  <r>
    <x v="37"/>
    <s v="HCV-3004200304"/>
    <x v="7"/>
    <n v="1"/>
  </r>
  <r>
    <x v="38"/>
    <s v="HCV-3004200305"/>
    <x v="7"/>
    <n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s v="HB-0101200201"/>
    <x v="0"/>
    <x v="0"/>
    <x v="0"/>
    <x v="0"/>
    <x v="0"/>
    <n v="15"/>
    <n v="14"/>
    <n v="140000000"/>
    <n v="140000000"/>
    <x v="0"/>
  </r>
  <r>
    <s v="HB-0101200202"/>
    <x v="1"/>
    <x v="1"/>
    <x v="1"/>
    <x v="0"/>
    <x v="0"/>
    <n v="15"/>
    <n v="14"/>
    <n v="148500000"/>
    <n v="148500000"/>
    <x v="1"/>
  </r>
  <r>
    <s v="HB-0101200203"/>
    <x v="2"/>
    <x v="2"/>
    <x v="2"/>
    <x v="0"/>
    <x v="0"/>
    <n v="15"/>
    <n v="14"/>
    <n v="163500000"/>
    <n v="163500000"/>
    <x v="0"/>
  </r>
  <r>
    <s v="HM-0202200201"/>
    <x v="3"/>
    <x v="3"/>
    <x v="3"/>
    <x v="1"/>
    <x v="0"/>
    <n v="10"/>
    <n v="9"/>
    <n v="195500000"/>
    <n v="195500000"/>
    <x v="1"/>
  </r>
  <r>
    <s v="HM-0202200202"/>
    <x v="4"/>
    <x v="4"/>
    <x v="4"/>
    <x v="1"/>
    <x v="0"/>
    <n v="10"/>
    <n v="9"/>
    <n v="216000000"/>
    <n v="216000000"/>
    <x v="1"/>
  </r>
  <r>
    <s v="HBRV-0303200201"/>
    <x v="5"/>
    <x v="5"/>
    <x v="5"/>
    <x v="2"/>
    <x v="0"/>
    <n v="5"/>
    <n v="4"/>
    <n v="239500000"/>
    <n v="239500000"/>
    <x v="0"/>
  </r>
  <r>
    <s v="HBRV-0303200202"/>
    <x v="6"/>
    <x v="6"/>
    <x v="6"/>
    <x v="2"/>
    <x v="0"/>
    <n v="5"/>
    <n v="4"/>
    <n v="250500000"/>
    <n v="250500000"/>
    <x v="0"/>
  </r>
  <r>
    <s v="HBRV-0303200203"/>
    <x v="7"/>
    <x v="7"/>
    <x v="7"/>
    <x v="2"/>
    <x v="0"/>
    <n v="5"/>
    <n v="4"/>
    <n v="260500000"/>
    <n v="260500000"/>
    <x v="2"/>
  </r>
  <r>
    <s v="HRV-209819805"/>
    <x v="8"/>
    <x v="8"/>
    <x v="8"/>
    <x v="3"/>
    <x v="0"/>
    <n v="4"/>
    <n v="3"/>
    <n v="401500000"/>
    <n v="401500000"/>
    <x v="2"/>
  </r>
  <r>
    <s v="HRV-209819806"/>
    <x v="9"/>
    <x v="9"/>
    <x v="9"/>
    <x v="3"/>
    <x v="0"/>
    <n v="4"/>
    <n v="3"/>
    <n v="403000000"/>
    <n v="403000000"/>
    <x v="2"/>
  </r>
  <r>
    <s v="HJ-0404202201"/>
    <x v="10"/>
    <x v="10"/>
    <x v="10"/>
    <x v="4"/>
    <x v="0"/>
    <n v="8"/>
    <n v="7"/>
    <n v="240500000"/>
    <n v="240500000"/>
    <x v="0"/>
  </r>
  <r>
    <s v="HCRV-98765001"/>
    <x v="11"/>
    <x v="11"/>
    <x v="11"/>
    <x v="5"/>
    <x v="0"/>
    <n v="10"/>
    <n v="9"/>
    <n v="446500000"/>
    <n v="446500000"/>
    <x v="1"/>
  </r>
  <r>
    <s v="HJ-0404202206"/>
    <x v="12"/>
    <x v="12"/>
    <x v="12"/>
    <x v="4"/>
    <x v="0"/>
    <n v="8"/>
    <n v="7"/>
    <n v="282500000"/>
    <n v="282500000"/>
    <x v="0"/>
  </r>
  <r>
    <s v="HCRV-98765002"/>
    <x v="13"/>
    <x v="12"/>
    <x v="13"/>
    <x v="5"/>
    <x v="0"/>
    <n v="10"/>
    <n v="9"/>
    <n v="480500000"/>
    <n v="480500000"/>
    <x v="2"/>
  </r>
  <r>
    <s v="HCT-081320001"/>
    <x v="14"/>
    <x v="13"/>
    <x v="14"/>
    <x v="6"/>
    <x v="0"/>
    <n v="7"/>
    <n v="6"/>
    <n v="324500000"/>
    <n v="324500000"/>
    <x v="2"/>
  </r>
  <r>
    <s v="HRV-209819803"/>
    <x v="15"/>
    <x v="14"/>
    <x v="15"/>
    <x v="3"/>
    <x v="0"/>
    <n v="4"/>
    <n v="3"/>
    <n v="319000000"/>
    <n v="319000000"/>
    <x v="0"/>
  </r>
  <r>
    <s v="HCT-081320002"/>
    <x v="16"/>
    <x v="15"/>
    <x v="16"/>
    <x v="6"/>
    <x v="0"/>
    <n v="7"/>
    <n v="6"/>
    <n v="334500000"/>
    <n v="334500000"/>
    <x v="1"/>
  </r>
  <r>
    <s v="HCV-3004200301"/>
    <x v="17"/>
    <x v="16"/>
    <x v="17"/>
    <x v="7"/>
    <x v="0"/>
    <n v="10"/>
    <n v="9"/>
    <n v="416500000"/>
    <n v="416500000"/>
    <x v="0"/>
  </r>
  <r>
    <s v="HRV-209819804"/>
    <x v="18"/>
    <x v="17"/>
    <x v="18"/>
    <x v="3"/>
    <x v="0"/>
    <n v="4"/>
    <n v="3"/>
    <n v="336000000"/>
    <n v="336000000"/>
    <x v="2"/>
  </r>
  <r>
    <s v="HB-0101200204"/>
    <x v="19"/>
    <x v="18"/>
    <x v="19"/>
    <x v="0"/>
    <x v="0"/>
    <n v="15"/>
    <n v="14"/>
    <n v="176000000"/>
    <n v="176000000"/>
    <x v="0"/>
  </r>
  <r>
    <s v="HB-0101200205"/>
    <x v="20"/>
    <x v="19"/>
    <x v="20"/>
    <x v="0"/>
    <x v="0"/>
    <n v="15"/>
    <n v="14"/>
    <n v="191000000"/>
    <n v="191000000"/>
    <x v="2"/>
  </r>
  <r>
    <s v="HM-0202200201"/>
    <x v="21"/>
    <x v="20"/>
    <x v="3"/>
    <x v="1"/>
    <x v="0"/>
    <n v="9"/>
    <n v="8"/>
    <n v="195500000"/>
    <n v="195500000"/>
    <x v="1"/>
  </r>
  <r>
    <s v="HM-0202200202"/>
    <x v="22"/>
    <x v="21"/>
    <x v="4"/>
    <x v="1"/>
    <x v="0"/>
    <n v="9"/>
    <n v="8"/>
    <n v="216000000"/>
    <n v="216000000"/>
    <x v="0"/>
  </r>
  <r>
    <s v="HBRV-0303200203"/>
    <x v="23"/>
    <x v="22"/>
    <x v="7"/>
    <x v="2"/>
    <x v="0"/>
    <n v="4"/>
    <n v="3"/>
    <n v="260500000"/>
    <n v="260500000"/>
    <x v="1"/>
  </r>
  <r>
    <s v="HBRV-0303200204"/>
    <x v="24"/>
    <x v="23"/>
    <x v="21"/>
    <x v="2"/>
    <x v="0"/>
    <n v="5"/>
    <n v="4"/>
    <n v="275500000"/>
    <n v="275500000"/>
    <x v="1"/>
  </r>
  <r>
    <s v="HJ-0404202201"/>
    <x v="25"/>
    <x v="24"/>
    <x v="10"/>
    <x v="4"/>
    <x v="0"/>
    <n v="7"/>
    <n v="6"/>
    <n v="240500000"/>
    <n v="240500000"/>
    <x v="2"/>
  </r>
  <r>
    <s v="HJ-0404202202"/>
    <x v="26"/>
    <x v="25"/>
    <x v="22"/>
    <x v="4"/>
    <x v="0"/>
    <n v="8"/>
    <n v="7"/>
    <n v="271000000"/>
    <n v="271000000"/>
    <x v="2"/>
  </r>
  <r>
    <s v="HRV-209819805"/>
    <x v="27"/>
    <x v="26"/>
    <x v="8"/>
    <x v="3"/>
    <x v="0"/>
    <n v="3"/>
    <n v="2"/>
    <n v="401500000"/>
    <n v="401500000"/>
    <x v="2"/>
  </r>
  <r>
    <s v="HRV-209819806"/>
    <x v="28"/>
    <x v="27"/>
    <x v="9"/>
    <x v="3"/>
    <x v="0"/>
    <n v="3"/>
    <n v="2"/>
    <n v="403000000"/>
    <n v="403000000"/>
    <x v="2"/>
  </r>
  <r>
    <s v="HCRV-98765001"/>
    <x v="29"/>
    <x v="28"/>
    <x v="11"/>
    <x v="5"/>
    <x v="0"/>
    <n v="9"/>
    <n v="8"/>
    <n v="446500000"/>
    <n v="446500000"/>
    <x v="0"/>
  </r>
  <r>
    <s v="HCRV-98765002"/>
    <x v="30"/>
    <x v="29"/>
    <x v="13"/>
    <x v="5"/>
    <x v="0"/>
    <n v="9"/>
    <n v="8"/>
    <n v="480500000"/>
    <n v="480500000"/>
    <x v="1"/>
  </r>
  <r>
    <s v="HCT-081320001"/>
    <x v="31"/>
    <x v="30"/>
    <x v="14"/>
    <x v="6"/>
    <x v="0"/>
    <n v="6"/>
    <n v="5"/>
    <n v="324500000"/>
    <n v="324500000"/>
    <x v="1"/>
  </r>
  <r>
    <s v="HCT-081320002"/>
    <x v="32"/>
    <x v="31"/>
    <x v="16"/>
    <x v="6"/>
    <x v="0"/>
    <n v="6"/>
    <n v="5"/>
    <n v="334500000"/>
    <n v="334500000"/>
    <x v="0"/>
  </r>
  <r>
    <s v="HCV-3004200301"/>
    <x v="33"/>
    <x v="32"/>
    <x v="17"/>
    <x v="7"/>
    <x v="0"/>
    <n v="9"/>
    <n v="8"/>
    <n v="416500000"/>
    <n v="416500000"/>
    <x v="2"/>
  </r>
  <r>
    <s v="HCV-3004200302"/>
    <x v="34"/>
    <x v="33"/>
    <x v="23"/>
    <x v="7"/>
    <x v="0"/>
    <n v="10"/>
    <n v="9"/>
    <n v="455500000"/>
    <n v="455500000"/>
    <x v="2"/>
  </r>
  <r>
    <s v="HCV-3004200303"/>
    <x v="35"/>
    <x v="34"/>
    <x v="24"/>
    <x v="7"/>
    <x v="0"/>
    <n v="10"/>
    <n v="9"/>
    <n v="497500000"/>
    <n v="497500000"/>
    <x v="0"/>
  </r>
  <r>
    <s v="HB-0101200202"/>
    <x v="36"/>
    <x v="35"/>
    <x v="1"/>
    <x v="0"/>
    <x v="0"/>
    <n v="14"/>
    <n v="13"/>
    <n v="148500000"/>
    <n v="148500000"/>
    <x v="0"/>
  </r>
  <r>
    <s v="HB-0101200205"/>
    <x v="37"/>
    <x v="36"/>
    <x v="20"/>
    <x v="0"/>
    <x v="0"/>
    <n v="14"/>
    <n v="13"/>
    <n v="191000000"/>
    <n v="191000000"/>
    <x v="2"/>
  </r>
  <r>
    <s v="HBRV-0303200202"/>
    <x v="38"/>
    <x v="37"/>
    <x v="6"/>
    <x v="2"/>
    <x v="0"/>
    <n v="4"/>
    <n v="3"/>
    <n v="250500000"/>
    <n v="250500000"/>
    <x v="1"/>
  </r>
  <r>
    <s v="HJ-0404202202"/>
    <x v="39"/>
    <x v="38"/>
    <x v="22"/>
    <x v="4"/>
    <x v="0"/>
    <n v="7"/>
    <n v="6"/>
    <n v="271000000"/>
    <n v="271000000"/>
    <x v="1"/>
  </r>
  <r>
    <s v="HRV-209819803"/>
    <x v="40"/>
    <x v="39"/>
    <x v="15"/>
    <x v="3"/>
    <x v="0"/>
    <n v="3"/>
    <n v="2"/>
    <n v="319000000"/>
    <n v="319000000"/>
    <x v="1"/>
  </r>
  <r>
    <s v="HRV-209819804"/>
    <x v="41"/>
    <x v="40"/>
    <x v="18"/>
    <x v="3"/>
    <x v="0"/>
    <n v="3"/>
    <n v="2"/>
    <n v="336000000"/>
    <n v="336000000"/>
    <x v="0"/>
  </r>
  <r>
    <s v="HCRV-98765001"/>
    <x v="42"/>
    <x v="41"/>
    <x v="11"/>
    <x v="5"/>
    <x v="0"/>
    <n v="8"/>
    <n v="7"/>
    <n v="446500000"/>
    <n v="446500000"/>
    <x v="0"/>
  </r>
  <r>
    <s v="HM-0202200204"/>
    <x v="43"/>
    <x v="42"/>
    <x v="25"/>
    <x v="1"/>
    <x v="0"/>
    <n v="10"/>
    <n v="9"/>
    <n v="231400000"/>
    <n v="231400000"/>
    <x v="0"/>
  </r>
  <r>
    <s v="HCV-3004200301"/>
    <x v="44"/>
    <x v="43"/>
    <x v="17"/>
    <x v="7"/>
    <x v="0"/>
    <n v="8"/>
    <n v="7"/>
    <n v="416500000"/>
    <n v="416500000"/>
    <x v="2"/>
  </r>
  <r>
    <s v="HCV-3004200303"/>
    <x v="45"/>
    <x v="44"/>
    <x v="24"/>
    <x v="7"/>
    <x v="0"/>
    <n v="9"/>
    <n v="8"/>
    <n v="497500000"/>
    <n v="497500000"/>
    <x v="0"/>
  </r>
  <r>
    <s v="HB-0101200203"/>
    <x v="46"/>
    <x v="45"/>
    <x v="2"/>
    <x v="0"/>
    <x v="0"/>
    <n v="14"/>
    <n v="13"/>
    <n v="163500000"/>
    <n v="163500000"/>
    <x v="0"/>
  </r>
  <r>
    <s v="HB-0101200204"/>
    <x v="47"/>
    <x v="46"/>
    <x v="19"/>
    <x v="0"/>
    <x v="0"/>
    <n v="14"/>
    <n v="13"/>
    <n v="176000000"/>
    <n v="176000000"/>
    <x v="2"/>
  </r>
  <r>
    <s v="HM-0202200201"/>
    <x v="48"/>
    <x v="47"/>
    <x v="3"/>
    <x v="1"/>
    <x v="0"/>
    <n v="8"/>
    <n v="7"/>
    <n v="195500000"/>
    <n v="195500000"/>
    <x v="1"/>
  </r>
  <r>
    <s v="HCV-3004200304"/>
    <x v="49"/>
    <x v="48"/>
    <x v="26"/>
    <x v="7"/>
    <x v="0"/>
    <n v="10"/>
    <n v="9"/>
    <n v="500500000"/>
    <n v="500500000"/>
    <x v="2"/>
  </r>
  <r>
    <s v="HCT-081320002"/>
    <x v="50"/>
    <x v="49"/>
    <x v="16"/>
    <x v="6"/>
    <x v="0"/>
    <n v="5"/>
    <n v="4"/>
    <n v="334500000"/>
    <n v="334500000"/>
    <x v="1"/>
  </r>
  <r>
    <s v="HBRV-0303200201"/>
    <x v="51"/>
    <x v="50"/>
    <x v="5"/>
    <x v="2"/>
    <x v="0"/>
    <n v="4"/>
    <n v="3"/>
    <n v="239500000"/>
    <n v="239500000"/>
    <x v="0"/>
  </r>
  <r>
    <s v="HJ-0404202204"/>
    <x v="52"/>
    <x v="51"/>
    <x v="27"/>
    <x v="4"/>
    <x v="0"/>
    <n v="7"/>
    <n v="6"/>
    <n v="275000000"/>
    <n v="275000000"/>
    <x v="2"/>
  </r>
  <r>
    <s v="HCV-3004200305"/>
    <x v="53"/>
    <x v="52"/>
    <x v="28"/>
    <x v="7"/>
    <x v="0"/>
    <n v="10"/>
    <n v="9"/>
    <n v="1034500000"/>
    <n v="1034500000"/>
    <x v="1"/>
  </r>
  <r>
    <s v="HJ-0404202201"/>
    <x v="54"/>
    <x v="53"/>
    <x v="10"/>
    <x v="4"/>
    <x v="0"/>
    <n v="6"/>
    <n v="5"/>
    <n v="240500000"/>
    <n v="240500000"/>
    <x v="0"/>
  </r>
  <r>
    <s v="HM-0202200207"/>
    <x v="55"/>
    <x v="54"/>
    <x v="29"/>
    <x v="1"/>
    <x v="0"/>
    <n v="10"/>
    <n v="9"/>
    <n v="239000000"/>
    <n v="239000000"/>
    <x v="0"/>
  </r>
  <r>
    <s v="HRV-209819801"/>
    <x v="56"/>
    <x v="55"/>
    <x v="30"/>
    <x v="3"/>
    <x v="0"/>
    <n v="4"/>
    <n v="3"/>
    <n v="286000000"/>
    <n v="286000000"/>
    <x v="1"/>
  </r>
  <r>
    <s v="HRV-209819803"/>
    <x v="57"/>
    <x v="56"/>
    <x v="15"/>
    <x v="3"/>
    <x v="0"/>
    <n v="2"/>
    <n v="1"/>
    <n v="319000000"/>
    <n v="319000000"/>
    <x v="0"/>
  </r>
  <r>
    <s v="HCV-3004200302"/>
    <x v="58"/>
    <x v="57"/>
    <x v="23"/>
    <x v="7"/>
    <x v="0"/>
    <n v="9"/>
    <n v="8"/>
    <n v="455500000"/>
    <n v="455500000"/>
    <x v="2"/>
  </r>
  <r>
    <s v="HCRV-98765002"/>
    <x v="59"/>
    <x v="58"/>
    <x v="13"/>
    <x v="5"/>
    <x v="0"/>
    <n v="8"/>
    <n v="7"/>
    <n v="480500000"/>
    <n v="480500000"/>
    <x v="1"/>
  </r>
  <r>
    <s v="HRV-209819803"/>
    <x v="60"/>
    <x v="59"/>
    <x v="15"/>
    <x v="3"/>
    <x v="0"/>
    <n v="1"/>
    <n v="0"/>
    <n v="319000000"/>
    <n v="319000000"/>
    <x v="0"/>
  </r>
  <r>
    <s v="HJ-0404202205"/>
    <x v="61"/>
    <x v="60"/>
    <x v="31"/>
    <x v="4"/>
    <x v="0"/>
    <n v="8"/>
    <n v="7"/>
    <n v="281000000"/>
    <n v="281000000"/>
    <x v="2"/>
  </r>
  <r>
    <s v="HB-0101200203"/>
    <x v="62"/>
    <x v="61"/>
    <x v="2"/>
    <x v="0"/>
    <x v="0"/>
    <n v="13"/>
    <n v="12"/>
    <n v="163500000"/>
    <n v="163500000"/>
    <x v="2"/>
  </r>
  <r>
    <s v="HM-0202200205"/>
    <x v="63"/>
    <x v="62"/>
    <x v="32"/>
    <x v="1"/>
    <x v="0"/>
    <n v="10"/>
    <n v="9"/>
    <n v="237500000"/>
    <n v="237500000"/>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s v="HB-0101200201"/>
    <x v="0"/>
    <x v="0"/>
    <x v="0"/>
    <x v="0"/>
    <x v="0"/>
    <n v="14"/>
    <n v="14"/>
  </r>
  <r>
    <s v="HB-0101200202"/>
    <x v="1"/>
    <x v="0"/>
    <x v="0"/>
    <x v="0"/>
    <x v="0"/>
    <n v="13"/>
    <n v="13"/>
  </r>
  <r>
    <s v="HB-0101200203"/>
    <x v="2"/>
    <x v="0"/>
    <x v="0"/>
    <x v="0"/>
    <x v="0"/>
    <n v="14"/>
    <n v="12"/>
  </r>
  <r>
    <s v="HB-0101200204"/>
    <x v="3"/>
    <x v="0"/>
    <x v="0"/>
    <x v="1"/>
    <x v="0"/>
    <n v="14"/>
    <n v="13"/>
  </r>
  <r>
    <s v="HB-0101200205"/>
    <x v="4"/>
    <x v="0"/>
    <x v="0"/>
    <x v="1"/>
    <x v="0"/>
    <n v="13"/>
    <n v="13"/>
  </r>
  <r>
    <s v="HM-0202200201"/>
    <x v="5"/>
    <x v="1"/>
    <x v="1"/>
    <x v="2"/>
    <x v="1"/>
    <n v="8"/>
    <n v="7"/>
  </r>
  <r>
    <s v="HM-0202200202"/>
    <x v="6"/>
    <x v="1"/>
    <x v="1"/>
    <x v="2"/>
    <x v="1"/>
    <n v="8"/>
    <n v="8"/>
  </r>
  <r>
    <s v="HM-0202200203"/>
    <x v="7"/>
    <x v="1"/>
    <x v="1"/>
    <x v="3"/>
    <x v="2"/>
    <n v="10"/>
    <n v="10"/>
  </r>
  <r>
    <s v="HM-0202200204"/>
    <x v="8"/>
    <x v="1"/>
    <x v="1"/>
    <x v="3"/>
    <x v="2"/>
    <n v="9"/>
    <n v="9"/>
  </r>
  <r>
    <s v="HM-0202200205"/>
    <x v="9"/>
    <x v="1"/>
    <x v="1"/>
    <x v="3"/>
    <x v="2"/>
    <n v="10"/>
    <n v="9"/>
  </r>
  <r>
    <s v="HM-0202200206"/>
    <x v="10"/>
    <x v="1"/>
    <x v="1"/>
    <x v="3"/>
    <x v="2"/>
    <n v="10"/>
    <n v="10"/>
  </r>
  <r>
    <s v="HM-0202200207"/>
    <x v="11"/>
    <x v="1"/>
    <x v="1"/>
    <x v="3"/>
    <x v="2"/>
    <n v="10"/>
    <n v="9"/>
  </r>
  <r>
    <s v="HM-0202200208"/>
    <x v="12"/>
    <x v="1"/>
    <x v="1"/>
    <x v="3"/>
    <x v="2"/>
    <n v="10"/>
    <n v="10"/>
  </r>
  <r>
    <s v="HBRV-0303200201"/>
    <x v="13"/>
    <x v="2"/>
    <x v="2"/>
    <x v="4"/>
    <x v="3"/>
    <n v="4"/>
    <n v="3"/>
  </r>
  <r>
    <s v="HBRV-0303200202"/>
    <x v="14"/>
    <x v="2"/>
    <x v="2"/>
    <x v="4"/>
    <x v="3"/>
    <n v="3"/>
    <n v="3"/>
  </r>
  <r>
    <s v="HBRV-0303200203"/>
    <x v="15"/>
    <x v="2"/>
    <x v="2"/>
    <x v="4"/>
    <x v="4"/>
    <n v="3"/>
    <n v="3"/>
  </r>
  <r>
    <s v="HBRV-0303200204"/>
    <x v="16"/>
    <x v="2"/>
    <x v="2"/>
    <x v="5"/>
    <x v="3"/>
    <n v="4"/>
    <n v="4"/>
  </r>
  <r>
    <s v="HJ-0404202201"/>
    <x v="17"/>
    <x v="3"/>
    <x v="3"/>
    <x v="6"/>
    <x v="5"/>
    <n v="6"/>
    <n v="5"/>
  </r>
  <r>
    <s v="HJ-0404202202"/>
    <x v="18"/>
    <x v="3"/>
    <x v="3"/>
    <x v="7"/>
    <x v="6"/>
    <n v="6"/>
    <n v="6"/>
  </r>
  <r>
    <s v="HJ-0404202203"/>
    <x v="19"/>
    <x v="3"/>
    <x v="3"/>
    <x v="7"/>
    <x v="1"/>
    <n v="8"/>
    <n v="8"/>
  </r>
  <r>
    <s v="HJ-0404202204"/>
    <x v="20"/>
    <x v="3"/>
    <x v="3"/>
    <x v="6"/>
    <x v="6"/>
    <n v="7"/>
    <n v="6"/>
  </r>
  <r>
    <s v="HJ-0404202205"/>
    <x v="21"/>
    <x v="3"/>
    <x v="3"/>
    <x v="7"/>
    <x v="1"/>
    <n v="8"/>
    <n v="7"/>
  </r>
  <r>
    <s v="HJ-0404202206"/>
    <x v="22"/>
    <x v="3"/>
    <x v="3"/>
    <x v="7"/>
    <x v="1"/>
    <n v="8"/>
    <n v="8"/>
  </r>
  <r>
    <s v="HRV-209819801"/>
    <x v="23"/>
    <x v="4"/>
    <x v="4"/>
    <x v="4"/>
    <x v="3"/>
    <n v="4"/>
    <n v="3"/>
  </r>
  <r>
    <s v="HRV-209819802"/>
    <x v="24"/>
    <x v="4"/>
    <x v="4"/>
    <x v="4"/>
    <x v="3"/>
    <n v="4"/>
    <n v="4"/>
  </r>
  <r>
    <s v="HRV-209819803"/>
    <x v="25"/>
    <x v="4"/>
    <x v="4"/>
    <x v="8"/>
    <x v="4"/>
    <n v="2"/>
    <n v="0"/>
  </r>
  <r>
    <s v="HRV-209819804"/>
    <x v="26"/>
    <x v="4"/>
    <x v="4"/>
    <x v="8"/>
    <x v="4"/>
    <n v="2"/>
    <n v="2"/>
  </r>
  <r>
    <s v="HRV-209819805"/>
    <x v="27"/>
    <x v="4"/>
    <x v="4"/>
    <x v="8"/>
    <x v="7"/>
    <n v="2"/>
    <n v="2"/>
  </r>
  <r>
    <s v="HRV-209819806"/>
    <x v="28"/>
    <x v="4"/>
    <x v="4"/>
    <x v="8"/>
    <x v="7"/>
    <n v="2"/>
    <n v="2"/>
  </r>
  <r>
    <s v="HCRV-98765001"/>
    <x v="29"/>
    <x v="5"/>
    <x v="1"/>
    <x v="2"/>
    <x v="1"/>
    <n v="7"/>
    <n v="7"/>
  </r>
  <r>
    <s v="HCRV-98765002"/>
    <x v="30"/>
    <x v="5"/>
    <x v="1"/>
    <x v="2"/>
    <x v="1"/>
    <n v="8"/>
    <n v="7"/>
  </r>
  <r>
    <s v="HCRV-98765003"/>
    <x v="31"/>
    <x v="5"/>
    <x v="1"/>
    <x v="3"/>
    <x v="2"/>
    <n v="10"/>
    <n v="10"/>
  </r>
  <r>
    <s v="HCT-081320001"/>
    <x v="32"/>
    <x v="6"/>
    <x v="5"/>
    <x v="9"/>
    <x v="8"/>
    <n v="5"/>
    <n v="5"/>
  </r>
  <r>
    <s v="HCT-081320002"/>
    <x v="33"/>
    <x v="6"/>
    <x v="5"/>
    <x v="9"/>
    <x v="8"/>
    <n v="5"/>
    <n v="4"/>
  </r>
  <r>
    <s v="HCV-3004200301"/>
    <x v="34"/>
    <x v="7"/>
    <x v="1"/>
    <x v="2"/>
    <x v="1"/>
    <n v="7"/>
    <n v="7"/>
  </r>
  <r>
    <s v="HCV-3004200302"/>
    <x v="35"/>
    <x v="7"/>
    <x v="1"/>
    <x v="3"/>
    <x v="9"/>
    <n v="9"/>
    <n v="8"/>
  </r>
  <r>
    <s v="HCV-3004200303"/>
    <x v="36"/>
    <x v="7"/>
    <x v="1"/>
    <x v="3"/>
    <x v="9"/>
    <n v="8"/>
    <n v="8"/>
  </r>
  <r>
    <s v="HCV-3004200304"/>
    <x v="37"/>
    <x v="7"/>
    <x v="1"/>
    <x v="3"/>
    <x v="2"/>
    <n v="10"/>
    <n v="9"/>
  </r>
  <r>
    <s v="HCV-3004200305"/>
    <x v="38"/>
    <x v="7"/>
    <x v="1"/>
    <x v="3"/>
    <x v="2"/>
    <n v="10"/>
    <n v="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n v="72"/>
    <n v="78"/>
    <x v="0"/>
    <n v="46"/>
    <n v="20"/>
    <x v="0"/>
    <x v="0"/>
    <x v="0"/>
  </r>
  <r>
    <x v="1"/>
    <n v="70"/>
    <n v="76"/>
    <x v="1"/>
    <n v="44"/>
    <n v="18"/>
    <x v="1"/>
    <x v="1"/>
    <x v="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s v="HB-0101200201"/>
    <s v="TAEYONG"/>
    <d v="2018-01-30T00:00:00"/>
    <s v="HONDA All New Brio Satya S MT"/>
    <s v="Jakarta"/>
    <x v="0"/>
    <x v="0"/>
    <s v="Brio"/>
    <n v="1"/>
    <n v="15"/>
    <n v="14"/>
    <n v="140000000"/>
    <n v="140000000"/>
  </r>
  <r>
    <s v="HB-0101200202"/>
    <s v="TAEIL"/>
    <d v="2018-01-12T00:00:00"/>
    <s v="HONDA All New Brio Satya E MT"/>
    <s v="Depok"/>
    <x v="0"/>
    <x v="0"/>
    <s v="Brio"/>
    <n v="1"/>
    <n v="15"/>
    <n v="14"/>
    <n v="148500000"/>
    <n v="148500000"/>
  </r>
  <r>
    <s v="HB-0101200203"/>
    <s v="JOHHNY"/>
    <d v="2020-01-10T00:00:00"/>
    <s v="HONDA All New Brio Satya E CVT"/>
    <s v="Jakarta"/>
    <x v="0"/>
    <x v="0"/>
    <s v="Brio"/>
    <n v="1"/>
    <n v="15"/>
    <n v="14"/>
    <n v="163500000"/>
    <n v="163500000"/>
  </r>
  <r>
    <s v="HM-0202200201"/>
    <s v="YUTA"/>
    <d v="2020-02-15T00:00:00"/>
    <s v="HONDA Mobilio S MT"/>
    <s v="Depok"/>
    <x v="1"/>
    <x v="1"/>
    <s v="Mobilio"/>
    <n v="1"/>
    <n v="10"/>
    <n v="9"/>
    <n v="195500000"/>
    <n v="195500000"/>
  </r>
  <r>
    <s v="HM-0202200202"/>
    <s v="KUN"/>
    <d v="2018-02-01T00:00:00"/>
    <s v="HONDA Mobilio E MT"/>
    <s v="Depok"/>
    <x v="1"/>
    <x v="1"/>
    <s v="Mobilio"/>
    <n v="1"/>
    <n v="10"/>
    <n v="9"/>
    <n v="216000000"/>
    <n v="216000000"/>
  </r>
  <r>
    <s v="HBRV-0303200201"/>
    <s v="DOYOUNG"/>
    <d v="2018-03-05T00:00:00"/>
    <s v="HONDA BRV  S MT"/>
    <s v="Jakarta"/>
    <x v="2"/>
    <x v="2"/>
    <s v="BRV"/>
    <n v="1"/>
    <n v="5"/>
    <n v="4"/>
    <n v="239500000"/>
    <n v="239500000"/>
  </r>
  <r>
    <s v="HBRV-0303200202"/>
    <s v="TEN"/>
    <d v="2018-04-02T00:00:00"/>
    <s v="HONDA BRV E MT"/>
    <s v="Jakarta"/>
    <x v="2"/>
    <x v="2"/>
    <s v="BRV"/>
    <n v="1"/>
    <n v="5"/>
    <n v="4"/>
    <n v="250500000"/>
    <n v="250500000"/>
  </r>
  <r>
    <s v="HBRV-0303200203"/>
    <s v="JAEHYUN"/>
    <d v="2018-04-10T00:00:00"/>
    <s v="HONDA BRV E CVT"/>
    <s v="Bandung"/>
    <x v="0"/>
    <x v="0"/>
    <s v="BRV"/>
    <n v="1"/>
    <n v="5"/>
    <n v="4"/>
    <n v="260500000"/>
    <n v="260500000"/>
  </r>
  <r>
    <s v="HRV-209819805"/>
    <s v="XIAOJUN"/>
    <d v="2018-05-11T00:00:00"/>
    <s v="HONDA NEW HRV 1.8 Prestige CVT"/>
    <s v="Bandung"/>
    <x v="1"/>
    <x v="1"/>
    <s v="HRV"/>
    <n v="1"/>
    <n v="4"/>
    <n v="3"/>
    <n v="401500000"/>
    <n v="401500000"/>
  </r>
  <r>
    <s v="HRV-209819806"/>
    <s v="HENDERY"/>
    <d v="2018-05-09T00:00:00"/>
    <s v="HONDA NEW HRV 1.8 Prestige CVT 2Tone CVT"/>
    <s v="Bandung"/>
    <x v="0"/>
    <x v="0"/>
    <s v="HRV"/>
    <n v="1"/>
    <n v="4"/>
    <n v="3"/>
    <n v="403000000"/>
    <n v="403000000"/>
  </r>
  <r>
    <s v="HJ-0404202201"/>
    <s v="WINWIN"/>
    <d v="2018-06-10T00:00:00"/>
    <s v="HONDA Jazz S MT"/>
    <s v="Jakarta"/>
    <x v="1"/>
    <x v="1"/>
    <s v="Jazz"/>
    <n v="1"/>
    <n v="8"/>
    <n v="7"/>
    <n v="240500000"/>
    <n v="240500000"/>
  </r>
  <r>
    <s v="HCRV-98765001"/>
    <s v="YANGYANG"/>
    <d v="2018-07-12T00:00:00"/>
    <s v="HONDA NEW CRV 2.0L CVT"/>
    <s v="Depok"/>
    <x v="1"/>
    <x v="1"/>
    <s v="CRV"/>
    <n v="1"/>
    <n v="10"/>
    <n v="9"/>
    <n v="446500000"/>
    <n v="446500000"/>
  </r>
  <r>
    <s v="HJ-0404202206"/>
    <s v="JUNGWOO"/>
    <d v="2018-08-06T00:00:00"/>
    <s v="HONDA Jazz RS 2tone"/>
    <s v="Jakarta"/>
    <x v="1"/>
    <x v="1"/>
    <s v="Jazz"/>
    <n v="1"/>
    <n v="8"/>
    <n v="7"/>
    <n v="282500000"/>
    <n v="282500000"/>
  </r>
  <r>
    <s v="HCRV-98765002"/>
    <s v="RENJUN"/>
    <d v="2018-08-06T00:00:00"/>
    <s v="HONDA NEW CRV 1.5L Turbo CVT"/>
    <s v="Bandung"/>
    <x v="1"/>
    <x v="1"/>
    <s v="CRV"/>
    <n v="1"/>
    <n v="10"/>
    <n v="9"/>
    <n v="480500000"/>
    <n v="480500000"/>
  </r>
  <r>
    <s v="HCT-081320001"/>
    <s v="HAECHAN"/>
    <d v="2018-09-20T00:00:00"/>
    <s v="HONDA CITY E MT"/>
    <s v="Bandung"/>
    <x v="0"/>
    <x v="0"/>
    <s v="Hcity"/>
    <n v="1"/>
    <n v="7"/>
    <n v="6"/>
    <n v="324500000"/>
    <n v="324500000"/>
  </r>
  <r>
    <s v="HRV-209819803"/>
    <s v="LUCAS"/>
    <d v="2018-10-03T00:00:00"/>
    <s v="HONDA NEW HRV 1.5 E CVT"/>
    <s v="Jakarta"/>
    <x v="0"/>
    <x v="0"/>
    <s v="HRV"/>
    <n v="1"/>
    <n v="4"/>
    <n v="3"/>
    <n v="319000000"/>
    <n v="319000000"/>
  </r>
  <r>
    <s v="HCT-081320002"/>
    <s v="JENO"/>
    <d v="2018-11-03T00:00:00"/>
    <s v="HONDA CITY ECVT"/>
    <s v="Depok"/>
    <x v="0"/>
    <x v="0"/>
    <s v="Hcity"/>
    <n v="1"/>
    <n v="7"/>
    <n v="6"/>
    <n v="334500000"/>
    <n v="334500000"/>
  </r>
  <r>
    <s v="HCV-3004200301"/>
    <s v="JAEMIN"/>
    <d v="2018-11-20T00:00:00"/>
    <s v="HONDA Civic E MT"/>
    <s v="Jakarta"/>
    <x v="0"/>
    <x v="0"/>
    <s v="Civic"/>
    <n v="1"/>
    <n v="10"/>
    <n v="9"/>
    <n v="416500000"/>
    <n v="416500000"/>
  </r>
  <r>
    <s v="HRV-209819804"/>
    <s v="MARK "/>
    <d v="2018-12-05T00:00:00"/>
    <s v="HONDA NEW HRV 1.5 E CVT SE"/>
    <s v="Bandung"/>
    <x v="0"/>
    <x v="0"/>
    <s v="HRV"/>
    <n v="1"/>
    <n v="4"/>
    <n v="3"/>
    <n v="336000000"/>
    <n v="336000000"/>
  </r>
  <r>
    <s v="HB-0101200204"/>
    <s v="JIHYO"/>
    <d v="2019-01-21T00:00:00"/>
    <s v="HONDA All New Brio RS CVT"/>
    <s v="Jakarta"/>
    <x v="1"/>
    <x v="1"/>
    <s v="Brio"/>
    <n v="1"/>
    <n v="15"/>
    <n v="14"/>
    <n v="176000000"/>
    <n v="176000000"/>
  </r>
  <r>
    <s v="HB-0101200205"/>
    <s v="TSUYU"/>
    <d v="2019-02-08T00:00:00"/>
    <s v="HONDA All New Brio RS MT"/>
    <s v="Bandung"/>
    <x v="1"/>
    <x v="1"/>
    <s v="Brio"/>
    <n v="1"/>
    <n v="15"/>
    <n v="14"/>
    <n v="191000000"/>
    <n v="191000000"/>
  </r>
  <r>
    <s v="HM-0202200201"/>
    <s v="MOMO"/>
    <d v="2019-02-14T00:00:00"/>
    <s v="HONDA Mobilio S MT"/>
    <s v="Depok"/>
    <x v="2"/>
    <x v="2"/>
    <s v="Mobilio"/>
    <n v="1"/>
    <n v="10"/>
    <n v="9"/>
    <n v="195500000"/>
    <n v="195500000"/>
  </r>
  <r>
    <s v="HM-0202200202"/>
    <s v="NAEYON"/>
    <d v="2019-03-12T00:00:00"/>
    <s v="HONDA Mobilio E MT"/>
    <s v="Jakarta"/>
    <x v="2"/>
    <x v="2"/>
    <s v="Mobilio"/>
    <n v="1"/>
    <n v="10"/>
    <n v="9"/>
    <n v="216000000"/>
    <n v="216000000"/>
  </r>
  <r>
    <s v="HBRV-0303200203"/>
    <s v="TSANA"/>
    <d v="2019-03-22T00:00:00"/>
    <s v="HONDA BRV E CVT"/>
    <s v="Depok"/>
    <x v="2"/>
    <x v="2"/>
    <s v="BRV"/>
    <n v="1"/>
    <n v="5"/>
    <n v="4"/>
    <n v="260500000"/>
    <n v="260500000"/>
  </r>
  <r>
    <s v="HBRV-0303200204"/>
    <s v="MINA"/>
    <d v="2019-03-29T00:00:00"/>
    <s v="HONDA BRV Prestige CVT"/>
    <s v="Depok"/>
    <x v="2"/>
    <x v="2"/>
    <s v="BRV"/>
    <n v="1"/>
    <n v="5"/>
    <n v="4"/>
    <n v="275500000"/>
    <n v="275500000"/>
  </r>
  <r>
    <s v="HJ-0404202201"/>
    <s v="DAHYUN"/>
    <d v="2019-05-09T00:00:00"/>
    <s v="HONDA Jazz S MT"/>
    <s v="Bandung"/>
    <x v="0"/>
    <x v="0"/>
    <s v="Jazz"/>
    <n v="1"/>
    <n v="8"/>
    <n v="7"/>
    <n v="240500000"/>
    <n v="240500000"/>
  </r>
  <r>
    <s v="HJ-0404202202"/>
    <s v="JEONGYEON"/>
    <d v="2019-05-30T00:00:00"/>
    <s v="HONDA Jazz S CVT"/>
    <s v="Bandung"/>
    <x v="1"/>
    <x v="1"/>
    <s v="Jazz"/>
    <n v="1"/>
    <n v="8"/>
    <n v="7"/>
    <n v="271000000"/>
    <n v="271000000"/>
  </r>
  <r>
    <s v="HRV-209819805"/>
    <s v="CHAEYOUNG"/>
    <d v="2019-06-17T00:00:00"/>
    <s v="HONDA NEW HRV 1.8 Prestige CVT"/>
    <s v="Bandung"/>
    <x v="0"/>
    <x v="0"/>
    <s v="HRV"/>
    <n v="1"/>
    <n v="4"/>
    <n v="3"/>
    <n v="401500000"/>
    <n v="401500000"/>
  </r>
  <r>
    <s v="HRV-209819806"/>
    <s v="ROSE"/>
    <d v="2019-07-23T00:00:00"/>
    <s v="HONDA NEW HRV 1.8 Prestige CVT 2Tone CVT"/>
    <s v="Bandung"/>
    <x v="2"/>
    <x v="2"/>
    <s v="HRV"/>
    <n v="1"/>
    <n v="4"/>
    <n v="3"/>
    <n v="403000000"/>
    <n v="403000000"/>
  </r>
  <r>
    <s v="HCRV-98765001"/>
    <s v="LISA"/>
    <d v="2019-08-17T00:00:00"/>
    <s v="HONDA NEW CRV 2.0L CVT"/>
    <s v="Jakarta"/>
    <x v="1"/>
    <x v="1"/>
    <s v="CRV"/>
    <n v="1"/>
    <n v="10"/>
    <n v="9"/>
    <n v="446500000"/>
    <n v="446500000"/>
  </r>
  <r>
    <s v="HCRV-98765002"/>
    <s v="JENNIE"/>
    <d v="2019-08-24T00:00:00"/>
    <s v="HONDA NEW CRV 1.5L Turbo CVT"/>
    <s v="Depok"/>
    <x v="2"/>
    <x v="2"/>
    <s v="CRV"/>
    <n v="1"/>
    <n v="10"/>
    <n v="9"/>
    <n v="480500000"/>
    <n v="480500000"/>
  </r>
  <r>
    <s v="HCT-081320001"/>
    <s v="JISOO"/>
    <d v="2019-08-29T00:00:00"/>
    <s v="HONDA CITY E MT"/>
    <s v="Depok"/>
    <x v="1"/>
    <x v="1"/>
    <s v="Hcity"/>
    <n v="1"/>
    <n v="7"/>
    <n v="6"/>
    <n v="324500000"/>
    <n v="324500000"/>
  </r>
  <r>
    <s v="HCT-081320002"/>
    <s v="KARINA"/>
    <d v="2019-11-11T00:00:00"/>
    <s v="HONDA CITY ECVT"/>
    <s v="Jakarta"/>
    <x v="2"/>
    <x v="2"/>
    <s v="Hcity"/>
    <n v="1"/>
    <n v="7"/>
    <n v="6"/>
    <n v="334500000"/>
    <n v="334500000"/>
  </r>
  <r>
    <s v="HCV-3004200301"/>
    <s v="MINJEONG"/>
    <d v="2019-12-16T00:00:00"/>
    <s v="HONDA Civic E MT"/>
    <s v="Bandung"/>
    <x v="2"/>
    <x v="2"/>
    <s v="Civic"/>
    <n v="1"/>
    <n v="10"/>
    <n v="9"/>
    <n v="416500000"/>
    <n v="416500000"/>
  </r>
  <r>
    <s v="HCV-3004200302"/>
    <s v="NING-NING"/>
    <d v="2019-12-23T00:00:00"/>
    <s v="HONDA Civic E CVT"/>
    <s v="Bandung"/>
    <x v="2"/>
    <x v="2"/>
    <s v="Civic"/>
    <n v="1"/>
    <n v="10"/>
    <n v="9"/>
    <n v="455500000"/>
    <n v="455500000"/>
  </r>
  <r>
    <s v="HCV-3004200303"/>
    <s v="GISELLE"/>
    <d v="2019-12-30T00:00:00"/>
    <s v="HONDA Civic HATCHBACK S CVT"/>
    <s v="Jakarta"/>
    <x v="0"/>
    <x v="0"/>
    <s v="Civic"/>
    <n v="1"/>
    <n v="10"/>
    <n v="9"/>
    <n v="497500000"/>
    <n v="497500000"/>
  </r>
  <r>
    <s v="HB-0101200202"/>
    <s v="BELLA"/>
    <d v="2020-02-14T00:00:00"/>
    <s v="HONDA All New Brio Satya E MT"/>
    <s v="Jakarta"/>
    <x v="0"/>
    <x v="0"/>
    <s v="Brio"/>
    <n v="1"/>
    <n v="14"/>
    <n v="13"/>
    <n v="148500000"/>
    <n v="148500000"/>
  </r>
  <r>
    <s v="HB-0101200205"/>
    <s v="LOUIS"/>
    <d v="2020-03-20T00:00:00"/>
    <s v="HONDA All New Brio RS MT"/>
    <s v="Bandung"/>
    <x v="1"/>
    <x v="1"/>
    <s v="Brio"/>
    <n v="1"/>
    <n v="15"/>
    <n v="14"/>
    <n v="191000000"/>
    <n v="191000000"/>
  </r>
  <r>
    <s v="HBRV-0303200202"/>
    <s v="LEON"/>
    <d v="2020-03-29T00:00:00"/>
    <s v="HONDA BRV E MT"/>
    <s v="Depok"/>
    <x v="0"/>
    <x v="0"/>
    <s v="BRV"/>
    <n v="1"/>
    <n v="4"/>
    <n v="3"/>
    <n v="250500000"/>
    <n v="250500000"/>
  </r>
  <r>
    <s v="HJ-0404202202"/>
    <s v="LILI"/>
    <d v="2020-06-05T00:00:00"/>
    <s v="HONDA Jazz S CVT"/>
    <s v="Depok"/>
    <x v="2"/>
    <x v="2"/>
    <s v="Jazz"/>
    <n v="1"/>
    <n v="8"/>
    <n v="7"/>
    <n v="271000000"/>
    <n v="271000000"/>
  </r>
  <r>
    <s v="HRV-209819803"/>
    <s v="LUCA"/>
    <d v="2020-06-21T00:00:00"/>
    <s v="HONDA NEW HRV 1.5 E CVT"/>
    <s v="Depok"/>
    <x v="1"/>
    <x v="1"/>
    <s v="HRV"/>
    <n v="1"/>
    <n v="3"/>
    <n v="2"/>
    <n v="319000000"/>
    <n v="319000000"/>
  </r>
  <r>
    <s v="HRV-209819804"/>
    <s v="DALGOM"/>
    <d v="2020-07-15T00:00:00"/>
    <s v="HONDA NEW HRV 1.5 E CVT SE"/>
    <s v="Jakarta"/>
    <x v="0"/>
    <x v="0"/>
    <s v="HRV"/>
    <n v="1"/>
    <n v="3"/>
    <n v="2"/>
    <n v="336000000"/>
    <n v="336000000"/>
  </r>
  <r>
    <s v="HCRV-98765001"/>
    <s v="MARYA"/>
    <d v="2020-07-22T00:00:00"/>
    <s v="HONDA NEW CRV 2.0L CVT"/>
    <s v="Jakarta"/>
    <x v="2"/>
    <x v="2"/>
    <s v="CRV"/>
    <n v="1"/>
    <n v="9"/>
    <n v="8"/>
    <n v="446500000"/>
    <n v="446500000"/>
  </r>
  <r>
    <s v="HM-0202200204"/>
    <s v="PUDU"/>
    <d v="2020-08-25T00:00:00"/>
    <s v="HONDA Mobilio E S CVT"/>
    <s v="Jakarta"/>
    <x v="2"/>
    <x v="2"/>
    <s v="Mobilio"/>
    <n v="1"/>
    <n v="10"/>
    <n v="9"/>
    <n v="231400000"/>
    <n v="231400000"/>
  </r>
  <r>
    <s v="HCV-3004200301"/>
    <s v="ANDY"/>
    <d v="2020-10-09T00:00:00"/>
    <s v="HONDA Civic E MT"/>
    <s v="Bandung"/>
    <x v="2"/>
    <x v="2"/>
    <s v="Civic"/>
    <n v="1"/>
    <n v="9"/>
    <n v="8"/>
    <n v="416500000"/>
    <n v="416500000"/>
  </r>
  <r>
    <s v="HCV-3004200303"/>
    <s v="JHONY"/>
    <d v="2020-12-08T00:00:00"/>
    <s v="HONDA Civic HATCHBACK S CVT"/>
    <s v="Jakarta"/>
    <x v="2"/>
    <x v="2"/>
    <s v="Civic"/>
    <n v="1"/>
    <n v="10"/>
    <n v="9"/>
    <n v="497500000"/>
    <n v="497500000"/>
  </r>
  <r>
    <s v="HB-0101200203"/>
    <s v="JAKE"/>
    <d v="2021-01-05T00:00:00"/>
    <s v="HONDA All New Brio Satya E CVT"/>
    <s v="Jakarta"/>
    <x v="0"/>
    <x v="0"/>
    <s v="Brio"/>
    <n v="1"/>
    <n v="14"/>
    <n v="13"/>
    <n v="163500000"/>
    <n v="163500000"/>
  </r>
  <r>
    <s v="HB-0101200204"/>
    <s v="JAY"/>
    <d v="2021-01-25T00:00:00"/>
    <s v="HONDA All New Brio RS CVT"/>
    <s v="Bandung"/>
    <x v="0"/>
    <x v="0"/>
    <s v="Brio"/>
    <n v="1"/>
    <n v="14"/>
    <n v="13"/>
    <n v="176000000"/>
    <n v="176000000"/>
  </r>
  <r>
    <s v="HM-0202200201"/>
    <s v="NIKI"/>
    <d v="2021-01-30T00:00:00"/>
    <s v="HONDA Mobilio S MT"/>
    <s v="Depok"/>
    <x v="0"/>
    <x v="0"/>
    <s v="Mobilio"/>
    <n v="1"/>
    <n v="8"/>
    <n v="7"/>
    <n v="195500000"/>
    <n v="195500000"/>
  </r>
  <r>
    <s v="HCV-3004200304"/>
    <s v="SUNGHOON"/>
    <d v="2021-03-03T00:00:00"/>
    <s v="HONDA Civic HATCHBACK E CVT"/>
    <s v="Bandung"/>
    <x v="0"/>
    <x v="0"/>
    <s v="Civic"/>
    <n v="1"/>
    <n v="10"/>
    <n v="9"/>
    <n v="500500000"/>
    <n v="500500000"/>
  </r>
  <r>
    <s v="HCT-081320002"/>
    <s v="JEONGWOO"/>
    <d v="2021-04-04T00:00:00"/>
    <s v="HONDA CITY ECVT"/>
    <s v="Depok"/>
    <x v="1"/>
    <x v="1"/>
    <s v="Hcity"/>
    <n v="1"/>
    <n v="5"/>
    <n v="4"/>
    <n v="334500000"/>
    <n v="334500000"/>
  </r>
  <r>
    <s v="HBRV-0303200201"/>
    <s v="JUNE"/>
    <d v="2021-04-18T00:00:00"/>
    <s v="HONDA BRV  S MT"/>
    <s v="Jakarta"/>
    <x v="1"/>
    <x v="1"/>
    <s v="BRV"/>
    <n v="1"/>
    <n v="4"/>
    <n v="3"/>
    <n v="239500000"/>
    <n v="239500000"/>
  </r>
  <r>
    <s v="HJ-0404202204"/>
    <s v="KEY"/>
    <d v="2021-06-06T00:00:00"/>
    <s v="HONDA Jazz M/T RS 2Tone"/>
    <s v="Bandung"/>
    <x v="1"/>
    <x v="1"/>
    <s v="Jazz"/>
    <n v="1"/>
    <n v="7"/>
    <n v="6"/>
    <n v="275000000"/>
    <n v="275000000"/>
  </r>
  <r>
    <s v="HCV-3004200305"/>
    <s v="ONEW"/>
    <d v="2021-06-29T00:00:00"/>
    <s v="HONDA Civic 1.5L Turbo AT"/>
    <s v="Depok"/>
    <x v="1"/>
    <x v="1"/>
    <s v="Civic"/>
    <n v="1"/>
    <n v="10"/>
    <n v="9"/>
    <n v="1034500000"/>
    <n v="1034500000"/>
  </r>
  <r>
    <s v="HJ-0404202201"/>
    <s v="SUHO"/>
    <d v="2021-07-22T00:00:00"/>
    <s v="HONDA Jazz S MT"/>
    <s v="Jakarta"/>
    <x v="1"/>
    <x v="1"/>
    <s v="Jazz"/>
    <n v="1"/>
    <n v="6"/>
    <n v="5"/>
    <n v="240500000"/>
    <n v="240500000"/>
  </r>
  <r>
    <s v="HM-0202200207"/>
    <s v="CHEN"/>
    <d v="2021-07-25T00:00:00"/>
    <s v="HONDA Mobilio RT MT (2tone)"/>
    <s v="Jakarta"/>
    <x v="1"/>
    <x v="1"/>
    <s v="Mobilio"/>
    <n v="1"/>
    <n v="10"/>
    <n v="9"/>
    <n v="239000000"/>
    <n v="239000000"/>
  </r>
  <r>
    <s v="HRV-209819801"/>
    <s v="SEHUN"/>
    <d v="2021-08-30T00:00:00"/>
    <s v="HONDA NEW HRV 1.5 S MT"/>
    <s v="Depok"/>
    <x v="0"/>
    <x v="0"/>
    <s v="HRV"/>
    <n v="1"/>
    <n v="4"/>
    <n v="3"/>
    <n v="286000000"/>
    <n v="286000000"/>
  </r>
  <r>
    <s v="HRV-209819803"/>
    <s v="YUNHO"/>
    <d v="2021-09-02T00:00:00"/>
    <s v="HONDA NEW HRV 1.5 E CVT"/>
    <s v="Jakarta"/>
    <x v="1"/>
    <x v="1"/>
    <s v="HRV"/>
    <n v="1"/>
    <n v="2"/>
    <n v="2"/>
    <n v="319000000"/>
    <n v="319000000"/>
  </r>
  <r>
    <s v="HCV-3004200302"/>
    <s v="ANASTASIA"/>
    <d v="2021-09-12T00:00:00"/>
    <s v="HONDA Civic E CVT"/>
    <s v="Bandung"/>
    <x v="0"/>
    <x v="0"/>
    <s v="Civic"/>
    <n v="1"/>
    <n v="9"/>
    <n v="8"/>
    <n v="455500000"/>
    <n v="455500000"/>
  </r>
  <r>
    <s v="HCRV-98765002"/>
    <s v="ABIGAIL"/>
    <d v="2021-09-17T00:00:00"/>
    <s v="HONDA NEW CRV 1.5L Turbo CVT"/>
    <s v="Depok"/>
    <x v="2"/>
    <x v="2"/>
    <s v="CRV"/>
    <n v="1"/>
    <n v="8"/>
    <n v="7"/>
    <n v="480500000"/>
    <n v="480500000"/>
  </r>
  <r>
    <s v="HRV-209819803"/>
    <s v="CALLAGHAN"/>
    <d v="2021-11-03T00:00:00"/>
    <s v="HONDA NEW HRV 1.5 E CVT"/>
    <s v="Jakarta"/>
    <x v="1"/>
    <x v="1"/>
    <s v="HRV"/>
    <n v="1"/>
    <n v="1"/>
    <n v="0"/>
    <n v="319000000"/>
    <n v="319000000"/>
  </r>
  <r>
    <s v="HJ-0404202205"/>
    <s v="YURI"/>
    <d v="2021-11-19T00:00:00"/>
    <s v="HONDA Jazz RS CVT"/>
    <s v="Bandung"/>
    <x v="2"/>
    <x v="2"/>
    <s v="Jazz"/>
    <n v="1"/>
    <n v="8"/>
    <n v="7"/>
    <n v="281000000"/>
    <n v="281000000"/>
  </r>
  <r>
    <s v="HB-0101200203"/>
    <s v="SUGA"/>
    <d v="2021-12-10T00:00:00"/>
    <s v="HONDA All New Brio Satya E CVT"/>
    <s v="Bandung"/>
    <x v="0"/>
    <x v="0"/>
    <s v="Brio"/>
    <n v="1"/>
    <n v="13"/>
    <n v="12"/>
    <n v="163500000"/>
    <n v="163500000"/>
  </r>
  <r>
    <s v="HM-0202200205"/>
    <s v="JEFFERY"/>
    <d v="2021-12-22T00:00:00"/>
    <s v="HONDA Mobilio RS MT"/>
    <s v="Bandung"/>
    <x v="1"/>
    <x v="1"/>
    <s v="Mobilio"/>
    <n v="1"/>
    <n v="10"/>
    <n v="9"/>
    <n v="237500000"/>
    <n v="2375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E3DD20-F2F9-404D-9969-C2AD83C820D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B84" firstHeaderRow="1" firstDataRow="1" firstDataCol="1" rowPageCount="1" colPageCount="1"/>
  <pivotFields count="6">
    <pivotField axis="axisRow" showAll="0">
      <items count="40">
        <item x="3"/>
        <item x="4"/>
        <item x="2"/>
        <item x="1"/>
        <item x="0"/>
        <item x="13"/>
        <item x="15"/>
        <item x="14"/>
        <item x="16"/>
        <item x="32"/>
        <item x="33"/>
        <item x="38"/>
        <item x="35"/>
        <item x="34"/>
        <item x="37"/>
        <item x="36"/>
        <item x="20"/>
        <item x="22"/>
        <item x="21"/>
        <item x="19"/>
        <item x="18"/>
        <item x="17"/>
        <item x="7"/>
        <item x="6"/>
        <item x="8"/>
        <item x="10"/>
        <item x="12"/>
        <item x="9"/>
        <item x="11"/>
        <item x="5"/>
        <item x="30"/>
        <item x="31"/>
        <item x="29"/>
        <item x="25"/>
        <item x="26"/>
        <item x="24"/>
        <item x="23"/>
        <item x="27"/>
        <item x="28"/>
        <item t="default"/>
      </items>
    </pivotField>
    <pivotField dataField="1" showAll="0"/>
    <pivotField showAll="0"/>
    <pivotField axis="axisPage" showAll="0">
      <items count="9">
        <item x="0"/>
        <item x="2"/>
        <item x="7"/>
        <item x="5"/>
        <item x="6"/>
        <item x="4"/>
        <item x="3"/>
        <item x="1"/>
        <item t="default"/>
      </items>
    </pivotField>
    <pivotField showAll="0"/>
    <pivotField axis="axisRow" showAll="0">
      <items count="40">
        <item x="0"/>
        <item x="1"/>
        <item x="2"/>
        <item x="3"/>
        <item x="4"/>
        <item x="13"/>
        <item x="14"/>
        <item x="15"/>
        <item x="16"/>
        <item x="29"/>
        <item x="30"/>
        <item x="31"/>
        <item x="32"/>
        <item x="33"/>
        <item x="34"/>
        <item x="35"/>
        <item x="36"/>
        <item x="37"/>
        <item x="38"/>
        <item x="17"/>
        <item x="18"/>
        <item x="19"/>
        <item x="20"/>
        <item x="21"/>
        <item x="22"/>
        <item x="5"/>
        <item x="6"/>
        <item x="7"/>
        <item x="8"/>
        <item x="9"/>
        <item x="10"/>
        <item x="11"/>
        <item x="12"/>
        <item x="23"/>
        <item x="24"/>
        <item x="25"/>
        <item x="26"/>
        <item x="27"/>
        <item x="28"/>
        <item t="default"/>
      </items>
    </pivotField>
  </pivotFields>
  <rowFields count="2">
    <field x="5"/>
    <field x="0"/>
  </rowFields>
  <rowItems count="79">
    <i>
      <x/>
    </i>
    <i r="1">
      <x v="4"/>
    </i>
    <i>
      <x v="1"/>
    </i>
    <i r="1">
      <x v="3"/>
    </i>
    <i>
      <x v="2"/>
    </i>
    <i r="1">
      <x v="2"/>
    </i>
    <i>
      <x v="3"/>
    </i>
    <i r="1">
      <x/>
    </i>
    <i>
      <x v="4"/>
    </i>
    <i r="1">
      <x v="1"/>
    </i>
    <i>
      <x v="5"/>
    </i>
    <i r="1">
      <x v="5"/>
    </i>
    <i>
      <x v="6"/>
    </i>
    <i r="1">
      <x v="7"/>
    </i>
    <i>
      <x v="7"/>
    </i>
    <i r="1">
      <x v="6"/>
    </i>
    <i>
      <x v="8"/>
    </i>
    <i r="1">
      <x v="8"/>
    </i>
    <i>
      <x v="9"/>
    </i>
    <i r="1">
      <x v="32"/>
    </i>
    <i>
      <x v="10"/>
    </i>
    <i r="1">
      <x v="30"/>
    </i>
    <i>
      <x v="11"/>
    </i>
    <i r="1">
      <x v="31"/>
    </i>
    <i>
      <x v="12"/>
    </i>
    <i r="1">
      <x v="9"/>
    </i>
    <i>
      <x v="13"/>
    </i>
    <i r="1">
      <x v="10"/>
    </i>
    <i>
      <x v="14"/>
    </i>
    <i r="1">
      <x v="13"/>
    </i>
    <i>
      <x v="15"/>
    </i>
    <i r="1">
      <x v="12"/>
    </i>
    <i>
      <x v="16"/>
    </i>
    <i r="1">
      <x v="15"/>
    </i>
    <i>
      <x v="17"/>
    </i>
    <i r="1">
      <x v="14"/>
    </i>
    <i>
      <x v="18"/>
    </i>
    <i r="1">
      <x v="11"/>
    </i>
    <i>
      <x v="19"/>
    </i>
    <i r="1">
      <x v="21"/>
    </i>
    <i>
      <x v="20"/>
    </i>
    <i r="1">
      <x v="20"/>
    </i>
    <i>
      <x v="21"/>
    </i>
    <i r="1">
      <x v="19"/>
    </i>
    <i>
      <x v="22"/>
    </i>
    <i r="1">
      <x v="16"/>
    </i>
    <i>
      <x v="23"/>
    </i>
    <i r="1">
      <x v="18"/>
    </i>
    <i>
      <x v="24"/>
    </i>
    <i r="1">
      <x v="17"/>
    </i>
    <i>
      <x v="25"/>
    </i>
    <i r="1">
      <x v="29"/>
    </i>
    <i>
      <x v="26"/>
    </i>
    <i r="1">
      <x v="23"/>
    </i>
    <i>
      <x v="27"/>
    </i>
    <i r="1">
      <x v="22"/>
    </i>
    <i>
      <x v="28"/>
    </i>
    <i r="1">
      <x v="24"/>
    </i>
    <i>
      <x v="29"/>
    </i>
    <i r="1">
      <x v="27"/>
    </i>
    <i>
      <x v="30"/>
    </i>
    <i r="1">
      <x v="25"/>
    </i>
    <i>
      <x v="31"/>
    </i>
    <i r="1">
      <x v="28"/>
    </i>
    <i>
      <x v="32"/>
    </i>
    <i r="1">
      <x v="26"/>
    </i>
    <i>
      <x v="33"/>
    </i>
    <i r="1">
      <x v="36"/>
    </i>
    <i>
      <x v="34"/>
    </i>
    <i r="1">
      <x v="35"/>
    </i>
    <i>
      <x v="35"/>
    </i>
    <i r="1">
      <x v="33"/>
    </i>
    <i>
      <x v="36"/>
    </i>
    <i r="1">
      <x v="34"/>
    </i>
    <i>
      <x v="37"/>
    </i>
    <i r="1">
      <x v="37"/>
    </i>
    <i>
      <x v="38"/>
    </i>
    <i r="1">
      <x v="38"/>
    </i>
    <i t="grand">
      <x/>
    </i>
  </rowItems>
  <colItems count="1">
    <i/>
  </colItems>
  <pageFields count="1">
    <pageField fld="3" hier="-1"/>
  </pageFields>
  <dataFields count="1">
    <dataField name="Sum of Price" fld="1" baseField="0" baseItem="0" numFmtId="42"/>
  </dataFields>
  <formats count="1">
    <format dxfId="28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3727C73-63AA-4D87-8B0C-6B83A674E5F9}" name="PivotTable3" cacheId="6" applyNumberFormats="0" applyBorderFormats="0" applyFontFormats="0" applyPatternFormats="0" applyAlignmentFormats="0" applyWidthHeightFormats="1" dataCaption="Values" tag="4e01740c-b553-4b57-8e43-28e9e4d5278f" updatedVersion="7" minRefreshableVersion="3" useAutoFormatting="1" subtotalHiddenItems="1" itemPrintTitles="1" createdVersion="5" indent="0" outline="1" outlineData="1" multipleFieldFilters="0">
  <location ref="A4:B79" firstHeaderRow="1" firstDataRow="1" firstDataCol="1"/>
  <pivotFields count="4">
    <pivotField dataField="1" subtotalTop="0" showAll="0" defaultSubtotal="0"/>
    <pivotField axis="axisRow"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s>
  <rowFields count="3">
    <field x="2"/>
    <field x="3"/>
    <field x="1"/>
  </rowFields>
  <rowItems count="75">
    <i>
      <x/>
    </i>
    <i r="1">
      <x/>
    </i>
    <i r="2">
      <x/>
    </i>
    <i r="1">
      <x v="1"/>
    </i>
    <i r="2">
      <x v="1"/>
    </i>
    <i r="1">
      <x v="2"/>
    </i>
    <i r="2">
      <x v="2"/>
    </i>
    <i r="1">
      <x v="3"/>
    </i>
    <i r="2">
      <x v="3"/>
    </i>
    <i r="1">
      <x v="4"/>
    </i>
    <i r="2">
      <x v="4"/>
    </i>
    <i>
      <x v="1"/>
    </i>
    <i r="1">
      <x v="5"/>
    </i>
    <i r="2">
      <x v="5"/>
    </i>
    <i r="1">
      <x v="6"/>
    </i>
    <i r="2">
      <x v="6"/>
    </i>
    <i r="1">
      <x v="7"/>
    </i>
    <i r="2">
      <x v="7"/>
    </i>
    <i r="1">
      <x v="8"/>
    </i>
    <i r="2">
      <x v="8"/>
    </i>
    <i>
      <x v="2"/>
    </i>
    <i r="1">
      <x v="9"/>
    </i>
    <i r="2">
      <x v="9"/>
    </i>
    <i r="1">
      <x v="10"/>
    </i>
    <i r="2">
      <x v="10"/>
    </i>
    <i r="1">
      <x v="11"/>
    </i>
    <i r="2">
      <x v="11"/>
    </i>
    <i r="1">
      <x v="12"/>
    </i>
    <i r="2">
      <x v="12"/>
    </i>
    <i r="1">
      <x v="13"/>
    </i>
    <i r="2">
      <x v="13"/>
    </i>
    <i>
      <x v="3"/>
    </i>
    <i r="1">
      <x v="14"/>
    </i>
    <i r="2">
      <x v="14"/>
    </i>
    <i r="1">
      <x v="15"/>
    </i>
    <i r="2">
      <x v="15"/>
    </i>
    <i>
      <x v="4"/>
    </i>
    <i r="1">
      <x v="16"/>
    </i>
    <i r="2">
      <x v="16"/>
    </i>
    <i r="1">
      <x v="17"/>
    </i>
    <i r="2">
      <x v="17"/>
    </i>
    <i>
      <x v="5"/>
    </i>
    <i r="1">
      <x v="18"/>
    </i>
    <i r="2">
      <x v="18"/>
    </i>
    <i r="1">
      <x v="19"/>
    </i>
    <i r="2">
      <x v="19"/>
    </i>
    <i r="1">
      <x v="20"/>
    </i>
    <i r="2">
      <x v="20"/>
    </i>
    <i r="1">
      <x v="21"/>
    </i>
    <i r="2">
      <x v="21"/>
    </i>
    <i r="1">
      <x v="22"/>
    </i>
    <i r="2">
      <x v="22"/>
    </i>
    <i>
      <x v="6"/>
    </i>
    <i r="1">
      <x v="23"/>
    </i>
    <i r="2">
      <x v="23"/>
    </i>
    <i r="1">
      <x v="24"/>
    </i>
    <i r="2">
      <x v="24"/>
    </i>
    <i r="1">
      <x v="25"/>
    </i>
    <i r="2">
      <x v="25"/>
    </i>
    <i r="1">
      <x v="26"/>
    </i>
    <i r="2">
      <x v="26"/>
    </i>
    <i r="1">
      <x v="27"/>
    </i>
    <i r="2">
      <x v="27"/>
    </i>
    <i>
      <x v="7"/>
    </i>
    <i r="1">
      <x v="28"/>
    </i>
    <i r="2">
      <x v="28"/>
    </i>
    <i r="1">
      <x v="29"/>
    </i>
    <i r="2">
      <x v="29"/>
    </i>
    <i r="1">
      <x v="30"/>
    </i>
    <i r="2">
      <x v="30"/>
    </i>
    <i r="1">
      <x v="31"/>
    </i>
    <i r="2">
      <x v="31"/>
    </i>
    <i r="1">
      <x v="32"/>
    </i>
    <i r="2">
      <x v="32"/>
    </i>
    <i t="grand">
      <x/>
    </i>
  </rowItems>
  <colItems count="1">
    <i/>
  </colItems>
  <dataFields count="1">
    <dataField name="Sum of TOTAL PRICE" fld="0" baseField="0" baseItem="0"/>
  </dataFields>
  <formats count="73">
    <format dxfId="74">
      <pivotArea collapsedLevelsAreSubtotals="1" fieldPosition="0">
        <references count="3">
          <reference field="1" count="1">
            <x v="0"/>
          </reference>
          <reference field="2" count="1" selected="0">
            <x v="0"/>
          </reference>
          <reference field="3" count="1" selected="0">
            <x v="0"/>
          </reference>
        </references>
      </pivotArea>
    </format>
    <format dxfId="73">
      <pivotArea collapsedLevelsAreSubtotals="1" fieldPosition="0">
        <references count="2">
          <reference field="2" count="1" selected="0">
            <x v="0"/>
          </reference>
          <reference field="3" count="1">
            <x v="1"/>
          </reference>
        </references>
      </pivotArea>
    </format>
    <format dxfId="72">
      <pivotArea collapsedLevelsAreSubtotals="1" fieldPosition="0">
        <references count="3">
          <reference field="1" count="1">
            <x v="1"/>
          </reference>
          <reference field="2" count="1" selected="0">
            <x v="0"/>
          </reference>
          <reference field="3" count="1" selected="0">
            <x v="1"/>
          </reference>
        </references>
      </pivotArea>
    </format>
    <format dxfId="71">
      <pivotArea collapsedLevelsAreSubtotals="1" fieldPosition="0">
        <references count="2">
          <reference field="2" count="1" selected="0">
            <x v="0"/>
          </reference>
          <reference field="3" count="1">
            <x v="2"/>
          </reference>
        </references>
      </pivotArea>
    </format>
    <format dxfId="70">
      <pivotArea collapsedLevelsAreSubtotals="1" fieldPosition="0">
        <references count="3">
          <reference field="1" count="1">
            <x v="2"/>
          </reference>
          <reference field="2" count="1" selected="0">
            <x v="0"/>
          </reference>
          <reference field="3" count="1" selected="0">
            <x v="2"/>
          </reference>
        </references>
      </pivotArea>
    </format>
    <format dxfId="69">
      <pivotArea collapsedLevelsAreSubtotals="1" fieldPosition="0">
        <references count="2">
          <reference field="2" count="1" selected="0">
            <x v="0"/>
          </reference>
          <reference field="3" count="1">
            <x v="3"/>
          </reference>
        </references>
      </pivotArea>
    </format>
    <format dxfId="68">
      <pivotArea collapsedLevelsAreSubtotals="1" fieldPosition="0">
        <references count="3">
          <reference field="1" count="1">
            <x v="3"/>
          </reference>
          <reference field="2" count="1" selected="0">
            <x v="0"/>
          </reference>
          <reference field="3" count="1" selected="0">
            <x v="3"/>
          </reference>
        </references>
      </pivotArea>
    </format>
    <format dxfId="67">
      <pivotArea collapsedLevelsAreSubtotals="1" fieldPosition="0">
        <references count="2">
          <reference field="2" count="1" selected="0">
            <x v="0"/>
          </reference>
          <reference field="3" count="1">
            <x v="4"/>
          </reference>
        </references>
      </pivotArea>
    </format>
    <format dxfId="66">
      <pivotArea collapsedLevelsAreSubtotals="1" fieldPosition="0">
        <references count="3">
          <reference field="1" count="1">
            <x v="4"/>
          </reference>
          <reference field="2" count="1" selected="0">
            <x v="0"/>
          </reference>
          <reference field="3" count="1" selected="0">
            <x v="4"/>
          </reference>
        </references>
      </pivotArea>
    </format>
    <format dxfId="65">
      <pivotArea collapsedLevelsAreSubtotals="1" fieldPosition="0">
        <references count="1">
          <reference field="2" count="1">
            <x v="1"/>
          </reference>
        </references>
      </pivotArea>
    </format>
    <format dxfId="64">
      <pivotArea collapsedLevelsAreSubtotals="1" fieldPosition="0">
        <references count="2">
          <reference field="2" count="1" selected="0">
            <x v="1"/>
          </reference>
          <reference field="3" count="1">
            <x v="5"/>
          </reference>
        </references>
      </pivotArea>
    </format>
    <format dxfId="63">
      <pivotArea collapsedLevelsAreSubtotals="1" fieldPosition="0">
        <references count="3">
          <reference field="1" count="1">
            <x v="5"/>
          </reference>
          <reference field="2" count="1" selected="0">
            <x v="1"/>
          </reference>
          <reference field="3" count="1" selected="0">
            <x v="5"/>
          </reference>
        </references>
      </pivotArea>
    </format>
    <format dxfId="62">
      <pivotArea collapsedLevelsAreSubtotals="1" fieldPosition="0">
        <references count="2">
          <reference field="2" count="1" selected="0">
            <x v="1"/>
          </reference>
          <reference field="3" count="1">
            <x v="6"/>
          </reference>
        </references>
      </pivotArea>
    </format>
    <format dxfId="61">
      <pivotArea collapsedLevelsAreSubtotals="1" fieldPosition="0">
        <references count="3">
          <reference field="1" count="1">
            <x v="6"/>
          </reference>
          <reference field="2" count="1" selected="0">
            <x v="1"/>
          </reference>
          <reference field="3" count="1" selected="0">
            <x v="6"/>
          </reference>
        </references>
      </pivotArea>
    </format>
    <format dxfId="60">
      <pivotArea collapsedLevelsAreSubtotals="1" fieldPosition="0">
        <references count="2">
          <reference field="2" count="1" selected="0">
            <x v="1"/>
          </reference>
          <reference field="3" count="1">
            <x v="7"/>
          </reference>
        </references>
      </pivotArea>
    </format>
    <format dxfId="59">
      <pivotArea collapsedLevelsAreSubtotals="1" fieldPosition="0">
        <references count="3">
          <reference field="1" count="1">
            <x v="7"/>
          </reference>
          <reference field="2" count="1" selected="0">
            <x v="1"/>
          </reference>
          <reference field="3" count="1" selected="0">
            <x v="7"/>
          </reference>
        </references>
      </pivotArea>
    </format>
    <format dxfId="58">
      <pivotArea collapsedLevelsAreSubtotals="1" fieldPosition="0">
        <references count="2">
          <reference field="2" count="1" selected="0">
            <x v="1"/>
          </reference>
          <reference field="3" count="1">
            <x v="8"/>
          </reference>
        </references>
      </pivotArea>
    </format>
    <format dxfId="57">
      <pivotArea collapsedLevelsAreSubtotals="1" fieldPosition="0">
        <references count="3">
          <reference field="1" count="1">
            <x v="8"/>
          </reference>
          <reference field="2" count="1" selected="0">
            <x v="1"/>
          </reference>
          <reference field="3" count="1" selected="0">
            <x v="8"/>
          </reference>
        </references>
      </pivotArea>
    </format>
    <format dxfId="56">
      <pivotArea collapsedLevelsAreSubtotals="1" fieldPosition="0">
        <references count="1">
          <reference field="2" count="1">
            <x v="2"/>
          </reference>
        </references>
      </pivotArea>
    </format>
    <format dxfId="55">
      <pivotArea collapsedLevelsAreSubtotals="1" fieldPosition="0">
        <references count="2">
          <reference field="2" count="1" selected="0">
            <x v="2"/>
          </reference>
          <reference field="3" count="1">
            <x v="9"/>
          </reference>
        </references>
      </pivotArea>
    </format>
    <format dxfId="54">
      <pivotArea collapsedLevelsAreSubtotals="1" fieldPosition="0">
        <references count="3">
          <reference field="1" count="1">
            <x v="9"/>
          </reference>
          <reference field="2" count="1" selected="0">
            <x v="2"/>
          </reference>
          <reference field="3" count="1" selected="0">
            <x v="9"/>
          </reference>
        </references>
      </pivotArea>
    </format>
    <format dxfId="53">
      <pivotArea collapsedLevelsAreSubtotals="1" fieldPosition="0">
        <references count="2">
          <reference field="2" count="1" selected="0">
            <x v="2"/>
          </reference>
          <reference field="3" count="1">
            <x v="10"/>
          </reference>
        </references>
      </pivotArea>
    </format>
    <format dxfId="52">
      <pivotArea collapsedLevelsAreSubtotals="1" fieldPosition="0">
        <references count="3">
          <reference field="1" count="1">
            <x v="10"/>
          </reference>
          <reference field="2" count="1" selected="0">
            <x v="2"/>
          </reference>
          <reference field="3" count="1" selected="0">
            <x v="10"/>
          </reference>
        </references>
      </pivotArea>
    </format>
    <format dxfId="51">
      <pivotArea collapsedLevelsAreSubtotals="1" fieldPosition="0">
        <references count="2">
          <reference field="2" count="1" selected="0">
            <x v="2"/>
          </reference>
          <reference field="3" count="1">
            <x v="11"/>
          </reference>
        </references>
      </pivotArea>
    </format>
    <format dxfId="50">
      <pivotArea collapsedLevelsAreSubtotals="1" fieldPosition="0">
        <references count="3">
          <reference field="1" count="1">
            <x v="11"/>
          </reference>
          <reference field="2" count="1" selected="0">
            <x v="2"/>
          </reference>
          <reference field="3" count="1" selected="0">
            <x v="11"/>
          </reference>
        </references>
      </pivotArea>
    </format>
    <format dxfId="49">
      <pivotArea collapsedLevelsAreSubtotals="1" fieldPosition="0">
        <references count="2">
          <reference field="2" count="1" selected="0">
            <x v="2"/>
          </reference>
          <reference field="3" count="1">
            <x v="12"/>
          </reference>
        </references>
      </pivotArea>
    </format>
    <format dxfId="48">
      <pivotArea collapsedLevelsAreSubtotals="1" fieldPosition="0">
        <references count="3">
          <reference field="1" count="1">
            <x v="12"/>
          </reference>
          <reference field="2" count="1" selected="0">
            <x v="2"/>
          </reference>
          <reference field="3" count="1" selected="0">
            <x v="12"/>
          </reference>
        </references>
      </pivotArea>
    </format>
    <format dxfId="47">
      <pivotArea collapsedLevelsAreSubtotals="1" fieldPosition="0">
        <references count="2">
          <reference field="2" count="1" selected="0">
            <x v="2"/>
          </reference>
          <reference field="3" count="1">
            <x v="13"/>
          </reference>
        </references>
      </pivotArea>
    </format>
    <format dxfId="46">
      <pivotArea collapsedLevelsAreSubtotals="1" fieldPosition="0">
        <references count="3">
          <reference field="1" count="1">
            <x v="13"/>
          </reference>
          <reference field="2" count="1" selected="0">
            <x v="2"/>
          </reference>
          <reference field="3" count="1" selected="0">
            <x v="13"/>
          </reference>
        </references>
      </pivotArea>
    </format>
    <format dxfId="45">
      <pivotArea collapsedLevelsAreSubtotals="1" fieldPosition="0">
        <references count="1">
          <reference field="2" count="1">
            <x v="3"/>
          </reference>
        </references>
      </pivotArea>
    </format>
    <format dxfId="44">
      <pivotArea collapsedLevelsAreSubtotals="1" fieldPosition="0">
        <references count="2">
          <reference field="2" count="1" selected="0">
            <x v="3"/>
          </reference>
          <reference field="3" count="1">
            <x v="14"/>
          </reference>
        </references>
      </pivotArea>
    </format>
    <format dxfId="43">
      <pivotArea collapsedLevelsAreSubtotals="1" fieldPosition="0">
        <references count="3">
          <reference field="1" count="1">
            <x v="14"/>
          </reference>
          <reference field="2" count="1" selected="0">
            <x v="3"/>
          </reference>
          <reference field="3" count="1" selected="0">
            <x v="14"/>
          </reference>
        </references>
      </pivotArea>
    </format>
    <format dxfId="42">
      <pivotArea collapsedLevelsAreSubtotals="1" fieldPosition="0">
        <references count="2">
          <reference field="2" count="1" selected="0">
            <x v="3"/>
          </reference>
          <reference field="3" count="1">
            <x v="15"/>
          </reference>
        </references>
      </pivotArea>
    </format>
    <format dxfId="41">
      <pivotArea collapsedLevelsAreSubtotals="1" fieldPosition="0">
        <references count="3">
          <reference field="1" count="1">
            <x v="15"/>
          </reference>
          <reference field="2" count="1" selected="0">
            <x v="3"/>
          </reference>
          <reference field="3" count="1" selected="0">
            <x v="15"/>
          </reference>
        </references>
      </pivotArea>
    </format>
    <format dxfId="40">
      <pivotArea collapsedLevelsAreSubtotals="1" fieldPosition="0">
        <references count="1">
          <reference field="2" count="1">
            <x v="4"/>
          </reference>
        </references>
      </pivotArea>
    </format>
    <format dxfId="39">
      <pivotArea collapsedLevelsAreSubtotals="1" fieldPosition="0">
        <references count="2">
          <reference field="2" count="1" selected="0">
            <x v="4"/>
          </reference>
          <reference field="3" count="1">
            <x v="16"/>
          </reference>
        </references>
      </pivotArea>
    </format>
    <format dxfId="38">
      <pivotArea collapsedLevelsAreSubtotals="1" fieldPosition="0">
        <references count="3">
          <reference field="1" count="1">
            <x v="16"/>
          </reference>
          <reference field="2" count="1" selected="0">
            <x v="4"/>
          </reference>
          <reference field="3" count="1" selected="0">
            <x v="16"/>
          </reference>
        </references>
      </pivotArea>
    </format>
    <format dxfId="37">
      <pivotArea collapsedLevelsAreSubtotals="1" fieldPosition="0">
        <references count="2">
          <reference field="2" count="1" selected="0">
            <x v="4"/>
          </reference>
          <reference field="3" count="1">
            <x v="17"/>
          </reference>
        </references>
      </pivotArea>
    </format>
    <format dxfId="36">
      <pivotArea collapsedLevelsAreSubtotals="1" fieldPosition="0">
        <references count="3">
          <reference field="1" count="1">
            <x v="17"/>
          </reference>
          <reference field="2" count="1" selected="0">
            <x v="4"/>
          </reference>
          <reference field="3" count="1" selected="0">
            <x v="17"/>
          </reference>
        </references>
      </pivotArea>
    </format>
    <format dxfId="35">
      <pivotArea collapsedLevelsAreSubtotals="1" fieldPosition="0">
        <references count="1">
          <reference field="2" count="1">
            <x v="5"/>
          </reference>
        </references>
      </pivotArea>
    </format>
    <format dxfId="34">
      <pivotArea collapsedLevelsAreSubtotals="1" fieldPosition="0">
        <references count="2">
          <reference field="2" count="1" selected="0">
            <x v="5"/>
          </reference>
          <reference field="3" count="1">
            <x v="18"/>
          </reference>
        </references>
      </pivotArea>
    </format>
    <format dxfId="33">
      <pivotArea collapsedLevelsAreSubtotals="1" fieldPosition="0">
        <references count="3">
          <reference field="1" count="1">
            <x v="18"/>
          </reference>
          <reference field="2" count="1" selected="0">
            <x v="5"/>
          </reference>
          <reference field="3" count="1" selected="0">
            <x v="18"/>
          </reference>
        </references>
      </pivotArea>
    </format>
    <format dxfId="32">
      <pivotArea collapsedLevelsAreSubtotals="1" fieldPosition="0">
        <references count="2">
          <reference field="2" count="1" selected="0">
            <x v="5"/>
          </reference>
          <reference field="3" count="1">
            <x v="19"/>
          </reference>
        </references>
      </pivotArea>
    </format>
    <format dxfId="31">
      <pivotArea collapsedLevelsAreSubtotals="1" fieldPosition="0">
        <references count="3">
          <reference field="1" count="1">
            <x v="19"/>
          </reference>
          <reference field="2" count="1" selected="0">
            <x v="5"/>
          </reference>
          <reference field="3" count="1" selected="0">
            <x v="19"/>
          </reference>
        </references>
      </pivotArea>
    </format>
    <format dxfId="30">
      <pivotArea collapsedLevelsAreSubtotals="1" fieldPosition="0">
        <references count="2">
          <reference field="2" count="1" selected="0">
            <x v="5"/>
          </reference>
          <reference field="3" count="1">
            <x v="20"/>
          </reference>
        </references>
      </pivotArea>
    </format>
    <format dxfId="29">
      <pivotArea collapsedLevelsAreSubtotals="1" fieldPosition="0">
        <references count="3">
          <reference field="1" count="1">
            <x v="20"/>
          </reference>
          <reference field="2" count="1" selected="0">
            <x v="5"/>
          </reference>
          <reference field="3" count="1" selected="0">
            <x v="20"/>
          </reference>
        </references>
      </pivotArea>
    </format>
    <format dxfId="28">
      <pivotArea collapsedLevelsAreSubtotals="1" fieldPosition="0">
        <references count="2">
          <reference field="2" count="1" selected="0">
            <x v="5"/>
          </reference>
          <reference field="3" count="1">
            <x v="21"/>
          </reference>
        </references>
      </pivotArea>
    </format>
    <format dxfId="27">
      <pivotArea collapsedLevelsAreSubtotals="1" fieldPosition="0">
        <references count="3">
          <reference field="1" count="1">
            <x v="21"/>
          </reference>
          <reference field="2" count="1" selected="0">
            <x v="5"/>
          </reference>
          <reference field="3" count="1" selected="0">
            <x v="21"/>
          </reference>
        </references>
      </pivotArea>
    </format>
    <format dxfId="26">
      <pivotArea collapsedLevelsAreSubtotals="1" fieldPosition="0">
        <references count="2">
          <reference field="2" count="1" selected="0">
            <x v="5"/>
          </reference>
          <reference field="3" count="1">
            <x v="22"/>
          </reference>
        </references>
      </pivotArea>
    </format>
    <format dxfId="25">
      <pivotArea collapsedLevelsAreSubtotals="1" fieldPosition="0">
        <references count="3">
          <reference field="1" count="1">
            <x v="22"/>
          </reference>
          <reference field="2" count="1" selected="0">
            <x v="5"/>
          </reference>
          <reference field="3" count="1" selected="0">
            <x v="22"/>
          </reference>
        </references>
      </pivotArea>
    </format>
    <format dxfId="24">
      <pivotArea collapsedLevelsAreSubtotals="1" fieldPosition="0">
        <references count="1">
          <reference field="2" count="1">
            <x v="6"/>
          </reference>
        </references>
      </pivotArea>
    </format>
    <format dxfId="23">
      <pivotArea collapsedLevelsAreSubtotals="1" fieldPosition="0">
        <references count="2">
          <reference field="2" count="1" selected="0">
            <x v="6"/>
          </reference>
          <reference field="3" count="1">
            <x v="23"/>
          </reference>
        </references>
      </pivotArea>
    </format>
    <format dxfId="22">
      <pivotArea collapsedLevelsAreSubtotals="1" fieldPosition="0">
        <references count="3">
          <reference field="1" count="1">
            <x v="23"/>
          </reference>
          <reference field="2" count="1" selected="0">
            <x v="6"/>
          </reference>
          <reference field="3" count="1" selected="0">
            <x v="23"/>
          </reference>
        </references>
      </pivotArea>
    </format>
    <format dxfId="21">
      <pivotArea collapsedLevelsAreSubtotals="1" fieldPosition="0">
        <references count="2">
          <reference field="2" count="1" selected="0">
            <x v="6"/>
          </reference>
          <reference field="3" count="1">
            <x v="24"/>
          </reference>
        </references>
      </pivotArea>
    </format>
    <format dxfId="20">
      <pivotArea collapsedLevelsAreSubtotals="1" fieldPosition="0">
        <references count="3">
          <reference field="1" count="1">
            <x v="24"/>
          </reference>
          <reference field="2" count="1" selected="0">
            <x v="6"/>
          </reference>
          <reference field="3" count="1" selected="0">
            <x v="24"/>
          </reference>
        </references>
      </pivotArea>
    </format>
    <format dxfId="19">
      <pivotArea collapsedLevelsAreSubtotals="1" fieldPosition="0">
        <references count="2">
          <reference field="2" count="1" selected="0">
            <x v="6"/>
          </reference>
          <reference field="3" count="1">
            <x v="25"/>
          </reference>
        </references>
      </pivotArea>
    </format>
    <format dxfId="18">
      <pivotArea collapsedLevelsAreSubtotals="1" fieldPosition="0">
        <references count="3">
          <reference field="1" count="1">
            <x v="25"/>
          </reference>
          <reference field="2" count="1" selected="0">
            <x v="6"/>
          </reference>
          <reference field="3" count="1" selected="0">
            <x v="25"/>
          </reference>
        </references>
      </pivotArea>
    </format>
    <format dxfId="17">
      <pivotArea collapsedLevelsAreSubtotals="1" fieldPosition="0">
        <references count="2">
          <reference field="2" count="1" selected="0">
            <x v="6"/>
          </reference>
          <reference field="3" count="1">
            <x v="26"/>
          </reference>
        </references>
      </pivotArea>
    </format>
    <format dxfId="16">
      <pivotArea collapsedLevelsAreSubtotals="1" fieldPosition="0">
        <references count="3">
          <reference field="1" count="1">
            <x v="26"/>
          </reference>
          <reference field="2" count="1" selected="0">
            <x v="6"/>
          </reference>
          <reference field="3" count="1" selected="0">
            <x v="26"/>
          </reference>
        </references>
      </pivotArea>
    </format>
    <format dxfId="15">
      <pivotArea collapsedLevelsAreSubtotals="1" fieldPosition="0">
        <references count="2">
          <reference field="2" count="1" selected="0">
            <x v="6"/>
          </reference>
          <reference field="3" count="1">
            <x v="27"/>
          </reference>
        </references>
      </pivotArea>
    </format>
    <format dxfId="14">
      <pivotArea collapsedLevelsAreSubtotals="1" fieldPosition="0">
        <references count="3">
          <reference field="1" count="1">
            <x v="27"/>
          </reference>
          <reference field="2" count="1" selected="0">
            <x v="6"/>
          </reference>
          <reference field="3" count="1" selected="0">
            <x v="27"/>
          </reference>
        </references>
      </pivotArea>
    </format>
    <format dxfId="13">
      <pivotArea collapsedLevelsAreSubtotals="1" fieldPosition="0">
        <references count="1">
          <reference field="2" count="1">
            <x v="7"/>
          </reference>
        </references>
      </pivotArea>
    </format>
    <format dxfId="12">
      <pivotArea collapsedLevelsAreSubtotals="1" fieldPosition="0">
        <references count="2">
          <reference field="2" count="1" selected="0">
            <x v="7"/>
          </reference>
          <reference field="3" count="1">
            <x v="28"/>
          </reference>
        </references>
      </pivotArea>
    </format>
    <format dxfId="11">
      <pivotArea collapsedLevelsAreSubtotals="1" fieldPosition="0">
        <references count="3">
          <reference field="1" count="1">
            <x v="28"/>
          </reference>
          <reference field="2" count="1" selected="0">
            <x v="7"/>
          </reference>
          <reference field="3" count="1" selected="0">
            <x v="28"/>
          </reference>
        </references>
      </pivotArea>
    </format>
    <format dxfId="10">
      <pivotArea collapsedLevelsAreSubtotals="1" fieldPosition="0">
        <references count="2">
          <reference field="2" count="1" selected="0">
            <x v="7"/>
          </reference>
          <reference field="3" count="1">
            <x v="29"/>
          </reference>
        </references>
      </pivotArea>
    </format>
    <format dxfId="9">
      <pivotArea collapsedLevelsAreSubtotals="1" fieldPosition="0">
        <references count="3">
          <reference field="1" count="1">
            <x v="29"/>
          </reference>
          <reference field="2" count="1" selected="0">
            <x v="7"/>
          </reference>
          <reference field="3" count="1" selected="0">
            <x v="29"/>
          </reference>
        </references>
      </pivotArea>
    </format>
    <format dxfId="8">
      <pivotArea collapsedLevelsAreSubtotals="1" fieldPosition="0">
        <references count="2">
          <reference field="2" count="1" selected="0">
            <x v="7"/>
          </reference>
          <reference field="3" count="1">
            <x v="30"/>
          </reference>
        </references>
      </pivotArea>
    </format>
    <format dxfId="7">
      <pivotArea collapsedLevelsAreSubtotals="1" fieldPosition="0">
        <references count="3">
          <reference field="1" count="1">
            <x v="30"/>
          </reference>
          <reference field="2" count="1" selected="0">
            <x v="7"/>
          </reference>
          <reference field="3" count="1" selected="0">
            <x v="30"/>
          </reference>
        </references>
      </pivotArea>
    </format>
    <format dxfId="6">
      <pivotArea collapsedLevelsAreSubtotals="1" fieldPosition="0">
        <references count="2">
          <reference field="2" count="1" selected="0">
            <x v="7"/>
          </reference>
          <reference field="3" count="1">
            <x v="31"/>
          </reference>
        </references>
      </pivotArea>
    </format>
    <format dxfId="5">
      <pivotArea collapsedLevelsAreSubtotals="1" fieldPosition="0">
        <references count="3">
          <reference field="1" count="1">
            <x v="31"/>
          </reference>
          <reference field="2" count="1" selected="0">
            <x v="7"/>
          </reference>
          <reference field="3" count="1" selected="0">
            <x v="31"/>
          </reference>
        </references>
      </pivotArea>
    </format>
    <format dxfId="4">
      <pivotArea collapsedLevelsAreSubtotals="1" fieldPosition="0">
        <references count="2">
          <reference field="2" count="1" selected="0">
            <x v="7"/>
          </reference>
          <reference field="3" count="1">
            <x v="32"/>
          </reference>
        </references>
      </pivotArea>
    </format>
    <format dxfId="3">
      <pivotArea collapsedLevelsAreSubtotals="1" fieldPosition="0">
        <references count="3">
          <reference field="1" count="1">
            <x v="32"/>
          </reference>
          <reference field="2" count="1" selected="0">
            <x v="7"/>
          </reference>
          <reference field="3" count="1" selected="0">
            <x v="32"/>
          </reference>
        </references>
      </pivotArea>
    </format>
    <format dxfId="2">
      <pivotArea grandRow="1" outline="0" collapsedLevelsAreSubtotals="1" fieldPosition="0"/>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3">
    <rowHierarchyUsage hierarchyUsage="8"/>
    <rowHierarchyUsage hierarchyUsage="4"/>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
        <x15:activeTabTopLevelEntity name="[CUSTOMER]"/>
        <x15:activeTabTopLevelEntity name="[DETAIL PROD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6C48F2-62E8-4547-837B-E79192BF331E}" name="PivotTable4" cacheId="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A80:B84" firstHeaderRow="1" firstDataRow="1" firstDataCol="1"/>
  <pivotFields count="13">
    <pivotField showAll="0"/>
    <pivotField showAll="0"/>
    <pivotField numFmtId="14" showAll="0"/>
    <pivotField showAll="0"/>
    <pivotField showAll="0"/>
    <pivotField axis="axisRow" showAll="0">
      <items count="4">
        <item x="0"/>
        <item x="1"/>
        <item x="2"/>
        <item t="default"/>
      </items>
    </pivotField>
    <pivotField showAll="0">
      <items count="4">
        <item x="0"/>
        <item x="1"/>
        <item x="2"/>
        <item t="default"/>
      </items>
    </pivotField>
    <pivotField showAll="0"/>
    <pivotField dataField="1" showAll="0"/>
    <pivotField showAll="0"/>
    <pivotField showAll="0"/>
    <pivotField numFmtId="164" showAll="0"/>
    <pivotField numFmtId="164" showAll="0"/>
  </pivotFields>
  <rowFields count="1">
    <field x="5"/>
  </rowFields>
  <rowItems count="4">
    <i>
      <x/>
    </i>
    <i>
      <x v="1"/>
    </i>
    <i>
      <x v="2"/>
    </i>
    <i t="grand">
      <x/>
    </i>
  </rowItems>
  <colItems count="1">
    <i/>
  </colItems>
  <dataFields count="1">
    <dataField name="Sum of QUANTITY" fld="8" baseField="0" baseItem="0"/>
  </dataFields>
  <chartFormats count="1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2">
          <reference field="4294967294" count="1" selected="0">
            <x v="0"/>
          </reference>
          <reference field="5" count="1" selected="0">
            <x v="1"/>
          </reference>
        </references>
      </pivotArea>
    </chartFormat>
    <chartFormat chart="5" format="4" series="1">
      <pivotArea type="data" outline="0" fieldPosition="0">
        <references count="2">
          <reference field="4294967294" count="1" selected="0">
            <x v="0"/>
          </reference>
          <reference field="5" count="1" selected="0">
            <x v="2"/>
          </reference>
        </references>
      </pivotArea>
    </chartFormat>
    <chartFormat chart="4" format="2" series="1">
      <pivotArea type="data" outline="0" fieldPosition="0">
        <references count="2">
          <reference field="4294967294" count="1" selected="0">
            <x v="0"/>
          </reference>
          <reference field="5" count="1" selected="0">
            <x v="1"/>
          </reference>
        </references>
      </pivotArea>
    </chartFormat>
    <chartFormat chart="4" format="3" series="1">
      <pivotArea type="data" outline="0" fieldPosition="0">
        <references count="2">
          <reference field="4294967294" count="1" selected="0">
            <x v="0"/>
          </reference>
          <reference field="5" count="1" selected="0">
            <x v="2"/>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BDA542-BAE1-41CB-A760-AA9F1D81A61D}"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4:C41" firstHeaderRow="1" firstDataRow="1" firstDataCol="0"/>
  <pivotFields count="13">
    <pivotField showAll="0"/>
    <pivotField showAll="0"/>
    <pivotField numFmtId="14" showAll="0">
      <items count="15">
        <item x="0"/>
        <item x="1"/>
        <item x="2"/>
        <item x="3"/>
        <item x="4"/>
        <item x="5"/>
        <item x="6"/>
        <item x="7"/>
        <item x="8"/>
        <item x="9"/>
        <item x="10"/>
        <item x="11"/>
        <item x="12"/>
        <item x="13"/>
        <item t="default"/>
      </items>
    </pivotField>
    <pivotField showAll="0"/>
    <pivotField showAll="0">
      <items count="9">
        <item x="0"/>
        <item x="2"/>
        <item x="7"/>
        <item x="5"/>
        <item x="6"/>
        <item x="3"/>
        <item x="4"/>
        <item x="1"/>
        <item t="default"/>
      </items>
    </pivotField>
    <pivotField showAll="0"/>
    <pivotField showAll="0"/>
    <pivotField showAll="0"/>
    <pivotField numFmtId="42" showAll="0"/>
    <pivotField numFmtId="42" showAll="0"/>
    <pivotField showAll="0"/>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716547-DAA1-4294-9C13-7CB43553C989}" name="PivotTable11" cacheId="2"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location ref="A11:B13" firstHeaderRow="1" firstDataRow="1" firstDataCol="1"/>
  <pivotFields count="13">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pivotField showAll="0"/>
    <pivotField numFmtId="42" showAll="0"/>
    <pivotField numFmtId="42" showAll="0"/>
    <pivotField showAll="0">
      <items count="4">
        <item x="2"/>
        <item x="1"/>
        <item x="0"/>
        <item t="default"/>
      </items>
    </pivotField>
    <pivotField showAll="0" defaultSubtotal="0">
      <items count="6">
        <item sd="0" x="0"/>
        <item sd="0" x="1"/>
        <item sd="0" x="2"/>
        <item sd="0" x="3"/>
        <item sd="0" x="4"/>
        <item sd="0" x="5"/>
      </items>
    </pivotField>
    <pivotField axis="axisRow" showAll="0" defaultSubtotal="0">
      <items count="6">
        <item h="1" sd="0" x="0"/>
        <item h="1" sd="0" x="1"/>
        <item sd="0" x="2"/>
        <item h="1" sd="0" x="3"/>
        <item h="1" sd="0" x="4"/>
        <item h="1" sd="0" x="5"/>
      </items>
    </pivotField>
  </pivotFields>
  <rowFields count="1">
    <field x="12"/>
  </rowFields>
  <rowItems count="2">
    <i>
      <x v="2"/>
    </i>
    <i t="grand">
      <x/>
    </i>
  </rowItems>
  <colItems count="1">
    <i/>
  </colItems>
  <dataFields count="1">
    <dataField name="Sum of QUANTITY" fld="5"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7D4970-0BCD-46D7-B294-033179789189}"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7:J49" firstHeaderRow="1" firstDataRow="2" firstDataCol="1"/>
  <pivotFields count="8">
    <pivotField showAll="0"/>
    <pivotField showAll="0">
      <items count="40">
        <item x="3"/>
        <item x="4"/>
        <item x="2"/>
        <item x="1"/>
        <item x="0"/>
        <item x="13"/>
        <item x="15"/>
        <item x="14"/>
        <item x="16"/>
        <item x="32"/>
        <item x="33"/>
        <item x="38"/>
        <item x="35"/>
        <item x="34"/>
        <item x="37"/>
        <item x="36"/>
        <item x="20"/>
        <item x="22"/>
        <item x="21"/>
        <item x="19"/>
        <item x="18"/>
        <item x="17"/>
        <item x="7"/>
        <item x="6"/>
        <item x="8"/>
        <item x="10"/>
        <item x="12"/>
        <item x="9"/>
        <item x="11"/>
        <item x="5"/>
        <item x="30"/>
        <item x="31"/>
        <item x="29"/>
        <item x="25"/>
        <item x="26"/>
        <item x="24"/>
        <item x="23"/>
        <item x="27"/>
        <item x="28"/>
        <item t="default"/>
      </items>
    </pivotField>
    <pivotField axis="axisCol" showAll="0">
      <items count="9">
        <item x="0"/>
        <item x="2"/>
        <item x="7"/>
        <item x="5"/>
        <item x="6"/>
        <item x="4"/>
        <item x="3"/>
        <item x="1"/>
        <item t="default"/>
      </items>
    </pivotField>
    <pivotField dataField="1" showAll="0">
      <items count="7">
        <item x="4"/>
        <item x="2"/>
        <item x="5"/>
        <item x="3"/>
        <item x="1"/>
        <item x="0"/>
        <item t="default"/>
      </items>
    </pivotField>
    <pivotField showAll="0">
      <items count="11">
        <item x="8"/>
        <item x="4"/>
        <item x="5"/>
        <item x="9"/>
        <item x="6"/>
        <item x="7"/>
        <item x="2"/>
        <item x="3"/>
        <item x="0"/>
        <item x="1"/>
        <item t="default"/>
      </items>
    </pivotField>
    <pivotField showAll="0">
      <items count="11">
        <item x="7"/>
        <item x="4"/>
        <item x="3"/>
        <item x="8"/>
        <item x="5"/>
        <item x="6"/>
        <item x="1"/>
        <item x="9"/>
        <item x="2"/>
        <item x="0"/>
        <item t="default"/>
      </items>
    </pivotField>
    <pivotField showAll="0"/>
    <pivotField showAll="0"/>
  </pivotFields>
  <rowItems count="1">
    <i/>
  </rowItems>
  <colFields count="1">
    <field x="2"/>
  </colFields>
  <colItems count="9">
    <i>
      <x/>
    </i>
    <i>
      <x v="1"/>
    </i>
    <i>
      <x v="2"/>
    </i>
    <i>
      <x v="3"/>
    </i>
    <i>
      <x v="4"/>
    </i>
    <i>
      <x v="5"/>
    </i>
    <i>
      <x v="6"/>
    </i>
    <i>
      <x v="7"/>
    </i>
    <i t="grand">
      <x/>
    </i>
  </colItems>
  <dataFields count="1">
    <dataField name="Sum of STOK AWAL" fld="3" baseField="0" baseItem="0"/>
  </dataFields>
  <chartFormats count="16">
    <chartFormat chart="2" format="37" series="1">
      <pivotArea type="data" outline="0" fieldPosition="0">
        <references count="1">
          <reference field="2" count="1" selected="0">
            <x v="0"/>
          </reference>
        </references>
      </pivotArea>
    </chartFormat>
    <chartFormat chart="2" format="38" series="1">
      <pivotArea type="data" outline="0" fieldPosition="0">
        <references count="1">
          <reference field="2" count="1" selected="0">
            <x v="1"/>
          </reference>
        </references>
      </pivotArea>
    </chartFormat>
    <chartFormat chart="2" format="39" series="1">
      <pivotArea type="data" outline="0" fieldPosition="0">
        <references count="1">
          <reference field="2" count="1" selected="0">
            <x v="2"/>
          </reference>
        </references>
      </pivotArea>
    </chartFormat>
    <chartFormat chart="2" format="40" series="1">
      <pivotArea type="data" outline="0" fieldPosition="0">
        <references count="1">
          <reference field="2" count="1" selected="0">
            <x v="3"/>
          </reference>
        </references>
      </pivotArea>
    </chartFormat>
    <chartFormat chart="2" format="41" series="1">
      <pivotArea type="data" outline="0" fieldPosition="0">
        <references count="1">
          <reference field="2" count="1" selected="0">
            <x v="4"/>
          </reference>
        </references>
      </pivotArea>
    </chartFormat>
    <chartFormat chart="2" format="42" series="1">
      <pivotArea type="data" outline="0" fieldPosition="0">
        <references count="1">
          <reference field="2" count="1" selected="0">
            <x v="5"/>
          </reference>
        </references>
      </pivotArea>
    </chartFormat>
    <chartFormat chart="2" format="43" series="1">
      <pivotArea type="data" outline="0" fieldPosition="0">
        <references count="1">
          <reference field="2" count="1" selected="0">
            <x v="6"/>
          </reference>
        </references>
      </pivotArea>
    </chartFormat>
    <chartFormat chart="2" format="44" series="1">
      <pivotArea type="data" outline="0" fieldPosition="0">
        <references count="1">
          <reference field="2" count="1" selected="0">
            <x v="7"/>
          </reference>
        </references>
      </pivotArea>
    </chartFormat>
    <chartFormat chart="2" format="45" series="1">
      <pivotArea type="data" outline="0" fieldPosition="0">
        <references count="2">
          <reference field="4294967294" count="1" selected="0">
            <x v="0"/>
          </reference>
          <reference field="2" count="1" selected="0">
            <x v="0"/>
          </reference>
        </references>
      </pivotArea>
    </chartFormat>
    <chartFormat chart="2" format="46" series="1">
      <pivotArea type="data" outline="0" fieldPosition="0">
        <references count="2">
          <reference field="4294967294" count="1" selected="0">
            <x v="0"/>
          </reference>
          <reference field="2" count="1" selected="0">
            <x v="1"/>
          </reference>
        </references>
      </pivotArea>
    </chartFormat>
    <chartFormat chart="2" format="47" series="1">
      <pivotArea type="data" outline="0" fieldPosition="0">
        <references count="2">
          <reference field="4294967294" count="1" selected="0">
            <x v="0"/>
          </reference>
          <reference field="2" count="1" selected="0">
            <x v="2"/>
          </reference>
        </references>
      </pivotArea>
    </chartFormat>
    <chartFormat chart="2" format="48" series="1">
      <pivotArea type="data" outline="0" fieldPosition="0">
        <references count="2">
          <reference field="4294967294" count="1" selected="0">
            <x v="0"/>
          </reference>
          <reference field="2" count="1" selected="0">
            <x v="3"/>
          </reference>
        </references>
      </pivotArea>
    </chartFormat>
    <chartFormat chart="2" format="49" series="1">
      <pivotArea type="data" outline="0" fieldPosition="0">
        <references count="2">
          <reference field="4294967294" count="1" selected="0">
            <x v="0"/>
          </reference>
          <reference field="2" count="1" selected="0">
            <x v="4"/>
          </reference>
        </references>
      </pivotArea>
    </chartFormat>
    <chartFormat chart="2" format="50" series="1">
      <pivotArea type="data" outline="0" fieldPosition="0">
        <references count="2">
          <reference field="4294967294" count="1" selected="0">
            <x v="0"/>
          </reference>
          <reference field="2" count="1" selected="0">
            <x v="5"/>
          </reference>
        </references>
      </pivotArea>
    </chartFormat>
    <chartFormat chart="2" format="51" series="1">
      <pivotArea type="data" outline="0" fieldPosition="0">
        <references count="2">
          <reference field="4294967294" count="1" selected="0">
            <x v="0"/>
          </reference>
          <reference field="2" count="1" selected="0">
            <x v="6"/>
          </reference>
        </references>
      </pivotArea>
    </chartFormat>
    <chartFormat chart="2" format="52" series="1">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8EFF40-A623-4258-9473-0BD374928C5A}" name="PivotTable10" cacheId="2"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1:B3" firstHeaderRow="1" firstDataRow="1" firstDataCol="1"/>
  <pivotFields count="13">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numFmtId="42" showAll="0"/>
    <pivotField dataField="1" numFmtId="42" showAll="0"/>
    <pivotField showAll="0">
      <items count="4">
        <item x="2"/>
        <item x="1"/>
        <item x="0"/>
        <item t="default"/>
      </items>
    </pivotField>
    <pivotField showAll="0" defaultSubtotal="0"/>
    <pivotField axis="axisRow" showAll="0" defaultSubtotal="0">
      <items count="6">
        <item h="1" x="0"/>
        <item h="1" x="1"/>
        <item x="2"/>
        <item h="1" x="3"/>
        <item h="1" x="4"/>
        <item h="1" x="5"/>
      </items>
    </pivotField>
  </pivotFields>
  <rowFields count="1">
    <field x="12"/>
  </rowFields>
  <rowItems count="2">
    <i>
      <x v="2"/>
    </i>
    <i t="grand">
      <x/>
    </i>
  </rowItems>
  <colItems count="1">
    <i/>
  </colItems>
  <dataFields count="1">
    <dataField name="Sum of TOTAL PRICE" fld="9" baseField="0" baseItem="0" numFmtId="164"/>
  </dataFields>
  <formats count="1">
    <format dxfId="186">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D0FD390-E72E-494F-952D-911D2CF816D2}"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9:C76" firstHeaderRow="1" firstDataRow="1" firstDataCol="0"/>
  <pivotFields count="9">
    <pivotField showAll="0">
      <items count="3">
        <item x="0"/>
        <item x="1"/>
        <item t="default"/>
      </items>
    </pivotField>
    <pivotField showAll="0"/>
    <pivotField showAll="0"/>
    <pivotField showAll="0">
      <items count="3">
        <item x="1"/>
        <item x="0"/>
        <item t="default"/>
      </items>
    </pivotField>
    <pivotField showAll="0"/>
    <pivotField showAll="0"/>
    <pivotField showAll="0">
      <items count="3">
        <item x="1"/>
        <item x="0"/>
        <item t="default"/>
      </items>
    </pivotField>
    <pivotField showAll="0">
      <items count="3">
        <item x="1"/>
        <item x="0"/>
        <item t="default"/>
      </items>
    </pivotField>
    <pivotField showAll="0">
      <items count="3">
        <item x="1"/>
        <item x="0"/>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98A18E9-058C-4542-8EEC-DD4A2F925B0A}" name="PivotTable5" cacheId="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A97:B101" firstHeaderRow="1" firstDataRow="1" firstDataCol="1"/>
  <pivotFields count="13">
    <pivotField showAll="0"/>
    <pivotField showAll="0"/>
    <pivotField numFmtId="14" showAll="0"/>
    <pivotField showAll="0"/>
    <pivotField showAll="0"/>
    <pivotField showAll="0"/>
    <pivotField axis="axisRow" showAll="0">
      <items count="4">
        <item x="0"/>
        <item x="1"/>
        <item x="2"/>
        <item t="default"/>
      </items>
    </pivotField>
    <pivotField showAll="0"/>
    <pivotField dataField="1" showAll="0"/>
    <pivotField showAll="0"/>
    <pivotField showAll="0"/>
    <pivotField numFmtId="164" showAll="0"/>
    <pivotField numFmtId="164" showAll="0"/>
  </pivotFields>
  <rowFields count="1">
    <field x="6"/>
  </rowFields>
  <rowItems count="4">
    <i>
      <x/>
    </i>
    <i>
      <x v="1"/>
    </i>
    <i>
      <x v="2"/>
    </i>
    <i t="grand">
      <x/>
    </i>
  </rowItems>
  <colItems count="1">
    <i/>
  </colItems>
  <dataFields count="1">
    <dataField name="Sum of QUANTITY" fld="8"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298E040-4DB2-4516-A0D8-A659F4F35C4D}"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51" firstHeaderRow="1" firstDataRow="1" firstDataCol="1"/>
  <pivotFields count="4">
    <pivotField axis="axisRow" showAll="0">
      <items count="40">
        <item x="3"/>
        <item x="4"/>
        <item x="2"/>
        <item x="1"/>
        <item x="0"/>
        <item x="13"/>
        <item x="15"/>
        <item x="14"/>
        <item x="16"/>
        <item x="32"/>
        <item x="33"/>
        <item x="38"/>
        <item x="35"/>
        <item x="34"/>
        <item x="37"/>
        <item x="36"/>
        <item x="20"/>
        <item x="22"/>
        <item x="21"/>
        <item x="19"/>
        <item x="18"/>
        <item x="17"/>
        <item x="7"/>
        <item x="6"/>
        <item x="8"/>
        <item x="10"/>
        <item x="12"/>
        <item x="9"/>
        <item x="11"/>
        <item x="5"/>
        <item x="30"/>
        <item x="31"/>
        <item x="29"/>
        <item x="25"/>
        <item x="26"/>
        <item x="24"/>
        <item x="23"/>
        <item x="27"/>
        <item x="28"/>
        <item t="default"/>
      </items>
    </pivotField>
    <pivotField showAll="0"/>
    <pivotField axis="axisRow" showAll="0">
      <items count="9">
        <item x="0"/>
        <item x="2"/>
        <item x="7"/>
        <item x="5"/>
        <item x="6"/>
        <item x="4"/>
        <item x="3"/>
        <item x="1"/>
        <item t="default"/>
      </items>
    </pivotField>
    <pivotField dataField="1" showAll="0"/>
  </pivotFields>
  <rowFields count="2">
    <field x="2"/>
    <field x="0"/>
  </rowFields>
  <rowItems count="48">
    <i>
      <x/>
    </i>
    <i r="1">
      <x/>
    </i>
    <i r="1">
      <x v="1"/>
    </i>
    <i r="1">
      <x v="2"/>
    </i>
    <i r="1">
      <x v="3"/>
    </i>
    <i r="1">
      <x v="4"/>
    </i>
    <i>
      <x v="1"/>
    </i>
    <i r="1">
      <x v="5"/>
    </i>
    <i r="1">
      <x v="6"/>
    </i>
    <i r="1">
      <x v="7"/>
    </i>
    <i r="1">
      <x v="8"/>
    </i>
    <i>
      <x v="2"/>
    </i>
    <i r="1">
      <x v="11"/>
    </i>
    <i r="1">
      <x v="12"/>
    </i>
    <i r="1">
      <x v="13"/>
    </i>
    <i r="1">
      <x v="14"/>
    </i>
    <i r="1">
      <x v="15"/>
    </i>
    <i>
      <x v="3"/>
    </i>
    <i r="1">
      <x v="30"/>
    </i>
    <i r="1">
      <x v="31"/>
    </i>
    <i r="1">
      <x v="32"/>
    </i>
    <i>
      <x v="4"/>
    </i>
    <i r="1">
      <x v="9"/>
    </i>
    <i r="1">
      <x v="10"/>
    </i>
    <i>
      <x v="5"/>
    </i>
    <i r="1">
      <x v="33"/>
    </i>
    <i r="1">
      <x v="34"/>
    </i>
    <i r="1">
      <x v="35"/>
    </i>
    <i r="1">
      <x v="36"/>
    </i>
    <i r="1">
      <x v="37"/>
    </i>
    <i r="1">
      <x v="38"/>
    </i>
    <i>
      <x v="6"/>
    </i>
    <i r="1">
      <x v="16"/>
    </i>
    <i r="1">
      <x v="17"/>
    </i>
    <i r="1">
      <x v="18"/>
    </i>
    <i r="1">
      <x v="19"/>
    </i>
    <i r="1">
      <x v="20"/>
    </i>
    <i r="1">
      <x v="21"/>
    </i>
    <i>
      <x v="7"/>
    </i>
    <i r="1">
      <x v="22"/>
    </i>
    <i r="1">
      <x v="23"/>
    </i>
    <i r="1">
      <x v="24"/>
    </i>
    <i r="1">
      <x v="25"/>
    </i>
    <i r="1">
      <x v="26"/>
    </i>
    <i r="1">
      <x v="27"/>
    </i>
    <i r="1">
      <x v="28"/>
    </i>
    <i r="1">
      <x v="29"/>
    </i>
    <i t="grand">
      <x/>
    </i>
  </rowItems>
  <colItems count="1">
    <i/>
  </colItems>
  <dataFields count="1">
    <dataField name="Sum of JUMLAH TERJUAL"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DATE" xr10:uid="{2A0008C3-2785-499D-805A-0B2110521892}" sourceName="TRANSACTION DATE">
  <pivotTables>
    <pivotTable tabId="32" name="PivotTable10"/>
    <pivotTable tabId="32" name="PivotTable11"/>
  </pivotTables>
  <data>
    <tabular pivotCacheId="1514336269">
      <items count="14">
        <i x="1" s="1"/>
        <i x="2" s="1"/>
        <i x="3" s="1"/>
        <i x="5" s="1"/>
        <i x="6" s="1"/>
        <i x="7" s="1"/>
        <i x="8" s="1"/>
        <i x="11" s="1"/>
        <i x="12" s="1"/>
        <i x="4" s="1" nd="1"/>
        <i x="9" s="1" nd="1"/>
        <i x="10"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lamat" xr10:uid="{468B434F-C01B-4023-9373-D8054DCD33D2}" sourceName="Alamat">
  <pivotTables>
    <pivotTable tabId="32" name="PivotTable10"/>
    <pivotTable tabId="32" name="PivotTable11"/>
  </pivotTables>
  <data>
    <tabular pivotCacheId="151433626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65CDBE2-1F12-49D8-AD66-5C49B5FC10B2}" sourceName="Years">
  <pivotTables>
    <pivotTable tabId="32" name="PivotTable10"/>
    <pivotTable tabId="32" name="PivotTable11"/>
  </pivotTables>
  <data>
    <tabular pivotCacheId="1514336269">
      <items count="6">
        <i x="1"/>
        <i x="2" s="1"/>
        <i x="3"/>
        <i x="4"/>
        <i x="0" nd="1"/>
        <i x="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3DBCDB79-41F5-46AE-9EC4-E1FB66A24156}" sourceName="Branch">
  <pivotTables>
    <pivotTable tabId="32" name="PivotTable4"/>
  </pivotTables>
  <data>
    <tabular pivotCacheId="324416261">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9D315118-A5F5-4E37-9EB0-066086FA7E11}" sourceName="Sales">
  <pivotTables>
    <pivotTable tabId="32" name="PivotTable5"/>
  </pivotTables>
  <data>
    <tabular pivotCacheId="32441626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CD501080-FA47-4345-8B37-F6DBAAE39FCA}" cache="Slicer_Branch" caption="Branch" rowHeight="222250"/>
  <slicer name="Sales" xr10:uid="{8BFBF54F-1587-4308-A45A-F9E8922AB08F}" cache="Slicer_Sales" caption="Sales"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NSACTION DATE 1" xr10:uid="{B5E53BBD-4D47-4ABD-8E2D-E5DD904134F6}" cache="Slicer_TRANSACTION_DATE" caption="TRANSACTION DATE" columnCount="4" rowHeight="222250"/>
  <slicer name="Alamat 1" xr10:uid="{26A0A7CF-D2E2-46C6-B7A4-D692DE82CB01}" cache="Slicer_Alamat" caption="Alamat" rowHeight="222250"/>
  <slicer name="Years 2" xr10:uid="{7E38C538-13FA-450B-A58D-F3E3A77B2A3D}" cache="Slicer_Years" caption="Years" columnCount="4" rowHeight="222250"/>
  <slicer name="Branch 1" xr10:uid="{F7272326-817E-428D-B4CA-B3690F7B1D5E}" cache="Slicer_Branch" caption="Branch" rowHeight="222250"/>
  <slicer name="Sales 1" xr10:uid="{C9663ACC-6583-4003-97CF-BFD5927C186E}" cache="Slicer_Sales" caption="Sales"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A5F374-18EB-445C-9819-C12E9A71CA85}" name="Detail_Produk" displayName="Detail_Produk" ref="A2:F41" totalsRowShown="0" headerRowDxfId="293" headerRowBorderDxfId="292" tableBorderDxfId="291" totalsRowBorderDxfId="290">
  <autoFilter ref="A2:F41" xr:uid="{5CA5F374-18EB-445C-9819-C12E9A71CA85}"/>
  <tableColumns count="6">
    <tableColumn id="1" xr3:uid="{F91A88CB-69B5-44F9-88C9-BBA146F20A1F}" name="ID Product" dataDxfId="289"/>
    <tableColumn id="2" xr3:uid="{39EFEA14-7C95-4191-9F06-2D0CCDF72CBA}" name="Type" dataDxfId="288"/>
    <tableColumn id="3" xr3:uid="{0A06E26D-3454-415D-ABA9-B8CE1F0FC13D}" name="Price" dataDxfId="287" dataCellStyle="Currency [0]"/>
    <tableColumn id="4" xr3:uid="{CB6D8706-ABED-4484-A0FC-94F480B53BFB}" name="Stok" dataDxfId="286"/>
    <tableColumn id="5" xr3:uid="{68FB794C-3381-4531-ACC9-F1775B39A2EC}" name="Category" dataDxfId="285"/>
    <tableColumn id="6" xr3:uid="{5CD0A22C-C093-4357-890E-5FAE1B877158}" name="Year" dataDxfId="28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60879F-671F-497A-9BB0-EFC30B665333}" name="schema_ins_3years" displayName="schema_ins_3years" ref="A48:L87" totalsRowShown="0" headerRowDxfId="169" headerRowBorderDxfId="168" tableBorderDxfId="167" totalsRowBorderDxfId="166">
  <autoFilter ref="A48:L87" xr:uid="{D460879F-671F-497A-9BB0-EFC30B665333}"/>
  <tableColumns count="12">
    <tableColumn id="1" xr3:uid="{4B817517-DCC9-4F73-8F99-3E08526C9A53}" name="ID Product" dataDxfId="165"/>
    <tableColumn id="2" xr3:uid="{686C877E-0847-4B14-A73F-352916190FE5}" name="Type" dataDxfId="164"/>
    <tableColumn id="3" xr3:uid="{079FC902-9A21-4ABB-9F02-9BC88FDAB124}" name="Price" dataDxfId="163" dataCellStyle="Currency [0]"/>
    <tableColumn id="4" xr3:uid="{BC04DA9C-D40E-4175-8F28-F581405B85D1}" name="Number Of Installment" dataDxfId="162"/>
    <tableColumn id="5" xr3:uid="{B8226BBC-8D12-4C12-8ADC-C74845EBA977}" name="Interest Rate" dataDxfId="161"/>
    <tableColumn id="6" xr3:uid="{B0AFC5CE-699C-4657-AAD7-E729829864FD}" name="DP Interest Rate" dataDxfId="160"/>
    <tableColumn id="7" xr3:uid="{5D416ABB-C7C1-4271-87E0-739641D80CB9}" name="DP" dataDxfId="159">
      <calculatedColumnFormula>F49*C49</calculatedColumnFormula>
    </tableColumn>
    <tableColumn id="8" xr3:uid="{C021E175-902B-4DDF-BAD6-859888B2F4CE}" name="Remaining Payment" dataDxfId="158">
      <calculatedColumnFormula>C49-G49</calculatedColumnFormula>
    </tableColumn>
    <tableColumn id="9" xr3:uid="{326A70EE-3E4A-4E3D-AD59-A7A087E63247}" name="Monthly Installment" dataDxfId="157">
      <calculatedColumnFormula>PMT(E49/36,D49,-H49)</calculatedColumnFormula>
    </tableColumn>
    <tableColumn id="10" xr3:uid="{5AE3B290-F5F9-489B-AF2C-69B53FF88B24}" name="Total Payment" dataDxfId="156">
      <calculatedColumnFormula>I49*D49+G49</calculatedColumnFormula>
    </tableColumn>
    <tableColumn id="11" xr3:uid="{183CC73A-65B4-453B-B64D-130F6EC8FEAB}" name="Profit" dataDxfId="155">
      <calculatedColumnFormula>J49-C49</calculatedColumnFormula>
    </tableColumn>
    <tableColumn id="12" xr3:uid="{BC0D6C01-5DBF-4FE7-BFBF-09461491B00D}" name="Presentasi profit" dataDxfId="154" dataCellStyle="Percent">
      <calculatedColumnFormula>K49/C49</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688338A-6718-4A89-A4AF-9D5577E42FC9}" name="schema_ins_5year" displayName="schema_ins_5year" ref="A92:L131" totalsRowShown="0" headerRowBorderDxfId="153" tableBorderDxfId="152" totalsRowBorderDxfId="151">
  <autoFilter ref="A92:L131" xr:uid="{F688338A-6718-4A89-A4AF-9D5577E42FC9}"/>
  <tableColumns count="12">
    <tableColumn id="1" xr3:uid="{702A5AF0-41EE-4572-AB98-947D82BB8B7F}" name="ID Product" dataDxfId="150"/>
    <tableColumn id="2" xr3:uid="{6E4B25C4-3A0C-473A-81F6-1886FBDF1454}" name="Type" dataDxfId="149"/>
    <tableColumn id="3" xr3:uid="{D157EC07-6FA9-4A3E-83D5-2D4E8CA62AB5}" name="Price" dataDxfId="148" dataCellStyle="Currency [0]"/>
    <tableColumn id="4" xr3:uid="{18CBD148-347F-497F-B95F-6D42E282E589}" name="Number Of Installment" dataDxfId="147"/>
    <tableColumn id="5" xr3:uid="{30E5E75C-BF35-49C4-A58C-7FB892429114}" name="Interest Rate" dataDxfId="146"/>
    <tableColumn id="6" xr3:uid="{3651E17A-EDAE-4DEE-978C-A0AFBBBB6AEA}" name="DP Interest Rate" dataDxfId="145"/>
    <tableColumn id="7" xr3:uid="{77FBD4A2-896C-487F-AC4F-D681764AE938}" name="DP" dataDxfId="144">
      <calculatedColumnFormula>F93*C93</calculatedColumnFormula>
    </tableColumn>
    <tableColumn id="8" xr3:uid="{97E32A4D-FB88-40EC-A7FE-02A218900F6D}" name="Remaining Payment" dataDxfId="143">
      <calculatedColumnFormula>C93-G93</calculatedColumnFormula>
    </tableColumn>
    <tableColumn id="9" xr3:uid="{FCE5E18E-5F20-48D9-B799-6F0F83B54FBC}" name="Monthly Installment" dataDxfId="142">
      <calculatedColumnFormula>PMT(E93/36,D93,-H93)</calculatedColumnFormula>
    </tableColumn>
    <tableColumn id="10" xr3:uid="{2E3E5DBB-20E8-4D24-8540-77257447B416}" name="Total Payment" dataDxfId="141">
      <calculatedColumnFormula>I93*D93+G93</calculatedColumnFormula>
    </tableColumn>
    <tableColumn id="11" xr3:uid="{C1CC13BB-D6A2-4803-A7B3-1675E08896BA}" name="Profit" dataDxfId="140">
      <calculatedColumnFormula>J93-C93</calculatedColumnFormula>
    </tableColumn>
    <tableColumn id="12" xr3:uid="{F2AE5EA2-D395-412F-9BAC-7B4F44C7AB32}" name="Presentasi profit" dataDxfId="139" dataCellStyle="Percent">
      <calculatedColumnFormula>K93/C93</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233AEB-AF7D-4421-89E3-5A691ACED8FC}" name="IT1Y" displayName="IT1Y" ref="A4:K23" totalsRowShown="0" headerRowDxfId="138" headerRowBorderDxfId="137" tableBorderDxfId="136" totalsRowBorderDxfId="135">
  <autoFilter ref="A4:K23" xr:uid="{E7233AEB-AF7D-4421-89E3-5A691ACED8FC}"/>
  <tableColumns count="11">
    <tableColumn id="1" xr3:uid="{34C43E5E-7E7F-42B1-AF0E-6EF199FEAC3E}" name="ID PRODUK" dataDxfId="134"/>
    <tableColumn id="2" xr3:uid="{3C18D20D-9901-459B-B262-FEA9D21938C2}" name="CUSTOMER NAME" dataDxfId="133"/>
    <tableColumn id="3" xr3:uid="{5256FAD6-FD1F-4AFB-8C03-2ABFAAE59FE6}" name="TRANSACTION DATE" dataDxfId="132"/>
    <tableColumn id="4" xr3:uid="{6036EFC2-4106-4D88-990F-1D71D4392828}" name="ITEM NAME" dataDxfId="131"/>
    <tableColumn id="5" xr3:uid="{E233E4ED-3083-4DAB-A3BD-F02005CC02C5}" name="CATEGORY" dataDxfId="130"/>
    <tableColumn id="6" xr3:uid="{93032B84-D775-4B83-A657-F4909DE30BA5}" name="PRICE" dataDxfId="129" dataCellStyle="Currency [0]">
      <calculatedColumnFormula>VLOOKUP(A5,Detail_Produk[],3,0)</calculatedColumnFormula>
    </tableColumn>
    <tableColumn id="7" xr3:uid="{A9F36470-5E75-4B71-BCA6-78E697D7C7F6}" name="NUMBER OF INSTALLMENT" dataDxfId="128"/>
    <tableColumn id="8" xr3:uid="{735D2D52-9426-45A2-8AE3-0B3E9EA91118}" name="DP" dataDxfId="127">
      <calculatedColumnFormula>VLOOKUP(A5,schema_ins_1year[],7,0)</calculatedColumnFormula>
    </tableColumn>
    <tableColumn id="9" xr3:uid="{C6A89DCF-9AF1-42E4-82A2-38D0D3FF93B7}" name="REMAINING PAYMENT" dataDxfId="126">
      <calculatedColumnFormula>F5-H5</calculatedColumnFormula>
    </tableColumn>
    <tableColumn id="10" xr3:uid="{F40A02BC-CFA7-4DC4-A478-9A2BBAD8B0D3}" name="MONTHLY INSTALLMENT" dataDxfId="125">
      <calculatedColumnFormula>VLOOKUP(A5,schema_ins_1year[],9,0)</calculatedColumnFormula>
    </tableColumn>
    <tableColumn id="11" xr3:uid="{BF9FDFAA-3956-4118-AAB6-5C305DA4F9B1}" name="TOTAL PAYMENT" dataDxfId="124">
      <calculatedColumnFormula>J5*G5+H5</calculatedColumnFormula>
    </tableColumn>
  </tableColumns>
  <tableStyleInfo name="TableStyleLight20"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4E1E38F-7051-4889-936A-B2B79221D910}" name="Table9" displayName="Table9" ref="L4:L23" totalsRowShown="0" headerRowDxfId="123" headerRowBorderDxfId="122" tableBorderDxfId="121" totalsRowBorderDxfId="120">
  <autoFilter ref="L4:L23" xr:uid="{E4E1E38F-7051-4889-936A-B2B79221D910}"/>
  <tableColumns count="1">
    <tableColumn id="1" xr3:uid="{D437614B-8E81-4195-B854-E3B6427EC2D1}" name="PROFIT" dataDxfId="119">
      <calculatedColumnFormula>IT1Y[[#This Row],[TOTAL PAYMENT]]-IT1Y[[#This Row],[PRICE]]</calculatedColumnFormula>
    </tableColumn>
  </tableColumns>
  <tableStyleInfo name="TableStyleLight20"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91EED78-3AAE-4473-BFDA-79A870EB399E}" name="IT3Y" displayName="IT3Y" ref="A4:L23" totalsRowShown="0" headerRowDxfId="118" headerRowBorderDxfId="117" tableBorderDxfId="116" totalsRowBorderDxfId="115">
  <autoFilter ref="A4:L23" xr:uid="{491EED78-3AAE-4473-BFDA-79A870EB399E}"/>
  <tableColumns count="12">
    <tableColumn id="1" xr3:uid="{301E32C6-76DB-4215-812C-96CB51618CBC}" name="ID PRODUK" dataDxfId="114"/>
    <tableColumn id="2" xr3:uid="{8B6CA6FE-D875-4CFA-94A0-F9D4BA912D3E}" name="CUSTOMER NAME" dataDxfId="113"/>
    <tableColumn id="3" xr3:uid="{71775D06-86C0-49F7-AFAE-79CCC853A02E}" name="TRANSACTION DATE" dataDxfId="112"/>
    <tableColumn id="4" xr3:uid="{F71ECF3A-5544-4167-AF16-67BA6C0D777C}" name="ITEM NAME" dataDxfId="111"/>
    <tableColumn id="5" xr3:uid="{27948879-24E7-4EAF-A395-E9F9F96D035F}" name="CATEGORY" dataDxfId="110"/>
    <tableColumn id="6" xr3:uid="{29225095-8243-4DD4-A191-206117290D83}" name="PRICE" dataDxfId="109" dataCellStyle="Currency [0]">
      <calculatedColumnFormula>VLOOKUP(A5,Detail_Produk[],3,0)</calculatedColumnFormula>
    </tableColumn>
    <tableColumn id="7" xr3:uid="{8AE35EB4-5C29-4F68-A533-B51FB8DBFD65}" name="NUMBER OF INSTALLMENT" dataDxfId="108"/>
    <tableColumn id="8" xr3:uid="{4F106748-4951-43A8-A0F8-34AD574A1328}" name="DP" dataDxfId="107">
      <calculatedColumnFormula>VLOOKUP(A5,schema_ins_1year[],7,0)</calculatedColumnFormula>
    </tableColumn>
    <tableColumn id="9" xr3:uid="{FD54700E-E502-41A4-8EC3-EC6958CF5E11}" name="REMAINING PAYMENT" dataDxfId="106">
      <calculatedColumnFormula>F5-H5</calculatedColumnFormula>
    </tableColumn>
    <tableColumn id="10" xr3:uid="{67FC82EF-0584-4898-848F-9BE8F55CE262}" name="MONTHLY INSTALLMENT" dataDxfId="105">
      <calculatedColumnFormula>VLOOKUP(A5,schema_ins_3years[],9,0)</calculatedColumnFormula>
    </tableColumn>
    <tableColumn id="11" xr3:uid="{F5EA3969-F220-4AB8-8F74-71FCDEAC8CBD}" name="TOTAL PAYMENT" dataDxfId="104">
      <calculatedColumnFormula>J5*G5+H5</calculatedColumnFormula>
    </tableColumn>
    <tableColumn id="12" xr3:uid="{852FBC99-6CF5-4E4B-BB57-27F85EDF0502}" name="PROFIT" dataDxfId="103">
      <calculatedColumnFormula>IT3Y[[#This Row],[TOTAL PAYMENT]]-IT3Y[[#This Row],[PRICE]]</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3E1B59A-5D57-49E9-BE8B-D65FC9897553}" name="IT5Y" displayName="IT5Y" ref="A4:L24" totalsRowCount="1" headerRowDxfId="102" headerRowBorderDxfId="101" tableBorderDxfId="100" totalsRowBorderDxfId="99">
  <autoFilter ref="A4:L23" xr:uid="{83E1B59A-5D57-49E9-BE8B-D65FC9897553}"/>
  <tableColumns count="12">
    <tableColumn id="1" xr3:uid="{A4CE0A7E-675A-42DB-BD58-31395F8A5E83}" name="ID PRODUK" dataDxfId="98" totalsRowDxfId="97"/>
    <tableColumn id="2" xr3:uid="{DB6610A2-EA6C-4C9F-B858-EB68B2E1C6BA}" name="CUSTOMER NAME" dataDxfId="96" totalsRowDxfId="95"/>
    <tableColumn id="3" xr3:uid="{75755EFB-D22D-4B11-85EB-D710E35B77F6}" name="TRANSACTION DATE" dataDxfId="94" totalsRowDxfId="93"/>
    <tableColumn id="4" xr3:uid="{4BB9CB7E-FF3E-4D0E-BC09-AB5D21C35AF9}" name="ITEM NAME" dataDxfId="92" totalsRowDxfId="91"/>
    <tableColumn id="5" xr3:uid="{460FE6B2-A610-4E1D-92F4-F56A8FD02DD2}" name="CATEGORY" dataDxfId="90" totalsRowDxfId="89"/>
    <tableColumn id="6" xr3:uid="{33D03D4B-F219-4A6E-A604-13AAC9CD8F1C}" name="PRICE" dataDxfId="88" totalsRowDxfId="87" dataCellStyle="Currency [0]" totalsRowCellStyle="Currency [0]">
      <calculatedColumnFormula>VLOOKUP(A5,Detail_Produk[],3,0)</calculatedColumnFormula>
    </tableColumn>
    <tableColumn id="7" xr3:uid="{EDF8C881-28DB-4B0F-9DC4-CA63220249B3}" name="NUMBER OF INSTALLMENT" dataDxfId="86" totalsRowDxfId="85"/>
    <tableColumn id="8" xr3:uid="{64A5711E-DDB0-4DD7-A1F0-FF28E5AA4B5C}" name="DP" dataDxfId="84" totalsRowDxfId="83">
      <calculatedColumnFormula>VLOOKUP(A5,schema_ins_1year[],7,0)</calculatedColumnFormula>
    </tableColumn>
    <tableColumn id="9" xr3:uid="{33A8A7D6-46DF-40FF-BDCE-29A4BAD50F24}" name="REMAINING PAYMENT" dataDxfId="82" totalsRowDxfId="81">
      <calculatedColumnFormula>F5-H5</calculatedColumnFormula>
    </tableColumn>
    <tableColumn id="10" xr3:uid="{2161DA83-7524-41BA-BDC3-BB8EE7469FFC}" name="MONTHLY INSTALLMENT" dataDxfId="80" totalsRowDxfId="79">
      <calculatedColumnFormula>VLOOKUP(A5,schema_ins_5year[],9,0)</calculatedColumnFormula>
    </tableColumn>
    <tableColumn id="11" xr3:uid="{16ABB2F7-A7E4-4656-9AE3-8C7BDE66FB35}" name="TOTAL PAYMENT" dataDxfId="78" totalsRowDxfId="77">
      <calculatedColumnFormula>J5*G5+H5</calculatedColumnFormula>
    </tableColumn>
    <tableColumn id="12" xr3:uid="{D2E67EB7-FF39-4179-82D3-0465373451CB}" name="PROFIT" dataDxfId="76" totalsRowDxfId="75">
      <calculatedColumnFormula>IT5Y[[#This Row],[TOTAL PAYMENT]]-IT5Y[[#This Row],[PRICE]]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6ABE152-44FF-49F6-B826-AFDD13A8A092}" name="transaksi_2018" displayName="transaksi_2018" ref="A6:J29" totalsRowShown="0" headerRowDxfId="282" dataDxfId="280" headerRowBorderDxfId="281" tableBorderDxfId="279" totalsRowBorderDxfId="278">
  <autoFilter ref="A6:J29" xr:uid="{86ABE152-44FF-49F6-B826-AFDD13A8A092}"/>
  <tableColumns count="10">
    <tableColumn id="1" xr3:uid="{384A5DC0-3935-4B33-AF2C-D3014BD59E57}" name="ID PRODUCT" dataDxfId="277"/>
    <tableColumn id="2" xr3:uid="{5694693B-F6FA-4472-BA9F-4402E2715EA2}" name="CUSTOMER NAME" dataDxfId="276"/>
    <tableColumn id="3" xr3:uid="{CE597939-7A37-44A9-AAAB-A71114015FD3}" name="TRANSACTION DATE" dataDxfId="275"/>
    <tableColumn id="4" xr3:uid="{43389709-0064-4AFE-BE0C-11D04BB49D82}" name="ITEM NAME" dataDxfId="274"/>
    <tableColumn id="5" xr3:uid="{D61D9C39-07D3-4E4D-8B54-A15D9EFCF454}" name="CATEGORY" dataDxfId="273"/>
    <tableColumn id="6" xr3:uid="{BBADE7AE-36A9-4405-96D9-44B03C09E197}" name="QUANTITY" dataDxfId="272"/>
    <tableColumn id="7" xr3:uid="{85A1FE09-EAB8-4C66-A295-AEF26A8404C1}" name="STOCK" dataDxfId="271">
      <calculatedColumnFormula>VLOOKUP(transaksi_2018[[#This Row],[ID PRODUCT]],Detail_Produk[],4,0)</calculatedColumnFormula>
    </tableColumn>
    <tableColumn id="8" xr3:uid="{1BBADFF1-2C7D-4DBE-A1C9-3949421EB797}" name="STOCK LEFT" dataDxfId="270">
      <calculatedColumnFormula>G7-F7</calculatedColumnFormula>
    </tableColumn>
    <tableColumn id="9" xr3:uid="{1BD66B53-F873-400F-B9F3-F2EE57C81316}" name="PRICE" dataDxfId="269" dataCellStyle="Currency [0]">
      <calculatedColumnFormula>VLOOKUP(TRANSACTION!D7,'DETAIL PRODUCT'!B3:G41,2,FALSE)</calculatedColumnFormula>
    </tableColumn>
    <tableColumn id="10" xr3:uid="{1DCFE99D-5FAB-4677-861F-772B04BCF7AC}" name="TOTAL PRICE" dataDxfId="268" dataCellStyle="Currency [0]">
      <calculatedColumnFormula>F7*I7</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CE22F06-8FD2-403E-B553-96C54B8ED904}" name="transaksi_2021" displayName="transaksi_2021" ref="A88:J107" totalsRowShown="0" headerRowDxfId="267" headerRowBorderDxfId="266" tableBorderDxfId="265" totalsRowBorderDxfId="264">
  <autoFilter ref="A88:J107" xr:uid="{1CE22F06-8FD2-403E-B553-96C54B8ED904}"/>
  <tableColumns count="10">
    <tableColumn id="1" xr3:uid="{734DD4BA-A8D1-4600-B2FF-D5C4422D74B5}" name="ID PRODUCT" dataDxfId="263"/>
    <tableColumn id="2" xr3:uid="{CE1B923E-5C92-4580-89EF-A2A8F5D64BD7}" name="CUSTOMER NAME" dataDxfId="262"/>
    <tableColumn id="3" xr3:uid="{DEF23A1A-87BC-4AE9-96A8-29B65DCE473F}" name="TRANSACTION DATE" dataDxfId="261"/>
    <tableColumn id="4" xr3:uid="{EEF33B84-0CB8-4991-945A-9C954C3CAB84}" name="ITEM NAME" dataDxfId="260">
      <calculatedColumnFormula>VLOOKUP(A89,Detail_Produk[],2,0)</calculatedColumnFormula>
    </tableColumn>
    <tableColumn id="5" xr3:uid="{E62E95BF-46BC-4F62-9CBE-FC12F66D3216}" name="CATEGORY" dataDxfId="259">
      <calculatedColumnFormula>VLOOKUP(TRANSACTION!A89,Detail_Produk[],5,0)</calculatedColumnFormula>
    </tableColumn>
    <tableColumn id="6" xr3:uid="{6C624826-75C1-4973-B66E-D4CD62608447}" name="QUANTITY" dataDxfId="258"/>
    <tableColumn id="7" xr3:uid="{15DA8F2F-10CA-4823-A461-2A59DB559905}" name="STOCK" dataDxfId="257">
      <calculatedColumnFormula>VLOOKUP(transaksi_2021[[#This Row],[ID PRODUCT]],STOK!A5:G43,6,0)</calculatedColumnFormula>
    </tableColumn>
    <tableColumn id="8" xr3:uid="{C55F8FFC-4804-4835-B179-A3E976D0A107}" name="STOCK LEFT" dataDxfId="256">
      <calculatedColumnFormula>transaksi_2021[[#This Row],[STOCK]]-transaksi_2021[[#This Row],[QUANTITY]]</calculatedColumnFormula>
    </tableColumn>
    <tableColumn id="9" xr3:uid="{670F4AF3-02C3-4D09-B2BE-FA0E9D2A47C7}" name="PRICE" dataDxfId="255">
      <calculatedColumnFormula>VLOOKUP(A89,Detail_Produk[],3,0)</calculatedColumnFormula>
    </tableColumn>
    <tableColumn id="10" xr3:uid="{EE197EAC-7A4E-4E2F-AC71-DC6637570596}" name="TOTAL PRICE" dataDxfId="254">
      <calculatedColumnFormula>I89*F89</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BB2A2D1-FF0F-4B52-A3A4-02CC751399C6}" name="transaksi_2020" displayName="transaksi_2020" ref="A66:J77" totalsRowShown="0" headerRowDxfId="253" headerRowBorderDxfId="252" tableBorderDxfId="251" totalsRowBorderDxfId="250">
  <autoFilter ref="A66:J77" xr:uid="{5BB2A2D1-FF0F-4B52-A3A4-02CC751399C6}"/>
  <tableColumns count="10">
    <tableColumn id="1" xr3:uid="{24C3485A-9879-4E0E-AD53-94F767D5A756}" name="ID PRODUCT" dataDxfId="249"/>
    <tableColumn id="2" xr3:uid="{3B37228C-9528-4956-A8C4-6C12AFCB192F}" name="CUSTOMER NAME" dataDxfId="248"/>
    <tableColumn id="3" xr3:uid="{23C65F8D-C312-4BD3-93E0-D62C407B01CB}" name="TRANSACTION DATE" dataDxfId="247"/>
    <tableColumn id="4" xr3:uid="{487AE679-8379-4220-83D0-9D8F8E7CA237}" name="ITEM NAME" dataDxfId="246">
      <calculatedColumnFormula>VLOOKUP(A67,Detail_Produk[],2,0)</calculatedColumnFormula>
    </tableColumn>
    <tableColumn id="5" xr3:uid="{D23ED5D3-6829-46AE-A031-B3586DB2B8EC}" name="CATEGORY" dataDxfId="245">
      <calculatedColumnFormula>VLOOKUP(A67,Detail_Produk[],5,0)</calculatedColumnFormula>
    </tableColumn>
    <tableColumn id="6" xr3:uid="{370D4555-44E0-453B-9506-F45DFE4C7832}" name="QUANTITY" dataDxfId="244"/>
    <tableColumn id="7" xr3:uid="{D9A9177D-C5E8-4B7F-B10B-FF2841ABC959}" name="STOCK" dataDxfId="243">
      <calculatedColumnFormula>VLOOKUP(transaksi_2020[[#This Row],[ID PRODUCT]],STOK!A5:F43,5,0)</calculatedColumnFormula>
    </tableColumn>
    <tableColumn id="8" xr3:uid="{2426DD0F-1373-40AD-9FF5-C75BE4AFE676}" name="STOCK LEFT" dataDxfId="242">
      <calculatedColumnFormula>transaksi_2020[[#This Row],[STOCK]]-transaksi_2020[[#This Row],[QUANTITY]]</calculatedColumnFormula>
    </tableColumn>
    <tableColumn id="9" xr3:uid="{0823986B-63D3-4929-975D-32EC306E054C}" name="PRICE" dataDxfId="241" dataCellStyle="Currency [0]">
      <calculatedColumnFormula>VLOOKUP(A67,Detail_Produk[],3,0)</calculatedColumnFormula>
    </tableColumn>
    <tableColumn id="10" xr3:uid="{681A7BE3-85DB-407D-A265-AE397E5BC50C}" name="TOTAL PRICE" dataDxfId="240">
      <calculatedColumnFormula>I67*F67</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5FF5FAD-A0A0-4376-B052-2A6FA61014AD}" name="transaksi_2019" displayName="transaksi_2019" ref="A37:J57" totalsRowShown="0" headerRowDxfId="239" headerRowBorderDxfId="238" tableBorderDxfId="237" totalsRowBorderDxfId="236">
  <autoFilter ref="A37:J57" xr:uid="{65FF5FAD-A0A0-4376-B052-2A6FA61014AD}"/>
  <tableColumns count="10">
    <tableColumn id="1" xr3:uid="{BBF0F3A7-BF8C-4559-8F44-8D1A2E3B1E09}" name="ID PRODUCT" dataDxfId="235">
      <calculatedColumnFormula>INDEX(Detail_Produk[ID Product],MATCH(D38,Detail_Produk[Type],0))</calculatedColumnFormula>
    </tableColumn>
    <tableColumn id="2" xr3:uid="{FE39536C-8427-47BB-9F6F-FD7FE43EFDA6}" name="CUSTOMER NAME" dataDxfId="234"/>
    <tableColumn id="3" xr3:uid="{F9494C11-9266-44E5-92AB-25AB04199124}" name="TRANSACTION DATE" dataDxfId="233"/>
    <tableColumn id="4" xr3:uid="{F43497CF-D6C8-45F4-90FF-18BA97CCCC68}" name="ITEM NAME" dataDxfId="232"/>
    <tableColumn id="5" xr3:uid="{01A0E842-52CA-4C1A-ADD3-5D45EEEE5A5C}" name="CATEGORY" dataDxfId="231">
      <calculatedColumnFormula>VLOOKUP(A38,Detail_Produk[],5,0)</calculatedColumnFormula>
    </tableColumn>
    <tableColumn id="6" xr3:uid="{315AEFAB-93F8-4BD7-B5D5-92226FE98DDF}" name="QUANTITY" dataDxfId="230"/>
    <tableColumn id="7" xr3:uid="{5FA8849F-F403-4CF0-B313-9036787EA1AD}" name="STOCK" dataDxfId="229">
      <calculatedColumnFormula>VLOOKUP(A38,STOK!A5:E43,4,0)</calculatedColumnFormula>
    </tableColumn>
    <tableColumn id="8" xr3:uid="{707B3D65-0DFF-405C-9640-F44441D1BAAD}" name="STOCK LEFT" dataDxfId="228">
      <calculatedColumnFormula>G38-F38</calculatedColumnFormula>
    </tableColumn>
    <tableColumn id="9" xr3:uid="{1F6910ED-0977-48CE-AD26-BB6F73BEEF3E}" name="PRICE" dataDxfId="227">
      <calculatedColumnFormula>VLOOKUP(A38,Detail_Produk[],3,0)</calculatedColumnFormula>
    </tableColumn>
    <tableColumn id="10" xr3:uid="{5D1F1C6F-5980-499C-9286-4360840DEF6C}" name="TOTAL PRICE" dataDxfId="226">
      <calculatedColumnFormula>I38*F38</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7A78213-0DC1-49BF-A3A0-3D21972B5EB4}" name="alltransaksi" displayName="alltransaksi" ref="A1:J65" totalsRowShown="0" headerRowDxfId="225" headerRowBorderDxfId="224" tableBorderDxfId="223" totalsRowBorderDxfId="222">
  <autoFilter ref="A1:J65" xr:uid="{C7A78213-0DC1-49BF-A3A0-3D21972B5EB4}"/>
  <tableColumns count="10">
    <tableColumn id="1" xr3:uid="{5C428E5A-4768-46FD-BA93-D9FED4741A4B}" name="ID-PRODUCT"/>
    <tableColumn id="2" xr3:uid="{8F73B844-CF90-4D90-B981-83824E335EBD}" name="NAMA" dataDxfId="221"/>
    <tableColumn id="3" xr3:uid="{0253C507-97AF-4BE5-BA8C-F44072E692C5}" name="TANGGAL" dataDxfId="220"/>
    <tableColumn id="4" xr3:uid="{AF6E38AD-DB2B-42E8-90D1-49C5C98CAF31}" name="TYPE" dataDxfId="219">
      <calculatedColumnFormula>VLOOKUP(A2,Detail_Produk[],2,0)</calculatedColumnFormula>
    </tableColumn>
    <tableColumn id="5" xr3:uid="{DD0BD3D9-F748-4D9D-AAA4-9971150B2578}" name="JENIS" dataDxfId="218">
      <calculatedColumnFormula>VLOOKUP(A2,TRANSACTION!A36:J53,5,0)</calculatedColumnFormula>
    </tableColumn>
    <tableColumn id="6" xr3:uid="{F68C868C-BE87-4ADD-83C1-103E0C4E0DE4}" name="QUANTITY" dataDxfId="217"/>
    <tableColumn id="7" xr3:uid="{CC636610-2F1F-4837-BD18-FA9E833FD369}" name="STOCK" dataDxfId="216">
      <calculatedColumnFormula>VLOOKUP(A2,TRANSACTION!A43:J60,7,0)</calculatedColumnFormula>
    </tableColumn>
    <tableColumn id="8" xr3:uid="{A267CFD6-EF8C-4B79-AE02-9A3228EBD988}" name="STOCK LEFT" dataDxfId="215">
      <calculatedColumnFormula>G2-F2</calculatedColumnFormula>
    </tableColumn>
    <tableColumn id="9" xr3:uid="{02802280-645F-49BB-9CA4-D4460C1998C5}" name="PRICE" dataDxfId="214">
      <calculatedColumnFormula>VLOOKUP(A2,TRANSACTION!A43:J60,9,0)</calculatedColumnFormula>
    </tableColumn>
    <tableColumn id="10" xr3:uid="{FC6447D7-F9D7-4464-A51A-A9A8AFD891B3}" name="TOTAL PRICE" dataDxfId="213">
      <calculatedColumnFormula>I2*F2</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375B656-BB15-4C73-98D8-700234D2AAB0}" name="customer" displayName="customer" ref="A4:D68" totalsRowShown="0" headerRowDxfId="212" headerRowBorderDxfId="211" tableBorderDxfId="210" totalsRowBorderDxfId="209">
  <autoFilter ref="A4:D68" xr:uid="{EAE0127B-071B-40A4-A7D9-A36B6DB81908}"/>
  <tableColumns count="4">
    <tableColumn id="1" xr3:uid="{EAEC2016-9CAC-4D45-A8B5-8D38665F38F6}" name="ID-CUSTOMER" dataDxfId="208"/>
    <tableColumn id="2" xr3:uid="{FB941A1E-A711-431B-87EC-4CCDCF4C456A}" name="NAMA" dataDxfId="207"/>
    <tableColumn id="3" xr3:uid="{C07F1E83-4DC9-41B6-A4B2-DCCACA819C88}" name="ALAMAT" dataDxfId="206"/>
    <tableColumn id="4" xr3:uid="{C8719B0C-F712-4E05-B5E5-66EE8B5E90C5}" name="BRANCH" dataDxfId="20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15AD578-F5F7-44A3-A43B-130208825C92}" name="pt_2" displayName="pt_2" ref="A6:M70" totalsRowShown="0" headerRowDxfId="204" dataDxfId="202" headerRowBorderDxfId="203" tableBorderDxfId="201" totalsRowBorderDxfId="200">
  <autoFilter ref="A6:M70" xr:uid="{915AD578-F5F7-44A3-A43B-130208825C92}"/>
  <tableColumns count="13">
    <tableColumn id="1" xr3:uid="{56CA02E0-D931-44D6-8D8A-092B3731AE09}" name="ID PRODUCT" dataDxfId="199"/>
    <tableColumn id="2" xr3:uid="{42B3A9A4-1DED-4AAA-B3C1-E0588071B65E}" name="CUSTOMER NAME" dataDxfId="198"/>
    <tableColumn id="3" xr3:uid="{DA831884-D87D-42BA-A2BE-0A664EE9648D}" name="TRANSACTION DATE" dataDxfId="197"/>
    <tableColumn id="4" xr3:uid="{52CA5796-B6E8-4D73-ADAB-335F2E7FCF09}" name="ITEM NAME" dataDxfId="196">
      <calculatedColumnFormula>VLOOKUP(A7,Detail_Produk[],2,0)</calculatedColumnFormula>
    </tableColumn>
    <tableColumn id="5" xr3:uid="{47F58A73-B22F-4E4F-AE44-78F908999652}" name="Alamat" dataDxfId="195"/>
    <tableColumn id="6" xr3:uid="{A1D1ED90-A700-4800-8165-55C52E783481}" name="Branch" dataDxfId="194"/>
    <tableColumn id="7" xr3:uid="{1BAEFFEB-A3BC-4C3A-9AAD-B440D17C47BA}" name="Sales" dataDxfId="193"/>
    <tableColumn id="8" xr3:uid="{94BC0EAA-B667-4C8E-A741-8AA84D0BFF82}" name="CATEGORY" dataDxfId="192">
      <calculatedColumnFormula>VLOOKUP(A7,Detail_Produk[],5,0)</calculatedColumnFormula>
    </tableColumn>
    <tableColumn id="9" xr3:uid="{F390EFF8-BA10-43F5-9AD8-42EE37F265F3}" name="QUANTITY" dataDxfId="191"/>
    <tableColumn id="10" xr3:uid="{E5902C08-821B-484F-9D0B-660CAA6829F9}" name="STOCK" dataDxfId="190"/>
    <tableColumn id="11" xr3:uid="{32391353-2F44-4D1D-BA73-5370ABDB04C8}" name="STOCK LEFT" dataDxfId="189"/>
    <tableColumn id="12" xr3:uid="{60C1594B-DD69-447E-AA8D-61A65C1C19F7}" name="PRICE" dataDxfId="188">
      <calculatedColumnFormula>VLOOKUP(A7,Detail_Produk[],3,0)</calculatedColumnFormula>
    </tableColumn>
    <tableColumn id="13" xr3:uid="{7266BE31-31F2-4957-A9D9-56474EA404C8}" name="TOTAL PRICE" dataDxfId="187">
      <calculatedColumnFormula>L7*I7</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A0C3CA-AE7F-4621-8C96-01FB79919739}" name="schema_ins_1year" displayName="schema_ins_1year" ref="A4:L43" totalsRowShown="0" headerRowDxfId="185" headerRowBorderDxfId="184" tableBorderDxfId="183" totalsRowBorderDxfId="182">
  <autoFilter ref="A4:L43" xr:uid="{5BA0C3CA-AE7F-4621-8C96-01FB79919739}"/>
  <tableColumns count="12">
    <tableColumn id="1" xr3:uid="{CA4441A3-7920-440C-9EDE-3050B56CD841}" name="ID Product" dataDxfId="181"/>
    <tableColumn id="2" xr3:uid="{87D8E50C-8C72-4CC5-847E-7ED26D84413B}" name="Type" dataDxfId="180"/>
    <tableColumn id="3" xr3:uid="{05079FC8-98EC-46B3-B237-CBD1EDCE8267}" name="Price" dataDxfId="179" dataCellStyle="Currency [0]"/>
    <tableColumn id="4" xr3:uid="{A71B58E0-7294-4CC6-B6B6-926EA1AD2F3A}" name="Number Of Installment" dataDxfId="178"/>
    <tableColumn id="5" xr3:uid="{4A2DB61E-27D1-46E2-9DA0-94EAAAA0E5B4}" name="Interest Rate" dataDxfId="177"/>
    <tableColumn id="6" xr3:uid="{16319B0D-537E-46CF-B1B6-C7D3E927601A}" name="DP Interest Rate" dataDxfId="176"/>
    <tableColumn id="7" xr3:uid="{A6648425-657E-4C7E-B5D6-E00903CFA76B}" name="DP" dataDxfId="175">
      <calculatedColumnFormula>F5*C5</calculatedColumnFormula>
    </tableColumn>
    <tableColumn id="8" xr3:uid="{012EE360-F107-4130-8105-92E37F45F4A8}" name="Remaining Payment" dataDxfId="174">
      <calculatedColumnFormula>C5-G5</calculatedColumnFormula>
    </tableColumn>
    <tableColumn id="9" xr3:uid="{8248FBCE-EE00-4324-B9AF-60D720D969BC}" name="Monthly Installment" dataDxfId="173">
      <calculatedColumnFormula>PMT(E5/12,D5,-H5)</calculatedColumnFormula>
    </tableColumn>
    <tableColumn id="10" xr3:uid="{2253B7F7-9EF6-402D-A073-092AE71576D0}" name="Total Payment" dataDxfId="172">
      <calculatedColumnFormula>I5*D5+G5</calculatedColumnFormula>
    </tableColumn>
    <tableColumn id="11" xr3:uid="{428E45FC-B2C2-41FC-A820-5706CC63570B}" name="Profit" dataDxfId="171">
      <calculatedColumnFormula>J5-C5</calculatedColumnFormula>
    </tableColumn>
    <tableColumn id="12" xr3:uid="{049BABA3-7ED6-4E23-AB27-405AF456C711}" name="Presentasi profit" dataDxfId="170" dataCellStyle="Percent">
      <calculatedColumnFormula>K5/C5</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6.bin"/><Relationship Id="rId4" Type="http://schemas.openxmlformats.org/officeDocument/2006/relationships/table" Target="../tables/table11.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A794F-9DA5-4DFB-A8CC-323CBF73E207}">
  <dimension ref="A1:H57"/>
  <sheetViews>
    <sheetView workbookViewId="0">
      <selection activeCell="B4" sqref="B4"/>
    </sheetView>
  </sheetViews>
  <sheetFormatPr defaultRowHeight="14" outlineLevelRow="1"/>
  <cols>
    <col min="1" max="1" width="4.58203125" customWidth="1"/>
    <col min="2" max="2" width="39" customWidth="1"/>
    <col min="3" max="3" width="19.6640625" customWidth="1"/>
    <col min="4" max="4" width="19.4140625" customWidth="1"/>
  </cols>
  <sheetData>
    <row r="1" spans="1:8" ht="14.5" customHeight="1">
      <c r="A1" s="142" t="s">
        <v>0</v>
      </c>
      <c r="B1" s="142"/>
      <c r="C1" s="142"/>
      <c r="D1" s="142"/>
      <c r="E1" s="1"/>
      <c r="F1" s="1"/>
      <c r="G1" s="1"/>
      <c r="H1" s="1"/>
    </row>
    <row r="2" spans="1:8">
      <c r="A2" s="142"/>
      <c r="B2" s="142"/>
      <c r="C2" s="142"/>
      <c r="D2" s="142"/>
      <c r="E2" s="1"/>
      <c r="F2" s="1"/>
      <c r="G2" s="1"/>
      <c r="H2" s="1"/>
    </row>
    <row r="3" spans="1:8">
      <c r="A3" s="25" t="s">
        <v>1</v>
      </c>
      <c r="B3" s="25" t="s">
        <v>2</v>
      </c>
      <c r="C3" s="25" t="s">
        <v>18</v>
      </c>
      <c r="D3" s="25" t="s">
        <v>50</v>
      </c>
    </row>
    <row r="4" spans="1:8">
      <c r="A4" s="3"/>
      <c r="B4" s="2" t="s">
        <v>3</v>
      </c>
      <c r="C4" s="2"/>
      <c r="D4" s="3"/>
    </row>
    <row r="5" spans="1:8" hidden="1" outlineLevel="1">
      <c r="A5" s="3">
        <v>1</v>
      </c>
      <c r="B5" s="3" t="s">
        <v>4</v>
      </c>
      <c r="C5" s="4">
        <v>140000000</v>
      </c>
      <c r="D5" s="3" t="s">
        <v>51</v>
      </c>
    </row>
    <row r="6" spans="1:8" hidden="1" outlineLevel="1">
      <c r="A6" s="3">
        <v>2</v>
      </c>
      <c r="B6" s="3" t="s">
        <v>5</v>
      </c>
      <c r="C6" s="5">
        <v>148500000</v>
      </c>
      <c r="D6" s="3" t="s">
        <v>52</v>
      </c>
    </row>
    <row r="7" spans="1:8" hidden="1" outlineLevel="1">
      <c r="A7" s="3">
        <v>3</v>
      </c>
      <c r="B7" s="3" t="s">
        <v>6</v>
      </c>
      <c r="C7" s="5">
        <v>163500000</v>
      </c>
      <c r="D7" s="3" t="s">
        <v>53</v>
      </c>
    </row>
    <row r="8" spans="1:8" hidden="1" outlineLevel="1">
      <c r="A8" s="3">
        <v>4</v>
      </c>
      <c r="B8" s="3" t="s">
        <v>7</v>
      </c>
      <c r="C8" s="5">
        <v>176000000</v>
      </c>
      <c r="D8" s="3" t="s">
        <v>54</v>
      </c>
    </row>
    <row r="9" spans="1:8" hidden="1" outlineLevel="1">
      <c r="A9" s="3">
        <v>5</v>
      </c>
      <c r="B9" s="3" t="s">
        <v>8</v>
      </c>
      <c r="C9" s="5">
        <v>191000000</v>
      </c>
      <c r="D9" s="3" t="s">
        <v>55</v>
      </c>
    </row>
    <row r="10" spans="1:8" collapsed="1">
      <c r="A10" s="3"/>
      <c r="B10" s="3"/>
      <c r="C10" s="3"/>
      <c r="D10" s="3"/>
    </row>
    <row r="11" spans="1:8">
      <c r="A11" s="3"/>
      <c r="B11" s="2" t="s">
        <v>9</v>
      </c>
      <c r="C11" s="3"/>
      <c r="D11" s="3"/>
    </row>
    <row r="12" spans="1:8" hidden="1" outlineLevel="1">
      <c r="A12" s="3">
        <v>1</v>
      </c>
      <c r="B12" s="3" t="s">
        <v>10</v>
      </c>
      <c r="C12" s="6">
        <v>195500000</v>
      </c>
      <c r="D12" s="3" t="s">
        <v>56</v>
      </c>
    </row>
    <row r="13" spans="1:8" hidden="1" outlineLevel="1">
      <c r="A13" s="3">
        <v>2</v>
      </c>
      <c r="B13" s="3" t="s">
        <v>11</v>
      </c>
      <c r="C13" s="6">
        <v>216000000</v>
      </c>
      <c r="D13" s="3" t="s">
        <v>57</v>
      </c>
    </row>
    <row r="14" spans="1:8" hidden="1" outlineLevel="1">
      <c r="A14" s="3">
        <v>3</v>
      </c>
      <c r="B14" s="3" t="s">
        <v>12</v>
      </c>
      <c r="C14" s="6">
        <v>227000000</v>
      </c>
      <c r="D14" s="3" t="s">
        <v>58</v>
      </c>
    </row>
    <row r="15" spans="1:8" hidden="1" outlineLevel="1">
      <c r="A15" s="3">
        <v>4</v>
      </c>
      <c r="B15" s="10" t="s">
        <v>13</v>
      </c>
      <c r="C15" s="6">
        <v>231400000</v>
      </c>
      <c r="D15" s="3" t="s">
        <v>59</v>
      </c>
    </row>
    <row r="16" spans="1:8" hidden="1" outlineLevel="1">
      <c r="A16" s="3">
        <v>5</v>
      </c>
      <c r="B16" s="3" t="s">
        <v>14</v>
      </c>
      <c r="C16" s="6">
        <v>237500000</v>
      </c>
      <c r="D16" s="3" t="s">
        <v>60</v>
      </c>
    </row>
    <row r="17" spans="1:4" hidden="1" outlineLevel="1">
      <c r="A17" s="3">
        <v>6</v>
      </c>
      <c r="B17" s="3" t="s">
        <v>15</v>
      </c>
      <c r="C17" s="6">
        <v>248000000</v>
      </c>
      <c r="D17" s="3" t="s">
        <v>61</v>
      </c>
    </row>
    <row r="18" spans="1:4" hidden="1" outlineLevel="1">
      <c r="A18" s="3">
        <v>7</v>
      </c>
      <c r="B18" s="3" t="s">
        <v>16</v>
      </c>
      <c r="C18" s="6">
        <v>239000000</v>
      </c>
      <c r="D18" s="3" t="s">
        <v>62</v>
      </c>
    </row>
    <row r="19" spans="1:4" hidden="1" outlineLevel="1">
      <c r="A19" s="3">
        <v>8</v>
      </c>
      <c r="B19" s="3" t="s">
        <v>17</v>
      </c>
      <c r="C19" s="6">
        <v>249500000</v>
      </c>
      <c r="D19" s="3" t="s">
        <v>63</v>
      </c>
    </row>
    <row r="20" spans="1:4" collapsed="1">
      <c r="A20" s="3"/>
      <c r="B20" s="3"/>
      <c r="C20" s="3"/>
      <c r="D20" s="3"/>
    </row>
    <row r="21" spans="1:4">
      <c r="A21" s="3"/>
      <c r="B21" s="2" t="s">
        <v>19</v>
      </c>
      <c r="C21" s="3"/>
      <c r="D21" s="3"/>
    </row>
    <row r="22" spans="1:4" outlineLevel="1">
      <c r="A22" s="3">
        <v>1</v>
      </c>
      <c r="B22" s="3" t="s">
        <v>20</v>
      </c>
      <c r="C22" s="7">
        <v>239500000</v>
      </c>
      <c r="D22" s="3" t="s">
        <v>64</v>
      </c>
    </row>
    <row r="23" spans="1:4" outlineLevel="1">
      <c r="A23" s="3">
        <v>2</v>
      </c>
      <c r="B23" s="3" t="s">
        <v>21</v>
      </c>
      <c r="C23" s="7">
        <v>250500000</v>
      </c>
      <c r="D23" s="3" t="s">
        <v>65</v>
      </c>
    </row>
    <row r="24" spans="1:4" outlineLevel="1">
      <c r="A24" s="3">
        <v>3</v>
      </c>
      <c r="B24" s="3" t="s">
        <v>22</v>
      </c>
      <c r="C24" s="7">
        <v>260500000</v>
      </c>
      <c r="D24" s="3" t="s">
        <v>66</v>
      </c>
    </row>
    <row r="25" spans="1:4" outlineLevel="1">
      <c r="A25" s="3">
        <v>4</v>
      </c>
      <c r="B25" s="3" t="s">
        <v>23</v>
      </c>
      <c r="C25" s="7">
        <v>275500000</v>
      </c>
      <c r="D25" s="3" t="s">
        <v>67</v>
      </c>
    </row>
    <row r="26" spans="1:4">
      <c r="A26" s="3"/>
      <c r="B26" s="3"/>
      <c r="C26" s="3"/>
      <c r="D26" s="3"/>
    </row>
    <row r="27" spans="1:4">
      <c r="A27" s="3"/>
      <c r="B27" s="2" t="s">
        <v>24</v>
      </c>
      <c r="C27" s="3"/>
      <c r="D27" s="3"/>
    </row>
    <row r="28" spans="1:4" outlineLevel="1">
      <c r="A28" s="3">
        <v>1</v>
      </c>
      <c r="B28" s="3" t="s">
        <v>25</v>
      </c>
      <c r="C28" s="8">
        <v>240500000</v>
      </c>
      <c r="D28" s="3" t="s">
        <v>68</v>
      </c>
    </row>
    <row r="29" spans="1:4" outlineLevel="1">
      <c r="A29" s="3">
        <v>2</v>
      </c>
      <c r="B29" s="3" t="s">
        <v>26</v>
      </c>
      <c r="C29" s="8">
        <v>271000000</v>
      </c>
      <c r="D29" s="3" t="s">
        <v>69</v>
      </c>
    </row>
    <row r="30" spans="1:4" outlineLevel="1">
      <c r="A30" s="3">
        <v>3</v>
      </c>
      <c r="B30" s="3" t="s">
        <v>28</v>
      </c>
      <c r="C30" s="8">
        <v>272500000</v>
      </c>
      <c r="D30" s="3" t="s">
        <v>70</v>
      </c>
    </row>
    <row r="31" spans="1:4" outlineLevel="1">
      <c r="A31" s="3">
        <v>4</v>
      </c>
      <c r="B31" s="3" t="s">
        <v>29</v>
      </c>
      <c r="C31" s="8">
        <v>275000000</v>
      </c>
      <c r="D31" s="3" t="s">
        <v>71</v>
      </c>
    </row>
    <row r="32" spans="1:4" outlineLevel="1">
      <c r="A32" s="3">
        <v>5</v>
      </c>
      <c r="B32" s="3" t="s">
        <v>27</v>
      </c>
      <c r="C32" s="8">
        <v>281000000</v>
      </c>
      <c r="D32" s="3" t="s">
        <v>72</v>
      </c>
    </row>
    <row r="33" spans="1:4" outlineLevel="1">
      <c r="A33" s="3">
        <v>6</v>
      </c>
      <c r="B33" s="3" t="s">
        <v>30</v>
      </c>
      <c r="C33" s="8">
        <v>282500000</v>
      </c>
      <c r="D33" s="3" t="s">
        <v>73</v>
      </c>
    </row>
    <row r="34" spans="1:4">
      <c r="A34" s="3"/>
      <c r="B34" s="3"/>
      <c r="C34" s="3"/>
      <c r="D34" s="3"/>
    </row>
    <row r="35" spans="1:4">
      <c r="A35" s="3"/>
      <c r="B35" s="2" t="s">
        <v>31</v>
      </c>
      <c r="C35" s="3"/>
      <c r="D35" s="3"/>
    </row>
    <row r="36" spans="1:4" outlineLevel="1">
      <c r="A36" s="3">
        <v>1</v>
      </c>
      <c r="B36" s="3" t="s">
        <v>32</v>
      </c>
      <c r="C36" s="6">
        <v>286000000</v>
      </c>
      <c r="D36" s="3" t="s">
        <v>74</v>
      </c>
    </row>
    <row r="37" spans="1:4" outlineLevel="1">
      <c r="A37" s="3">
        <v>2</v>
      </c>
      <c r="B37" s="3" t="s">
        <v>33</v>
      </c>
      <c r="C37" s="6">
        <v>296000000</v>
      </c>
      <c r="D37" s="3" t="s">
        <v>75</v>
      </c>
    </row>
    <row r="38" spans="1:4" outlineLevel="1">
      <c r="A38" s="3">
        <v>3</v>
      </c>
      <c r="B38" s="3" t="s">
        <v>34</v>
      </c>
      <c r="C38" s="6">
        <v>319000000</v>
      </c>
      <c r="D38" s="3" t="s">
        <v>76</v>
      </c>
    </row>
    <row r="39" spans="1:4" outlineLevel="1">
      <c r="A39" s="3">
        <v>4</v>
      </c>
      <c r="B39" s="3" t="s">
        <v>35</v>
      </c>
      <c r="C39" s="6">
        <v>336000000</v>
      </c>
      <c r="D39" s="3" t="s">
        <v>77</v>
      </c>
    </row>
    <row r="40" spans="1:4" outlineLevel="1">
      <c r="A40" s="3">
        <v>5</v>
      </c>
      <c r="B40" s="3" t="s">
        <v>36</v>
      </c>
      <c r="C40" s="6">
        <v>401500000</v>
      </c>
      <c r="D40" s="3" t="s">
        <v>78</v>
      </c>
    </row>
    <row r="41" spans="1:4" outlineLevel="1">
      <c r="A41" s="3">
        <v>6</v>
      </c>
      <c r="B41" s="3" t="s">
        <v>37</v>
      </c>
      <c r="C41" s="6">
        <v>403000000</v>
      </c>
      <c r="D41" s="3" t="s">
        <v>79</v>
      </c>
    </row>
    <row r="42" spans="1:4">
      <c r="A42" s="3"/>
      <c r="B42" s="3"/>
      <c r="C42" s="3"/>
      <c r="D42" s="3"/>
    </row>
    <row r="43" spans="1:4">
      <c r="A43" s="3"/>
      <c r="B43" s="2" t="s">
        <v>49</v>
      </c>
      <c r="C43" s="3"/>
      <c r="D43" s="3"/>
    </row>
    <row r="44" spans="1:4" outlineLevel="1">
      <c r="A44" s="3">
        <v>7</v>
      </c>
      <c r="B44" s="3" t="s">
        <v>47</v>
      </c>
      <c r="C44" s="9">
        <v>446500000</v>
      </c>
      <c r="D44" s="3" t="s">
        <v>80</v>
      </c>
    </row>
    <row r="45" spans="1:4" outlineLevel="1">
      <c r="A45" s="3">
        <v>8</v>
      </c>
      <c r="B45" s="3" t="s">
        <v>48</v>
      </c>
      <c r="C45" s="9">
        <v>480500000</v>
      </c>
      <c r="D45" s="3" t="s">
        <v>81</v>
      </c>
    </row>
    <row r="46" spans="1:4" outlineLevel="1">
      <c r="A46" s="3">
        <v>9</v>
      </c>
      <c r="B46" s="3" t="s">
        <v>104</v>
      </c>
      <c r="C46" s="9">
        <v>520500000</v>
      </c>
      <c r="D46" s="3" t="s">
        <v>82</v>
      </c>
    </row>
    <row r="47" spans="1:4">
      <c r="A47" s="3"/>
      <c r="B47" s="3"/>
      <c r="C47" s="3"/>
      <c r="D47" s="3"/>
    </row>
    <row r="48" spans="1:4">
      <c r="A48" s="3"/>
      <c r="B48" s="2" t="s">
        <v>38</v>
      </c>
      <c r="C48" s="3"/>
      <c r="D48" s="3"/>
    </row>
    <row r="49" spans="1:4" outlineLevel="1">
      <c r="A49" s="3">
        <v>1</v>
      </c>
      <c r="B49" s="3" t="s">
        <v>39</v>
      </c>
      <c r="C49" s="9">
        <v>324500000</v>
      </c>
      <c r="D49" s="3" t="s">
        <v>83</v>
      </c>
    </row>
    <row r="50" spans="1:4" outlineLevel="1">
      <c r="A50" s="3">
        <v>2</v>
      </c>
      <c r="B50" s="3" t="s">
        <v>40</v>
      </c>
      <c r="C50" s="9">
        <v>334500000</v>
      </c>
      <c r="D50" s="3" t="s">
        <v>84</v>
      </c>
    </row>
    <row r="51" spans="1:4">
      <c r="A51" s="3"/>
      <c r="B51" s="3"/>
      <c r="C51" s="3"/>
      <c r="D51" s="3"/>
    </row>
    <row r="52" spans="1:4">
      <c r="A52" s="3"/>
      <c r="B52" s="2" t="s">
        <v>41</v>
      </c>
      <c r="C52" s="3"/>
      <c r="D52" s="3"/>
    </row>
    <row r="53" spans="1:4" outlineLevel="1">
      <c r="A53" s="3">
        <v>1</v>
      </c>
      <c r="B53" s="3" t="s">
        <v>42</v>
      </c>
      <c r="C53" s="9">
        <v>416500000</v>
      </c>
      <c r="D53" s="3" t="s">
        <v>85</v>
      </c>
    </row>
    <row r="54" spans="1:4" outlineLevel="1">
      <c r="A54" s="3">
        <v>2</v>
      </c>
      <c r="B54" s="3" t="s">
        <v>43</v>
      </c>
      <c r="C54" s="9">
        <v>455500000</v>
      </c>
      <c r="D54" s="3" t="s">
        <v>86</v>
      </c>
    </row>
    <row r="55" spans="1:4" outlineLevel="1">
      <c r="A55" s="3">
        <v>3</v>
      </c>
      <c r="B55" s="3" t="s">
        <v>44</v>
      </c>
      <c r="C55" s="9">
        <v>497500000</v>
      </c>
      <c r="D55" s="3" t="s">
        <v>87</v>
      </c>
    </row>
    <row r="56" spans="1:4" outlineLevel="1">
      <c r="A56" s="3">
        <v>4</v>
      </c>
      <c r="B56" s="3" t="s">
        <v>45</v>
      </c>
      <c r="C56" s="9">
        <v>500500000</v>
      </c>
      <c r="D56" s="3" t="s">
        <v>88</v>
      </c>
    </row>
    <row r="57" spans="1:4" outlineLevel="1">
      <c r="A57" s="3">
        <v>5</v>
      </c>
      <c r="B57" s="3" t="s">
        <v>46</v>
      </c>
      <c r="C57" s="9">
        <v>1034500000</v>
      </c>
      <c r="D57" s="3" t="s">
        <v>89</v>
      </c>
    </row>
  </sheetData>
  <mergeCells count="1">
    <mergeCell ref="A1:D2"/>
  </mergeCells>
  <phoneticPr fontId="3"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E287A-2AB8-4889-98A2-9208CDF80EBA}">
  <dimension ref="A1"/>
  <sheetViews>
    <sheetView showGridLines="0" zoomScale="47" zoomScaleNormal="85" workbookViewId="0">
      <selection activeCell="K36" sqref="K36"/>
    </sheetView>
  </sheetViews>
  <sheetFormatPr defaultColWidth="8.83203125" defaultRowHeight="14"/>
  <cols>
    <col min="1" max="16384" width="8.83203125" style="10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DF077-EC0E-417B-B788-A5EDA5AA2122}">
  <dimension ref="A1:F42"/>
  <sheetViews>
    <sheetView zoomScale="85" zoomScaleNormal="85" workbookViewId="0">
      <selection activeCell="P32" sqref="P32"/>
    </sheetView>
  </sheetViews>
  <sheetFormatPr defaultRowHeight="14"/>
  <cols>
    <col min="1" max="1" width="27.83203125" customWidth="1"/>
    <col min="2" max="2" width="35.6640625" customWidth="1"/>
    <col min="4" max="4" width="13.4140625" customWidth="1"/>
  </cols>
  <sheetData>
    <row r="1" spans="1:4">
      <c r="A1" s="164" t="s">
        <v>238</v>
      </c>
      <c r="B1" s="165"/>
      <c r="C1" s="165"/>
      <c r="D1" s="165"/>
    </row>
    <row r="2" spans="1:4">
      <c r="A2" s="165"/>
      <c r="B2" s="165"/>
      <c r="C2" s="165"/>
      <c r="D2" s="165"/>
    </row>
    <row r="3" spans="1:4">
      <c r="A3" s="88" t="s">
        <v>240</v>
      </c>
      <c r="B3" s="88" t="s">
        <v>239</v>
      </c>
      <c r="C3" s="88" t="s">
        <v>138</v>
      </c>
      <c r="D3" s="88" t="s">
        <v>241</v>
      </c>
    </row>
    <row r="4" spans="1:4">
      <c r="A4" s="88" t="str">
        <f>VLOOKUP(B4,Detail_Produk[[ID Product]:[Type]],2,FALSE)</f>
        <v>HONDA All New Brio Satya S MT</v>
      </c>
      <c r="B4" s="59" t="s">
        <v>51</v>
      </c>
      <c r="C4" s="88" t="str">
        <f>VLOOKUP(B4,Detail_Produk[],5,0)</f>
        <v>Brio</v>
      </c>
      <c r="D4" s="88">
        <f>STOK!D5-STOK!H5</f>
        <v>1</v>
      </c>
    </row>
    <row r="5" spans="1:4">
      <c r="A5" s="88" t="str">
        <f>VLOOKUP(B5,Detail_Produk[[ID Product]:[Type]],2,FALSE)</f>
        <v>HONDA All New Brio Satya E MT</v>
      </c>
      <c r="B5" s="85" t="s">
        <v>52</v>
      </c>
      <c r="C5" s="88" t="str">
        <f>VLOOKUP(B5,Detail_Produk[],5,0)</f>
        <v>Brio</v>
      </c>
      <c r="D5" s="88">
        <f>STOK!D6-STOK!H6</f>
        <v>2</v>
      </c>
    </row>
    <row r="6" spans="1:4">
      <c r="A6" s="88" t="str">
        <f>VLOOKUP(B6,Detail_Produk[[ID Product]:[Type]],2,FALSE)</f>
        <v>HONDA All New Brio Satya E CVT</v>
      </c>
      <c r="B6" s="59" t="s">
        <v>53</v>
      </c>
      <c r="C6" s="88" t="str">
        <f>VLOOKUP(B6,Detail_Produk[],5,0)</f>
        <v>Brio</v>
      </c>
      <c r="D6" s="88">
        <f>STOK!D7-STOK!H7</f>
        <v>3</v>
      </c>
    </row>
    <row r="7" spans="1:4">
      <c r="A7" s="88" t="str">
        <f>VLOOKUP(B7,Detail_Produk[[ID Product]:[Type]],2,FALSE)</f>
        <v>HONDA All New Brio RS CVT</v>
      </c>
      <c r="B7" s="85" t="s">
        <v>54</v>
      </c>
      <c r="C7" s="88" t="str">
        <f>VLOOKUP(B7,Detail_Produk[],5,0)</f>
        <v>Brio</v>
      </c>
      <c r="D7" s="88">
        <f>STOK!D8-STOK!H8</f>
        <v>2</v>
      </c>
    </row>
    <row r="8" spans="1:4">
      <c r="A8" s="88" t="str">
        <f>VLOOKUP(B8,Detail_Produk[[ID Product]:[Type]],2,FALSE)</f>
        <v>HONDA All New Brio RS MT</v>
      </c>
      <c r="B8" s="59" t="s">
        <v>55</v>
      </c>
      <c r="C8" s="88" t="str">
        <f>VLOOKUP(B8,Detail_Produk[],5,0)</f>
        <v>Brio</v>
      </c>
      <c r="D8" s="88">
        <f>STOK!D9-STOK!H9</f>
        <v>2</v>
      </c>
    </row>
    <row r="9" spans="1:4">
      <c r="A9" s="88" t="str">
        <f>VLOOKUP(B9,Detail_Produk[[ID Product]:[Type]],2,FALSE)</f>
        <v>HONDA Mobilio S MT</v>
      </c>
      <c r="B9" s="85" t="s">
        <v>56</v>
      </c>
      <c r="C9" s="88" t="str">
        <f>VLOOKUP(B9,Detail_Produk[],5,0)</f>
        <v>Mobilio</v>
      </c>
      <c r="D9" s="88">
        <f>STOK!D10-STOK!H10</f>
        <v>3</v>
      </c>
    </row>
    <row r="10" spans="1:4">
      <c r="A10" s="88" t="str">
        <f>VLOOKUP(B10,Detail_Produk[[ID Product]:[Type]],2,FALSE)</f>
        <v>HONDA Mobilio E MT</v>
      </c>
      <c r="B10" s="59" t="s">
        <v>57</v>
      </c>
      <c r="C10" s="88" t="str">
        <f>VLOOKUP(B10,Detail_Produk[],5,0)</f>
        <v>Mobilio</v>
      </c>
      <c r="D10" s="88">
        <f>STOK!D11-STOK!H11</f>
        <v>2</v>
      </c>
    </row>
    <row r="11" spans="1:4">
      <c r="A11" s="88" t="str">
        <f>VLOOKUP(B11,Detail_Produk[[ID Product]:[Type]],2,FALSE)</f>
        <v>HONDA Mobilio E CVT</v>
      </c>
      <c r="B11" s="85" t="s">
        <v>58</v>
      </c>
      <c r="C11" s="88" t="str">
        <f>VLOOKUP(B11,Detail_Produk[],5,0)</f>
        <v>Mobilio</v>
      </c>
      <c r="D11" s="88">
        <f>STOK!D12-STOK!H12</f>
        <v>0</v>
      </c>
    </row>
    <row r="12" spans="1:4">
      <c r="A12" s="88" t="str">
        <f>VLOOKUP(B12,Detail_Produk[[ID Product]:[Type]],2,FALSE)</f>
        <v>HONDA Mobilio E S CVT</v>
      </c>
      <c r="B12" s="59" t="s">
        <v>59</v>
      </c>
      <c r="C12" s="88" t="str">
        <f>VLOOKUP(B12,Detail_Produk[],5,0)</f>
        <v>Mobilio</v>
      </c>
      <c r="D12" s="88">
        <f>STOK!D13-STOK!H13</f>
        <v>1</v>
      </c>
    </row>
    <row r="13" spans="1:4">
      <c r="A13" s="88" t="str">
        <f>VLOOKUP(B13,Detail_Produk[[ID Product]:[Type]],2,FALSE)</f>
        <v>HONDA Mobilio RS MT</v>
      </c>
      <c r="B13" s="85" t="s">
        <v>60</v>
      </c>
      <c r="C13" s="88" t="str">
        <f>VLOOKUP(B13,Detail_Produk[],5,0)</f>
        <v>Mobilio</v>
      </c>
      <c r="D13" s="88">
        <f>STOK!D14-STOK!H14</f>
        <v>1</v>
      </c>
    </row>
    <row r="14" spans="1:4">
      <c r="A14" s="88" t="str">
        <f>VLOOKUP(B14,Detail_Produk[[ID Product]:[Type]],2,FALSE)</f>
        <v>HONDA Mobilio RS CVT</v>
      </c>
      <c r="B14" s="59" t="s">
        <v>61</v>
      </c>
      <c r="C14" s="88" t="str">
        <f>VLOOKUP(B14,Detail_Produk[],5,0)</f>
        <v>Mobilio</v>
      </c>
      <c r="D14" s="88">
        <f>STOK!D15-STOK!H15</f>
        <v>0</v>
      </c>
    </row>
    <row r="15" spans="1:4">
      <c r="A15" s="88" t="str">
        <f>VLOOKUP(B15,Detail_Produk[[ID Product]:[Type]],2,FALSE)</f>
        <v>HONDA Mobilio RT MT (2tone)</v>
      </c>
      <c r="B15" s="85" t="s">
        <v>62</v>
      </c>
      <c r="C15" s="88" t="str">
        <f>VLOOKUP(B15,Detail_Produk[],5,0)</f>
        <v>Mobilio</v>
      </c>
      <c r="D15" s="88">
        <f>STOK!D16-STOK!H16</f>
        <v>1</v>
      </c>
    </row>
    <row r="16" spans="1:4">
      <c r="A16" s="88" t="str">
        <f>VLOOKUP(B16,Detail_Produk[[ID Product]:[Type]],2,FALSE)</f>
        <v>HONDA Mobilio RS CVT (2one)</v>
      </c>
      <c r="B16" s="59" t="s">
        <v>63</v>
      </c>
      <c r="C16" s="88" t="str">
        <f>VLOOKUP(B16,Detail_Produk[],5,0)</f>
        <v>Mobilio</v>
      </c>
      <c r="D16" s="88">
        <f>STOK!D17-STOK!H17</f>
        <v>0</v>
      </c>
    </row>
    <row r="17" spans="1:4">
      <c r="A17" s="88" t="str">
        <f>VLOOKUP(B17,Detail_Produk[[ID Product]:[Type]],2,FALSE)</f>
        <v>HONDA BRV  S MT</v>
      </c>
      <c r="B17" s="85" t="s">
        <v>64</v>
      </c>
      <c r="C17" s="88" t="str">
        <f>VLOOKUP(B17,Detail_Produk[],5,0)</f>
        <v>BRV</v>
      </c>
      <c r="D17" s="88">
        <f>STOK!D18-STOK!H18</f>
        <v>2</v>
      </c>
    </row>
    <row r="18" spans="1:4">
      <c r="A18" s="88" t="str">
        <f>VLOOKUP(B18,Detail_Produk[[ID Product]:[Type]],2,FALSE)</f>
        <v>HONDA BRV E MT</v>
      </c>
      <c r="B18" s="59" t="s">
        <v>65</v>
      </c>
      <c r="C18" s="88" t="str">
        <f>VLOOKUP(B18,Detail_Produk[],5,0)</f>
        <v>BRV</v>
      </c>
      <c r="D18" s="88">
        <f>STOK!D19-STOK!H19</f>
        <v>2</v>
      </c>
    </row>
    <row r="19" spans="1:4">
      <c r="A19" s="88" t="str">
        <f>VLOOKUP(B19,Detail_Produk[[ID Product]:[Type]],2,FALSE)</f>
        <v>HONDA BRV E CVT</v>
      </c>
      <c r="B19" s="85" t="s">
        <v>66</v>
      </c>
      <c r="C19" s="88" t="str">
        <f>VLOOKUP(B19,Detail_Produk[],5,0)</f>
        <v>BRV</v>
      </c>
      <c r="D19" s="88">
        <f>STOK!D20-STOK!H20</f>
        <v>2</v>
      </c>
    </row>
    <row r="20" spans="1:4">
      <c r="A20" s="88" t="str">
        <f>VLOOKUP(B20,Detail_Produk[[ID Product]:[Type]],2,FALSE)</f>
        <v>HONDA BRV Prestige CVT</v>
      </c>
      <c r="B20" s="59" t="s">
        <v>67</v>
      </c>
      <c r="C20" s="88" t="str">
        <f>VLOOKUP(B20,Detail_Produk[],5,0)</f>
        <v>BRV</v>
      </c>
      <c r="D20" s="88">
        <f>STOK!D21-STOK!H21</f>
        <v>1</v>
      </c>
    </row>
    <row r="21" spans="1:4">
      <c r="A21" s="88" t="str">
        <f>VLOOKUP(B21,Detail_Produk[[ID Product]:[Type]],2,FALSE)</f>
        <v>HONDA Jazz S MT</v>
      </c>
      <c r="B21" s="85" t="s">
        <v>68</v>
      </c>
      <c r="C21" s="88" t="str">
        <f>VLOOKUP(B21,Detail_Produk[],5,0)</f>
        <v>Jazz</v>
      </c>
      <c r="D21" s="88">
        <f>STOK!D22-STOK!H22</f>
        <v>3</v>
      </c>
    </row>
    <row r="22" spans="1:4">
      <c r="A22" s="88" t="str">
        <f>VLOOKUP(B22,Detail_Produk[[ID Product]:[Type]],2,FALSE)</f>
        <v>HONDA Jazz S CVT</v>
      </c>
      <c r="B22" s="59" t="s">
        <v>69</v>
      </c>
      <c r="C22" s="88" t="str">
        <f>VLOOKUP(B22,Detail_Produk[],5,0)</f>
        <v>Jazz</v>
      </c>
      <c r="D22" s="88">
        <f>STOK!D23-STOK!H23</f>
        <v>2</v>
      </c>
    </row>
    <row r="23" spans="1:4">
      <c r="A23" s="88" t="str">
        <f>VLOOKUP(B23,Detail_Produk[[ID Product]:[Type]],2,FALSE)</f>
        <v>HONDA Jazz RS MT</v>
      </c>
      <c r="B23" s="85" t="s">
        <v>70</v>
      </c>
      <c r="C23" s="88" t="str">
        <f>VLOOKUP(B23,Detail_Produk[],5,0)</f>
        <v>Jazz</v>
      </c>
      <c r="D23" s="88">
        <f>STOK!D24-STOK!H24</f>
        <v>0</v>
      </c>
    </row>
    <row r="24" spans="1:4">
      <c r="A24" s="88" t="str">
        <f>VLOOKUP(B24,Detail_Produk[[ID Product]:[Type]],2,FALSE)</f>
        <v>HONDA Jazz M/T RS 2Tone</v>
      </c>
      <c r="B24" s="59" t="s">
        <v>71</v>
      </c>
      <c r="C24" s="88" t="str">
        <f>VLOOKUP(B24,Detail_Produk[],5,0)</f>
        <v>Jazz</v>
      </c>
      <c r="D24" s="88">
        <f>STOK!D25-STOK!H25</f>
        <v>2</v>
      </c>
    </row>
    <row r="25" spans="1:4">
      <c r="A25" s="88" t="str">
        <f>VLOOKUP(B25,Detail_Produk[[ID Product]:[Type]],2,FALSE)</f>
        <v>HONDA Jazz RS CVT</v>
      </c>
      <c r="B25" s="85" t="s">
        <v>72</v>
      </c>
      <c r="C25" s="88" t="str">
        <f>VLOOKUP(B25,Detail_Produk[],5,0)</f>
        <v>Jazz</v>
      </c>
      <c r="D25" s="88">
        <f>STOK!D26-STOK!H26</f>
        <v>1</v>
      </c>
    </row>
    <row r="26" spans="1:4">
      <c r="A26" s="88" t="str">
        <f>VLOOKUP(B26,Detail_Produk[[ID Product]:[Type]],2,FALSE)</f>
        <v>HONDA Jazz RS 2tone</v>
      </c>
      <c r="B26" s="59" t="s">
        <v>73</v>
      </c>
      <c r="C26" s="88" t="str">
        <f>VLOOKUP(B26,Detail_Produk[],5,0)</f>
        <v>Jazz</v>
      </c>
      <c r="D26" s="88">
        <f>STOK!D27-STOK!H27</f>
        <v>0</v>
      </c>
    </row>
    <row r="27" spans="1:4">
      <c r="A27" s="88" t="str">
        <f>VLOOKUP(B27,Detail_Produk[[ID Product]:[Type]],2,FALSE)</f>
        <v>HONDA NEW HRV 1.5 S MT</v>
      </c>
      <c r="B27" s="85" t="s">
        <v>74</v>
      </c>
      <c r="C27" s="88" t="str">
        <f>VLOOKUP(B27,Detail_Produk[],5,0)</f>
        <v>HRV</v>
      </c>
      <c r="D27" s="88">
        <f>STOK!D28-STOK!H28</f>
        <v>1</v>
      </c>
    </row>
    <row r="28" spans="1:4">
      <c r="A28" s="88" t="str">
        <f>VLOOKUP(B28,Detail_Produk[[ID Product]:[Type]],2,FALSE)</f>
        <v>HONDA NEW HRV 1.5 S CVT</v>
      </c>
      <c r="B28" s="59" t="s">
        <v>75</v>
      </c>
      <c r="C28" s="88" t="str">
        <f>VLOOKUP(B28,Detail_Produk[],5,0)</f>
        <v>HRV</v>
      </c>
      <c r="D28" s="88">
        <f>STOK!D29-STOK!H29</f>
        <v>0</v>
      </c>
    </row>
    <row r="29" spans="1:4">
      <c r="A29" s="88" t="str">
        <f>VLOOKUP(B29,Detail_Produk[[ID Product]:[Type]],2,FALSE)</f>
        <v>HONDA NEW HRV 1.5 E CVT</v>
      </c>
      <c r="B29" s="85" t="s">
        <v>76</v>
      </c>
      <c r="C29" s="88" t="str">
        <f>VLOOKUP(B29,Detail_Produk[],5,0)</f>
        <v>HRV</v>
      </c>
      <c r="D29" s="88">
        <f>STOK!D30-STOK!H30</f>
        <v>4</v>
      </c>
    </row>
    <row r="30" spans="1:4">
      <c r="A30" s="88" t="str">
        <f>VLOOKUP(B30,Detail_Produk[[ID Product]:[Type]],2,FALSE)</f>
        <v>HONDA NEW HRV 1.5 E CVT SE</v>
      </c>
      <c r="B30" s="59" t="s">
        <v>77</v>
      </c>
      <c r="C30" s="88" t="str">
        <f>VLOOKUP(B30,Detail_Produk[],5,0)</f>
        <v>HRV</v>
      </c>
      <c r="D30" s="88">
        <f>STOK!D31-STOK!H31</f>
        <v>2</v>
      </c>
    </row>
    <row r="31" spans="1:4">
      <c r="A31" s="88" t="str">
        <f>VLOOKUP(B31,Detail_Produk[[ID Product]:[Type]],2,FALSE)</f>
        <v>HONDA NEW HRV 1.8 Prestige CVT</v>
      </c>
      <c r="B31" s="85" t="s">
        <v>78</v>
      </c>
      <c r="C31" s="88" t="str">
        <f>VLOOKUP(B31,Detail_Produk[],5,0)</f>
        <v>HRV</v>
      </c>
      <c r="D31" s="88">
        <f>STOK!D32-STOK!H32</f>
        <v>2</v>
      </c>
    </row>
    <row r="32" spans="1:4">
      <c r="A32" s="88" t="str">
        <f>VLOOKUP(B32,Detail_Produk[[ID Product]:[Type]],2,FALSE)</f>
        <v>HONDA NEW HRV 1.8 Prestige CVT 2Tone CVT</v>
      </c>
      <c r="B32" s="59" t="s">
        <v>79</v>
      </c>
      <c r="C32" s="88" t="str">
        <f>VLOOKUP(B32,Detail_Produk[],5,0)</f>
        <v>HRV</v>
      </c>
      <c r="D32" s="88">
        <f>STOK!D33-STOK!H33</f>
        <v>2</v>
      </c>
    </row>
    <row r="33" spans="1:6">
      <c r="A33" s="88" t="str">
        <f>VLOOKUP(B33,Detail_Produk[[ID Product]:[Type]],2,FALSE)</f>
        <v>HONDA NEW CRV 2.0L CVT</v>
      </c>
      <c r="B33" s="85" t="s">
        <v>80</v>
      </c>
      <c r="C33" s="88" t="str">
        <f>VLOOKUP(B33,Detail_Produk[],5,0)</f>
        <v>CRV</v>
      </c>
      <c r="D33" s="88">
        <f>STOK!D34-STOK!H34</f>
        <v>3</v>
      </c>
    </row>
    <row r="34" spans="1:6">
      <c r="A34" s="88" t="str">
        <f>VLOOKUP(B34,Detail_Produk[[ID Product]:[Type]],2,FALSE)</f>
        <v>HONDA NEW CRV 1.5L Turbo CVT</v>
      </c>
      <c r="B34" s="59" t="s">
        <v>81</v>
      </c>
      <c r="C34" s="88" t="str">
        <f>VLOOKUP(B34,Detail_Produk[],5,0)</f>
        <v>CRV</v>
      </c>
      <c r="D34" s="88">
        <f>STOK!D35-STOK!H35</f>
        <v>3</v>
      </c>
      <c r="F34" t="s">
        <v>111</v>
      </c>
    </row>
    <row r="35" spans="1:6">
      <c r="A35" s="88" t="str">
        <f>VLOOKUP(B35,Detail_Produk[[ID Product]:[Type]],2,FALSE)</f>
        <v>HONDA NEW CRV 1.5Turbo Prestige CVT</v>
      </c>
      <c r="B35" s="85" t="s">
        <v>82</v>
      </c>
      <c r="C35" s="88" t="str">
        <f>VLOOKUP(B35,Detail_Produk[],5,0)</f>
        <v>CRV</v>
      </c>
      <c r="D35" s="88">
        <f>STOK!D36-STOK!H36</f>
        <v>0</v>
      </c>
    </row>
    <row r="36" spans="1:6">
      <c r="A36" s="88" t="str">
        <f>VLOOKUP(B36,Detail_Produk[[ID Product]:[Type]],2,FALSE)</f>
        <v>HONDA CITY E MT</v>
      </c>
      <c r="B36" s="59" t="s">
        <v>83</v>
      </c>
      <c r="C36" s="88" t="str">
        <f>VLOOKUP(B36,Detail_Produk[],5,0)</f>
        <v>Hcity</v>
      </c>
      <c r="D36" s="88">
        <f>STOK!D37-STOK!H37</f>
        <v>2</v>
      </c>
    </row>
    <row r="37" spans="1:6">
      <c r="A37" s="88" t="str">
        <f>VLOOKUP(B37,Detail_Produk[[ID Product]:[Type]],2,FALSE)</f>
        <v>HONDA CITY ECVT</v>
      </c>
      <c r="B37" s="85" t="s">
        <v>84</v>
      </c>
      <c r="C37" s="88" t="str">
        <f>VLOOKUP(B37,Detail_Produk[],5,0)</f>
        <v>Hcity</v>
      </c>
      <c r="D37" s="88">
        <f>STOK!D38-STOK!H38</f>
        <v>3</v>
      </c>
    </row>
    <row r="38" spans="1:6">
      <c r="A38" s="88" t="str">
        <f>VLOOKUP(B38,Detail_Produk[[ID Product]:[Type]],2,FALSE)</f>
        <v>HONDA Civic E MT</v>
      </c>
      <c r="B38" s="59" t="s">
        <v>85</v>
      </c>
      <c r="C38" s="88" t="str">
        <f>VLOOKUP(B38,Detail_Produk[],5,0)</f>
        <v>Civic</v>
      </c>
      <c r="D38" s="88">
        <f>STOK!D39-STOK!H39</f>
        <v>3</v>
      </c>
    </row>
    <row r="39" spans="1:6">
      <c r="A39" s="88" t="str">
        <f>VLOOKUP(B39,Detail_Produk[[ID Product]:[Type]],2,FALSE)</f>
        <v>HONDA Civic E CVT</v>
      </c>
      <c r="B39" s="85" t="s">
        <v>86</v>
      </c>
      <c r="C39" s="88" t="str">
        <f>VLOOKUP(B39,Detail_Produk[],5,0)</f>
        <v>Civic</v>
      </c>
      <c r="D39" s="88">
        <f>STOK!D40-STOK!H40</f>
        <v>2</v>
      </c>
    </row>
    <row r="40" spans="1:6">
      <c r="A40" s="88" t="str">
        <f>VLOOKUP(B40,Detail_Produk[[ID Product]:[Type]],2,FALSE)</f>
        <v>HONDA Civic HATCHBACK S CVT</v>
      </c>
      <c r="B40" s="59" t="s">
        <v>87</v>
      </c>
      <c r="C40" s="88" t="str">
        <f>VLOOKUP(B40,Detail_Produk[],5,0)</f>
        <v>Civic</v>
      </c>
      <c r="D40" s="88">
        <f>STOK!D41-STOK!H41</f>
        <v>2</v>
      </c>
    </row>
    <row r="41" spans="1:6">
      <c r="A41" s="88" t="str">
        <f>VLOOKUP(B41,Detail_Produk[[ID Product]:[Type]],2,FALSE)</f>
        <v>HONDA Civic HATCHBACK E CVT</v>
      </c>
      <c r="B41" s="85" t="s">
        <v>88</v>
      </c>
      <c r="C41" s="88" t="str">
        <f>VLOOKUP(B41,Detail_Produk[],5,0)</f>
        <v>Civic</v>
      </c>
      <c r="D41" s="88">
        <f>STOK!D42-STOK!H42</f>
        <v>1</v>
      </c>
    </row>
    <row r="42" spans="1:6">
      <c r="A42" s="88" t="str">
        <f>VLOOKUP(B42,Detail_Produk[[ID Product]:[Type]],2,FALSE)</f>
        <v>HONDA Civic 1.5L Turbo AT</v>
      </c>
      <c r="B42" s="59" t="s">
        <v>89</v>
      </c>
      <c r="C42" s="88" t="str">
        <f>VLOOKUP(B42,Detail_Produk[],5,0)</f>
        <v>Civic</v>
      </c>
      <c r="D42" s="88">
        <f>STOK!D43-STOK!H43</f>
        <v>1</v>
      </c>
    </row>
  </sheetData>
  <autoFilter ref="A3:D42" xr:uid="{1D6DF077-EC0E-417B-B788-A5EDA5AA2122}"/>
  <mergeCells count="1">
    <mergeCell ref="A1:D2"/>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C511C-81AF-4811-B33E-1D231E76ED0D}">
  <dimension ref="A3:B51"/>
  <sheetViews>
    <sheetView zoomScale="58" zoomScaleNormal="70" workbookViewId="0">
      <selection activeCell="I52" sqref="I52"/>
    </sheetView>
  </sheetViews>
  <sheetFormatPr defaultRowHeight="14"/>
  <cols>
    <col min="1" max="1" width="40.1640625" bestFit="1" customWidth="1"/>
    <col min="2" max="2" width="20.58203125" bestFit="1" customWidth="1"/>
  </cols>
  <sheetData>
    <row r="3" spans="1:2">
      <c r="A3" s="11" t="s">
        <v>108</v>
      </c>
      <c r="B3" t="s">
        <v>242</v>
      </c>
    </row>
    <row r="4" spans="1:2">
      <c r="A4" s="12" t="s">
        <v>97</v>
      </c>
      <c r="B4">
        <v>10</v>
      </c>
    </row>
    <row r="5" spans="1:2">
      <c r="A5" s="13" t="s">
        <v>7</v>
      </c>
      <c r="B5">
        <v>2</v>
      </c>
    </row>
    <row r="6" spans="1:2">
      <c r="A6" s="13" t="s">
        <v>8</v>
      </c>
      <c r="B6">
        <v>2</v>
      </c>
    </row>
    <row r="7" spans="1:2">
      <c r="A7" s="13" t="s">
        <v>6</v>
      </c>
      <c r="B7">
        <v>3</v>
      </c>
    </row>
    <row r="8" spans="1:2">
      <c r="A8" s="13" t="s">
        <v>5</v>
      </c>
      <c r="B8">
        <v>2</v>
      </c>
    </row>
    <row r="9" spans="1:2">
      <c r="A9" s="13" t="s">
        <v>4</v>
      </c>
      <c r="B9">
        <v>1</v>
      </c>
    </row>
    <row r="10" spans="1:2">
      <c r="A10" s="12" t="s">
        <v>99</v>
      </c>
      <c r="B10">
        <v>7</v>
      </c>
    </row>
    <row r="11" spans="1:2">
      <c r="A11" s="13" t="s">
        <v>20</v>
      </c>
      <c r="B11">
        <v>2</v>
      </c>
    </row>
    <row r="12" spans="1:2">
      <c r="A12" s="13" t="s">
        <v>22</v>
      </c>
      <c r="B12">
        <v>2</v>
      </c>
    </row>
    <row r="13" spans="1:2">
      <c r="A13" s="13" t="s">
        <v>21</v>
      </c>
      <c r="B13">
        <v>2</v>
      </c>
    </row>
    <row r="14" spans="1:2">
      <c r="A14" s="13" t="s">
        <v>23</v>
      </c>
      <c r="B14">
        <v>1</v>
      </c>
    </row>
    <row r="15" spans="1:2">
      <c r="A15" s="12" t="s">
        <v>101</v>
      </c>
      <c r="B15">
        <v>9</v>
      </c>
    </row>
    <row r="16" spans="1:2">
      <c r="A16" s="13" t="s">
        <v>46</v>
      </c>
      <c r="B16">
        <v>1</v>
      </c>
    </row>
    <row r="17" spans="1:2">
      <c r="A17" s="13" t="s">
        <v>43</v>
      </c>
      <c r="B17">
        <v>2</v>
      </c>
    </row>
    <row r="18" spans="1:2">
      <c r="A18" s="13" t="s">
        <v>42</v>
      </c>
      <c r="B18">
        <v>3</v>
      </c>
    </row>
    <row r="19" spans="1:2">
      <c r="A19" s="13" t="s">
        <v>45</v>
      </c>
      <c r="B19">
        <v>1</v>
      </c>
    </row>
    <row r="20" spans="1:2">
      <c r="A20" s="13" t="s">
        <v>44</v>
      </c>
      <c r="B20">
        <v>2</v>
      </c>
    </row>
    <row r="21" spans="1:2">
      <c r="A21" s="12" t="s">
        <v>103</v>
      </c>
      <c r="B21">
        <v>6</v>
      </c>
    </row>
    <row r="22" spans="1:2">
      <c r="A22" s="13" t="s">
        <v>48</v>
      </c>
      <c r="B22">
        <v>3</v>
      </c>
    </row>
    <row r="23" spans="1:2">
      <c r="A23" s="13" t="s">
        <v>104</v>
      </c>
      <c r="B23">
        <v>0</v>
      </c>
    </row>
    <row r="24" spans="1:2">
      <c r="A24" s="13" t="s">
        <v>47</v>
      </c>
      <c r="B24">
        <v>3</v>
      </c>
    </row>
    <row r="25" spans="1:2">
      <c r="A25" s="12" t="s">
        <v>105</v>
      </c>
      <c r="B25">
        <v>5</v>
      </c>
    </row>
    <row r="26" spans="1:2">
      <c r="A26" s="13" t="s">
        <v>39</v>
      </c>
      <c r="B26">
        <v>2</v>
      </c>
    </row>
    <row r="27" spans="1:2">
      <c r="A27" s="13" t="s">
        <v>40</v>
      </c>
      <c r="B27">
        <v>3</v>
      </c>
    </row>
    <row r="28" spans="1:2">
      <c r="A28" s="12" t="s">
        <v>102</v>
      </c>
      <c r="B28">
        <v>11</v>
      </c>
    </row>
    <row r="29" spans="1:2">
      <c r="A29" s="13" t="s">
        <v>34</v>
      </c>
      <c r="B29">
        <v>4</v>
      </c>
    </row>
    <row r="30" spans="1:2">
      <c r="A30" s="13" t="s">
        <v>35</v>
      </c>
      <c r="B30">
        <v>2</v>
      </c>
    </row>
    <row r="31" spans="1:2">
      <c r="A31" s="13" t="s">
        <v>33</v>
      </c>
      <c r="B31">
        <v>0</v>
      </c>
    </row>
    <row r="32" spans="1:2">
      <c r="A32" s="13" t="s">
        <v>32</v>
      </c>
      <c r="B32">
        <v>1</v>
      </c>
    </row>
    <row r="33" spans="1:2">
      <c r="A33" s="13" t="s">
        <v>36</v>
      </c>
      <c r="B33">
        <v>2</v>
      </c>
    </row>
    <row r="34" spans="1:2">
      <c r="A34" s="13" t="s">
        <v>37</v>
      </c>
      <c r="B34">
        <v>2</v>
      </c>
    </row>
    <row r="35" spans="1:2">
      <c r="A35" s="12" t="s">
        <v>100</v>
      </c>
      <c r="B35">
        <v>8</v>
      </c>
    </row>
    <row r="36" spans="1:2">
      <c r="A36" s="13" t="s">
        <v>29</v>
      </c>
      <c r="B36">
        <v>2</v>
      </c>
    </row>
    <row r="37" spans="1:2">
      <c r="A37" s="13" t="s">
        <v>30</v>
      </c>
      <c r="B37">
        <v>0</v>
      </c>
    </row>
    <row r="38" spans="1:2">
      <c r="A38" s="13" t="s">
        <v>27</v>
      </c>
      <c r="B38">
        <v>1</v>
      </c>
    </row>
    <row r="39" spans="1:2">
      <c r="A39" s="13" t="s">
        <v>28</v>
      </c>
      <c r="B39">
        <v>0</v>
      </c>
    </row>
    <row r="40" spans="1:2">
      <c r="A40" s="13" t="s">
        <v>26</v>
      </c>
      <c r="B40">
        <v>2</v>
      </c>
    </row>
    <row r="41" spans="1:2">
      <c r="A41" s="13" t="s">
        <v>25</v>
      </c>
      <c r="B41">
        <v>3</v>
      </c>
    </row>
    <row r="42" spans="1:2">
      <c r="A42" s="12" t="s">
        <v>98</v>
      </c>
      <c r="B42">
        <v>8</v>
      </c>
    </row>
    <row r="43" spans="1:2">
      <c r="A43" s="13" t="s">
        <v>12</v>
      </c>
      <c r="B43">
        <v>0</v>
      </c>
    </row>
    <row r="44" spans="1:2">
      <c r="A44" s="13" t="s">
        <v>11</v>
      </c>
      <c r="B44">
        <v>2</v>
      </c>
    </row>
    <row r="45" spans="1:2">
      <c r="A45" s="13" t="s">
        <v>13</v>
      </c>
      <c r="B45">
        <v>1</v>
      </c>
    </row>
    <row r="46" spans="1:2">
      <c r="A46" s="13" t="s">
        <v>15</v>
      </c>
      <c r="B46">
        <v>0</v>
      </c>
    </row>
    <row r="47" spans="1:2">
      <c r="A47" s="13" t="s">
        <v>17</v>
      </c>
      <c r="B47">
        <v>0</v>
      </c>
    </row>
    <row r="48" spans="1:2">
      <c r="A48" s="13" t="s">
        <v>14</v>
      </c>
      <c r="B48">
        <v>1</v>
      </c>
    </row>
    <row r="49" spans="1:2">
      <c r="A49" s="13" t="s">
        <v>16</v>
      </c>
      <c r="B49">
        <v>1</v>
      </c>
    </row>
    <row r="50" spans="1:2">
      <c r="A50" s="13" t="s">
        <v>10</v>
      </c>
      <c r="B50">
        <v>3</v>
      </c>
    </row>
    <row r="51" spans="1:2">
      <c r="A51" s="12" t="s">
        <v>109</v>
      </c>
      <c r="B51">
        <v>64</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5B3C8-CB13-4EB8-ADD9-AAE525209757}">
  <sheetPr>
    <outlinePr summaryBelow="0"/>
  </sheetPr>
  <dimension ref="B1:J18"/>
  <sheetViews>
    <sheetView showGridLines="0" zoomScale="84" workbookViewId="0">
      <selection activeCell="C16" sqref="C16"/>
    </sheetView>
  </sheetViews>
  <sheetFormatPr defaultRowHeight="14" outlineLevelRow="1" outlineLevelCol="1"/>
  <cols>
    <col min="3" max="3" width="5.6640625" customWidth="1"/>
    <col min="4" max="10" width="12.5" customWidth="1" outlineLevel="1"/>
  </cols>
  <sheetData>
    <row r="1" spans="2:10" ht="14.5" thickBot="1"/>
    <row r="2" spans="2:10" ht="15.5">
      <c r="B2" s="73" t="s">
        <v>168</v>
      </c>
      <c r="C2" s="73"/>
      <c r="D2" s="78"/>
      <c r="E2" s="78"/>
      <c r="F2" s="78"/>
      <c r="G2" s="78"/>
      <c r="H2" s="78"/>
      <c r="I2" s="78"/>
      <c r="J2" s="78"/>
    </row>
    <row r="3" spans="2:10" ht="15.5">
      <c r="B3" s="72"/>
      <c r="C3" s="72"/>
      <c r="D3" s="79" t="s">
        <v>170</v>
      </c>
      <c r="E3" s="79" t="s">
        <v>175</v>
      </c>
      <c r="F3" s="79" t="s">
        <v>176</v>
      </c>
      <c r="G3" s="79" t="s">
        <v>180</v>
      </c>
      <c r="H3" s="79" t="s">
        <v>179</v>
      </c>
      <c r="I3" s="79" t="s">
        <v>177</v>
      </c>
      <c r="J3" s="79" t="s">
        <v>178</v>
      </c>
    </row>
    <row r="4" spans="2:10" ht="31.5" outlineLevel="1">
      <c r="B4" s="75"/>
      <c r="C4" s="75"/>
      <c r="E4" s="81" t="s">
        <v>167</v>
      </c>
      <c r="F4" s="81" t="s">
        <v>167</v>
      </c>
      <c r="G4" s="81" t="s">
        <v>167</v>
      </c>
      <c r="H4" s="81" t="s">
        <v>167</v>
      </c>
      <c r="I4" s="81" t="s">
        <v>167</v>
      </c>
      <c r="J4" s="81" t="s">
        <v>167</v>
      </c>
    </row>
    <row r="5" spans="2:10">
      <c r="B5" s="76" t="s">
        <v>169</v>
      </c>
      <c r="C5" s="76"/>
      <c r="D5" s="74"/>
      <c r="E5" s="74"/>
      <c r="F5" s="74"/>
      <c r="G5" s="74"/>
      <c r="H5" s="74"/>
      <c r="I5" s="74"/>
      <c r="J5" s="74"/>
    </row>
    <row r="6" spans="2:10" outlineLevel="1">
      <c r="B6" s="75"/>
      <c r="C6" s="75" t="s">
        <v>165</v>
      </c>
      <c r="D6" s="71">
        <v>0.3</v>
      </c>
      <c r="E6" s="80">
        <v>0.15</v>
      </c>
      <c r="F6" s="80">
        <v>0.2</v>
      </c>
      <c r="G6" s="71">
        <v>0.3</v>
      </c>
      <c r="H6" s="71">
        <v>0.3</v>
      </c>
      <c r="I6" s="71">
        <v>0.3</v>
      </c>
      <c r="J6" s="71">
        <v>0.3</v>
      </c>
    </row>
    <row r="7" spans="2:10" outlineLevel="1">
      <c r="B7" s="75"/>
      <c r="C7" s="75" t="s">
        <v>166</v>
      </c>
      <c r="D7" s="71">
        <v>0.1</v>
      </c>
      <c r="E7" s="80">
        <v>0.25</v>
      </c>
      <c r="F7" s="80">
        <v>0.2</v>
      </c>
      <c r="G7" s="71">
        <v>0.1</v>
      </c>
      <c r="H7" s="71">
        <v>0.1</v>
      </c>
      <c r="I7" s="71">
        <v>0.1</v>
      </c>
      <c r="J7" s="71">
        <v>0.1</v>
      </c>
    </row>
    <row r="8" spans="2:10" outlineLevel="1">
      <c r="B8" s="75"/>
      <c r="C8" s="75" t="s">
        <v>181</v>
      </c>
      <c r="D8" s="71">
        <v>0.32</v>
      </c>
      <c r="E8" s="71">
        <v>0.32</v>
      </c>
      <c r="F8" s="71">
        <v>0.32</v>
      </c>
      <c r="G8" s="80">
        <v>0.3</v>
      </c>
      <c r="H8" s="80">
        <v>0.25</v>
      </c>
      <c r="I8" s="71">
        <v>0.32</v>
      </c>
      <c r="J8" s="71">
        <v>0.32</v>
      </c>
    </row>
    <row r="9" spans="2:10" outlineLevel="1">
      <c r="B9" s="75"/>
      <c r="C9" s="75" t="s">
        <v>182</v>
      </c>
      <c r="D9" s="71">
        <v>0.1</v>
      </c>
      <c r="E9" s="71">
        <v>0.1</v>
      </c>
      <c r="F9" s="71">
        <v>0.1</v>
      </c>
      <c r="G9" s="80">
        <v>0.12</v>
      </c>
      <c r="H9" s="80">
        <v>0.1</v>
      </c>
      <c r="I9" s="71">
        <v>0.1</v>
      </c>
      <c r="J9" s="71">
        <v>0.1</v>
      </c>
    </row>
    <row r="10" spans="2:10" outlineLevel="1">
      <c r="B10" s="75"/>
      <c r="C10" s="75" t="s">
        <v>183</v>
      </c>
      <c r="D10" s="71">
        <v>0.35</v>
      </c>
      <c r="E10" s="71">
        <v>0.35</v>
      </c>
      <c r="F10" s="71">
        <v>0.35</v>
      </c>
      <c r="G10" s="71">
        <v>0.35</v>
      </c>
      <c r="H10" s="71">
        <v>0.35</v>
      </c>
      <c r="I10" s="80">
        <v>0.3</v>
      </c>
      <c r="J10" s="80">
        <v>0.25</v>
      </c>
    </row>
    <row r="11" spans="2:10" outlineLevel="1">
      <c r="B11" s="75"/>
      <c r="C11" s="75" t="s">
        <v>184</v>
      </c>
      <c r="D11" s="71">
        <v>0.1</v>
      </c>
      <c r="E11" s="71">
        <v>0.1</v>
      </c>
      <c r="F11" s="71">
        <v>0.1</v>
      </c>
      <c r="G11" s="71">
        <v>0.1</v>
      </c>
      <c r="H11" s="71">
        <v>0.1</v>
      </c>
      <c r="I11" s="80">
        <v>0.15</v>
      </c>
      <c r="J11" s="80">
        <v>0.2</v>
      </c>
    </row>
    <row r="12" spans="2:10">
      <c r="B12" s="76" t="s">
        <v>171</v>
      </c>
      <c r="C12" s="76"/>
      <c r="D12" s="74"/>
      <c r="E12" s="74"/>
      <c r="F12" s="74"/>
      <c r="G12" s="74"/>
      <c r="H12" s="74"/>
      <c r="I12" s="74"/>
      <c r="J12" s="74"/>
    </row>
    <row r="13" spans="2:10" outlineLevel="1">
      <c r="B13" s="75"/>
      <c r="C13" s="75" t="s">
        <v>185</v>
      </c>
      <c r="D13" s="71">
        <v>0.15286097147405001</v>
      </c>
      <c r="E13" s="71">
        <v>6.2324811106412303E-2</v>
      </c>
      <c r="F13" s="71">
        <v>8.9291256611968406E-2</v>
      </c>
      <c r="G13" s="71">
        <v>0.15286097147405001</v>
      </c>
      <c r="H13" s="71">
        <v>0.15286097147405001</v>
      </c>
      <c r="I13" s="71">
        <v>0.15286097147405001</v>
      </c>
      <c r="J13" s="71">
        <v>0.15286097147405001</v>
      </c>
    </row>
    <row r="14" spans="2:10" outlineLevel="1">
      <c r="B14" s="75"/>
      <c r="C14" s="75" t="s">
        <v>186</v>
      </c>
      <c r="D14" s="71">
        <v>0.15562726480865</v>
      </c>
      <c r="E14" s="71">
        <v>0.15562726480865</v>
      </c>
      <c r="F14" s="71">
        <v>0.15562726480865</v>
      </c>
      <c r="G14" s="71">
        <v>0.142224490300772</v>
      </c>
      <c r="H14" s="71">
        <v>0.120287869297067</v>
      </c>
      <c r="I14" s="71">
        <v>0.15562726480865</v>
      </c>
      <c r="J14" s="71">
        <v>0.15562726480865</v>
      </c>
    </row>
    <row r="15" spans="2:10" ht="14.5" outlineLevel="1" thickBot="1">
      <c r="B15" s="77"/>
      <c r="C15" s="77" t="s">
        <v>187</v>
      </c>
      <c r="D15" s="82">
        <v>0.292124002987106</v>
      </c>
      <c r="E15" s="82">
        <v>0.292124002987106</v>
      </c>
      <c r="F15" s="82">
        <v>0.292124002987106</v>
      </c>
      <c r="G15" s="82">
        <v>0.292124002987106</v>
      </c>
      <c r="H15" s="82">
        <v>0.292124002987106</v>
      </c>
      <c r="I15" s="82">
        <v>0.23359928027468199</v>
      </c>
      <c r="J15" s="82">
        <v>0.18094230366846201</v>
      </c>
    </row>
    <row r="16" spans="2:10">
      <c r="B16" t="s">
        <v>172</v>
      </c>
    </row>
    <row r="17" spans="2:2">
      <c r="B17" t="s">
        <v>173</v>
      </c>
    </row>
    <row r="18" spans="2:2">
      <c r="B18" t="s">
        <v>174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C0FD1-8900-40B3-A283-B03987C0530F}">
  <dimension ref="A1:E6"/>
  <sheetViews>
    <sheetView workbookViewId="0">
      <selection activeCell="G12" sqref="G12"/>
    </sheetView>
  </sheetViews>
  <sheetFormatPr defaultRowHeight="14"/>
  <cols>
    <col min="1" max="1" width="14.4140625" customWidth="1"/>
    <col min="2" max="2" width="20" customWidth="1"/>
    <col min="3" max="3" width="13.4140625" customWidth="1"/>
    <col min="4" max="4" width="16.1640625" customWidth="1"/>
    <col min="5" max="5" width="18.4140625" customWidth="1"/>
  </cols>
  <sheetData>
    <row r="1" spans="1:5" ht="30">
      <c r="B1" s="166" t="s">
        <v>330</v>
      </c>
      <c r="C1" s="166"/>
      <c r="D1" s="166"/>
    </row>
    <row r="2" spans="1:5">
      <c r="A2" s="3" t="s">
        <v>331</v>
      </c>
      <c r="B2" s="140">
        <v>0.3</v>
      </c>
      <c r="D2" s="3" t="s">
        <v>331</v>
      </c>
      <c r="E2" s="140">
        <v>0.71578812881343556</v>
      </c>
    </row>
    <row r="3" spans="1:5">
      <c r="A3" s="3" t="s">
        <v>332</v>
      </c>
      <c r="B3" s="3">
        <v>12</v>
      </c>
      <c r="C3" s="71"/>
      <c r="D3" s="3" t="s">
        <v>332</v>
      </c>
      <c r="E3" s="3">
        <v>12</v>
      </c>
    </row>
    <row r="4" spans="1:5">
      <c r="A4" s="8" t="s">
        <v>333</v>
      </c>
      <c r="B4" s="8">
        <v>126000000</v>
      </c>
      <c r="D4" s="8" t="s">
        <v>333</v>
      </c>
      <c r="E4" s="8">
        <v>126000000</v>
      </c>
    </row>
    <row r="5" spans="1:5">
      <c r="A5" s="3"/>
      <c r="B5" s="3"/>
      <c r="D5" s="3"/>
      <c r="E5" s="3"/>
    </row>
    <row r="6" spans="1:5">
      <c r="A6" s="3" t="s">
        <v>334</v>
      </c>
      <c r="B6" s="141">
        <f>PMT(B2/12,B3,-B4)</f>
        <v>12283378.000530582</v>
      </c>
      <c r="D6" s="3" t="s">
        <v>334</v>
      </c>
      <c r="E6" s="141">
        <f>PMT(E2/12,E3,-E4)</f>
        <v>15000000.000023594</v>
      </c>
    </row>
  </sheetData>
  <mergeCells count="1">
    <mergeCell ref="B1:D1"/>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C63B3-79BB-4481-8BFA-2CB75B5C6FDC}">
  <dimension ref="A1:L131"/>
  <sheetViews>
    <sheetView topLeftCell="A90" zoomScale="55" zoomScaleNormal="55" workbookViewId="0">
      <selection activeCell="N101" sqref="N101"/>
    </sheetView>
  </sheetViews>
  <sheetFormatPr defaultRowHeight="14" outlineLevelRow="1"/>
  <cols>
    <col min="1" max="1" width="18.4140625" customWidth="1"/>
    <col min="2" max="2" width="41" customWidth="1"/>
    <col min="3" max="3" width="19.1640625" customWidth="1"/>
    <col min="4" max="4" width="22" style="22" customWidth="1"/>
    <col min="5" max="5" width="13.5" style="22" customWidth="1"/>
    <col min="6" max="6" width="18.6640625" style="22" customWidth="1"/>
    <col min="7" max="8" width="21.83203125" customWidth="1"/>
    <col min="9" max="10" width="21.83203125" style="16" customWidth="1"/>
    <col min="11" max="11" width="15.9140625" customWidth="1"/>
    <col min="12" max="12" width="16.5" style="22" customWidth="1"/>
  </cols>
  <sheetData>
    <row r="1" spans="1:12">
      <c r="A1" s="168" t="s">
        <v>146</v>
      </c>
      <c r="B1" s="168"/>
      <c r="C1" s="168"/>
      <c r="D1" s="168"/>
      <c r="E1" s="168"/>
      <c r="F1" s="168"/>
      <c r="G1" s="168"/>
      <c r="H1" s="168"/>
      <c r="I1" s="168"/>
      <c r="J1" s="168"/>
      <c r="K1" s="168"/>
      <c r="L1" s="168"/>
    </row>
    <row r="2" spans="1:12">
      <c r="A2" s="168"/>
      <c r="B2" s="168"/>
      <c r="C2" s="168"/>
      <c r="D2" s="168"/>
      <c r="E2" s="168"/>
      <c r="F2" s="168"/>
      <c r="G2" s="168"/>
      <c r="H2" s="168"/>
      <c r="I2" s="168"/>
      <c r="J2" s="168"/>
      <c r="K2" s="168"/>
      <c r="L2" s="168"/>
    </row>
    <row r="3" spans="1:12">
      <c r="A3" s="169"/>
      <c r="B3" s="169"/>
      <c r="C3" s="169"/>
      <c r="D3" s="169"/>
      <c r="E3" s="169"/>
      <c r="F3" s="169"/>
      <c r="G3" s="169"/>
      <c r="H3" s="169"/>
      <c r="I3" s="169"/>
      <c r="J3" s="169"/>
      <c r="K3" s="169"/>
      <c r="L3" s="169"/>
    </row>
    <row r="4" spans="1:12">
      <c r="A4" s="32" t="s">
        <v>94</v>
      </c>
      <c r="B4" s="33" t="s">
        <v>95</v>
      </c>
      <c r="C4" s="33" t="s">
        <v>90</v>
      </c>
      <c r="D4" s="33" t="s">
        <v>135</v>
      </c>
      <c r="E4" s="33" t="s">
        <v>136</v>
      </c>
      <c r="F4" s="33" t="s">
        <v>137</v>
      </c>
      <c r="G4" s="33" t="s">
        <v>140</v>
      </c>
      <c r="H4" s="33" t="s">
        <v>141</v>
      </c>
      <c r="I4" s="34" t="s">
        <v>142</v>
      </c>
      <c r="J4" s="34" t="s">
        <v>143</v>
      </c>
      <c r="K4" s="33" t="s">
        <v>144</v>
      </c>
      <c r="L4" s="35" t="s">
        <v>139</v>
      </c>
    </row>
    <row r="5" spans="1:12" outlineLevel="1">
      <c r="A5" s="30" t="s">
        <v>51</v>
      </c>
      <c r="B5" s="10" t="s">
        <v>4</v>
      </c>
      <c r="C5" s="14">
        <v>140000000</v>
      </c>
      <c r="D5" s="17">
        <v>12</v>
      </c>
      <c r="E5" s="21">
        <v>0.3</v>
      </c>
      <c r="F5" s="21">
        <v>0.1</v>
      </c>
      <c r="G5" s="18">
        <f>F5*C5</f>
        <v>14000000</v>
      </c>
      <c r="H5" s="18">
        <f>C5-G5</f>
        <v>126000000</v>
      </c>
      <c r="I5" s="23">
        <f>PMT(E5/12,D5,-H5)</f>
        <v>12283378.000530582</v>
      </c>
      <c r="J5" s="23">
        <f>I5*D5+G5</f>
        <v>161400536.00636697</v>
      </c>
      <c r="K5" s="24">
        <f>J5-C5</f>
        <v>21400536.006366968</v>
      </c>
      <c r="L5" s="31">
        <f>K5/C5</f>
        <v>0.15286097147404978</v>
      </c>
    </row>
    <row r="6" spans="1:12" outlineLevel="1">
      <c r="A6" s="30" t="s">
        <v>52</v>
      </c>
      <c r="B6" s="10" t="s">
        <v>5</v>
      </c>
      <c r="C6" s="15">
        <v>148500000</v>
      </c>
      <c r="D6" s="17">
        <v>12</v>
      </c>
      <c r="E6" s="21">
        <v>0.3</v>
      </c>
      <c r="F6" s="21">
        <v>0.1</v>
      </c>
      <c r="G6" s="18">
        <f t="shared" ref="G6:G69" si="0">F6*C6</f>
        <v>14850000</v>
      </c>
      <c r="H6" s="18">
        <f t="shared" ref="H6:H43" si="1">C6-G6</f>
        <v>133650000</v>
      </c>
      <c r="I6" s="23">
        <f t="shared" ref="I6:I43" si="2">PMT(E6/12,D6,-H6)</f>
        <v>13029154.521991367</v>
      </c>
      <c r="J6" s="23">
        <f t="shared" ref="J6:J43" si="3">I6*D6+G6</f>
        <v>171199854.26389641</v>
      </c>
      <c r="K6" s="24">
        <f t="shared" ref="K6:K43" si="4">J6-C6</f>
        <v>22699854.263896406</v>
      </c>
      <c r="L6" s="31">
        <f t="shared" ref="L6:L43" si="5">K6/C6</f>
        <v>0.15286097147404987</v>
      </c>
    </row>
    <row r="7" spans="1:12" outlineLevel="1">
      <c r="A7" s="30" t="s">
        <v>53</v>
      </c>
      <c r="B7" s="10" t="s">
        <v>6</v>
      </c>
      <c r="C7" s="15">
        <v>163500000</v>
      </c>
      <c r="D7" s="17">
        <v>12</v>
      </c>
      <c r="E7" s="21">
        <v>0.3</v>
      </c>
      <c r="F7" s="21">
        <v>0.1</v>
      </c>
      <c r="G7" s="18">
        <f t="shared" si="0"/>
        <v>16350000</v>
      </c>
      <c r="H7" s="18">
        <f t="shared" si="1"/>
        <v>147150000</v>
      </c>
      <c r="I7" s="23">
        <f t="shared" si="2"/>
        <v>14345230.736333929</v>
      </c>
      <c r="J7" s="23">
        <f t="shared" si="3"/>
        <v>188492768.83600715</v>
      </c>
      <c r="K7" s="24">
        <f t="shared" si="4"/>
        <v>24992768.836007148</v>
      </c>
      <c r="L7" s="31">
        <f t="shared" si="5"/>
        <v>0.15286097147404984</v>
      </c>
    </row>
    <row r="8" spans="1:12" outlineLevel="1">
      <c r="A8" s="30" t="s">
        <v>54</v>
      </c>
      <c r="B8" s="10" t="s">
        <v>7</v>
      </c>
      <c r="C8" s="15">
        <v>176000000</v>
      </c>
      <c r="D8" s="17">
        <v>12</v>
      </c>
      <c r="E8" s="21">
        <v>0.3</v>
      </c>
      <c r="F8" s="21">
        <v>0.1</v>
      </c>
      <c r="G8" s="18">
        <f t="shared" si="0"/>
        <v>17600000</v>
      </c>
      <c r="H8" s="18">
        <f t="shared" si="1"/>
        <v>158400000</v>
      </c>
      <c r="I8" s="23">
        <f t="shared" si="2"/>
        <v>15441960.914952731</v>
      </c>
      <c r="J8" s="23">
        <f t="shared" si="3"/>
        <v>202903530.97943276</v>
      </c>
      <c r="K8" s="24">
        <f t="shared" si="4"/>
        <v>26903530.979432762</v>
      </c>
      <c r="L8" s="31">
        <f t="shared" si="5"/>
        <v>0.15286097147404978</v>
      </c>
    </row>
    <row r="9" spans="1:12" outlineLevel="1">
      <c r="A9" s="30" t="s">
        <v>55</v>
      </c>
      <c r="B9" s="10" t="s">
        <v>8</v>
      </c>
      <c r="C9" s="15">
        <v>191000000</v>
      </c>
      <c r="D9" s="17">
        <v>12</v>
      </c>
      <c r="E9" s="21">
        <v>0.3</v>
      </c>
      <c r="F9" s="21">
        <v>0.1</v>
      </c>
      <c r="G9" s="18">
        <f t="shared" si="0"/>
        <v>19100000</v>
      </c>
      <c r="H9" s="18">
        <f t="shared" si="1"/>
        <v>171900000</v>
      </c>
      <c r="I9" s="23">
        <f t="shared" si="2"/>
        <v>16758037.129295293</v>
      </c>
      <c r="J9" s="23">
        <f t="shared" si="3"/>
        <v>220196445.55154353</v>
      </c>
      <c r="K9" s="24">
        <f t="shared" si="4"/>
        <v>29196445.551543534</v>
      </c>
      <c r="L9" s="31">
        <f t="shared" si="5"/>
        <v>0.15286097147404992</v>
      </c>
    </row>
    <row r="10" spans="1:12" outlineLevel="1">
      <c r="A10" s="30" t="s">
        <v>56</v>
      </c>
      <c r="B10" s="10" t="s">
        <v>10</v>
      </c>
      <c r="C10" s="15">
        <v>195500000</v>
      </c>
      <c r="D10" s="17">
        <v>12</v>
      </c>
      <c r="E10" s="21">
        <v>0.3</v>
      </c>
      <c r="F10" s="21">
        <v>0.1</v>
      </c>
      <c r="G10" s="18">
        <f t="shared" si="0"/>
        <v>19550000</v>
      </c>
      <c r="H10" s="18">
        <f t="shared" si="1"/>
        <v>175950000</v>
      </c>
      <c r="I10" s="23">
        <f t="shared" si="2"/>
        <v>17152859.993598059</v>
      </c>
      <c r="J10" s="23">
        <f t="shared" si="3"/>
        <v>225384319.92317671</v>
      </c>
      <c r="K10" s="24">
        <f t="shared" si="4"/>
        <v>29884319.923176706</v>
      </c>
      <c r="L10" s="31">
        <f t="shared" si="5"/>
        <v>0.15286097147404965</v>
      </c>
    </row>
    <row r="11" spans="1:12" outlineLevel="1">
      <c r="A11" s="30" t="s">
        <v>57</v>
      </c>
      <c r="B11" s="10" t="s">
        <v>11</v>
      </c>
      <c r="C11" s="15">
        <v>216000000</v>
      </c>
      <c r="D11" s="17">
        <v>12</v>
      </c>
      <c r="E11" s="21">
        <v>0.3</v>
      </c>
      <c r="F11" s="21">
        <v>0.1</v>
      </c>
      <c r="G11" s="18">
        <f t="shared" si="0"/>
        <v>21600000</v>
      </c>
      <c r="H11" s="18">
        <f t="shared" si="1"/>
        <v>194400000</v>
      </c>
      <c r="I11" s="23">
        <f t="shared" si="2"/>
        <v>18951497.486532897</v>
      </c>
      <c r="J11" s="23">
        <f t="shared" si="3"/>
        <v>249017969.83839476</v>
      </c>
      <c r="K11" s="24">
        <f t="shared" si="4"/>
        <v>33017969.838394761</v>
      </c>
      <c r="L11" s="31">
        <f t="shared" si="5"/>
        <v>0.15286097147404981</v>
      </c>
    </row>
    <row r="12" spans="1:12" outlineLevel="1">
      <c r="A12" s="30" t="s">
        <v>58</v>
      </c>
      <c r="B12" s="10" t="s">
        <v>12</v>
      </c>
      <c r="C12" s="15">
        <v>227000000</v>
      </c>
      <c r="D12" s="17">
        <v>12</v>
      </c>
      <c r="E12" s="21">
        <v>0.3</v>
      </c>
      <c r="F12" s="21">
        <v>0.1</v>
      </c>
      <c r="G12" s="18">
        <f t="shared" si="0"/>
        <v>22700000</v>
      </c>
      <c r="H12" s="18">
        <f t="shared" si="1"/>
        <v>204300000</v>
      </c>
      <c r="I12" s="23">
        <f t="shared" si="2"/>
        <v>19916620.043717444</v>
      </c>
      <c r="J12" s="23">
        <f t="shared" si="3"/>
        <v>261699440.52460933</v>
      </c>
      <c r="K12" s="24">
        <f t="shared" si="4"/>
        <v>34699440.524609327</v>
      </c>
      <c r="L12" s="31">
        <f t="shared" si="5"/>
        <v>0.15286097147404989</v>
      </c>
    </row>
    <row r="13" spans="1:12" outlineLevel="1">
      <c r="A13" s="30" t="s">
        <v>59</v>
      </c>
      <c r="B13" s="10" t="s">
        <v>13</v>
      </c>
      <c r="C13" s="15">
        <v>231400000</v>
      </c>
      <c r="D13" s="17">
        <v>12</v>
      </c>
      <c r="E13" s="21">
        <v>0.3</v>
      </c>
      <c r="F13" s="21">
        <v>0.1</v>
      </c>
      <c r="G13" s="18">
        <f t="shared" si="0"/>
        <v>23140000</v>
      </c>
      <c r="H13" s="18">
        <f t="shared" si="1"/>
        <v>208260000</v>
      </c>
      <c r="I13" s="23">
        <f t="shared" si="2"/>
        <v>20302669.066591263</v>
      </c>
      <c r="J13" s="23">
        <f t="shared" si="3"/>
        <v>266772028.79909515</v>
      </c>
      <c r="K13" s="24">
        <f t="shared" si="4"/>
        <v>35372028.799095154</v>
      </c>
      <c r="L13" s="31">
        <f t="shared" si="5"/>
        <v>0.15286097147404992</v>
      </c>
    </row>
    <row r="14" spans="1:12" outlineLevel="1">
      <c r="A14" s="30" t="s">
        <v>60</v>
      </c>
      <c r="B14" s="10" t="s">
        <v>14</v>
      </c>
      <c r="C14" s="15">
        <v>237500000</v>
      </c>
      <c r="D14" s="17">
        <v>12</v>
      </c>
      <c r="E14" s="21">
        <v>0.3</v>
      </c>
      <c r="F14" s="21">
        <v>0.1</v>
      </c>
      <c r="G14" s="18">
        <f t="shared" si="0"/>
        <v>23750000</v>
      </c>
      <c r="H14" s="18">
        <f t="shared" si="1"/>
        <v>213750000</v>
      </c>
      <c r="I14" s="23">
        <f t="shared" si="2"/>
        <v>20837873.393757239</v>
      </c>
      <c r="J14" s="23">
        <f t="shared" si="3"/>
        <v>273804480.72508687</v>
      </c>
      <c r="K14" s="24">
        <f t="shared" si="4"/>
        <v>36304480.725086868</v>
      </c>
      <c r="L14" s="31">
        <f t="shared" si="5"/>
        <v>0.15286097147404998</v>
      </c>
    </row>
    <row r="15" spans="1:12" outlineLevel="1">
      <c r="A15" s="30" t="s">
        <v>61</v>
      </c>
      <c r="B15" s="10" t="s">
        <v>15</v>
      </c>
      <c r="C15" s="15">
        <v>248000000</v>
      </c>
      <c r="D15" s="17">
        <v>12</v>
      </c>
      <c r="E15" s="21">
        <v>0.3</v>
      </c>
      <c r="F15" s="21">
        <v>0.1</v>
      </c>
      <c r="G15" s="18">
        <f t="shared" si="0"/>
        <v>24800000</v>
      </c>
      <c r="H15" s="18">
        <f t="shared" si="1"/>
        <v>223200000</v>
      </c>
      <c r="I15" s="23">
        <f t="shared" si="2"/>
        <v>21759126.74379703</v>
      </c>
      <c r="J15" s="23">
        <f t="shared" si="3"/>
        <v>285909520.92556435</v>
      </c>
      <c r="K15" s="24">
        <f t="shared" si="4"/>
        <v>37909520.925564349</v>
      </c>
      <c r="L15" s="31">
        <f t="shared" si="5"/>
        <v>0.15286097147404978</v>
      </c>
    </row>
    <row r="16" spans="1:12" outlineLevel="1">
      <c r="A16" s="30" t="s">
        <v>62</v>
      </c>
      <c r="B16" s="10" t="s">
        <v>16</v>
      </c>
      <c r="C16" s="15">
        <v>239000000</v>
      </c>
      <c r="D16" s="17">
        <v>12</v>
      </c>
      <c r="E16" s="21">
        <v>0.3</v>
      </c>
      <c r="F16" s="21">
        <v>0.1</v>
      </c>
      <c r="G16" s="18">
        <f t="shared" si="0"/>
        <v>23900000</v>
      </c>
      <c r="H16" s="18">
        <f t="shared" si="1"/>
        <v>215100000</v>
      </c>
      <c r="I16" s="23">
        <f t="shared" si="2"/>
        <v>20969481.015191495</v>
      </c>
      <c r="J16" s="23">
        <f t="shared" si="3"/>
        <v>275533772.18229795</v>
      </c>
      <c r="K16" s="24">
        <f t="shared" si="4"/>
        <v>36533772.182297945</v>
      </c>
      <c r="L16" s="31">
        <f t="shared" si="5"/>
        <v>0.15286097147404998</v>
      </c>
    </row>
    <row r="17" spans="1:12" outlineLevel="1">
      <c r="A17" s="30" t="s">
        <v>63</v>
      </c>
      <c r="B17" s="10" t="s">
        <v>17</v>
      </c>
      <c r="C17" s="15">
        <v>249500000</v>
      </c>
      <c r="D17" s="17">
        <v>12</v>
      </c>
      <c r="E17" s="21">
        <v>0.3</v>
      </c>
      <c r="F17" s="21">
        <v>0.1</v>
      </c>
      <c r="G17" s="18">
        <f t="shared" si="0"/>
        <v>24950000</v>
      </c>
      <c r="H17" s="18">
        <f t="shared" si="1"/>
        <v>224550000</v>
      </c>
      <c r="I17" s="23">
        <f t="shared" si="2"/>
        <v>21890734.365231287</v>
      </c>
      <c r="J17" s="23">
        <f t="shared" si="3"/>
        <v>287638812.38277543</v>
      </c>
      <c r="K17" s="24">
        <f t="shared" si="4"/>
        <v>38138812.382775426</v>
      </c>
      <c r="L17" s="31">
        <f t="shared" si="5"/>
        <v>0.15286097147404981</v>
      </c>
    </row>
    <row r="18" spans="1:12" outlineLevel="1">
      <c r="A18" s="30" t="s">
        <v>64</v>
      </c>
      <c r="B18" s="10" t="s">
        <v>20</v>
      </c>
      <c r="C18" s="14">
        <v>239500000</v>
      </c>
      <c r="D18" s="17">
        <v>12</v>
      </c>
      <c r="E18" s="21">
        <v>0.3</v>
      </c>
      <c r="F18" s="21">
        <v>0.1</v>
      </c>
      <c r="G18" s="18">
        <f t="shared" si="0"/>
        <v>23950000</v>
      </c>
      <c r="H18" s="18">
        <f t="shared" si="1"/>
        <v>215550000</v>
      </c>
      <c r="I18" s="23">
        <f t="shared" si="2"/>
        <v>21013350.222336244</v>
      </c>
      <c r="J18" s="23">
        <f t="shared" si="3"/>
        <v>276110202.66803491</v>
      </c>
      <c r="K18" s="24">
        <f t="shared" si="4"/>
        <v>36610202.668034911</v>
      </c>
      <c r="L18" s="31">
        <f t="shared" si="5"/>
        <v>0.15286097147404973</v>
      </c>
    </row>
    <row r="19" spans="1:12" outlineLevel="1">
      <c r="A19" s="30" t="s">
        <v>65</v>
      </c>
      <c r="B19" s="10" t="s">
        <v>21</v>
      </c>
      <c r="C19" s="14">
        <v>250500000</v>
      </c>
      <c r="D19" s="17">
        <v>12</v>
      </c>
      <c r="E19" s="21">
        <v>0.3</v>
      </c>
      <c r="F19" s="21">
        <v>0.1</v>
      </c>
      <c r="G19" s="18">
        <f t="shared" si="0"/>
        <v>25050000</v>
      </c>
      <c r="H19" s="18">
        <f t="shared" si="1"/>
        <v>225450000</v>
      </c>
      <c r="I19" s="23">
        <f t="shared" si="2"/>
        <v>21978472.779520791</v>
      </c>
      <c r="J19" s="23">
        <f t="shared" si="3"/>
        <v>288791673.35424948</v>
      </c>
      <c r="K19" s="24">
        <f t="shared" si="4"/>
        <v>38291673.354249477</v>
      </c>
      <c r="L19" s="31">
        <f t="shared" si="5"/>
        <v>0.15286097147404981</v>
      </c>
    </row>
    <row r="20" spans="1:12" outlineLevel="1">
      <c r="A20" s="30" t="s">
        <v>66</v>
      </c>
      <c r="B20" s="10" t="s">
        <v>22</v>
      </c>
      <c r="C20" s="14">
        <v>260500000</v>
      </c>
      <c r="D20" s="17">
        <v>12</v>
      </c>
      <c r="E20" s="21">
        <v>0.3</v>
      </c>
      <c r="F20" s="21">
        <v>0.1</v>
      </c>
      <c r="G20" s="18">
        <f t="shared" si="0"/>
        <v>26050000</v>
      </c>
      <c r="H20" s="18">
        <f t="shared" si="1"/>
        <v>234450000</v>
      </c>
      <c r="I20" s="23">
        <f t="shared" si="2"/>
        <v>22855856.922415834</v>
      </c>
      <c r="J20" s="23">
        <f t="shared" si="3"/>
        <v>300320283.06898999</v>
      </c>
      <c r="K20" s="24">
        <f t="shared" si="4"/>
        <v>39820283.068989992</v>
      </c>
      <c r="L20" s="31">
        <f t="shared" si="5"/>
        <v>0.15286097147404987</v>
      </c>
    </row>
    <row r="21" spans="1:12" outlineLevel="1">
      <c r="A21" s="30" t="s">
        <v>67</v>
      </c>
      <c r="B21" s="10" t="s">
        <v>23</v>
      </c>
      <c r="C21" s="14">
        <v>275500000</v>
      </c>
      <c r="D21" s="17">
        <v>12</v>
      </c>
      <c r="E21" s="21">
        <v>0.3</v>
      </c>
      <c r="F21" s="21">
        <v>0.1</v>
      </c>
      <c r="G21" s="18">
        <f t="shared" si="0"/>
        <v>27550000</v>
      </c>
      <c r="H21" s="18">
        <f t="shared" si="1"/>
        <v>247950000</v>
      </c>
      <c r="I21" s="23">
        <f t="shared" si="2"/>
        <v>24171933.136758395</v>
      </c>
      <c r="J21" s="23">
        <f t="shared" si="3"/>
        <v>317613197.64110076</v>
      </c>
      <c r="K21" s="24">
        <f t="shared" si="4"/>
        <v>42113197.641100764</v>
      </c>
      <c r="L21" s="31">
        <f t="shared" si="5"/>
        <v>0.15286097147404995</v>
      </c>
    </row>
    <row r="22" spans="1:12" outlineLevel="1">
      <c r="A22" s="30" t="s">
        <v>68</v>
      </c>
      <c r="B22" s="10" t="s">
        <v>25</v>
      </c>
      <c r="C22" s="14">
        <v>240500000</v>
      </c>
      <c r="D22" s="17">
        <v>12</v>
      </c>
      <c r="E22" s="21">
        <v>0.3</v>
      </c>
      <c r="F22" s="21">
        <v>0.1</v>
      </c>
      <c r="G22" s="18">
        <f t="shared" si="0"/>
        <v>24050000</v>
      </c>
      <c r="H22" s="18">
        <f t="shared" si="1"/>
        <v>216450000</v>
      </c>
      <c r="I22" s="23">
        <f t="shared" si="2"/>
        <v>21101088.636625748</v>
      </c>
      <c r="J22" s="23">
        <f t="shared" si="3"/>
        <v>277263063.63950896</v>
      </c>
      <c r="K22" s="24">
        <f t="shared" si="4"/>
        <v>36763063.639508963</v>
      </c>
      <c r="L22" s="31">
        <f t="shared" si="5"/>
        <v>0.15286097147404973</v>
      </c>
    </row>
    <row r="23" spans="1:12" outlineLevel="1">
      <c r="A23" s="30" t="s">
        <v>69</v>
      </c>
      <c r="B23" s="10" t="s">
        <v>26</v>
      </c>
      <c r="C23" s="14">
        <v>271000000</v>
      </c>
      <c r="D23" s="17">
        <v>12</v>
      </c>
      <c r="E23" s="21">
        <v>0.3</v>
      </c>
      <c r="F23" s="21">
        <v>0.1</v>
      </c>
      <c r="G23" s="18">
        <f t="shared" si="0"/>
        <v>27100000</v>
      </c>
      <c r="H23" s="18">
        <f t="shared" si="1"/>
        <v>243900000</v>
      </c>
      <c r="I23" s="23">
        <f t="shared" si="2"/>
        <v>23777110.272455625</v>
      </c>
      <c r="J23" s="23">
        <f t="shared" si="3"/>
        <v>312425323.26946747</v>
      </c>
      <c r="K23" s="24">
        <f t="shared" si="4"/>
        <v>41425323.269467473</v>
      </c>
      <c r="L23" s="31">
        <f t="shared" si="5"/>
        <v>0.15286097147404973</v>
      </c>
    </row>
    <row r="24" spans="1:12" outlineLevel="1">
      <c r="A24" s="30" t="s">
        <v>70</v>
      </c>
      <c r="B24" s="10" t="s">
        <v>28</v>
      </c>
      <c r="C24" s="14">
        <v>272500000</v>
      </c>
      <c r="D24" s="17">
        <v>12</v>
      </c>
      <c r="E24" s="21">
        <v>0.3</v>
      </c>
      <c r="F24" s="21">
        <v>0.1</v>
      </c>
      <c r="G24" s="18">
        <f t="shared" si="0"/>
        <v>27250000</v>
      </c>
      <c r="H24" s="18">
        <f t="shared" si="1"/>
        <v>245250000</v>
      </c>
      <c r="I24" s="23">
        <f t="shared" si="2"/>
        <v>23908717.893889882</v>
      </c>
      <c r="J24" s="23">
        <f t="shared" si="3"/>
        <v>314154614.72667861</v>
      </c>
      <c r="K24" s="24">
        <f t="shared" si="4"/>
        <v>41654614.72667861</v>
      </c>
      <c r="L24" s="31">
        <f t="shared" si="5"/>
        <v>0.15286097147404995</v>
      </c>
    </row>
    <row r="25" spans="1:12" outlineLevel="1">
      <c r="A25" s="30" t="s">
        <v>71</v>
      </c>
      <c r="B25" s="10" t="s">
        <v>29</v>
      </c>
      <c r="C25" s="14">
        <v>275000000</v>
      </c>
      <c r="D25" s="17">
        <v>12</v>
      </c>
      <c r="E25" s="21">
        <v>0.3</v>
      </c>
      <c r="F25" s="21">
        <v>0.1</v>
      </c>
      <c r="G25" s="18">
        <f t="shared" si="0"/>
        <v>27500000</v>
      </c>
      <c r="H25" s="18">
        <f t="shared" si="1"/>
        <v>247500000</v>
      </c>
      <c r="I25" s="23">
        <f t="shared" si="2"/>
        <v>24128063.929613642</v>
      </c>
      <c r="J25" s="23">
        <f t="shared" si="3"/>
        <v>317036767.15536368</v>
      </c>
      <c r="K25" s="24">
        <f t="shared" si="4"/>
        <v>42036767.155363679</v>
      </c>
      <c r="L25" s="31">
        <f t="shared" si="5"/>
        <v>0.15286097147404973</v>
      </c>
    </row>
    <row r="26" spans="1:12" outlineLevel="1">
      <c r="A26" s="30" t="s">
        <v>72</v>
      </c>
      <c r="B26" s="10" t="s">
        <v>27</v>
      </c>
      <c r="C26" s="14">
        <v>281000000</v>
      </c>
      <c r="D26" s="17">
        <v>12</v>
      </c>
      <c r="E26" s="21">
        <v>0.3</v>
      </c>
      <c r="F26" s="21">
        <v>0.1</v>
      </c>
      <c r="G26" s="18">
        <f t="shared" si="0"/>
        <v>28100000</v>
      </c>
      <c r="H26" s="18">
        <f t="shared" si="1"/>
        <v>252900000</v>
      </c>
      <c r="I26" s="23">
        <f t="shared" si="2"/>
        <v>24654494.415350668</v>
      </c>
      <c r="J26" s="23">
        <f t="shared" si="3"/>
        <v>323953932.98420799</v>
      </c>
      <c r="K26" s="24">
        <f t="shared" si="4"/>
        <v>42953932.984207988</v>
      </c>
      <c r="L26" s="31">
        <f t="shared" si="5"/>
        <v>0.15286097147404978</v>
      </c>
    </row>
    <row r="27" spans="1:12" outlineLevel="1">
      <c r="A27" s="30" t="s">
        <v>73</v>
      </c>
      <c r="B27" s="10" t="s">
        <v>30</v>
      </c>
      <c r="C27" s="14">
        <v>282500000</v>
      </c>
      <c r="D27" s="17">
        <v>12</v>
      </c>
      <c r="E27" s="21">
        <v>0.3</v>
      </c>
      <c r="F27" s="21">
        <v>0.1</v>
      </c>
      <c r="G27" s="18">
        <f t="shared" si="0"/>
        <v>28250000</v>
      </c>
      <c r="H27" s="18">
        <f t="shared" si="1"/>
        <v>254250000</v>
      </c>
      <c r="I27" s="23">
        <f t="shared" si="2"/>
        <v>24786102.036784925</v>
      </c>
      <c r="J27" s="23">
        <f t="shared" si="3"/>
        <v>325683224.44141912</v>
      </c>
      <c r="K27" s="24">
        <f t="shared" si="4"/>
        <v>43183224.441419125</v>
      </c>
      <c r="L27" s="31">
        <f t="shared" si="5"/>
        <v>0.15286097147405001</v>
      </c>
    </row>
    <row r="28" spans="1:12" outlineLevel="1">
      <c r="A28" s="30" t="s">
        <v>74</v>
      </c>
      <c r="B28" s="10" t="s">
        <v>32</v>
      </c>
      <c r="C28" s="15">
        <v>286000000</v>
      </c>
      <c r="D28" s="17">
        <v>12</v>
      </c>
      <c r="E28" s="21">
        <v>0.3</v>
      </c>
      <c r="F28" s="21">
        <v>0.1</v>
      </c>
      <c r="G28" s="18">
        <f t="shared" si="0"/>
        <v>28600000</v>
      </c>
      <c r="H28" s="18">
        <f t="shared" si="1"/>
        <v>257400000</v>
      </c>
      <c r="I28" s="23">
        <f t="shared" si="2"/>
        <v>25093186.486798186</v>
      </c>
      <c r="J28" s="23">
        <f t="shared" si="3"/>
        <v>329718237.84157825</v>
      </c>
      <c r="K28" s="24">
        <f t="shared" si="4"/>
        <v>43718237.841578245</v>
      </c>
      <c r="L28" s="31">
        <f t="shared" si="5"/>
        <v>0.15286097147404981</v>
      </c>
    </row>
    <row r="29" spans="1:12" outlineLevel="1">
      <c r="A29" s="30" t="s">
        <v>75</v>
      </c>
      <c r="B29" s="10" t="s">
        <v>33</v>
      </c>
      <c r="C29" s="15">
        <v>296000000</v>
      </c>
      <c r="D29" s="17">
        <v>12</v>
      </c>
      <c r="E29" s="21">
        <v>0.3</v>
      </c>
      <c r="F29" s="21">
        <v>0.1</v>
      </c>
      <c r="G29" s="18">
        <f t="shared" si="0"/>
        <v>29600000</v>
      </c>
      <c r="H29" s="18">
        <f t="shared" si="1"/>
        <v>266400000</v>
      </c>
      <c r="I29" s="23">
        <f t="shared" si="2"/>
        <v>25970570.629693229</v>
      </c>
      <c r="J29" s="23">
        <f t="shared" si="3"/>
        <v>341246847.55631876</v>
      </c>
      <c r="K29" s="24">
        <f t="shared" si="4"/>
        <v>45246847.55631876</v>
      </c>
      <c r="L29" s="31">
        <f t="shared" si="5"/>
        <v>0.15286097147404987</v>
      </c>
    </row>
    <row r="30" spans="1:12" outlineLevel="1">
      <c r="A30" s="30" t="s">
        <v>76</v>
      </c>
      <c r="B30" s="10" t="s">
        <v>34</v>
      </c>
      <c r="C30" s="15">
        <v>319000000</v>
      </c>
      <c r="D30" s="17">
        <v>12</v>
      </c>
      <c r="E30" s="21">
        <v>0.3</v>
      </c>
      <c r="F30" s="21">
        <v>0.1</v>
      </c>
      <c r="G30" s="18">
        <f t="shared" si="0"/>
        <v>31900000</v>
      </c>
      <c r="H30" s="18">
        <f t="shared" si="1"/>
        <v>287100000</v>
      </c>
      <c r="I30" s="23">
        <f t="shared" si="2"/>
        <v>27988554.158351824</v>
      </c>
      <c r="J30" s="23">
        <f t="shared" si="3"/>
        <v>367762649.90022188</v>
      </c>
      <c r="K30" s="24">
        <f t="shared" si="4"/>
        <v>48762649.900221884</v>
      </c>
      <c r="L30" s="31">
        <f t="shared" si="5"/>
        <v>0.15286097147404978</v>
      </c>
    </row>
    <row r="31" spans="1:12" outlineLevel="1">
      <c r="A31" s="30" t="s">
        <v>77</v>
      </c>
      <c r="B31" s="10" t="s">
        <v>35</v>
      </c>
      <c r="C31" s="15">
        <v>336000000</v>
      </c>
      <c r="D31" s="17">
        <v>12</v>
      </c>
      <c r="E31" s="21">
        <v>0.3</v>
      </c>
      <c r="F31" s="21">
        <v>0.1</v>
      </c>
      <c r="G31" s="18">
        <f t="shared" si="0"/>
        <v>33600000</v>
      </c>
      <c r="H31" s="18">
        <f t="shared" si="1"/>
        <v>302400000</v>
      </c>
      <c r="I31" s="23">
        <f t="shared" si="2"/>
        <v>29480107.201273397</v>
      </c>
      <c r="J31" s="23">
        <f t="shared" si="3"/>
        <v>387361286.41528076</v>
      </c>
      <c r="K31" s="24">
        <f t="shared" si="4"/>
        <v>51361286.415280759</v>
      </c>
      <c r="L31" s="31">
        <f t="shared" si="5"/>
        <v>0.15286097147404987</v>
      </c>
    </row>
    <row r="32" spans="1:12" outlineLevel="1">
      <c r="A32" s="30" t="s">
        <v>78</v>
      </c>
      <c r="B32" s="10" t="s">
        <v>36</v>
      </c>
      <c r="C32" s="15">
        <v>401500000</v>
      </c>
      <c r="D32" s="17">
        <v>12</v>
      </c>
      <c r="E32" s="21">
        <v>0.3</v>
      </c>
      <c r="F32" s="21">
        <v>0.1</v>
      </c>
      <c r="G32" s="18">
        <f t="shared" si="0"/>
        <v>40150000</v>
      </c>
      <c r="H32" s="18">
        <f t="shared" si="1"/>
        <v>361350000</v>
      </c>
      <c r="I32" s="23">
        <f t="shared" si="2"/>
        <v>35226973.33723592</v>
      </c>
      <c r="J32" s="23">
        <f t="shared" si="3"/>
        <v>462873680.04683101</v>
      </c>
      <c r="K32" s="24">
        <f t="shared" si="4"/>
        <v>61373680.046831012</v>
      </c>
      <c r="L32" s="31">
        <f t="shared" si="5"/>
        <v>0.15286097147404984</v>
      </c>
    </row>
    <row r="33" spans="1:12" outlineLevel="1">
      <c r="A33" s="30" t="s">
        <v>79</v>
      </c>
      <c r="B33" s="10" t="s">
        <v>37</v>
      </c>
      <c r="C33" s="15">
        <v>403000000</v>
      </c>
      <c r="D33" s="17">
        <v>12</v>
      </c>
      <c r="E33" s="21">
        <v>0.3</v>
      </c>
      <c r="F33" s="21">
        <v>0.1</v>
      </c>
      <c r="G33" s="18">
        <f t="shared" si="0"/>
        <v>40300000</v>
      </c>
      <c r="H33" s="18">
        <f t="shared" si="1"/>
        <v>362700000</v>
      </c>
      <c r="I33" s="23">
        <f t="shared" si="2"/>
        <v>35358580.958670169</v>
      </c>
      <c r="J33" s="23">
        <f t="shared" si="3"/>
        <v>464602971.50404203</v>
      </c>
      <c r="K33" s="24">
        <f t="shared" si="4"/>
        <v>61602971.504042029</v>
      </c>
      <c r="L33" s="31">
        <f t="shared" si="5"/>
        <v>0.1528609714740497</v>
      </c>
    </row>
    <row r="34" spans="1:12" outlineLevel="1">
      <c r="A34" s="30" t="s">
        <v>80</v>
      </c>
      <c r="B34" s="10" t="s">
        <v>47</v>
      </c>
      <c r="C34" s="14">
        <v>446500000</v>
      </c>
      <c r="D34" s="17">
        <v>12</v>
      </c>
      <c r="E34" s="21">
        <v>0.3</v>
      </c>
      <c r="F34" s="21">
        <v>0.1</v>
      </c>
      <c r="G34" s="18">
        <f t="shared" si="0"/>
        <v>44650000</v>
      </c>
      <c r="H34" s="18">
        <f t="shared" si="1"/>
        <v>401850000</v>
      </c>
      <c r="I34" s="23">
        <f t="shared" si="2"/>
        <v>39175201.980263606</v>
      </c>
      <c r="J34" s="23">
        <f t="shared" si="3"/>
        <v>514752423.76316327</v>
      </c>
      <c r="K34" s="24">
        <f t="shared" si="4"/>
        <v>68252423.763163269</v>
      </c>
      <c r="L34" s="31">
        <f t="shared" si="5"/>
        <v>0.15286097147404987</v>
      </c>
    </row>
    <row r="35" spans="1:12" outlineLevel="1">
      <c r="A35" s="30" t="s">
        <v>81</v>
      </c>
      <c r="B35" s="10" t="s">
        <v>48</v>
      </c>
      <c r="C35" s="14">
        <v>480500000</v>
      </c>
      <c r="D35" s="17">
        <v>12</v>
      </c>
      <c r="E35" s="21">
        <v>0.3</v>
      </c>
      <c r="F35" s="21">
        <v>0.1</v>
      </c>
      <c r="G35" s="18">
        <f t="shared" si="0"/>
        <v>48050000</v>
      </c>
      <c r="H35" s="18">
        <f t="shared" si="1"/>
        <v>432450000</v>
      </c>
      <c r="I35" s="23">
        <f t="shared" si="2"/>
        <v>42158308.066106744</v>
      </c>
      <c r="J35" s="23">
        <f t="shared" si="3"/>
        <v>553949696.79328096</v>
      </c>
      <c r="K35" s="24">
        <f t="shared" si="4"/>
        <v>73449696.793280959</v>
      </c>
      <c r="L35" s="31">
        <f t="shared" si="5"/>
        <v>0.15286097147404987</v>
      </c>
    </row>
    <row r="36" spans="1:12" outlineLevel="1">
      <c r="A36" s="30" t="s">
        <v>82</v>
      </c>
      <c r="B36" s="10" t="s">
        <v>104</v>
      </c>
      <c r="C36" s="14">
        <v>520500000</v>
      </c>
      <c r="D36" s="17">
        <v>12</v>
      </c>
      <c r="E36" s="21">
        <v>0.3</v>
      </c>
      <c r="F36" s="21">
        <v>0.1</v>
      </c>
      <c r="G36" s="18">
        <f t="shared" si="0"/>
        <v>52050000</v>
      </c>
      <c r="H36" s="18">
        <f t="shared" si="1"/>
        <v>468450000</v>
      </c>
      <c r="I36" s="23">
        <f t="shared" si="2"/>
        <v>45667844.637686908</v>
      </c>
      <c r="J36" s="23">
        <f t="shared" si="3"/>
        <v>600064135.6522429</v>
      </c>
      <c r="K36" s="24">
        <f t="shared" si="4"/>
        <v>79564135.652242899</v>
      </c>
      <c r="L36" s="31">
        <f t="shared" si="5"/>
        <v>0.15286097147404976</v>
      </c>
    </row>
    <row r="37" spans="1:12" outlineLevel="1">
      <c r="A37" s="30" t="s">
        <v>83</v>
      </c>
      <c r="B37" s="10" t="s">
        <v>39</v>
      </c>
      <c r="C37" s="14">
        <v>324500000</v>
      </c>
      <c r="D37" s="17">
        <v>12</v>
      </c>
      <c r="E37" s="21">
        <v>0.3</v>
      </c>
      <c r="F37" s="21">
        <v>0.1</v>
      </c>
      <c r="G37" s="18">
        <f t="shared" si="0"/>
        <v>32450000</v>
      </c>
      <c r="H37" s="18">
        <f t="shared" si="1"/>
        <v>292050000</v>
      </c>
      <c r="I37" s="23">
        <f t="shared" si="2"/>
        <v>28471115.436944094</v>
      </c>
      <c r="J37" s="23">
        <f t="shared" si="3"/>
        <v>374103385.24332911</v>
      </c>
      <c r="K37" s="24">
        <f t="shared" si="4"/>
        <v>49603385.243329108</v>
      </c>
      <c r="L37" s="31">
        <f t="shared" si="5"/>
        <v>0.15286097147404965</v>
      </c>
    </row>
    <row r="38" spans="1:12" outlineLevel="1">
      <c r="A38" s="30" t="s">
        <v>84</v>
      </c>
      <c r="B38" s="10" t="s">
        <v>40</v>
      </c>
      <c r="C38" s="14">
        <v>334500000</v>
      </c>
      <c r="D38" s="17">
        <v>12</v>
      </c>
      <c r="E38" s="21">
        <v>0.3</v>
      </c>
      <c r="F38" s="21">
        <v>0.1</v>
      </c>
      <c r="G38" s="18">
        <f t="shared" si="0"/>
        <v>33450000</v>
      </c>
      <c r="H38" s="18">
        <f t="shared" si="1"/>
        <v>301050000</v>
      </c>
      <c r="I38" s="23">
        <f t="shared" si="2"/>
        <v>29348499.579839136</v>
      </c>
      <c r="J38" s="23">
        <f t="shared" si="3"/>
        <v>385631994.95806962</v>
      </c>
      <c r="K38" s="24">
        <f t="shared" si="4"/>
        <v>51131994.958069623</v>
      </c>
      <c r="L38" s="31">
        <f t="shared" si="5"/>
        <v>0.1528609714740497</v>
      </c>
    </row>
    <row r="39" spans="1:12" outlineLevel="1">
      <c r="A39" s="30" t="s">
        <v>85</v>
      </c>
      <c r="B39" s="10" t="s">
        <v>42</v>
      </c>
      <c r="C39" s="14">
        <v>416500000</v>
      </c>
      <c r="D39" s="17">
        <v>12</v>
      </c>
      <c r="E39" s="21">
        <v>0.3</v>
      </c>
      <c r="F39" s="21">
        <v>0.1</v>
      </c>
      <c r="G39" s="18">
        <f t="shared" si="0"/>
        <v>41650000</v>
      </c>
      <c r="H39" s="18">
        <f t="shared" si="1"/>
        <v>374850000</v>
      </c>
      <c r="I39" s="23">
        <f t="shared" si="2"/>
        <v>36543049.551578477</v>
      </c>
      <c r="J39" s="23">
        <f t="shared" si="3"/>
        <v>480166594.61894172</v>
      </c>
      <c r="K39" s="24">
        <f t="shared" si="4"/>
        <v>63666594.618941724</v>
      </c>
      <c r="L39" s="31">
        <f t="shared" si="5"/>
        <v>0.15286097147404976</v>
      </c>
    </row>
    <row r="40" spans="1:12" outlineLevel="1">
      <c r="A40" s="30" t="s">
        <v>86</v>
      </c>
      <c r="B40" s="10" t="s">
        <v>43</v>
      </c>
      <c r="C40" s="14">
        <v>455500000</v>
      </c>
      <c r="D40" s="17">
        <v>12</v>
      </c>
      <c r="E40" s="21">
        <v>0.3</v>
      </c>
      <c r="F40" s="21">
        <v>0.1</v>
      </c>
      <c r="G40" s="18">
        <f t="shared" si="0"/>
        <v>45550000</v>
      </c>
      <c r="H40" s="18">
        <f t="shared" si="1"/>
        <v>409950000</v>
      </c>
      <c r="I40" s="23">
        <f t="shared" si="2"/>
        <v>39964847.708869144</v>
      </c>
      <c r="J40" s="23">
        <f t="shared" si="3"/>
        <v>525128172.50642973</v>
      </c>
      <c r="K40" s="24">
        <f t="shared" si="4"/>
        <v>69628172.506429732</v>
      </c>
      <c r="L40" s="31">
        <f t="shared" si="5"/>
        <v>0.15286097147404989</v>
      </c>
    </row>
    <row r="41" spans="1:12" outlineLevel="1">
      <c r="A41" s="30" t="s">
        <v>87</v>
      </c>
      <c r="B41" s="10" t="s">
        <v>44</v>
      </c>
      <c r="C41" s="14">
        <v>497500000</v>
      </c>
      <c r="D41" s="17">
        <v>12</v>
      </c>
      <c r="E41" s="21">
        <v>0.3</v>
      </c>
      <c r="F41" s="21">
        <v>0.1</v>
      </c>
      <c r="G41" s="18">
        <f t="shared" si="0"/>
        <v>49750000</v>
      </c>
      <c r="H41" s="18">
        <f t="shared" si="1"/>
        <v>447750000</v>
      </c>
      <c r="I41" s="23">
        <f t="shared" si="2"/>
        <v>43649861.109028317</v>
      </c>
      <c r="J41" s="23">
        <f t="shared" si="3"/>
        <v>573548333.30833983</v>
      </c>
      <c r="K41" s="24">
        <f t="shared" si="4"/>
        <v>76048333.308339834</v>
      </c>
      <c r="L41" s="31">
        <f t="shared" si="5"/>
        <v>0.15286097147404992</v>
      </c>
    </row>
    <row r="42" spans="1:12" outlineLevel="1">
      <c r="A42" s="30" t="s">
        <v>88</v>
      </c>
      <c r="B42" s="10" t="s">
        <v>45</v>
      </c>
      <c r="C42" s="14">
        <v>500500000</v>
      </c>
      <c r="D42" s="17">
        <v>12</v>
      </c>
      <c r="E42" s="21">
        <v>0.3</v>
      </c>
      <c r="F42" s="21">
        <v>0.1</v>
      </c>
      <c r="G42" s="18">
        <f t="shared" si="0"/>
        <v>50050000</v>
      </c>
      <c r="H42" s="18">
        <f t="shared" si="1"/>
        <v>450450000</v>
      </c>
      <c r="I42" s="23">
        <f t="shared" si="2"/>
        <v>43913076.35189683</v>
      </c>
      <c r="J42" s="23">
        <f t="shared" si="3"/>
        <v>577006916.22276199</v>
      </c>
      <c r="K42" s="24">
        <f t="shared" si="4"/>
        <v>76506916.222761989</v>
      </c>
      <c r="L42" s="31">
        <f t="shared" si="5"/>
        <v>0.15286097147404992</v>
      </c>
    </row>
    <row r="43" spans="1:12" outlineLevel="1">
      <c r="A43" s="36" t="s">
        <v>89</v>
      </c>
      <c r="B43" s="37" t="s">
        <v>46</v>
      </c>
      <c r="C43" s="38">
        <v>1034500000</v>
      </c>
      <c r="D43" s="39">
        <v>12</v>
      </c>
      <c r="E43" s="40">
        <v>0.3</v>
      </c>
      <c r="F43" s="40">
        <v>0.1</v>
      </c>
      <c r="G43" s="41">
        <f t="shared" si="0"/>
        <v>103450000</v>
      </c>
      <c r="H43" s="41">
        <f t="shared" si="1"/>
        <v>931050000</v>
      </c>
      <c r="I43" s="42">
        <f t="shared" si="2"/>
        <v>90765389.582492039</v>
      </c>
      <c r="J43" s="42">
        <f t="shared" si="3"/>
        <v>1192634674.9899044</v>
      </c>
      <c r="K43" s="43">
        <f t="shared" si="4"/>
        <v>158134674.9899044</v>
      </c>
      <c r="L43" s="44">
        <f t="shared" si="5"/>
        <v>0.1528609714740497</v>
      </c>
    </row>
    <row r="44" spans="1:12">
      <c r="A44" s="167" t="s">
        <v>145</v>
      </c>
      <c r="B44" s="167"/>
      <c r="C44" s="167"/>
      <c r="D44" s="167"/>
      <c r="E44" s="167"/>
      <c r="F44" s="167"/>
      <c r="G44" s="167"/>
      <c r="H44" s="167"/>
      <c r="I44" s="167"/>
      <c r="J44" s="167"/>
      <c r="K44" s="167"/>
      <c r="L44" s="167"/>
    </row>
    <row r="45" spans="1:12">
      <c r="A45" s="168"/>
      <c r="B45" s="168"/>
      <c r="C45" s="168"/>
      <c r="D45" s="168"/>
      <c r="E45" s="168"/>
      <c r="F45" s="168"/>
      <c r="G45" s="168"/>
      <c r="H45" s="168"/>
      <c r="I45" s="168"/>
      <c r="J45" s="168"/>
      <c r="K45" s="168"/>
      <c r="L45" s="168"/>
    </row>
    <row r="46" spans="1:12">
      <c r="A46" s="168"/>
      <c r="B46" s="168"/>
      <c r="C46" s="168"/>
      <c r="D46" s="168"/>
      <c r="E46" s="168"/>
      <c r="F46" s="168"/>
      <c r="G46" s="168"/>
      <c r="H46" s="168"/>
      <c r="I46" s="168"/>
      <c r="J46" s="168"/>
      <c r="K46" s="168"/>
      <c r="L46" s="168"/>
    </row>
    <row r="47" spans="1:12">
      <c r="A47" s="169"/>
      <c r="B47" s="169"/>
      <c r="C47" s="169"/>
      <c r="D47" s="169"/>
      <c r="E47" s="169"/>
      <c r="F47" s="169"/>
      <c r="G47" s="169"/>
      <c r="H47" s="169"/>
      <c r="I47" s="169"/>
      <c r="J47" s="169"/>
      <c r="K47" s="169"/>
      <c r="L47" s="169"/>
    </row>
    <row r="48" spans="1:12">
      <c r="A48" s="32" t="s">
        <v>94</v>
      </c>
      <c r="B48" s="33" t="s">
        <v>95</v>
      </c>
      <c r="C48" s="33" t="s">
        <v>90</v>
      </c>
      <c r="D48" s="33" t="s">
        <v>135</v>
      </c>
      <c r="E48" s="33" t="s">
        <v>136</v>
      </c>
      <c r="F48" s="33" t="s">
        <v>137</v>
      </c>
      <c r="G48" s="45" t="s">
        <v>140</v>
      </c>
      <c r="H48" s="33" t="s">
        <v>141</v>
      </c>
      <c r="I48" s="34" t="s">
        <v>142</v>
      </c>
      <c r="J48" s="34" t="s">
        <v>143</v>
      </c>
      <c r="K48" s="33" t="s">
        <v>144</v>
      </c>
      <c r="L48" s="35" t="s">
        <v>139</v>
      </c>
    </row>
    <row r="49" spans="1:12" outlineLevel="1">
      <c r="A49" s="30" t="s">
        <v>51</v>
      </c>
      <c r="B49" s="10" t="s">
        <v>4</v>
      </c>
      <c r="C49" s="14">
        <v>140000000</v>
      </c>
      <c r="D49" s="17">
        <v>36</v>
      </c>
      <c r="E49" s="21">
        <v>0.32</v>
      </c>
      <c r="F49" s="21">
        <v>0.1</v>
      </c>
      <c r="G49" s="18">
        <f t="shared" si="0"/>
        <v>14000000</v>
      </c>
      <c r="H49" s="18">
        <f>C49-G49</f>
        <v>126000000</v>
      </c>
      <c r="I49" s="23">
        <f>PMT(E49/36,D49,-H49)</f>
        <v>4105217.1409225268</v>
      </c>
      <c r="J49" s="23">
        <f>I49*D49+G49</f>
        <v>161787817.07321095</v>
      </c>
      <c r="K49" s="24">
        <f>J49-C49</f>
        <v>21787817.073210955</v>
      </c>
      <c r="L49" s="31">
        <f>K49/C49</f>
        <v>0.15562726480864966</v>
      </c>
    </row>
    <row r="50" spans="1:12" outlineLevel="1">
      <c r="A50" s="30" t="s">
        <v>52</v>
      </c>
      <c r="B50" s="10" t="s">
        <v>5</v>
      </c>
      <c r="C50" s="15">
        <v>148500000</v>
      </c>
      <c r="D50" s="17">
        <v>36</v>
      </c>
      <c r="E50" s="21">
        <v>0.32</v>
      </c>
      <c r="F50" s="21">
        <v>0.1</v>
      </c>
      <c r="G50" s="18">
        <f t="shared" si="0"/>
        <v>14850000</v>
      </c>
      <c r="H50" s="18">
        <f t="shared" ref="H50:H87" si="6">C50-G50</f>
        <v>133650000</v>
      </c>
      <c r="I50" s="23">
        <f t="shared" ref="I50:I87" si="7">PMT(E50/36,D50,-H50)</f>
        <v>4354462.4673356805</v>
      </c>
      <c r="J50" s="23">
        <f t="shared" ref="J50:J87" si="8">I50*D50+G50</f>
        <v>171610648.82408449</v>
      </c>
      <c r="K50" s="24">
        <f t="shared" ref="K50:K87" si="9">J50-C50</f>
        <v>23110648.824084491</v>
      </c>
      <c r="L50" s="31">
        <f t="shared" ref="L50:L87" si="10">K50/C50</f>
        <v>0.15562726480864977</v>
      </c>
    </row>
    <row r="51" spans="1:12" outlineLevel="1">
      <c r="A51" s="30" t="s">
        <v>53</v>
      </c>
      <c r="B51" s="10" t="s">
        <v>6</v>
      </c>
      <c r="C51" s="15">
        <v>163500000</v>
      </c>
      <c r="D51" s="17">
        <v>36</v>
      </c>
      <c r="E51" s="21">
        <v>0.32</v>
      </c>
      <c r="F51" s="21">
        <v>0.1</v>
      </c>
      <c r="G51" s="18">
        <f t="shared" si="0"/>
        <v>16350000</v>
      </c>
      <c r="H51" s="18">
        <f t="shared" si="6"/>
        <v>147150000</v>
      </c>
      <c r="I51" s="23">
        <f t="shared" si="7"/>
        <v>4794307.1610059515</v>
      </c>
      <c r="J51" s="23">
        <f t="shared" si="8"/>
        <v>188945057.79621425</v>
      </c>
      <c r="K51" s="24">
        <f t="shared" si="9"/>
        <v>25445057.796214253</v>
      </c>
      <c r="L51" s="31">
        <f t="shared" si="10"/>
        <v>0.15562726480864986</v>
      </c>
    </row>
    <row r="52" spans="1:12" outlineLevel="1">
      <c r="A52" s="30" t="s">
        <v>54</v>
      </c>
      <c r="B52" s="10" t="s">
        <v>7</v>
      </c>
      <c r="C52" s="15">
        <v>176000000</v>
      </c>
      <c r="D52" s="17">
        <v>36</v>
      </c>
      <c r="E52" s="21">
        <v>0.32</v>
      </c>
      <c r="F52" s="21">
        <v>0.1</v>
      </c>
      <c r="G52" s="18">
        <f t="shared" si="0"/>
        <v>17600000</v>
      </c>
      <c r="H52" s="18">
        <f t="shared" si="6"/>
        <v>158400000</v>
      </c>
      <c r="I52" s="23">
        <f t="shared" si="7"/>
        <v>5160844.405731177</v>
      </c>
      <c r="J52" s="23">
        <f t="shared" si="8"/>
        <v>203390398.60632238</v>
      </c>
      <c r="K52" s="24">
        <f t="shared" si="9"/>
        <v>27390398.606322378</v>
      </c>
      <c r="L52" s="31">
        <f t="shared" si="10"/>
        <v>0.15562726480864988</v>
      </c>
    </row>
    <row r="53" spans="1:12" outlineLevel="1">
      <c r="A53" s="30" t="s">
        <v>55</v>
      </c>
      <c r="B53" s="10" t="s">
        <v>8</v>
      </c>
      <c r="C53" s="15">
        <v>191000000</v>
      </c>
      <c r="D53" s="17">
        <v>36</v>
      </c>
      <c r="E53" s="21">
        <v>0.32</v>
      </c>
      <c r="F53" s="21">
        <v>0.1</v>
      </c>
      <c r="G53" s="18">
        <f t="shared" si="0"/>
        <v>19100000</v>
      </c>
      <c r="H53" s="18">
        <f t="shared" si="6"/>
        <v>171900000</v>
      </c>
      <c r="I53" s="23">
        <f t="shared" si="7"/>
        <v>5600689.0994014479</v>
      </c>
      <c r="J53" s="23">
        <f t="shared" si="8"/>
        <v>220724807.57845211</v>
      </c>
      <c r="K53" s="24">
        <f t="shared" si="9"/>
        <v>29724807.57845211</v>
      </c>
      <c r="L53" s="31">
        <f t="shared" si="10"/>
        <v>0.1556272648086498</v>
      </c>
    </row>
    <row r="54" spans="1:12" outlineLevel="1">
      <c r="A54" s="30" t="s">
        <v>56</v>
      </c>
      <c r="B54" s="10" t="s">
        <v>10</v>
      </c>
      <c r="C54" s="15">
        <v>195500000</v>
      </c>
      <c r="D54" s="17">
        <v>36</v>
      </c>
      <c r="E54" s="21">
        <v>0.32</v>
      </c>
      <c r="F54" s="21">
        <v>0.1</v>
      </c>
      <c r="G54" s="18">
        <f t="shared" si="0"/>
        <v>19550000</v>
      </c>
      <c r="H54" s="18">
        <f t="shared" si="6"/>
        <v>175950000</v>
      </c>
      <c r="I54" s="23">
        <f t="shared" si="7"/>
        <v>5732642.5075025298</v>
      </c>
      <c r="J54" s="23">
        <f t="shared" si="8"/>
        <v>225925130.27009106</v>
      </c>
      <c r="K54" s="24">
        <f t="shared" si="9"/>
        <v>30425130.270091057</v>
      </c>
      <c r="L54" s="31">
        <f t="shared" si="10"/>
        <v>0.15562726480864991</v>
      </c>
    </row>
    <row r="55" spans="1:12" outlineLevel="1">
      <c r="A55" s="30" t="s">
        <v>57</v>
      </c>
      <c r="B55" s="10" t="s">
        <v>11</v>
      </c>
      <c r="C55" s="15">
        <v>216000000</v>
      </c>
      <c r="D55" s="17">
        <v>36</v>
      </c>
      <c r="E55" s="21">
        <v>0.32</v>
      </c>
      <c r="F55" s="21">
        <v>0.1</v>
      </c>
      <c r="G55" s="18">
        <f t="shared" si="0"/>
        <v>21600000</v>
      </c>
      <c r="H55" s="18">
        <f t="shared" si="6"/>
        <v>194400000</v>
      </c>
      <c r="I55" s="23">
        <f t="shared" si="7"/>
        <v>6333763.5888518989</v>
      </c>
      <c r="J55" s="23">
        <f t="shared" si="8"/>
        <v>249615489.19866836</v>
      </c>
      <c r="K55" s="24">
        <f t="shared" si="9"/>
        <v>33615489.198668361</v>
      </c>
      <c r="L55" s="31">
        <f t="shared" si="10"/>
        <v>0.15562726480864983</v>
      </c>
    </row>
    <row r="56" spans="1:12" outlineLevel="1">
      <c r="A56" s="30" t="s">
        <v>58</v>
      </c>
      <c r="B56" s="10" t="s">
        <v>12</v>
      </c>
      <c r="C56" s="15">
        <v>227000000</v>
      </c>
      <c r="D56" s="17">
        <v>36</v>
      </c>
      <c r="E56" s="21">
        <v>0.32</v>
      </c>
      <c r="F56" s="21">
        <v>0.1</v>
      </c>
      <c r="G56" s="18">
        <f t="shared" si="0"/>
        <v>22700000</v>
      </c>
      <c r="H56" s="18">
        <f t="shared" si="6"/>
        <v>204300000</v>
      </c>
      <c r="I56" s="23">
        <f t="shared" si="7"/>
        <v>6656316.3642100971</v>
      </c>
      <c r="J56" s="23">
        <f t="shared" si="8"/>
        <v>262327389.1115635</v>
      </c>
      <c r="K56" s="24">
        <f t="shared" si="9"/>
        <v>35327389.111563504</v>
      </c>
      <c r="L56" s="31">
        <f t="shared" si="10"/>
        <v>0.1556272648086498</v>
      </c>
    </row>
    <row r="57" spans="1:12" outlineLevel="1">
      <c r="A57" s="30" t="s">
        <v>59</v>
      </c>
      <c r="B57" s="10" t="s">
        <v>13</v>
      </c>
      <c r="C57" s="15">
        <v>231400000</v>
      </c>
      <c r="D57" s="17">
        <v>36</v>
      </c>
      <c r="E57" s="21">
        <v>0.32</v>
      </c>
      <c r="F57" s="21">
        <v>0.1</v>
      </c>
      <c r="G57" s="18">
        <f t="shared" si="0"/>
        <v>23140000</v>
      </c>
      <c r="H57" s="18">
        <f t="shared" si="6"/>
        <v>208260000</v>
      </c>
      <c r="I57" s="23">
        <f t="shared" si="7"/>
        <v>6785337.4743533768</v>
      </c>
      <c r="J57" s="23">
        <f t="shared" si="8"/>
        <v>267412149.07672155</v>
      </c>
      <c r="K57" s="24">
        <f t="shared" si="9"/>
        <v>36012149.076721549</v>
      </c>
      <c r="L57" s="31">
        <f t="shared" si="10"/>
        <v>0.15562726480864975</v>
      </c>
    </row>
    <row r="58" spans="1:12" outlineLevel="1">
      <c r="A58" s="30" t="s">
        <v>60</v>
      </c>
      <c r="B58" s="10" t="s">
        <v>14</v>
      </c>
      <c r="C58" s="15">
        <v>237500000</v>
      </c>
      <c r="D58" s="17">
        <v>36</v>
      </c>
      <c r="E58" s="21">
        <v>0.32</v>
      </c>
      <c r="F58" s="21">
        <v>0.1</v>
      </c>
      <c r="G58" s="18">
        <f t="shared" si="0"/>
        <v>23750000</v>
      </c>
      <c r="H58" s="18">
        <f t="shared" si="6"/>
        <v>213750000</v>
      </c>
      <c r="I58" s="23">
        <f t="shared" si="7"/>
        <v>6964207.6497792872</v>
      </c>
      <c r="J58" s="23">
        <f t="shared" si="8"/>
        <v>274461475.39205432</v>
      </c>
      <c r="K58" s="24">
        <f t="shared" si="9"/>
        <v>36961475.392054319</v>
      </c>
      <c r="L58" s="31">
        <f t="shared" si="10"/>
        <v>0.15562726480864977</v>
      </c>
    </row>
    <row r="59" spans="1:12" outlineLevel="1">
      <c r="A59" s="30" t="s">
        <v>61</v>
      </c>
      <c r="B59" s="10" t="s">
        <v>15</v>
      </c>
      <c r="C59" s="15">
        <v>248000000</v>
      </c>
      <c r="D59" s="17">
        <v>36</v>
      </c>
      <c r="E59" s="21">
        <v>0.32</v>
      </c>
      <c r="F59" s="21">
        <v>0.1</v>
      </c>
      <c r="G59" s="18">
        <f t="shared" si="0"/>
        <v>24800000</v>
      </c>
      <c r="H59" s="18">
        <f t="shared" si="6"/>
        <v>223200000</v>
      </c>
      <c r="I59" s="23">
        <f t="shared" si="7"/>
        <v>7272098.9353484772</v>
      </c>
      <c r="J59" s="23">
        <f t="shared" si="8"/>
        <v>286595561.67254519</v>
      </c>
      <c r="K59" s="24">
        <f t="shared" si="9"/>
        <v>38595561.672545195</v>
      </c>
      <c r="L59" s="31">
        <f t="shared" si="10"/>
        <v>0.15562726480864997</v>
      </c>
    </row>
    <row r="60" spans="1:12" outlineLevel="1">
      <c r="A60" s="30" t="s">
        <v>62</v>
      </c>
      <c r="B60" s="10" t="s">
        <v>16</v>
      </c>
      <c r="C60" s="15">
        <v>239000000</v>
      </c>
      <c r="D60" s="17">
        <v>36</v>
      </c>
      <c r="E60" s="21">
        <v>0.32</v>
      </c>
      <c r="F60" s="21">
        <v>0.1</v>
      </c>
      <c r="G60" s="18">
        <f t="shared" si="0"/>
        <v>23900000</v>
      </c>
      <c r="H60" s="18">
        <f t="shared" si="6"/>
        <v>215100000</v>
      </c>
      <c r="I60" s="23">
        <f t="shared" si="7"/>
        <v>7008192.1191463144</v>
      </c>
      <c r="J60" s="23">
        <f t="shared" si="8"/>
        <v>276194916.2892673</v>
      </c>
      <c r="K60" s="24">
        <f t="shared" si="9"/>
        <v>37194916.289267302</v>
      </c>
      <c r="L60" s="31">
        <f t="shared" si="10"/>
        <v>0.1556272648086498</v>
      </c>
    </row>
    <row r="61" spans="1:12" outlineLevel="1">
      <c r="A61" s="30" t="s">
        <v>63</v>
      </c>
      <c r="B61" s="10" t="s">
        <v>17</v>
      </c>
      <c r="C61" s="15">
        <v>249500000</v>
      </c>
      <c r="D61" s="17">
        <v>36</v>
      </c>
      <c r="E61" s="21">
        <v>0.32</v>
      </c>
      <c r="F61" s="21">
        <v>0.1</v>
      </c>
      <c r="G61" s="18">
        <f t="shared" si="0"/>
        <v>24950000</v>
      </c>
      <c r="H61" s="18">
        <f t="shared" si="6"/>
        <v>224550000</v>
      </c>
      <c r="I61" s="23">
        <f t="shared" si="7"/>
        <v>7316083.4047155026</v>
      </c>
      <c r="J61" s="23">
        <f t="shared" si="8"/>
        <v>288329002.56975806</v>
      </c>
      <c r="K61" s="24">
        <f t="shared" si="9"/>
        <v>38829002.569758058</v>
      </c>
      <c r="L61" s="31">
        <f t="shared" si="10"/>
        <v>0.15562726480864952</v>
      </c>
    </row>
    <row r="62" spans="1:12" outlineLevel="1">
      <c r="A62" s="30" t="s">
        <v>64</v>
      </c>
      <c r="B62" s="10" t="s">
        <v>20</v>
      </c>
      <c r="C62" s="14">
        <v>239500000</v>
      </c>
      <c r="D62" s="17">
        <v>36</v>
      </c>
      <c r="E62" s="21">
        <v>0.32</v>
      </c>
      <c r="F62" s="21">
        <v>0.1</v>
      </c>
      <c r="G62" s="18">
        <f t="shared" si="0"/>
        <v>23950000</v>
      </c>
      <c r="H62" s="18">
        <f t="shared" si="6"/>
        <v>215550000</v>
      </c>
      <c r="I62" s="23">
        <f t="shared" si="7"/>
        <v>7022853.6089353235</v>
      </c>
      <c r="J62" s="23">
        <f t="shared" si="8"/>
        <v>276772729.92167163</v>
      </c>
      <c r="K62" s="24">
        <f t="shared" si="9"/>
        <v>37272729.921671629</v>
      </c>
      <c r="L62" s="31">
        <f t="shared" si="10"/>
        <v>0.1556272648086498</v>
      </c>
    </row>
    <row r="63" spans="1:12" outlineLevel="1">
      <c r="A63" s="30" t="s">
        <v>65</v>
      </c>
      <c r="B63" s="10" t="s">
        <v>21</v>
      </c>
      <c r="C63" s="14">
        <v>250500000</v>
      </c>
      <c r="D63" s="17">
        <v>36</v>
      </c>
      <c r="E63" s="21">
        <v>0.32</v>
      </c>
      <c r="F63" s="21">
        <v>0.1</v>
      </c>
      <c r="G63" s="18">
        <f t="shared" si="0"/>
        <v>25050000</v>
      </c>
      <c r="H63" s="18">
        <f t="shared" si="6"/>
        <v>225450000</v>
      </c>
      <c r="I63" s="23">
        <f t="shared" si="7"/>
        <v>7345406.3842935208</v>
      </c>
      <c r="J63" s="23">
        <f t="shared" si="8"/>
        <v>289484629.83456671</v>
      </c>
      <c r="K63" s="24">
        <f t="shared" si="9"/>
        <v>38984629.834566712</v>
      </c>
      <c r="L63" s="31">
        <f t="shared" si="10"/>
        <v>0.15562726480864955</v>
      </c>
    </row>
    <row r="64" spans="1:12" outlineLevel="1">
      <c r="A64" s="30" t="s">
        <v>66</v>
      </c>
      <c r="B64" s="10" t="s">
        <v>22</v>
      </c>
      <c r="C64" s="14">
        <v>260500000</v>
      </c>
      <c r="D64" s="17">
        <v>36</v>
      </c>
      <c r="E64" s="21">
        <v>0.32</v>
      </c>
      <c r="F64" s="21">
        <v>0.1</v>
      </c>
      <c r="G64" s="18">
        <f t="shared" si="0"/>
        <v>26050000</v>
      </c>
      <c r="H64" s="18">
        <f t="shared" si="6"/>
        <v>234450000</v>
      </c>
      <c r="I64" s="23">
        <f t="shared" si="7"/>
        <v>7638636.1800737018</v>
      </c>
      <c r="J64" s="23">
        <f t="shared" si="8"/>
        <v>301040902.48265326</v>
      </c>
      <c r="K64" s="24">
        <f t="shared" si="9"/>
        <v>40540902.48265326</v>
      </c>
      <c r="L64" s="31">
        <f t="shared" si="10"/>
        <v>0.15562726480864975</v>
      </c>
    </row>
    <row r="65" spans="1:12" outlineLevel="1">
      <c r="A65" s="30" t="s">
        <v>67</v>
      </c>
      <c r="B65" s="10" t="s">
        <v>23</v>
      </c>
      <c r="C65" s="14">
        <v>275500000</v>
      </c>
      <c r="D65" s="17">
        <v>36</v>
      </c>
      <c r="E65" s="21">
        <v>0.32</v>
      </c>
      <c r="F65" s="21">
        <v>0.1</v>
      </c>
      <c r="G65" s="18">
        <f t="shared" si="0"/>
        <v>27550000</v>
      </c>
      <c r="H65" s="18">
        <f t="shared" si="6"/>
        <v>247950000</v>
      </c>
      <c r="I65" s="23">
        <f t="shared" si="7"/>
        <v>8078480.8737439727</v>
      </c>
      <c r="J65" s="23">
        <f t="shared" si="8"/>
        <v>318375311.45478302</v>
      </c>
      <c r="K65" s="24">
        <f t="shared" si="9"/>
        <v>42875311.454783022</v>
      </c>
      <c r="L65" s="31">
        <f t="shared" si="10"/>
        <v>0.1556272648086498</v>
      </c>
    </row>
    <row r="66" spans="1:12" outlineLevel="1">
      <c r="A66" s="30" t="s">
        <v>68</v>
      </c>
      <c r="B66" s="10" t="s">
        <v>25</v>
      </c>
      <c r="C66" s="14">
        <v>240500000</v>
      </c>
      <c r="D66" s="17">
        <v>36</v>
      </c>
      <c r="E66" s="21">
        <v>0.32</v>
      </c>
      <c r="F66" s="21">
        <v>0.1</v>
      </c>
      <c r="G66" s="18">
        <f t="shared" si="0"/>
        <v>24050000</v>
      </c>
      <c r="H66" s="18">
        <f t="shared" si="6"/>
        <v>216450000</v>
      </c>
      <c r="I66" s="23">
        <f t="shared" si="7"/>
        <v>7052176.5885133417</v>
      </c>
      <c r="J66" s="23">
        <f t="shared" si="8"/>
        <v>277928357.18648028</v>
      </c>
      <c r="K66" s="24">
        <f t="shared" si="9"/>
        <v>37428357.186480284</v>
      </c>
      <c r="L66" s="31">
        <f t="shared" si="10"/>
        <v>0.15562726480864983</v>
      </c>
    </row>
    <row r="67" spans="1:12" outlineLevel="1">
      <c r="A67" s="30" t="s">
        <v>69</v>
      </c>
      <c r="B67" s="10" t="s">
        <v>26</v>
      </c>
      <c r="C67" s="14">
        <v>271000000</v>
      </c>
      <c r="D67" s="17">
        <v>36</v>
      </c>
      <c r="E67" s="21">
        <v>0.32</v>
      </c>
      <c r="F67" s="21">
        <v>0.1</v>
      </c>
      <c r="G67" s="18">
        <f t="shared" si="0"/>
        <v>27100000</v>
      </c>
      <c r="H67" s="18">
        <f t="shared" si="6"/>
        <v>243900000</v>
      </c>
      <c r="I67" s="23">
        <f t="shared" si="7"/>
        <v>7946527.4656428918</v>
      </c>
      <c r="J67" s="23">
        <f t="shared" si="8"/>
        <v>313174988.76314414</v>
      </c>
      <c r="K67" s="24">
        <f t="shared" si="9"/>
        <v>42174988.763144135</v>
      </c>
      <c r="L67" s="31">
        <f t="shared" si="10"/>
        <v>0.15562726480864994</v>
      </c>
    </row>
    <row r="68" spans="1:12" outlineLevel="1">
      <c r="A68" s="30" t="s">
        <v>70</v>
      </c>
      <c r="B68" s="10" t="s">
        <v>28</v>
      </c>
      <c r="C68" s="14">
        <v>272500000</v>
      </c>
      <c r="D68" s="17">
        <v>36</v>
      </c>
      <c r="E68" s="21">
        <v>0.32</v>
      </c>
      <c r="F68" s="21">
        <v>0.1</v>
      </c>
      <c r="G68" s="18">
        <f t="shared" si="0"/>
        <v>27250000</v>
      </c>
      <c r="H68" s="18">
        <f t="shared" si="6"/>
        <v>245250000</v>
      </c>
      <c r="I68" s="23">
        <f t="shared" si="7"/>
        <v>7990511.9350099182</v>
      </c>
      <c r="J68" s="23">
        <f t="shared" si="8"/>
        <v>314908429.66035706</v>
      </c>
      <c r="K68" s="24">
        <f t="shared" si="9"/>
        <v>42408429.660357058</v>
      </c>
      <c r="L68" s="31">
        <f t="shared" si="10"/>
        <v>0.15562726480864975</v>
      </c>
    </row>
    <row r="69" spans="1:12" outlineLevel="1">
      <c r="A69" s="30" t="s">
        <v>71</v>
      </c>
      <c r="B69" s="10" t="s">
        <v>29</v>
      </c>
      <c r="C69" s="14">
        <v>275000000</v>
      </c>
      <c r="D69" s="17">
        <v>36</v>
      </c>
      <c r="E69" s="21">
        <v>0.32</v>
      </c>
      <c r="F69" s="21">
        <v>0.1</v>
      </c>
      <c r="G69" s="18">
        <f t="shared" si="0"/>
        <v>27500000</v>
      </c>
      <c r="H69" s="18">
        <f t="shared" si="6"/>
        <v>247500000</v>
      </c>
      <c r="I69" s="23">
        <f t="shared" si="7"/>
        <v>8063819.3839549636</v>
      </c>
      <c r="J69" s="23">
        <f t="shared" si="8"/>
        <v>317797497.8223787</v>
      </c>
      <c r="K69" s="24">
        <f t="shared" si="9"/>
        <v>42797497.822378695</v>
      </c>
      <c r="L69" s="31">
        <f t="shared" si="10"/>
        <v>0.1556272648086498</v>
      </c>
    </row>
    <row r="70" spans="1:12" outlineLevel="1">
      <c r="A70" s="30" t="s">
        <v>72</v>
      </c>
      <c r="B70" s="10" t="s">
        <v>27</v>
      </c>
      <c r="C70" s="14">
        <v>281000000</v>
      </c>
      <c r="D70" s="17">
        <v>36</v>
      </c>
      <c r="E70" s="21">
        <v>0.32</v>
      </c>
      <c r="F70" s="21">
        <v>0.1</v>
      </c>
      <c r="G70" s="18">
        <f t="shared" ref="G70:G87" si="11">F70*C70</f>
        <v>28100000</v>
      </c>
      <c r="H70" s="18">
        <f t="shared" si="6"/>
        <v>252900000</v>
      </c>
      <c r="I70" s="23">
        <f t="shared" si="7"/>
        <v>8239757.2614230718</v>
      </c>
      <c r="J70" s="23">
        <f t="shared" si="8"/>
        <v>324731261.41123056</v>
      </c>
      <c r="K70" s="24">
        <f t="shared" si="9"/>
        <v>43731261.411230564</v>
      </c>
      <c r="L70" s="31">
        <f t="shared" si="10"/>
        <v>0.15562726480864969</v>
      </c>
    </row>
    <row r="71" spans="1:12" outlineLevel="1">
      <c r="A71" s="30" t="s">
        <v>73</v>
      </c>
      <c r="B71" s="10" t="s">
        <v>30</v>
      </c>
      <c r="C71" s="14">
        <v>282500000</v>
      </c>
      <c r="D71" s="17">
        <v>36</v>
      </c>
      <c r="E71" s="21">
        <v>0.32</v>
      </c>
      <c r="F71" s="21">
        <v>0.1</v>
      </c>
      <c r="G71" s="18">
        <f t="shared" si="11"/>
        <v>28250000</v>
      </c>
      <c r="H71" s="18">
        <f t="shared" si="6"/>
        <v>254250000</v>
      </c>
      <c r="I71" s="23">
        <f t="shared" si="7"/>
        <v>8283741.7307900991</v>
      </c>
      <c r="J71" s="23">
        <f t="shared" si="8"/>
        <v>326464702.30844355</v>
      </c>
      <c r="K71" s="24">
        <f t="shared" si="9"/>
        <v>43964702.308443546</v>
      </c>
      <c r="L71" s="31">
        <f t="shared" si="10"/>
        <v>0.15562726480864972</v>
      </c>
    </row>
    <row r="72" spans="1:12" outlineLevel="1">
      <c r="A72" s="30" t="s">
        <v>74</v>
      </c>
      <c r="B72" s="10" t="s">
        <v>32</v>
      </c>
      <c r="C72" s="15">
        <v>286000000</v>
      </c>
      <c r="D72" s="17">
        <v>36</v>
      </c>
      <c r="E72" s="21">
        <v>0.32</v>
      </c>
      <c r="F72" s="21">
        <v>0.1</v>
      </c>
      <c r="G72" s="18">
        <f t="shared" si="11"/>
        <v>28600000</v>
      </c>
      <c r="H72" s="18">
        <f t="shared" si="6"/>
        <v>257400000</v>
      </c>
      <c r="I72" s="23">
        <f t="shared" si="7"/>
        <v>8386372.1593131628</v>
      </c>
      <c r="J72" s="23">
        <f t="shared" si="8"/>
        <v>330509397.73527384</v>
      </c>
      <c r="K72" s="24">
        <f t="shared" si="9"/>
        <v>44509397.735273838</v>
      </c>
      <c r="L72" s="31">
        <f t="shared" si="10"/>
        <v>0.15562726480864977</v>
      </c>
    </row>
    <row r="73" spans="1:12" outlineLevel="1">
      <c r="A73" s="30" t="s">
        <v>75</v>
      </c>
      <c r="B73" s="10" t="s">
        <v>33</v>
      </c>
      <c r="C73" s="15">
        <v>296000000</v>
      </c>
      <c r="D73" s="17">
        <v>36</v>
      </c>
      <c r="E73" s="21">
        <v>0.32</v>
      </c>
      <c r="F73" s="21">
        <v>0.1</v>
      </c>
      <c r="G73" s="18">
        <f t="shared" si="11"/>
        <v>29600000</v>
      </c>
      <c r="H73" s="18">
        <f t="shared" si="6"/>
        <v>266400000</v>
      </c>
      <c r="I73" s="23">
        <f t="shared" si="7"/>
        <v>8679601.9550933428</v>
      </c>
      <c r="J73" s="23">
        <f t="shared" si="8"/>
        <v>342065670.38336033</v>
      </c>
      <c r="K73" s="24">
        <f t="shared" si="9"/>
        <v>46065670.383360326</v>
      </c>
      <c r="L73" s="31">
        <f t="shared" si="10"/>
        <v>0.15562726480864975</v>
      </c>
    </row>
    <row r="74" spans="1:12" outlineLevel="1">
      <c r="A74" s="30" t="s">
        <v>76</v>
      </c>
      <c r="B74" s="10" t="s">
        <v>34</v>
      </c>
      <c r="C74" s="15">
        <v>319000000</v>
      </c>
      <c r="D74" s="17">
        <v>36</v>
      </c>
      <c r="E74" s="21">
        <v>0.32</v>
      </c>
      <c r="F74" s="21">
        <v>0.1</v>
      </c>
      <c r="G74" s="18">
        <f t="shared" si="11"/>
        <v>31900000</v>
      </c>
      <c r="H74" s="18">
        <f t="shared" si="6"/>
        <v>287100000</v>
      </c>
      <c r="I74" s="23">
        <f t="shared" si="7"/>
        <v>9354030.4853877574</v>
      </c>
      <c r="J74" s="23">
        <f t="shared" si="8"/>
        <v>368645097.47395927</v>
      </c>
      <c r="K74" s="24">
        <f t="shared" si="9"/>
        <v>49645097.473959267</v>
      </c>
      <c r="L74" s="31">
        <f t="shared" si="10"/>
        <v>0.15562726480864975</v>
      </c>
    </row>
    <row r="75" spans="1:12" outlineLevel="1">
      <c r="A75" s="30" t="s">
        <v>77</v>
      </c>
      <c r="B75" s="10" t="s">
        <v>35</v>
      </c>
      <c r="C75" s="15">
        <v>336000000</v>
      </c>
      <c r="D75" s="17">
        <v>36</v>
      </c>
      <c r="E75" s="21">
        <v>0.32</v>
      </c>
      <c r="F75" s="21">
        <v>0.1</v>
      </c>
      <c r="G75" s="18">
        <f t="shared" si="11"/>
        <v>33600000</v>
      </c>
      <c r="H75" s="18">
        <f t="shared" si="6"/>
        <v>302400000</v>
      </c>
      <c r="I75" s="23">
        <f t="shared" si="7"/>
        <v>9852521.1382140648</v>
      </c>
      <c r="J75" s="23">
        <f t="shared" si="8"/>
        <v>388290760.97570634</v>
      </c>
      <c r="K75" s="24">
        <f t="shared" si="9"/>
        <v>52290760.975706339</v>
      </c>
      <c r="L75" s="31">
        <f t="shared" si="10"/>
        <v>0.15562726480864983</v>
      </c>
    </row>
    <row r="76" spans="1:12" outlineLevel="1">
      <c r="A76" s="30" t="s">
        <v>78</v>
      </c>
      <c r="B76" s="10" t="s">
        <v>36</v>
      </c>
      <c r="C76" s="15">
        <v>401500000</v>
      </c>
      <c r="D76" s="17">
        <v>36</v>
      </c>
      <c r="E76" s="21">
        <v>0.32</v>
      </c>
      <c r="F76" s="21">
        <v>0.1</v>
      </c>
      <c r="G76" s="18">
        <f t="shared" si="11"/>
        <v>40150000</v>
      </c>
      <c r="H76" s="18">
        <f t="shared" si="6"/>
        <v>361350000</v>
      </c>
      <c r="I76" s="23">
        <f t="shared" si="7"/>
        <v>11773176.300574247</v>
      </c>
      <c r="J76" s="23">
        <f t="shared" si="8"/>
        <v>463984346.82067287</v>
      </c>
      <c r="K76" s="24">
        <f t="shared" si="9"/>
        <v>62484346.82067287</v>
      </c>
      <c r="L76" s="31">
        <f t="shared" si="10"/>
        <v>0.15562726480864975</v>
      </c>
    </row>
    <row r="77" spans="1:12" outlineLevel="1">
      <c r="A77" s="30" t="s">
        <v>79</v>
      </c>
      <c r="B77" s="10" t="s">
        <v>37</v>
      </c>
      <c r="C77" s="15">
        <v>403000000</v>
      </c>
      <c r="D77" s="17">
        <v>36</v>
      </c>
      <c r="E77" s="21">
        <v>0.32</v>
      </c>
      <c r="F77" s="21">
        <v>0.1</v>
      </c>
      <c r="G77" s="18">
        <f t="shared" si="11"/>
        <v>40300000</v>
      </c>
      <c r="H77" s="18">
        <f t="shared" si="6"/>
        <v>362700000</v>
      </c>
      <c r="I77" s="23">
        <f t="shared" si="7"/>
        <v>11817160.769941274</v>
      </c>
      <c r="J77" s="23">
        <f t="shared" si="8"/>
        <v>465717787.71788585</v>
      </c>
      <c r="K77" s="24">
        <f t="shared" si="9"/>
        <v>62717787.717885852</v>
      </c>
      <c r="L77" s="31">
        <f t="shared" si="10"/>
        <v>0.15562726480864975</v>
      </c>
    </row>
    <row r="78" spans="1:12" outlineLevel="1">
      <c r="A78" s="30" t="s">
        <v>80</v>
      </c>
      <c r="B78" s="10" t="s">
        <v>47</v>
      </c>
      <c r="C78" s="14">
        <v>446500000</v>
      </c>
      <c r="D78" s="17">
        <v>36</v>
      </c>
      <c r="E78" s="21">
        <v>0.32</v>
      </c>
      <c r="F78" s="21">
        <v>0.1</v>
      </c>
      <c r="G78" s="18">
        <f t="shared" si="11"/>
        <v>44650000</v>
      </c>
      <c r="H78" s="18">
        <f t="shared" si="6"/>
        <v>401850000</v>
      </c>
      <c r="I78" s="23">
        <f t="shared" si="7"/>
        <v>13092710.38158506</v>
      </c>
      <c r="J78" s="23">
        <f t="shared" si="8"/>
        <v>515987573.73706216</v>
      </c>
      <c r="K78" s="24">
        <f t="shared" si="9"/>
        <v>69487573.737062156</v>
      </c>
      <c r="L78" s="31">
        <f t="shared" si="10"/>
        <v>0.15562726480864986</v>
      </c>
    </row>
    <row r="79" spans="1:12" outlineLevel="1">
      <c r="A79" s="30" t="s">
        <v>81</v>
      </c>
      <c r="B79" s="10" t="s">
        <v>48</v>
      </c>
      <c r="C79" s="14">
        <v>480500000</v>
      </c>
      <c r="D79" s="17">
        <v>36</v>
      </c>
      <c r="E79" s="21">
        <v>0.32</v>
      </c>
      <c r="F79" s="21">
        <v>0.1</v>
      </c>
      <c r="G79" s="18">
        <f t="shared" si="11"/>
        <v>48050000</v>
      </c>
      <c r="H79" s="18">
        <f t="shared" si="6"/>
        <v>432450000</v>
      </c>
      <c r="I79" s="23">
        <f t="shared" si="7"/>
        <v>14089691.687237674</v>
      </c>
      <c r="J79" s="23">
        <f t="shared" si="8"/>
        <v>555278900.74055624</v>
      </c>
      <c r="K79" s="24">
        <f t="shared" si="9"/>
        <v>74778900.74055624</v>
      </c>
      <c r="L79" s="31">
        <f t="shared" si="10"/>
        <v>0.15562726480864983</v>
      </c>
    </row>
    <row r="80" spans="1:12" outlineLevel="1">
      <c r="A80" s="30" t="s">
        <v>82</v>
      </c>
      <c r="B80" s="10" t="s">
        <v>104</v>
      </c>
      <c r="C80" s="14">
        <v>520500000</v>
      </c>
      <c r="D80" s="17">
        <v>36</v>
      </c>
      <c r="E80" s="21">
        <v>0.32</v>
      </c>
      <c r="F80" s="21">
        <v>0.1</v>
      </c>
      <c r="G80" s="18">
        <f t="shared" si="11"/>
        <v>52050000</v>
      </c>
      <c r="H80" s="18">
        <f t="shared" si="6"/>
        <v>468450000</v>
      </c>
      <c r="I80" s="23">
        <f t="shared" si="7"/>
        <v>15262610.870358394</v>
      </c>
      <c r="J80" s="23">
        <f t="shared" si="8"/>
        <v>601503991.33290219</v>
      </c>
      <c r="K80" s="24">
        <f t="shared" si="9"/>
        <v>81003991.332902193</v>
      </c>
      <c r="L80" s="31">
        <f t="shared" si="10"/>
        <v>0.15562726480864975</v>
      </c>
    </row>
    <row r="81" spans="1:12" outlineLevel="1">
      <c r="A81" s="30" t="s">
        <v>83</v>
      </c>
      <c r="B81" s="10" t="s">
        <v>39</v>
      </c>
      <c r="C81" s="14">
        <v>324500000</v>
      </c>
      <c r="D81" s="17">
        <v>36</v>
      </c>
      <c r="E81" s="21">
        <v>0.32</v>
      </c>
      <c r="F81" s="21">
        <v>0.1</v>
      </c>
      <c r="G81" s="18">
        <f t="shared" si="11"/>
        <v>32450000</v>
      </c>
      <c r="H81" s="18">
        <f t="shared" si="6"/>
        <v>292050000</v>
      </c>
      <c r="I81" s="23">
        <f t="shared" si="7"/>
        <v>9515306.8730668575</v>
      </c>
      <c r="J81" s="23">
        <f t="shared" si="8"/>
        <v>375001047.43040687</v>
      </c>
      <c r="K81" s="24">
        <f t="shared" si="9"/>
        <v>50501047.430406868</v>
      </c>
      <c r="L81" s="31">
        <f t="shared" si="10"/>
        <v>0.15562726480864983</v>
      </c>
    </row>
    <row r="82" spans="1:12" outlineLevel="1">
      <c r="A82" s="30" t="s">
        <v>84</v>
      </c>
      <c r="B82" s="10" t="s">
        <v>40</v>
      </c>
      <c r="C82" s="14">
        <v>334500000</v>
      </c>
      <c r="D82" s="17">
        <v>36</v>
      </c>
      <c r="E82" s="21">
        <v>0.32</v>
      </c>
      <c r="F82" s="21">
        <v>0.1</v>
      </c>
      <c r="G82" s="18">
        <f t="shared" si="11"/>
        <v>33450000</v>
      </c>
      <c r="H82" s="18">
        <f t="shared" si="6"/>
        <v>301050000</v>
      </c>
      <c r="I82" s="23">
        <f t="shared" si="7"/>
        <v>9808536.6688470375</v>
      </c>
      <c r="J82" s="23">
        <f t="shared" si="8"/>
        <v>386557320.07849336</v>
      </c>
      <c r="K82" s="24">
        <f t="shared" si="9"/>
        <v>52057320.078493357</v>
      </c>
      <c r="L82" s="31">
        <f t="shared" si="10"/>
        <v>0.1556272648086498</v>
      </c>
    </row>
    <row r="83" spans="1:12" outlineLevel="1">
      <c r="A83" s="30" t="s">
        <v>85</v>
      </c>
      <c r="B83" s="10" t="s">
        <v>42</v>
      </c>
      <c r="C83" s="14">
        <v>416500000</v>
      </c>
      <c r="D83" s="17">
        <v>36</v>
      </c>
      <c r="E83" s="21">
        <v>0.32</v>
      </c>
      <c r="F83" s="21">
        <v>0.1</v>
      </c>
      <c r="G83" s="18">
        <f t="shared" si="11"/>
        <v>41650000</v>
      </c>
      <c r="H83" s="18">
        <f t="shared" si="6"/>
        <v>374850000</v>
      </c>
      <c r="I83" s="23">
        <f t="shared" si="7"/>
        <v>12213020.994244518</v>
      </c>
      <c r="J83" s="23">
        <f t="shared" si="8"/>
        <v>481318755.79280263</v>
      </c>
      <c r="K83" s="24">
        <f t="shared" si="9"/>
        <v>64818755.792802632</v>
      </c>
      <c r="L83" s="31">
        <f t="shared" si="10"/>
        <v>0.15562726480864977</v>
      </c>
    </row>
    <row r="84" spans="1:12" outlineLevel="1">
      <c r="A84" s="30" t="s">
        <v>86</v>
      </c>
      <c r="B84" s="10" t="s">
        <v>43</v>
      </c>
      <c r="C84" s="14">
        <v>455500000</v>
      </c>
      <c r="D84" s="17">
        <v>36</v>
      </c>
      <c r="E84" s="21">
        <v>0.32</v>
      </c>
      <c r="F84" s="21">
        <v>0.1</v>
      </c>
      <c r="G84" s="18">
        <f t="shared" si="11"/>
        <v>45550000</v>
      </c>
      <c r="H84" s="18">
        <f t="shared" si="6"/>
        <v>409950000</v>
      </c>
      <c r="I84" s="23">
        <f t="shared" si="7"/>
        <v>13356617.197787222</v>
      </c>
      <c r="J84" s="23">
        <f t="shared" si="8"/>
        <v>526388219.12033999</v>
      </c>
      <c r="K84" s="24">
        <f t="shared" si="9"/>
        <v>70888219.12033999</v>
      </c>
      <c r="L84" s="31">
        <f t="shared" si="10"/>
        <v>0.1556272648086498</v>
      </c>
    </row>
    <row r="85" spans="1:12" outlineLevel="1">
      <c r="A85" s="30" t="s">
        <v>87</v>
      </c>
      <c r="B85" s="10" t="s">
        <v>44</v>
      </c>
      <c r="C85" s="14">
        <v>497500000</v>
      </c>
      <c r="D85" s="17">
        <v>36</v>
      </c>
      <c r="E85" s="21">
        <v>0.32</v>
      </c>
      <c r="F85" s="21">
        <v>0.1</v>
      </c>
      <c r="G85" s="18">
        <f t="shared" si="11"/>
        <v>49750000</v>
      </c>
      <c r="H85" s="18">
        <f t="shared" si="6"/>
        <v>447750000</v>
      </c>
      <c r="I85" s="23">
        <f t="shared" si="7"/>
        <v>14588182.340063982</v>
      </c>
      <c r="J85" s="23">
        <f t="shared" si="8"/>
        <v>574924564.24230337</v>
      </c>
      <c r="K85" s="24">
        <f t="shared" si="9"/>
        <v>77424564.242303371</v>
      </c>
      <c r="L85" s="31">
        <f t="shared" si="10"/>
        <v>0.15562726480865</v>
      </c>
    </row>
    <row r="86" spans="1:12" outlineLevel="1">
      <c r="A86" s="30" t="s">
        <v>88</v>
      </c>
      <c r="B86" s="10" t="s">
        <v>45</v>
      </c>
      <c r="C86" s="14">
        <v>500500000</v>
      </c>
      <c r="D86" s="17">
        <v>36</v>
      </c>
      <c r="E86" s="21">
        <v>0.32</v>
      </c>
      <c r="F86" s="21">
        <v>0.1</v>
      </c>
      <c r="G86" s="18">
        <f t="shared" si="11"/>
        <v>50050000</v>
      </c>
      <c r="H86" s="18">
        <f t="shared" si="6"/>
        <v>450450000</v>
      </c>
      <c r="I86" s="23">
        <f t="shared" si="7"/>
        <v>14676151.278798033</v>
      </c>
      <c r="J86" s="23">
        <f t="shared" si="8"/>
        <v>578391446.0367291</v>
      </c>
      <c r="K86" s="24">
        <f t="shared" si="9"/>
        <v>77891446.036729097</v>
      </c>
      <c r="L86" s="31">
        <f t="shared" si="10"/>
        <v>0.15562726480864955</v>
      </c>
    </row>
    <row r="87" spans="1:12" outlineLevel="1">
      <c r="A87" s="36" t="s">
        <v>89</v>
      </c>
      <c r="B87" s="37" t="s">
        <v>46</v>
      </c>
      <c r="C87" s="38">
        <v>1034500000</v>
      </c>
      <c r="D87" s="39">
        <v>36</v>
      </c>
      <c r="E87" s="40">
        <v>0.32</v>
      </c>
      <c r="F87" s="40">
        <v>0.1</v>
      </c>
      <c r="G87" s="41">
        <f t="shared" si="11"/>
        <v>103450000</v>
      </c>
      <c r="H87" s="41">
        <f t="shared" si="6"/>
        <v>931050000</v>
      </c>
      <c r="I87" s="42">
        <f t="shared" si="7"/>
        <v>30334622.373459671</v>
      </c>
      <c r="J87" s="42">
        <f t="shared" si="8"/>
        <v>1195496405.4445481</v>
      </c>
      <c r="K87" s="43">
        <f t="shared" si="9"/>
        <v>160996405.44454813</v>
      </c>
      <c r="L87" s="44">
        <f t="shared" si="10"/>
        <v>0.15562726480864972</v>
      </c>
    </row>
    <row r="88" spans="1:12">
      <c r="A88" s="167" t="s">
        <v>147</v>
      </c>
      <c r="B88" s="170"/>
      <c r="C88" s="170"/>
      <c r="D88" s="170"/>
      <c r="E88" s="170"/>
      <c r="F88" s="170"/>
      <c r="G88" s="170"/>
      <c r="H88" s="170"/>
      <c r="I88" s="170"/>
      <c r="J88" s="170"/>
      <c r="K88" s="170"/>
      <c r="L88" s="170"/>
    </row>
    <row r="89" spans="1:12">
      <c r="A89" s="171"/>
      <c r="B89" s="171"/>
      <c r="C89" s="171"/>
      <c r="D89" s="171"/>
      <c r="E89" s="171"/>
      <c r="F89" s="171"/>
      <c r="G89" s="171"/>
      <c r="H89" s="171"/>
      <c r="I89" s="171"/>
      <c r="J89" s="171"/>
      <c r="K89" s="171"/>
      <c r="L89" s="171"/>
    </row>
    <row r="90" spans="1:12">
      <c r="A90" s="171"/>
      <c r="B90" s="171"/>
      <c r="C90" s="171"/>
      <c r="D90" s="171"/>
      <c r="E90" s="171"/>
      <c r="F90" s="171"/>
      <c r="G90" s="171"/>
      <c r="H90" s="171"/>
      <c r="I90" s="171"/>
      <c r="J90" s="171"/>
      <c r="K90" s="171"/>
      <c r="L90" s="171"/>
    </row>
    <row r="91" spans="1:12">
      <c r="A91" s="172"/>
      <c r="B91" s="172"/>
      <c r="C91" s="172"/>
      <c r="D91" s="172"/>
      <c r="E91" s="172"/>
      <c r="F91" s="172"/>
      <c r="G91" s="172"/>
      <c r="H91" s="172"/>
      <c r="I91" s="172"/>
      <c r="J91" s="172"/>
      <c r="K91" s="172"/>
      <c r="L91" s="172"/>
    </row>
    <row r="92" spans="1:12">
      <c r="A92" s="46" t="s">
        <v>94</v>
      </c>
      <c r="B92" s="47" t="s">
        <v>95</v>
      </c>
      <c r="C92" s="47" t="s">
        <v>90</v>
      </c>
      <c r="D92" s="47" t="s">
        <v>135</v>
      </c>
      <c r="E92" s="47" t="s">
        <v>136</v>
      </c>
      <c r="F92" s="47" t="s">
        <v>137</v>
      </c>
      <c r="G92" s="48" t="s">
        <v>140</v>
      </c>
      <c r="H92" s="47" t="s">
        <v>141</v>
      </c>
      <c r="I92" s="49" t="s">
        <v>142</v>
      </c>
      <c r="J92" s="49" t="s">
        <v>143</v>
      </c>
      <c r="K92" s="47" t="s">
        <v>144</v>
      </c>
      <c r="L92" s="35" t="s">
        <v>139</v>
      </c>
    </row>
    <row r="93" spans="1:12" outlineLevel="1">
      <c r="A93" s="30" t="s">
        <v>51</v>
      </c>
      <c r="B93" s="10" t="s">
        <v>4</v>
      </c>
      <c r="C93" s="14">
        <v>140000000</v>
      </c>
      <c r="D93" s="17">
        <v>60</v>
      </c>
      <c r="E93" s="21">
        <v>0.35</v>
      </c>
      <c r="F93" s="21">
        <v>0.1</v>
      </c>
      <c r="G93" s="18">
        <f t="shared" ref="G93:G131" si="12">F93*C93</f>
        <v>14000000</v>
      </c>
      <c r="H93" s="18">
        <f>C93-G93</f>
        <v>126000000</v>
      </c>
      <c r="I93" s="23">
        <f>PMT(E93/36,D93,-H93)</f>
        <v>2781622.6736365799</v>
      </c>
      <c r="J93" s="23">
        <f>I93*D93+G93</f>
        <v>180897360.4181948</v>
      </c>
      <c r="K93" s="24">
        <f>J93-C93</f>
        <v>40897360.418194801</v>
      </c>
      <c r="L93" s="31">
        <f>K93/C93</f>
        <v>0.29212400298710572</v>
      </c>
    </row>
    <row r="94" spans="1:12" outlineLevel="1">
      <c r="A94" s="30" t="s">
        <v>52</v>
      </c>
      <c r="B94" s="10" t="s">
        <v>5</v>
      </c>
      <c r="C94" s="15">
        <v>148500000</v>
      </c>
      <c r="D94" s="17">
        <v>60</v>
      </c>
      <c r="E94" s="21">
        <v>0.35</v>
      </c>
      <c r="F94" s="21">
        <v>0.1</v>
      </c>
      <c r="G94" s="18">
        <f t="shared" si="12"/>
        <v>14850000</v>
      </c>
      <c r="H94" s="18">
        <f t="shared" ref="H94:H131" si="13">C94-G94</f>
        <v>133650000</v>
      </c>
      <c r="I94" s="23">
        <f t="shared" ref="I94:I131" si="14">PMT(E94/36,D94,-H94)</f>
        <v>2950506.9073930867</v>
      </c>
      <c r="J94" s="23">
        <f t="shared" ref="J94:J131" si="15">I94*D94+G94</f>
        <v>191880414.44358522</v>
      </c>
      <c r="K94" s="24">
        <f t="shared" ref="K94:K131" si="16">J94-C94</f>
        <v>43380414.443585217</v>
      </c>
      <c r="L94" s="31">
        <f t="shared" ref="L94:L131" si="17">K94/C94</f>
        <v>0.29212400298710584</v>
      </c>
    </row>
    <row r="95" spans="1:12" outlineLevel="1">
      <c r="A95" s="30" t="s">
        <v>53</v>
      </c>
      <c r="B95" s="10" t="s">
        <v>6</v>
      </c>
      <c r="C95" s="15">
        <v>163500000</v>
      </c>
      <c r="D95" s="17">
        <v>60</v>
      </c>
      <c r="E95" s="21">
        <v>0.35</v>
      </c>
      <c r="F95" s="21">
        <v>0.1</v>
      </c>
      <c r="G95" s="18">
        <f t="shared" si="12"/>
        <v>16350000</v>
      </c>
      <c r="H95" s="18">
        <f t="shared" si="13"/>
        <v>147150000</v>
      </c>
      <c r="I95" s="23">
        <f t="shared" si="14"/>
        <v>3248537.9081398631</v>
      </c>
      <c r="J95" s="23">
        <f t="shared" si="15"/>
        <v>211262274.48839179</v>
      </c>
      <c r="K95" s="24">
        <f t="shared" si="16"/>
        <v>47762274.488391787</v>
      </c>
      <c r="L95" s="31">
        <f t="shared" si="17"/>
        <v>0.29212400298710572</v>
      </c>
    </row>
    <row r="96" spans="1:12" outlineLevel="1">
      <c r="A96" s="30" t="s">
        <v>54</v>
      </c>
      <c r="B96" s="10" t="s">
        <v>7</v>
      </c>
      <c r="C96" s="15">
        <v>176000000</v>
      </c>
      <c r="D96" s="17">
        <v>60</v>
      </c>
      <c r="E96" s="21">
        <v>0.35</v>
      </c>
      <c r="F96" s="21">
        <v>0.1</v>
      </c>
      <c r="G96" s="18">
        <f t="shared" si="12"/>
        <v>17600000</v>
      </c>
      <c r="H96" s="18">
        <f t="shared" si="13"/>
        <v>158400000</v>
      </c>
      <c r="I96" s="23">
        <f t="shared" si="14"/>
        <v>3496897.075428843</v>
      </c>
      <c r="J96" s="23">
        <f t="shared" si="15"/>
        <v>227413824.52573058</v>
      </c>
      <c r="K96" s="24">
        <f t="shared" si="16"/>
        <v>51413824.52573058</v>
      </c>
      <c r="L96" s="31">
        <f t="shared" si="17"/>
        <v>0.29212400298710556</v>
      </c>
    </row>
    <row r="97" spans="1:12" outlineLevel="1">
      <c r="A97" s="30" t="s">
        <v>55</v>
      </c>
      <c r="B97" s="10" t="s">
        <v>8</v>
      </c>
      <c r="C97" s="15">
        <v>191000000</v>
      </c>
      <c r="D97" s="17">
        <v>60</v>
      </c>
      <c r="E97" s="21">
        <v>0.35</v>
      </c>
      <c r="F97" s="21">
        <v>0.1</v>
      </c>
      <c r="G97" s="18">
        <f t="shared" si="12"/>
        <v>19100000</v>
      </c>
      <c r="H97" s="18">
        <f t="shared" si="13"/>
        <v>171900000</v>
      </c>
      <c r="I97" s="23">
        <f t="shared" si="14"/>
        <v>3794928.0761756198</v>
      </c>
      <c r="J97" s="23">
        <f t="shared" si="15"/>
        <v>246795684.57053718</v>
      </c>
      <c r="K97" s="24">
        <f t="shared" si="16"/>
        <v>55795684.57053718</v>
      </c>
      <c r="L97" s="31">
        <f t="shared" si="17"/>
        <v>0.29212400298710567</v>
      </c>
    </row>
    <row r="98" spans="1:12" outlineLevel="1">
      <c r="A98" s="30" t="s">
        <v>56</v>
      </c>
      <c r="B98" s="10" t="s">
        <v>10</v>
      </c>
      <c r="C98" s="15">
        <v>195500000</v>
      </c>
      <c r="D98" s="17">
        <v>60</v>
      </c>
      <c r="E98" s="21">
        <v>0.35</v>
      </c>
      <c r="F98" s="21">
        <v>0.1</v>
      </c>
      <c r="G98" s="18">
        <f t="shared" si="12"/>
        <v>19550000</v>
      </c>
      <c r="H98" s="18">
        <f t="shared" si="13"/>
        <v>175950000</v>
      </c>
      <c r="I98" s="23">
        <f t="shared" si="14"/>
        <v>3884337.3763996526</v>
      </c>
      <c r="J98" s="23">
        <f t="shared" si="15"/>
        <v>252610242.58397916</v>
      </c>
      <c r="K98" s="24">
        <f t="shared" si="16"/>
        <v>57110242.58397916</v>
      </c>
      <c r="L98" s="31">
        <f t="shared" si="17"/>
        <v>0.29212400298710567</v>
      </c>
    </row>
    <row r="99" spans="1:12" outlineLevel="1">
      <c r="A99" s="30" t="s">
        <v>57</v>
      </c>
      <c r="B99" s="10" t="s">
        <v>11</v>
      </c>
      <c r="C99" s="15">
        <v>216000000</v>
      </c>
      <c r="D99" s="17">
        <v>60</v>
      </c>
      <c r="E99" s="21">
        <v>0.35</v>
      </c>
      <c r="F99" s="21">
        <v>0.1</v>
      </c>
      <c r="G99" s="18">
        <f t="shared" si="12"/>
        <v>21600000</v>
      </c>
      <c r="H99" s="18">
        <f t="shared" si="13"/>
        <v>194400000</v>
      </c>
      <c r="I99" s="23">
        <f t="shared" si="14"/>
        <v>4291646.4107535807</v>
      </c>
      <c r="J99" s="23">
        <f t="shared" si="15"/>
        <v>279098784.64521486</v>
      </c>
      <c r="K99" s="24">
        <f t="shared" si="16"/>
        <v>63098784.645214856</v>
      </c>
      <c r="L99" s="31">
        <f t="shared" si="17"/>
        <v>0.29212400298710584</v>
      </c>
    </row>
    <row r="100" spans="1:12" outlineLevel="1">
      <c r="A100" s="30" t="s">
        <v>58</v>
      </c>
      <c r="B100" s="10" t="s">
        <v>12</v>
      </c>
      <c r="C100" s="15">
        <v>227000000</v>
      </c>
      <c r="D100" s="17">
        <v>60</v>
      </c>
      <c r="E100" s="21">
        <v>0.35</v>
      </c>
      <c r="F100" s="21">
        <v>0.1</v>
      </c>
      <c r="G100" s="18">
        <f t="shared" si="12"/>
        <v>22700000</v>
      </c>
      <c r="H100" s="18">
        <f t="shared" si="13"/>
        <v>204300000</v>
      </c>
      <c r="I100" s="23">
        <f t="shared" si="14"/>
        <v>4510202.4779678835</v>
      </c>
      <c r="J100" s="23">
        <f t="shared" si="15"/>
        <v>293312148.67807299</v>
      </c>
      <c r="K100" s="24">
        <f t="shared" si="16"/>
        <v>66312148.678072989</v>
      </c>
      <c r="L100" s="31">
        <f t="shared" si="17"/>
        <v>0.29212400298710567</v>
      </c>
    </row>
    <row r="101" spans="1:12" outlineLevel="1">
      <c r="A101" s="30" t="s">
        <v>59</v>
      </c>
      <c r="B101" s="10" t="s">
        <v>13</v>
      </c>
      <c r="C101" s="15">
        <v>231400000</v>
      </c>
      <c r="D101" s="17">
        <v>60</v>
      </c>
      <c r="E101" s="21">
        <v>0.35</v>
      </c>
      <c r="F101" s="21">
        <v>0.1</v>
      </c>
      <c r="G101" s="18">
        <f t="shared" si="12"/>
        <v>23140000</v>
      </c>
      <c r="H101" s="18">
        <f t="shared" si="13"/>
        <v>208260000</v>
      </c>
      <c r="I101" s="23">
        <f t="shared" si="14"/>
        <v>4597624.9048536047</v>
      </c>
      <c r="J101" s="23">
        <f t="shared" si="15"/>
        <v>298997494.29121625</v>
      </c>
      <c r="K101" s="24">
        <f t="shared" si="16"/>
        <v>67597494.291216254</v>
      </c>
      <c r="L101" s="31">
        <f t="shared" si="17"/>
        <v>0.29212400298710567</v>
      </c>
    </row>
    <row r="102" spans="1:12" outlineLevel="1">
      <c r="A102" s="30" t="s">
        <v>60</v>
      </c>
      <c r="B102" s="10" t="s">
        <v>14</v>
      </c>
      <c r="C102" s="15">
        <v>237500000</v>
      </c>
      <c r="D102" s="17">
        <v>60</v>
      </c>
      <c r="E102" s="21">
        <v>0.35</v>
      </c>
      <c r="F102" s="21">
        <v>0.1</v>
      </c>
      <c r="G102" s="18">
        <f t="shared" si="12"/>
        <v>23750000</v>
      </c>
      <c r="H102" s="18">
        <f t="shared" si="13"/>
        <v>213750000</v>
      </c>
      <c r="I102" s="23">
        <f t="shared" si="14"/>
        <v>4718824.1784906266</v>
      </c>
      <c r="J102" s="23">
        <f t="shared" si="15"/>
        <v>306879450.70943761</v>
      </c>
      <c r="K102" s="24">
        <f t="shared" si="16"/>
        <v>69379450.709437609</v>
      </c>
      <c r="L102" s="31">
        <f t="shared" si="17"/>
        <v>0.29212400298710572</v>
      </c>
    </row>
    <row r="103" spans="1:12" outlineLevel="1">
      <c r="A103" s="30" t="s">
        <v>61</v>
      </c>
      <c r="B103" s="10" t="s">
        <v>15</v>
      </c>
      <c r="C103" s="15">
        <v>248000000</v>
      </c>
      <c r="D103" s="17">
        <v>60</v>
      </c>
      <c r="E103" s="21">
        <v>0.35</v>
      </c>
      <c r="F103" s="21">
        <v>0.1</v>
      </c>
      <c r="G103" s="18">
        <f t="shared" si="12"/>
        <v>24800000</v>
      </c>
      <c r="H103" s="18">
        <f t="shared" si="13"/>
        <v>223200000</v>
      </c>
      <c r="I103" s="23">
        <f t="shared" si="14"/>
        <v>4927445.8790133707</v>
      </c>
      <c r="J103" s="23">
        <f t="shared" si="15"/>
        <v>320446752.74080223</v>
      </c>
      <c r="K103" s="24">
        <f t="shared" si="16"/>
        <v>72446752.740802228</v>
      </c>
      <c r="L103" s="31">
        <f t="shared" si="17"/>
        <v>0.29212400298710578</v>
      </c>
    </row>
    <row r="104" spans="1:12" outlineLevel="1">
      <c r="A104" s="30" t="s">
        <v>62</v>
      </c>
      <c r="B104" s="10" t="s">
        <v>16</v>
      </c>
      <c r="C104" s="15">
        <v>239000000</v>
      </c>
      <c r="D104" s="17">
        <v>60</v>
      </c>
      <c r="E104" s="21">
        <v>0.35</v>
      </c>
      <c r="F104" s="21">
        <v>0.1</v>
      </c>
      <c r="G104" s="18">
        <f t="shared" si="12"/>
        <v>23900000</v>
      </c>
      <c r="H104" s="18">
        <f t="shared" si="13"/>
        <v>215100000</v>
      </c>
      <c r="I104" s="23">
        <f t="shared" si="14"/>
        <v>4748627.2785653044</v>
      </c>
      <c r="J104" s="23">
        <f t="shared" si="15"/>
        <v>308817636.71391827</v>
      </c>
      <c r="K104" s="24">
        <f t="shared" si="16"/>
        <v>69817636.713918269</v>
      </c>
      <c r="L104" s="31">
        <f t="shared" si="17"/>
        <v>0.29212400298710572</v>
      </c>
    </row>
    <row r="105" spans="1:12" outlineLevel="1">
      <c r="A105" s="30" t="s">
        <v>63</v>
      </c>
      <c r="B105" s="10" t="s">
        <v>17</v>
      </c>
      <c r="C105" s="15">
        <v>249500000</v>
      </c>
      <c r="D105" s="17">
        <v>60</v>
      </c>
      <c r="E105" s="21">
        <v>0.35</v>
      </c>
      <c r="F105" s="21">
        <v>0.1</v>
      </c>
      <c r="G105" s="18">
        <f t="shared" si="12"/>
        <v>24950000</v>
      </c>
      <c r="H105" s="18">
        <f t="shared" si="13"/>
        <v>224550000</v>
      </c>
      <c r="I105" s="23">
        <f t="shared" si="14"/>
        <v>4957248.9790880475</v>
      </c>
      <c r="J105" s="23">
        <f t="shared" si="15"/>
        <v>322384938.74528283</v>
      </c>
      <c r="K105" s="24">
        <f t="shared" si="16"/>
        <v>72884938.745282829</v>
      </c>
      <c r="L105" s="31">
        <f t="shared" si="17"/>
        <v>0.2921240029871055</v>
      </c>
    </row>
    <row r="106" spans="1:12" outlineLevel="1">
      <c r="A106" s="30" t="s">
        <v>64</v>
      </c>
      <c r="B106" s="10" t="s">
        <v>20</v>
      </c>
      <c r="C106" s="14">
        <v>239500000</v>
      </c>
      <c r="D106" s="17">
        <v>60</v>
      </c>
      <c r="E106" s="21">
        <v>0.35</v>
      </c>
      <c r="F106" s="21">
        <v>0.1</v>
      </c>
      <c r="G106" s="18">
        <f t="shared" si="12"/>
        <v>23950000</v>
      </c>
      <c r="H106" s="18">
        <f t="shared" si="13"/>
        <v>215550000</v>
      </c>
      <c r="I106" s="23">
        <f t="shared" si="14"/>
        <v>4758561.6452568639</v>
      </c>
      <c r="J106" s="23">
        <f t="shared" si="15"/>
        <v>309463698.71541184</v>
      </c>
      <c r="K106" s="24">
        <f t="shared" si="16"/>
        <v>69963698.715411842</v>
      </c>
      <c r="L106" s="31">
        <f t="shared" si="17"/>
        <v>0.29212400298710584</v>
      </c>
    </row>
    <row r="107" spans="1:12" outlineLevel="1">
      <c r="A107" s="30" t="s">
        <v>65</v>
      </c>
      <c r="B107" s="10" t="s">
        <v>21</v>
      </c>
      <c r="C107" s="14">
        <v>250500000</v>
      </c>
      <c r="D107" s="17">
        <v>60</v>
      </c>
      <c r="E107" s="21">
        <v>0.35</v>
      </c>
      <c r="F107" s="21">
        <v>0.1</v>
      </c>
      <c r="G107" s="18">
        <f t="shared" si="12"/>
        <v>25050000</v>
      </c>
      <c r="H107" s="18">
        <f t="shared" si="13"/>
        <v>225450000</v>
      </c>
      <c r="I107" s="23">
        <f t="shared" si="14"/>
        <v>4977117.7124711657</v>
      </c>
      <c r="J107" s="23">
        <f t="shared" si="15"/>
        <v>323677062.74826992</v>
      </c>
      <c r="K107" s="24">
        <f t="shared" si="16"/>
        <v>73177062.748269916</v>
      </c>
      <c r="L107" s="31">
        <f t="shared" si="17"/>
        <v>0.29212400298710545</v>
      </c>
    </row>
    <row r="108" spans="1:12" outlineLevel="1">
      <c r="A108" s="30" t="s">
        <v>66</v>
      </c>
      <c r="B108" s="10" t="s">
        <v>22</v>
      </c>
      <c r="C108" s="14">
        <v>260500000</v>
      </c>
      <c r="D108" s="17">
        <v>60</v>
      </c>
      <c r="E108" s="21">
        <v>0.35</v>
      </c>
      <c r="F108" s="21">
        <v>0.1</v>
      </c>
      <c r="G108" s="18">
        <f t="shared" si="12"/>
        <v>26050000</v>
      </c>
      <c r="H108" s="18">
        <f t="shared" si="13"/>
        <v>234450000</v>
      </c>
      <c r="I108" s="23">
        <f t="shared" si="14"/>
        <v>5175805.0463023512</v>
      </c>
      <c r="J108" s="23">
        <f t="shared" si="15"/>
        <v>336598302.77814108</v>
      </c>
      <c r="K108" s="24">
        <f t="shared" si="16"/>
        <v>76098302.778141081</v>
      </c>
      <c r="L108" s="31">
        <f t="shared" si="17"/>
        <v>0.29212400298710589</v>
      </c>
    </row>
    <row r="109" spans="1:12" outlineLevel="1">
      <c r="A109" s="30" t="s">
        <v>67</v>
      </c>
      <c r="B109" s="10" t="s">
        <v>23</v>
      </c>
      <c r="C109" s="14">
        <v>275500000</v>
      </c>
      <c r="D109" s="17">
        <v>60</v>
      </c>
      <c r="E109" s="21">
        <v>0.35</v>
      </c>
      <c r="F109" s="21">
        <v>0.1</v>
      </c>
      <c r="G109" s="18">
        <f t="shared" si="12"/>
        <v>27550000</v>
      </c>
      <c r="H109" s="18">
        <f t="shared" si="13"/>
        <v>247950000</v>
      </c>
      <c r="I109" s="23">
        <f t="shared" si="14"/>
        <v>5473836.0470491275</v>
      </c>
      <c r="J109" s="23">
        <f t="shared" si="15"/>
        <v>355980162.82294762</v>
      </c>
      <c r="K109" s="24">
        <f t="shared" si="16"/>
        <v>80480162.822947621</v>
      </c>
      <c r="L109" s="31">
        <f t="shared" si="17"/>
        <v>0.29212400298710572</v>
      </c>
    </row>
    <row r="110" spans="1:12" outlineLevel="1">
      <c r="A110" s="30" t="s">
        <v>68</v>
      </c>
      <c r="B110" s="10" t="s">
        <v>25</v>
      </c>
      <c r="C110" s="14">
        <v>240500000</v>
      </c>
      <c r="D110" s="17">
        <v>60</v>
      </c>
      <c r="E110" s="21">
        <v>0.35</v>
      </c>
      <c r="F110" s="21">
        <v>0.1</v>
      </c>
      <c r="G110" s="18">
        <f t="shared" si="12"/>
        <v>24050000</v>
      </c>
      <c r="H110" s="18">
        <f t="shared" si="13"/>
        <v>216450000</v>
      </c>
      <c r="I110" s="23">
        <f t="shared" si="14"/>
        <v>4778430.3786399821</v>
      </c>
      <c r="J110" s="23">
        <f t="shared" si="15"/>
        <v>310755822.71839893</v>
      </c>
      <c r="K110" s="24">
        <f t="shared" si="16"/>
        <v>70255822.718398929</v>
      </c>
      <c r="L110" s="31">
        <f t="shared" si="17"/>
        <v>0.29212400298710572</v>
      </c>
    </row>
    <row r="111" spans="1:12" outlineLevel="1">
      <c r="A111" s="30" t="s">
        <v>69</v>
      </c>
      <c r="B111" s="10" t="s">
        <v>26</v>
      </c>
      <c r="C111" s="14">
        <v>271000000</v>
      </c>
      <c r="D111" s="17">
        <v>60</v>
      </c>
      <c r="E111" s="21">
        <v>0.35</v>
      </c>
      <c r="F111" s="21">
        <v>0.1</v>
      </c>
      <c r="G111" s="18">
        <f t="shared" si="12"/>
        <v>27100000</v>
      </c>
      <c r="H111" s="18">
        <f t="shared" si="13"/>
        <v>243900000</v>
      </c>
      <c r="I111" s="23">
        <f t="shared" si="14"/>
        <v>5384426.7468250943</v>
      </c>
      <c r="J111" s="23">
        <f t="shared" si="15"/>
        <v>350165604.80950564</v>
      </c>
      <c r="K111" s="24">
        <f t="shared" si="16"/>
        <v>79165604.809505641</v>
      </c>
      <c r="L111" s="31">
        <f t="shared" si="17"/>
        <v>0.29212400298710567</v>
      </c>
    </row>
    <row r="112" spans="1:12" outlineLevel="1">
      <c r="A112" s="30" t="s">
        <v>70</v>
      </c>
      <c r="B112" s="10" t="s">
        <v>28</v>
      </c>
      <c r="C112" s="14">
        <v>272500000</v>
      </c>
      <c r="D112" s="17">
        <v>60</v>
      </c>
      <c r="E112" s="21">
        <v>0.35</v>
      </c>
      <c r="F112" s="21">
        <v>0.1</v>
      </c>
      <c r="G112" s="18">
        <f t="shared" si="12"/>
        <v>27250000</v>
      </c>
      <c r="H112" s="18">
        <f t="shared" si="13"/>
        <v>245250000</v>
      </c>
      <c r="I112" s="23">
        <f t="shared" si="14"/>
        <v>5414229.8468997721</v>
      </c>
      <c r="J112" s="23">
        <f t="shared" si="15"/>
        <v>352103790.8139863</v>
      </c>
      <c r="K112" s="24">
        <f t="shared" si="16"/>
        <v>79603790.813986301</v>
      </c>
      <c r="L112" s="31">
        <f t="shared" si="17"/>
        <v>0.29212400298710567</v>
      </c>
    </row>
    <row r="113" spans="1:12" outlineLevel="1">
      <c r="A113" s="30" t="s">
        <v>71</v>
      </c>
      <c r="B113" s="10" t="s">
        <v>29</v>
      </c>
      <c r="C113" s="14">
        <v>275000000</v>
      </c>
      <c r="D113" s="17">
        <v>60</v>
      </c>
      <c r="E113" s="21">
        <v>0.35</v>
      </c>
      <c r="F113" s="21">
        <v>0.1</v>
      </c>
      <c r="G113" s="18">
        <f t="shared" si="12"/>
        <v>27500000</v>
      </c>
      <c r="H113" s="18">
        <f t="shared" si="13"/>
        <v>247500000</v>
      </c>
      <c r="I113" s="23">
        <f t="shared" si="14"/>
        <v>5463901.680357567</v>
      </c>
      <c r="J113" s="23">
        <f t="shared" si="15"/>
        <v>355334100.82145405</v>
      </c>
      <c r="K113" s="24">
        <f t="shared" si="16"/>
        <v>80334100.821454048</v>
      </c>
      <c r="L113" s="31">
        <f t="shared" si="17"/>
        <v>0.29212400298710561</v>
      </c>
    </row>
    <row r="114" spans="1:12" outlineLevel="1">
      <c r="A114" s="30" t="s">
        <v>72</v>
      </c>
      <c r="B114" s="10" t="s">
        <v>27</v>
      </c>
      <c r="C114" s="14">
        <v>281000000</v>
      </c>
      <c r="D114" s="17">
        <v>60</v>
      </c>
      <c r="E114" s="21">
        <v>0.35</v>
      </c>
      <c r="F114" s="21">
        <v>0.1</v>
      </c>
      <c r="G114" s="18">
        <f t="shared" si="12"/>
        <v>28100000</v>
      </c>
      <c r="H114" s="18">
        <f t="shared" si="13"/>
        <v>252900000</v>
      </c>
      <c r="I114" s="23">
        <f t="shared" si="14"/>
        <v>5583114.0806562789</v>
      </c>
      <c r="J114" s="23">
        <f t="shared" si="15"/>
        <v>363086844.83937675</v>
      </c>
      <c r="K114" s="24">
        <f t="shared" si="16"/>
        <v>82086844.839376748</v>
      </c>
      <c r="L114" s="31">
        <f t="shared" si="17"/>
        <v>0.29212400298710589</v>
      </c>
    </row>
    <row r="115" spans="1:12" outlineLevel="1">
      <c r="A115" s="30" t="s">
        <v>73</v>
      </c>
      <c r="B115" s="10" t="s">
        <v>30</v>
      </c>
      <c r="C115" s="14">
        <v>282500000</v>
      </c>
      <c r="D115" s="17">
        <v>60</v>
      </c>
      <c r="E115" s="21">
        <v>0.35</v>
      </c>
      <c r="F115" s="21">
        <v>0.1</v>
      </c>
      <c r="G115" s="18">
        <f t="shared" si="12"/>
        <v>28250000</v>
      </c>
      <c r="H115" s="18">
        <f t="shared" si="13"/>
        <v>254250000</v>
      </c>
      <c r="I115" s="23">
        <f t="shared" si="14"/>
        <v>5612917.1807309566</v>
      </c>
      <c r="J115" s="23">
        <f t="shared" si="15"/>
        <v>365025030.84385741</v>
      </c>
      <c r="K115" s="24">
        <f t="shared" si="16"/>
        <v>82525030.843857408</v>
      </c>
      <c r="L115" s="31">
        <f t="shared" si="17"/>
        <v>0.29212400298710589</v>
      </c>
    </row>
    <row r="116" spans="1:12" outlineLevel="1">
      <c r="A116" s="30" t="s">
        <v>74</v>
      </c>
      <c r="B116" s="10" t="s">
        <v>32</v>
      </c>
      <c r="C116" s="15">
        <v>286000000</v>
      </c>
      <c r="D116" s="17">
        <v>60</v>
      </c>
      <c r="E116" s="21">
        <v>0.35</v>
      </c>
      <c r="F116" s="21">
        <v>0.1</v>
      </c>
      <c r="G116" s="18">
        <f t="shared" si="12"/>
        <v>28600000</v>
      </c>
      <c r="H116" s="18">
        <f t="shared" si="13"/>
        <v>257400000</v>
      </c>
      <c r="I116" s="23">
        <f t="shared" si="14"/>
        <v>5682457.7475718707</v>
      </c>
      <c r="J116" s="23">
        <f t="shared" si="15"/>
        <v>369547464.85431224</v>
      </c>
      <c r="K116" s="24">
        <f t="shared" si="16"/>
        <v>83547464.854312241</v>
      </c>
      <c r="L116" s="31">
        <f t="shared" si="17"/>
        <v>0.29212400298710572</v>
      </c>
    </row>
    <row r="117" spans="1:12" outlineLevel="1">
      <c r="A117" s="30" t="s">
        <v>75</v>
      </c>
      <c r="B117" s="10" t="s">
        <v>33</v>
      </c>
      <c r="C117" s="15">
        <v>296000000</v>
      </c>
      <c r="D117" s="17">
        <v>60</v>
      </c>
      <c r="E117" s="21">
        <v>0.35</v>
      </c>
      <c r="F117" s="21">
        <v>0.1</v>
      </c>
      <c r="G117" s="18">
        <f t="shared" si="12"/>
        <v>29600000</v>
      </c>
      <c r="H117" s="18">
        <f t="shared" si="13"/>
        <v>266400000</v>
      </c>
      <c r="I117" s="23">
        <f t="shared" si="14"/>
        <v>5881145.0814030543</v>
      </c>
      <c r="J117" s="23">
        <f t="shared" si="15"/>
        <v>382468704.88418329</v>
      </c>
      <c r="K117" s="24">
        <f t="shared" si="16"/>
        <v>86468704.884183288</v>
      </c>
      <c r="L117" s="31">
        <f t="shared" si="17"/>
        <v>0.29212400298710572</v>
      </c>
    </row>
    <row r="118" spans="1:12" outlineLevel="1">
      <c r="A118" s="30" t="s">
        <v>76</v>
      </c>
      <c r="B118" s="10" t="s">
        <v>34</v>
      </c>
      <c r="C118" s="15">
        <v>319000000</v>
      </c>
      <c r="D118" s="17">
        <v>60</v>
      </c>
      <c r="E118" s="21">
        <v>0.35</v>
      </c>
      <c r="F118" s="21">
        <v>0.1</v>
      </c>
      <c r="G118" s="18">
        <f t="shared" si="12"/>
        <v>31900000</v>
      </c>
      <c r="H118" s="18">
        <f t="shared" si="13"/>
        <v>287100000</v>
      </c>
      <c r="I118" s="23">
        <f t="shared" si="14"/>
        <v>6338125.9492147788</v>
      </c>
      <c r="J118" s="23">
        <f t="shared" si="15"/>
        <v>412187556.9528867</v>
      </c>
      <c r="K118" s="24">
        <f t="shared" si="16"/>
        <v>93187556.952886701</v>
      </c>
      <c r="L118" s="31">
        <f t="shared" si="17"/>
        <v>0.29212400298710567</v>
      </c>
    </row>
    <row r="119" spans="1:12" outlineLevel="1">
      <c r="A119" s="30" t="s">
        <v>77</v>
      </c>
      <c r="B119" s="10" t="s">
        <v>35</v>
      </c>
      <c r="C119" s="15">
        <v>336000000</v>
      </c>
      <c r="D119" s="17">
        <v>60</v>
      </c>
      <c r="E119" s="21">
        <v>0.35</v>
      </c>
      <c r="F119" s="21">
        <v>0.1</v>
      </c>
      <c r="G119" s="18">
        <f t="shared" si="12"/>
        <v>33600000</v>
      </c>
      <c r="H119" s="18">
        <f t="shared" si="13"/>
        <v>302400000</v>
      </c>
      <c r="I119" s="23">
        <f t="shared" si="14"/>
        <v>6675894.4167277915</v>
      </c>
      <c r="J119" s="23">
        <f t="shared" si="15"/>
        <v>434153665.00366747</v>
      </c>
      <c r="K119" s="24">
        <f t="shared" si="16"/>
        <v>98153665.003667474</v>
      </c>
      <c r="L119" s="31">
        <f t="shared" si="17"/>
        <v>0.29212400298710556</v>
      </c>
    </row>
    <row r="120" spans="1:12" outlineLevel="1">
      <c r="A120" s="30" t="s">
        <v>78</v>
      </c>
      <c r="B120" s="10" t="s">
        <v>36</v>
      </c>
      <c r="C120" s="15">
        <v>401500000</v>
      </c>
      <c r="D120" s="17">
        <v>60</v>
      </c>
      <c r="E120" s="21">
        <v>0.35</v>
      </c>
      <c r="F120" s="21">
        <v>0.1</v>
      </c>
      <c r="G120" s="18">
        <f t="shared" si="12"/>
        <v>40150000</v>
      </c>
      <c r="H120" s="18">
        <f t="shared" si="13"/>
        <v>361350000</v>
      </c>
      <c r="I120" s="23">
        <f t="shared" si="14"/>
        <v>7977296.4533220492</v>
      </c>
      <c r="J120" s="23">
        <f t="shared" si="15"/>
        <v>518787787.19932294</v>
      </c>
      <c r="K120" s="24">
        <f t="shared" si="16"/>
        <v>117287787.19932294</v>
      </c>
      <c r="L120" s="31">
        <f t="shared" si="17"/>
        <v>0.29212400298710572</v>
      </c>
    </row>
    <row r="121" spans="1:12" outlineLevel="1">
      <c r="A121" s="30" t="s">
        <v>79</v>
      </c>
      <c r="B121" s="10" t="s">
        <v>37</v>
      </c>
      <c r="C121" s="15">
        <v>403000000</v>
      </c>
      <c r="D121" s="17">
        <v>60</v>
      </c>
      <c r="E121" s="21">
        <v>0.35</v>
      </c>
      <c r="F121" s="21">
        <v>0.1</v>
      </c>
      <c r="G121" s="18">
        <f t="shared" si="12"/>
        <v>40300000</v>
      </c>
      <c r="H121" s="18">
        <f t="shared" si="13"/>
        <v>362700000</v>
      </c>
      <c r="I121" s="23">
        <f t="shared" si="14"/>
        <v>8007099.553396727</v>
      </c>
      <c r="J121" s="23">
        <f t="shared" si="15"/>
        <v>520725973.2038036</v>
      </c>
      <c r="K121" s="24">
        <f t="shared" si="16"/>
        <v>117725973.2038036</v>
      </c>
      <c r="L121" s="31">
        <f t="shared" si="17"/>
        <v>0.29212400298710572</v>
      </c>
    </row>
    <row r="122" spans="1:12" outlineLevel="1">
      <c r="A122" s="30" t="s">
        <v>80</v>
      </c>
      <c r="B122" s="10" t="s">
        <v>47</v>
      </c>
      <c r="C122" s="14">
        <v>446500000</v>
      </c>
      <c r="D122" s="17">
        <v>60</v>
      </c>
      <c r="E122" s="21">
        <v>0.35</v>
      </c>
      <c r="F122" s="21">
        <v>0.1</v>
      </c>
      <c r="G122" s="18">
        <f t="shared" si="12"/>
        <v>44650000</v>
      </c>
      <c r="H122" s="18">
        <f t="shared" si="13"/>
        <v>401850000</v>
      </c>
      <c r="I122" s="23">
        <f t="shared" si="14"/>
        <v>8871389.4555623773</v>
      </c>
      <c r="J122" s="23">
        <f t="shared" si="15"/>
        <v>576933367.33374262</v>
      </c>
      <c r="K122" s="24">
        <f t="shared" si="16"/>
        <v>130433367.33374262</v>
      </c>
      <c r="L122" s="31">
        <f t="shared" si="17"/>
        <v>0.2921240029871055</v>
      </c>
    </row>
    <row r="123" spans="1:12" outlineLevel="1">
      <c r="A123" s="30" t="s">
        <v>81</v>
      </c>
      <c r="B123" s="10" t="s">
        <v>48</v>
      </c>
      <c r="C123" s="14">
        <v>480500000</v>
      </c>
      <c r="D123" s="17">
        <v>60</v>
      </c>
      <c r="E123" s="21">
        <v>0.35</v>
      </c>
      <c r="F123" s="21">
        <v>0.1</v>
      </c>
      <c r="G123" s="18">
        <f t="shared" si="12"/>
        <v>48050000</v>
      </c>
      <c r="H123" s="18">
        <f t="shared" si="13"/>
        <v>432450000</v>
      </c>
      <c r="I123" s="23">
        <f t="shared" si="14"/>
        <v>9546926.3905884046</v>
      </c>
      <c r="J123" s="23">
        <f t="shared" si="15"/>
        <v>620865583.43530428</v>
      </c>
      <c r="K123" s="24">
        <f t="shared" si="16"/>
        <v>140365583.43530428</v>
      </c>
      <c r="L123" s="31">
        <f t="shared" si="17"/>
        <v>0.29212400298710567</v>
      </c>
    </row>
    <row r="124" spans="1:12" outlineLevel="1">
      <c r="A124" s="30" t="s">
        <v>82</v>
      </c>
      <c r="B124" s="10" t="s">
        <v>104</v>
      </c>
      <c r="C124" s="14">
        <v>520500000</v>
      </c>
      <c r="D124" s="17">
        <v>60</v>
      </c>
      <c r="E124" s="21">
        <v>0.35</v>
      </c>
      <c r="F124" s="21">
        <v>0.1</v>
      </c>
      <c r="G124" s="18">
        <f t="shared" si="12"/>
        <v>52050000</v>
      </c>
      <c r="H124" s="18">
        <f t="shared" si="13"/>
        <v>468450000</v>
      </c>
      <c r="I124" s="23">
        <f t="shared" si="14"/>
        <v>10341675.725913141</v>
      </c>
      <c r="J124" s="23">
        <f t="shared" si="15"/>
        <v>672550543.55478847</v>
      </c>
      <c r="K124" s="24">
        <f t="shared" si="16"/>
        <v>152050543.55478847</v>
      </c>
      <c r="L124" s="31">
        <f t="shared" si="17"/>
        <v>0.29212400298710561</v>
      </c>
    </row>
    <row r="125" spans="1:12" outlineLevel="1">
      <c r="A125" s="30" t="s">
        <v>83</v>
      </c>
      <c r="B125" s="10" t="s">
        <v>39</v>
      </c>
      <c r="C125" s="14">
        <v>324500000</v>
      </c>
      <c r="D125" s="17">
        <v>60</v>
      </c>
      <c r="E125" s="21">
        <v>0.35</v>
      </c>
      <c r="F125" s="21">
        <v>0.1</v>
      </c>
      <c r="G125" s="18">
        <f t="shared" si="12"/>
        <v>32450000</v>
      </c>
      <c r="H125" s="18">
        <f t="shared" si="13"/>
        <v>292050000</v>
      </c>
      <c r="I125" s="23">
        <f t="shared" si="14"/>
        <v>6447403.9828219302</v>
      </c>
      <c r="J125" s="23">
        <f t="shared" si="15"/>
        <v>419294238.96931583</v>
      </c>
      <c r="K125" s="24">
        <f t="shared" si="16"/>
        <v>94794238.969315827</v>
      </c>
      <c r="L125" s="31">
        <f t="shared" si="17"/>
        <v>0.29212400298710578</v>
      </c>
    </row>
    <row r="126" spans="1:12" outlineLevel="1">
      <c r="A126" s="30" t="s">
        <v>84</v>
      </c>
      <c r="B126" s="10" t="s">
        <v>40</v>
      </c>
      <c r="C126" s="14">
        <v>334500000</v>
      </c>
      <c r="D126" s="17">
        <v>60</v>
      </c>
      <c r="E126" s="21">
        <v>0.35</v>
      </c>
      <c r="F126" s="21">
        <v>0.1</v>
      </c>
      <c r="G126" s="18">
        <f t="shared" si="12"/>
        <v>33450000</v>
      </c>
      <c r="H126" s="18">
        <f t="shared" si="13"/>
        <v>301050000</v>
      </c>
      <c r="I126" s="23">
        <f t="shared" si="14"/>
        <v>6646091.3166531147</v>
      </c>
      <c r="J126" s="23">
        <f t="shared" si="15"/>
        <v>432215478.99918687</v>
      </c>
      <c r="K126" s="24">
        <f t="shared" si="16"/>
        <v>97715478.999186873</v>
      </c>
      <c r="L126" s="31">
        <f t="shared" si="17"/>
        <v>0.29212400298710572</v>
      </c>
    </row>
    <row r="127" spans="1:12" outlineLevel="1">
      <c r="A127" s="30" t="s">
        <v>85</v>
      </c>
      <c r="B127" s="10" t="s">
        <v>42</v>
      </c>
      <c r="C127" s="14">
        <v>416500000</v>
      </c>
      <c r="D127" s="17">
        <v>60</v>
      </c>
      <c r="E127" s="21">
        <v>0.35</v>
      </c>
      <c r="F127" s="21">
        <v>0.1</v>
      </c>
      <c r="G127" s="18">
        <f t="shared" si="12"/>
        <v>41650000</v>
      </c>
      <c r="H127" s="18">
        <f t="shared" si="13"/>
        <v>374850000</v>
      </c>
      <c r="I127" s="23">
        <f t="shared" si="14"/>
        <v>8275327.4540688246</v>
      </c>
      <c r="J127" s="23">
        <f t="shared" si="15"/>
        <v>538169647.24412942</v>
      </c>
      <c r="K127" s="24">
        <f t="shared" si="16"/>
        <v>121669647.24412942</v>
      </c>
      <c r="L127" s="31">
        <f t="shared" si="17"/>
        <v>0.29212400298710545</v>
      </c>
    </row>
    <row r="128" spans="1:12" outlineLevel="1">
      <c r="A128" s="30" t="s">
        <v>86</v>
      </c>
      <c r="B128" s="10" t="s">
        <v>43</v>
      </c>
      <c r="C128" s="14">
        <v>455500000</v>
      </c>
      <c r="D128" s="17">
        <v>60</v>
      </c>
      <c r="E128" s="21">
        <v>0.35</v>
      </c>
      <c r="F128" s="21">
        <v>0.1</v>
      </c>
      <c r="G128" s="18">
        <f t="shared" si="12"/>
        <v>45550000</v>
      </c>
      <c r="H128" s="18">
        <f t="shared" si="13"/>
        <v>409950000</v>
      </c>
      <c r="I128" s="23">
        <f t="shared" si="14"/>
        <v>9050208.0560104437</v>
      </c>
      <c r="J128" s="23">
        <f t="shared" si="15"/>
        <v>588562483.36062658</v>
      </c>
      <c r="K128" s="24">
        <f t="shared" si="16"/>
        <v>133062483.36062658</v>
      </c>
      <c r="L128" s="31">
        <f t="shared" si="17"/>
        <v>0.29212400298710556</v>
      </c>
    </row>
    <row r="129" spans="1:12" outlineLevel="1">
      <c r="A129" s="30" t="s">
        <v>87</v>
      </c>
      <c r="B129" s="10" t="s">
        <v>44</v>
      </c>
      <c r="C129" s="14">
        <v>497500000</v>
      </c>
      <c r="D129" s="17">
        <v>60</v>
      </c>
      <c r="E129" s="21">
        <v>0.35</v>
      </c>
      <c r="F129" s="21">
        <v>0.1</v>
      </c>
      <c r="G129" s="18">
        <f t="shared" si="12"/>
        <v>49750000</v>
      </c>
      <c r="H129" s="18">
        <f t="shared" si="13"/>
        <v>447750000</v>
      </c>
      <c r="I129" s="23">
        <f t="shared" si="14"/>
        <v>9884694.8581014182</v>
      </c>
      <c r="J129" s="23">
        <f t="shared" si="15"/>
        <v>642831691.48608506</v>
      </c>
      <c r="K129" s="24">
        <f t="shared" si="16"/>
        <v>145331691.48608506</v>
      </c>
      <c r="L129" s="31">
        <f t="shared" si="17"/>
        <v>0.29212400298710567</v>
      </c>
    </row>
    <row r="130" spans="1:12" outlineLevel="1">
      <c r="A130" s="30" t="s">
        <v>88</v>
      </c>
      <c r="B130" s="10" t="s">
        <v>45</v>
      </c>
      <c r="C130" s="14">
        <v>500500000</v>
      </c>
      <c r="D130" s="17">
        <v>60</v>
      </c>
      <c r="E130" s="21">
        <v>0.35</v>
      </c>
      <c r="F130" s="21">
        <v>0.1</v>
      </c>
      <c r="G130" s="18">
        <f t="shared" si="12"/>
        <v>50050000</v>
      </c>
      <c r="H130" s="18">
        <f t="shared" si="13"/>
        <v>450450000</v>
      </c>
      <c r="I130" s="23">
        <f t="shared" si="14"/>
        <v>9944301.0582507737</v>
      </c>
      <c r="J130" s="23">
        <f t="shared" si="15"/>
        <v>646708063.49504638</v>
      </c>
      <c r="K130" s="24">
        <f t="shared" si="16"/>
        <v>146208063.49504638</v>
      </c>
      <c r="L130" s="31">
        <f t="shared" si="17"/>
        <v>0.29212400298710567</v>
      </c>
    </row>
    <row r="131" spans="1:12" outlineLevel="1">
      <c r="A131" s="36" t="s">
        <v>89</v>
      </c>
      <c r="B131" s="37" t="s">
        <v>46</v>
      </c>
      <c r="C131" s="38">
        <v>1034500000</v>
      </c>
      <c r="D131" s="17">
        <v>60</v>
      </c>
      <c r="E131" s="40">
        <v>0.35</v>
      </c>
      <c r="F131" s="40">
        <v>0.1</v>
      </c>
      <c r="G131" s="41">
        <f t="shared" si="12"/>
        <v>103450000</v>
      </c>
      <c r="H131" s="41">
        <f t="shared" si="13"/>
        <v>931050000</v>
      </c>
      <c r="I131" s="42">
        <f t="shared" si="14"/>
        <v>20554204.684836015</v>
      </c>
      <c r="J131" s="42">
        <f t="shared" si="15"/>
        <v>1336702281.0901608</v>
      </c>
      <c r="K131" s="43">
        <f t="shared" si="16"/>
        <v>302202281.09016085</v>
      </c>
      <c r="L131" s="44">
        <f t="shared" si="17"/>
        <v>0.29212400298710572</v>
      </c>
    </row>
  </sheetData>
  <scenarios current="0" show="0" sqref="L5 L49 L93">
    <scenario name="ins1.1" locked="1" count="2" user="IKA MAWARNIE" comment="Created by IKA MAWARNIE on 08/01/2022">
      <inputCells r="E5" val="0,15" numFmtId="9"/>
      <inputCells r="F5" val="0,25" numFmtId="9"/>
    </scenario>
    <scenario name="ins1.2" locked="1" count="2" user="IKA MAWARNIE" comment="Created by IKA MAWARNIE on 08/01/2022">
      <inputCells r="E5" val="0,2" numFmtId="9"/>
      <inputCells r="F5" val="0,2" numFmtId="9"/>
    </scenario>
    <scenario name="ins3.1" locked="1" count="2" user="IKA MAWARNIE" comment="Created by IKA MAWARNIE on 08/01/2022">
      <inputCells r="E49" val="0,3" numFmtId="9"/>
      <inputCells r="F49" val="0,12" numFmtId="9"/>
    </scenario>
    <scenario name="ins3.2" locked="1" count="2" user="IKA MAWARNIE" comment="Created by IKA MAWARNIE on 08/01/2022">
      <inputCells r="E49" val="0,25" numFmtId="9"/>
      <inputCells r="F49" val="0,1" numFmtId="9"/>
    </scenario>
    <scenario name="ins5.1" locked="1" count="2" user="IKA MAWARNIE" comment="Created by IKA MAWARNIE on 08/01/2022">
      <inputCells r="E93" val="0,3" numFmtId="9"/>
      <inputCells r="F93" val="0,15" numFmtId="9"/>
    </scenario>
    <scenario name="ins5.2" locked="1" count="2" user="IKA MAWARNIE" comment="Created by IKA MAWARNIE on 08/01/2022">
      <inputCells r="E93" val="0,25" numFmtId="9"/>
      <inputCells r="F93" val="0,2" numFmtId="9"/>
    </scenario>
  </scenarios>
  <mergeCells count="3">
    <mergeCell ref="A44:L47"/>
    <mergeCell ref="A1:L3"/>
    <mergeCell ref="A88:L91"/>
  </mergeCells>
  <pageMargins left="0.7" right="0.7" top="0.75" bottom="0.75" header="0.3" footer="0.3"/>
  <pageSetup orientation="portrait" r:id="rId1"/>
  <tableParts count="3">
    <tablePart r:id="rId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F51D-F59F-4B6D-83BF-CE188D7260DB}">
  <dimension ref="A1:L23"/>
  <sheetViews>
    <sheetView topLeftCell="Z1" zoomScale="70" zoomScaleNormal="70" workbookViewId="0">
      <selection activeCell="L5" sqref="L5:L23"/>
    </sheetView>
  </sheetViews>
  <sheetFormatPr defaultRowHeight="14"/>
  <cols>
    <col min="1" max="1" width="16.5" customWidth="1"/>
    <col min="2" max="2" width="18.33203125" customWidth="1"/>
    <col min="3" max="3" width="20.58203125" customWidth="1"/>
    <col min="4" max="4" width="41.58203125" customWidth="1"/>
    <col min="5" max="5" width="12.33203125" customWidth="1"/>
    <col min="6" max="6" width="25.83203125" customWidth="1"/>
    <col min="7" max="7" width="26.1640625" customWidth="1"/>
    <col min="8" max="8" width="22.4140625" customWidth="1"/>
    <col min="9" max="9" width="22.6640625" customWidth="1"/>
    <col min="10" max="10" width="24.83203125" customWidth="1"/>
    <col min="11" max="11" width="20.33203125" customWidth="1"/>
    <col min="12" max="12" width="19.6640625" customWidth="1"/>
  </cols>
  <sheetData>
    <row r="1" spans="1:12">
      <c r="A1" s="173" t="s">
        <v>162</v>
      </c>
      <c r="B1" s="173"/>
      <c r="C1" s="173"/>
      <c r="D1" s="173"/>
      <c r="E1" s="173"/>
      <c r="F1" s="173"/>
      <c r="G1" s="173"/>
      <c r="H1" s="173"/>
      <c r="I1" s="173"/>
      <c r="J1" s="173"/>
      <c r="K1" s="173"/>
    </row>
    <row r="2" spans="1:12">
      <c r="A2" s="173"/>
      <c r="B2" s="173"/>
      <c r="C2" s="173"/>
      <c r="D2" s="173"/>
      <c r="E2" s="173"/>
      <c r="F2" s="173"/>
      <c r="G2" s="173"/>
      <c r="H2" s="173"/>
      <c r="I2" s="173"/>
      <c r="J2" s="173"/>
      <c r="K2" s="173"/>
    </row>
    <row r="3" spans="1:12">
      <c r="A3" s="173"/>
      <c r="B3" s="173"/>
      <c r="C3" s="173"/>
      <c r="D3" s="173"/>
      <c r="E3" s="173"/>
      <c r="F3" s="173"/>
      <c r="G3" s="173"/>
      <c r="H3" s="173"/>
      <c r="I3" s="173"/>
      <c r="J3" s="173"/>
      <c r="K3" s="173"/>
    </row>
    <row r="4" spans="1:12">
      <c r="A4" s="25" t="s">
        <v>152</v>
      </c>
      <c r="B4" s="25" t="s">
        <v>151</v>
      </c>
      <c r="C4" s="25" t="s">
        <v>150</v>
      </c>
      <c r="D4" s="25" t="s">
        <v>149</v>
      </c>
      <c r="E4" s="25" t="s">
        <v>148</v>
      </c>
      <c r="F4" s="25" t="s">
        <v>18</v>
      </c>
      <c r="G4" s="66" t="s">
        <v>161</v>
      </c>
      <c r="H4" s="25" t="s">
        <v>140</v>
      </c>
      <c r="I4" s="25" t="s">
        <v>158</v>
      </c>
      <c r="J4" s="25" t="s">
        <v>157</v>
      </c>
      <c r="K4" s="25" t="s">
        <v>159</v>
      </c>
      <c r="L4" s="68" t="s">
        <v>160</v>
      </c>
    </row>
    <row r="5" spans="1:12">
      <c r="A5" s="59" t="s">
        <v>51</v>
      </c>
      <c r="B5" s="3" t="s">
        <v>115</v>
      </c>
      <c r="C5" s="26">
        <f>DATE(2018,4,30)</f>
        <v>43220</v>
      </c>
      <c r="D5" s="10" t="s">
        <v>4</v>
      </c>
      <c r="E5" s="3" t="s">
        <v>97</v>
      </c>
      <c r="F5" s="7">
        <f>VLOOKUP(A5,Detail_Produk[],3,0)</f>
        <v>140000000</v>
      </c>
      <c r="G5" s="17">
        <v>12</v>
      </c>
      <c r="H5" s="6">
        <f>VLOOKUP(A5,schema_ins_1year[],7,0)</f>
        <v>14000000</v>
      </c>
      <c r="I5" s="6">
        <f t="shared" ref="I5:I23" si="0">F5-H5</f>
        <v>126000000</v>
      </c>
      <c r="J5" s="6">
        <f>VLOOKUP(A5,schema_ins_1year[],9,0)</f>
        <v>12283378.000530582</v>
      </c>
      <c r="K5" s="6">
        <f>J5*G5+H5</f>
        <v>161400536.00636697</v>
      </c>
      <c r="L5" s="67">
        <f>IT1Y[[#This Row],[TOTAL PAYMENT]]-IT1Y[[#This Row],[PRICE]]</f>
        <v>21400536.006366968</v>
      </c>
    </row>
    <row r="6" spans="1:12">
      <c r="A6" s="3" t="s">
        <v>52</v>
      </c>
      <c r="B6" s="3" t="s">
        <v>116</v>
      </c>
      <c r="C6" s="26">
        <f>DATE(2018,8,12)</f>
        <v>43324</v>
      </c>
      <c r="D6" s="3" t="s">
        <v>5</v>
      </c>
      <c r="E6" s="3" t="s">
        <v>97</v>
      </c>
      <c r="F6" s="7">
        <f>VLOOKUP(A6,Detail_Produk[],3,0)</f>
        <v>148500000</v>
      </c>
      <c r="G6" s="17">
        <v>12</v>
      </c>
      <c r="H6" s="6">
        <f>VLOOKUP(A6,schema_ins_1year[],7,0)</f>
        <v>14850000</v>
      </c>
      <c r="I6" s="6">
        <f t="shared" si="0"/>
        <v>133650000</v>
      </c>
      <c r="J6" s="6">
        <f>VLOOKUP(A6,schema_ins_1year[],9,0)</f>
        <v>13029154.521991367</v>
      </c>
      <c r="K6" s="6">
        <f t="shared" ref="K6:K23" si="1">J6*G6+H6</f>
        <v>171199854.26389641</v>
      </c>
      <c r="L6" s="67">
        <f>IT1Y[[#This Row],[TOTAL PAYMENT]]-IT1Y[[#This Row],[PRICE]]</f>
        <v>22699854.263896406</v>
      </c>
    </row>
    <row r="7" spans="1:12">
      <c r="A7" s="3" t="s">
        <v>53</v>
      </c>
      <c r="B7" s="3" t="s">
        <v>117</v>
      </c>
      <c r="C7" s="26">
        <f>DATE(2018,9,22)</f>
        <v>43365</v>
      </c>
      <c r="D7" s="3" t="s">
        <v>6</v>
      </c>
      <c r="E7" s="3" t="s">
        <v>97</v>
      </c>
      <c r="F7" s="7">
        <f>VLOOKUP(A7,Detail_Produk[],3,0)</f>
        <v>163500000</v>
      </c>
      <c r="G7" s="17">
        <v>12</v>
      </c>
      <c r="H7" s="6">
        <f>VLOOKUP(A7,schema_ins_1year[],7,0)</f>
        <v>16350000</v>
      </c>
      <c r="I7" s="6">
        <f t="shared" si="0"/>
        <v>147150000</v>
      </c>
      <c r="J7" s="6">
        <f>VLOOKUP(A7,schema_ins_1year[],9,0)</f>
        <v>14345230.736333929</v>
      </c>
      <c r="K7" s="6">
        <f t="shared" si="1"/>
        <v>188492768.83600715</v>
      </c>
      <c r="L7" s="67">
        <f>IT1Y[[#This Row],[TOTAL PAYMENT]]-IT1Y[[#This Row],[PRICE]]</f>
        <v>24992768.836007148</v>
      </c>
    </row>
    <row r="8" spans="1:12">
      <c r="A8" s="3" t="s">
        <v>56</v>
      </c>
      <c r="B8" s="3" t="s">
        <v>118</v>
      </c>
      <c r="C8" s="26">
        <f>DATE(2018,11,5)</f>
        <v>43409</v>
      </c>
      <c r="D8" s="3" t="s">
        <v>10</v>
      </c>
      <c r="E8" s="3" t="s">
        <v>113</v>
      </c>
      <c r="F8" s="7">
        <f>VLOOKUP(A8,Detail_Produk[],3,0)</f>
        <v>195500000</v>
      </c>
      <c r="G8" s="17">
        <v>12</v>
      </c>
      <c r="H8" s="6">
        <f>VLOOKUP(A8,schema_ins_1year[],7,0)</f>
        <v>19550000</v>
      </c>
      <c r="I8" s="6">
        <f t="shared" si="0"/>
        <v>175950000</v>
      </c>
      <c r="J8" s="6">
        <f>VLOOKUP(A8,schema_ins_1year[],9,0)</f>
        <v>17152859.993598059</v>
      </c>
      <c r="K8" s="6">
        <f t="shared" si="1"/>
        <v>225384319.92317671</v>
      </c>
      <c r="L8" s="67">
        <f>IT1Y[[#This Row],[TOTAL PAYMENT]]-IT1Y[[#This Row],[PRICE]]</f>
        <v>29884319.923176706</v>
      </c>
    </row>
    <row r="9" spans="1:12">
      <c r="A9" s="3" t="s">
        <v>57</v>
      </c>
      <c r="B9" s="3" t="s">
        <v>119</v>
      </c>
      <c r="C9" s="26">
        <v>43498</v>
      </c>
      <c r="D9" s="3" t="s">
        <v>11</v>
      </c>
      <c r="E9" s="3" t="s">
        <v>113</v>
      </c>
      <c r="F9" s="7">
        <f>VLOOKUP(A9,Detail_Produk[],3,0)</f>
        <v>216000000</v>
      </c>
      <c r="G9" s="17">
        <v>12</v>
      </c>
      <c r="H9" s="6">
        <f>VLOOKUP(A9,schema_ins_1year[],7,0)</f>
        <v>21600000</v>
      </c>
      <c r="I9" s="6">
        <f t="shared" si="0"/>
        <v>194400000</v>
      </c>
      <c r="J9" s="6">
        <f>VLOOKUP(A9,schema_ins_1year[],9,0)</f>
        <v>18951497.486532897</v>
      </c>
      <c r="K9" s="6">
        <f t="shared" si="1"/>
        <v>249017969.83839476</v>
      </c>
      <c r="L9" s="67">
        <f>IT1Y[[#This Row],[TOTAL PAYMENT]]-IT1Y[[#This Row],[PRICE]]</f>
        <v>33017969.838394761</v>
      </c>
    </row>
    <row r="10" spans="1:12">
      <c r="A10" s="3" t="s">
        <v>64</v>
      </c>
      <c r="B10" s="3" t="s">
        <v>120</v>
      </c>
      <c r="C10" s="26">
        <v>43625</v>
      </c>
      <c r="D10" s="3" t="s">
        <v>20</v>
      </c>
      <c r="E10" s="3" t="s">
        <v>99</v>
      </c>
      <c r="F10" s="7">
        <f>VLOOKUP(A10,Detail_Produk[],3,0)</f>
        <v>239500000</v>
      </c>
      <c r="G10" s="17">
        <v>12</v>
      </c>
      <c r="H10" s="6">
        <f>VLOOKUP(A10,schema_ins_1year[],7,0)</f>
        <v>23950000</v>
      </c>
      <c r="I10" s="6">
        <f t="shared" si="0"/>
        <v>215550000</v>
      </c>
      <c r="J10" s="6">
        <f>VLOOKUP(A10,schema_ins_1year[],9,0)</f>
        <v>21013350.222336244</v>
      </c>
      <c r="K10" s="6">
        <f t="shared" si="1"/>
        <v>276110202.66803491</v>
      </c>
      <c r="L10" s="67">
        <f>IT1Y[[#This Row],[TOTAL PAYMENT]]-IT1Y[[#This Row],[PRICE]]</f>
        <v>36610202.668034911</v>
      </c>
    </row>
    <row r="11" spans="1:12">
      <c r="A11" s="3" t="s">
        <v>65</v>
      </c>
      <c r="B11" s="3" t="s">
        <v>121</v>
      </c>
      <c r="C11" s="26">
        <v>43748</v>
      </c>
      <c r="D11" s="3" t="s">
        <v>21</v>
      </c>
      <c r="E11" s="3" t="s">
        <v>99</v>
      </c>
      <c r="F11" s="7">
        <f>VLOOKUP(A11,Detail_Produk[],3,0)</f>
        <v>250500000</v>
      </c>
      <c r="G11" s="17">
        <v>12</v>
      </c>
      <c r="H11" s="6">
        <f>VLOOKUP(A11,schema_ins_1year[],7,0)</f>
        <v>25050000</v>
      </c>
      <c r="I11" s="6">
        <f t="shared" si="0"/>
        <v>225450000</v>
      </c>
      <c r="J11" s="6">
        <f>VLOOKUP(A11,schema_ins_1year[],9,0)</f>
        <v>21978472.779520791</v>
      </c>
      <c r="K11" s="6">
        <f t="shared" si="1"/>
        <v>288791673.35424948</v>
      </c>
      <c r="L11" s="67">
        <f>IT1Y[[#This Row],[TOTAL PAYMENT]]-IT1Y[[#This Row],[PRICE]]</f>
        <v>38291673.354249477</v>
      </c>
    </row>
    <row r="12" spans="1:12">
      <c r="A12" s="3" t="s">
        <v>66</v>
      </c>
      <c r="B12" s="3" t="s">
        <v>122</v>
      </c>
      <c r="C12" s="26">
        <v>43811</v>
      </c>
      <c r="D12" s="3" t="s">
        <v>22</v>
      </c>
      <c r="E12" s="3" t="s">
        <v>99</v>
      </c>
      <c r="F12" s="7">
        <f>VLOOKUP(A12,Detail_Produk[],3,0)</f>
        <v>260500000</v>
      </c>
      <c r="G12" s="17">
        <v>12</v>
      </c>
      <c r="H12" s="6">
        <f>VLOOKUP(A12,schema_ins_1year[],7,0)</f>
        <v>26050000</v>
      </c>
      <c r="I12" s="6">
        <f t="shared" si="0"/>
        <v>234450000</v>
      </c>
      <c r="J12" s="6">
        <f>VLOOKUP(A12,schema_ins_1year[],9,0)</f>
        <v>22855856.922415834</v>
      </c>
      <c r="K12" s="6">
        <f t="shared" si="1"/>
        <v>300320283.06898999</v>
      </c>
      <c r="L12" s="67">
        <f>IT1Y[[#This Row],[TOTAL PAYMENT]]-IT1Y[[#This Row],[PRICE]]</f>
        <v>39820283.068989992</v>
      </c>
    </row>
    <row r="13" spans="1:12">
      <c r="A13" s="3" t="s">
        <v>78</v>
      </c>
      <c r="B13" s="3" t="s">
        <v>127</v>
      </c>
      <c r="C13" s="26">
        <v>43850</v>
      </c>
      <c r="D13" s="3" t="s">
        <v>36</v>
      </c>
      <c r="E13" s="3" t="s">
        <v>102</v>
      </c>
      <c r="F13" s="7">
        <f>VLOOKUP(A13,Detail_Produk[],3,0)</f>
        <v>401500000</v>
      </c>
      <c r="G13" s="17">
        <v>12</v>
      </c>
      <c r="H13" s="6">
        <f>VLOOKUP(A13,schema_ins_1year[],7,0)</f>
        <v>40150000</v>
      </c>
      <c r="I13" s="6">
        <f t="shared" si="0"/>
        <v>361350000</v>
      </c>
      <c r="J13" s="6">
        <f>VLOOKUP(A13,schema_ins_1year[],9,0)</f>
        <v>35226973.33723592</v>
      </c>
      <c r="K13" s="6">
        <f t="shared" si="1"/>
        <v>462873680.04683101</v>
      </c>
      <c r="L13" s="67">
        <f>IT1Y[[#This Row],[TOTAL PAYMENT]]-IT1Y[[#This Row],[PRICE]]</f>
        <v>61373680.046831012</v>
      </c>
    </row>
    <row r="14" spans="1:12">
      <c r="A14" s="3" t="s">
        <v>79</v>
      </c>
      <c r="B14" s="3" t="s">
        <v>128</v>
      </c>
      <c r="C14" s="26">
        <v>43893</v>
      </c>
      <c r="D14" s="3" t="s">
        <v>37</v>
      </c>
      <c r="E14" s="3" t="s">
        <v>102</v>
      </c>
      <c r="F14" s="7">
        <f>VLOOKUP(A14,Detail_Produk[],3,0)</f>
        <v>403000000</v>
      </c>
      <c r="G14" s="17">
        <v>12</v>
      </c>
      <c r="H14" s="6">
        <f>VLOOKUP(A14,schema_ins_1year[],7,0)</f>
        <v>40300000</v>
      </c>
      <c r="I14" s="6">
        <f t="shared" si="0"/>
        <v>362700000</v>
      </c>
      <c r="J14" s="6">
        <f>VLOOKUP(A14,schema_ins_1year[],9,0)</f>
        <v>35358580.958670169</v>
      </c>
      <c r="K14" s="6">
        <f t="shared" si="1"/>
        <v>464602971.50404203</v>
      </c>
      <c r="L14" s="67">
        <f>IT1Y[[#This Row],[TOTAL PAYMENT]]-IT1Y[[#This Row],[PRICE]]</f>
        <v>61602971.504042029</v>
      </c>
    </row>
    <row r="15" spans="1:12">
      <c r="A15" s="3" t="s">
        <v>68</v>
      </c>
      <c r="B15" s="3" t="s">
        <v>123</v>
      </c>
      <c r="C15" s="26">
        <v>43893</v>
      </c>
      <c r="D15" s="3" t="s">
        <v>25</v>
      </c>
      <c r="E15" s="3" t="s">
        <v>100</v>
      </c>
      <c r="F15" s="7">
        <f>VLOOKUP(A15,Detail_Produk[],3,0)</f>
        <v>240500000</v>
      </c>
      <c r="G15" s="17">
        <v>12</v>
      </c>
      <c r="H15" s="6">
        <f>VLOOKUP(A15,schema_ins_1year[],7,0)</f>
        <v>24050000</v>
      </c>
      <c r="I15" s="6">
        <f t="shared" si="0"/>
        <v>216450000</v>
      </c>
      <c r="J15" s="6">
        <f>VLOOKUP(A15,schema_ins_1year[],9,0)</f>
        <v>21101088.636625748</v>
      </c>
      <c r="K15" s="6">
        <f t="shared" si="1"/>
        <v>277263063.63950896</v>
      </c>
      <c r="L15" s="67">
        <f>IT1Y[[#This Row],[TOTAL PAYMENT]]-IT1Y[[#This Row],[PRICE]]</f>
        <v>36763063.639508963</v>
      </c>
    </row>
    <row r="16" spans="1:12">
      <c r="A16" s="3" t="s">
        <v>80</v>
      </c>
      <c r="B16" s="3" t="s">
        <v>129</v>
      </c>
      <c r="C16" s="26">
        <v>43956</v>
      </c>
      <c r="D16" s="3" t="s">
        <v>47</v>
      </c>
      <c r="E16" s="3" t="s">
        <v>103</v>
      </c>
      <c r="F16" s="7">
        <f>VLOOKUP(A16,Detail_Produk[],3,0)</f>
        <v>446500000</v>
      </c>
      <c r="G16" s="17">
        <v>12</v>
      </c>
      <c r="H16" s="6">
        <f>VLOOKUP(A16,schema_ins_1year[],7,0)</f>
        <v>44650000</v>
      </c>
      <c r="I16" s="6">
        <f t="shared" si="0"/>
        <v>401850000</v>
      </c>
      <c r="J16" s="6">
        <f>VLOOKUP(A16,schema_ins_1year[],9,0)</f>
        <v>39175201.980263606</v>
      </c>
      <c r="K16" s="6">
        <f t="shared" si="1"/>
        <v>514752423.76316327</v>
      </c>
      <c r="L16" s="67">
        <f>IT1Y[[#This Row],[TOTAL PAYMENT]]-IT1Y[[#This Row],[PRICE]]</f>
        <v>68252423.763163269</v>
      </c>
    </row>
    <row r="17" spans="1:12">
      <c r="A17" s="3" t="s">
        <v>73</v>
      </c>
      <c r="B17" s="3" t="s">
        <v>124</v>
      </c>
      <c r="C17" s="26">
        <v>43988</v>
      </c>
      <c r="D17" s="3" t="s">
        <v>30</v>
      </c>
      <c r="E17" s="3" t="s">
        <v>100</v>
      </c>
      <c r="F17" s="7">
        <f>VLOOKUP(A17,Detail_Produk[],3,0)</f>
        <v>282500000</v>
      </c>
      <c r="G17" s="17">
        <v>12</v>
      </c>
      <c r="H17" s="6">
        <f>VLOOKUP(A17,schema_ins_1year[],7,0)</f>
        <v>28250000</v>
      </c>
      <c r="I17" s="6">
        <f t="shared" si="0"/>
        <v>254250000</v>
      </c>
      <c r="J17" s="6">
        <f>VLOOKUP(A17,schema_ins_1year[],9,0)</f>
        <v>24786102.036784925</v>
      </c>
      <c r="K17" s="6">
        <f t="shared" si="1"/>
        <v>325683224.44141912</v>
      </c>
      <c r="L17" s="67">
        <f>IT1Y[[#This Row],[TOTAL PAYMENT]]-IT1Y[[#This Row],[PRICE]]</f>
        <v>43183224.441419125</v>
      </c>
    </row>
    <row r="18" spans="1:12">
      <c r="A18" s="3" t="s">
        <v>81</v>
      </c>
      <c r="B18" s="3" t="s">
        <v>130</v>
      </c>
      <c r="C18" s="26">
        <v>44022</v>
      </c>
      <c r="D18" s="3" t="s">
        <v>48</v>
      </c>
      <c r="E18" s="3" t="s">
        <v>103</v>
      </c>
      <c r="F18" s="7">
        <f>VLOOKUP(A18,Detail_Produk[],3,0)</f>
        <v>480500000</v>
      </c>
      <c r="G18" s="17">
        <v>12</v>
      </c>
      <c r="H18" s="6">
        <f>VLOOKUP(A18,schema_ins_1year[],7,0)</f>
        <v>48050000</v>
      </c>
      <c r="I18" s="6">
        <f t="shared" si="0"/>
        <v>432450000</v>
      </c>
      <c r="J18" s="6">
        <f>VLOOKUP(A18,schema_ins_1year[],9,0)</f>
        <v>42158308.066106744</v>
      </c>
      <c r="K18" s="6">
        <f t="shared" si="1"/>
        <v>553949696.79328096</v>
      </c>
      <c r="L18" s="67">
        <f>IT1Y[[#This Row],[TOTAL PAYMENT]]-IT1Y[[#This Row],[PRICE]]</f>
        <v>73449696.793280959</v>
      </c>
    </row>
    <row r="19" spans="1:12">
      <c r="A19" s="3" t="s">
        <v>83</v>
      </c>
      <c r="B19" s="3" t="s">
        <v>131</v>
      </c>
      <c r="C19" s="26">
        <v>44089</v>
      </c>
      <c r="D19" s="3" t="s">
        <v>39</v>
      </c>
      <c r="E19" s="3" t="s">
        <v>114</v>
      </c>
      <c r="F19" s="7">
        <f>VLOOKUP(A19,Detail_Produk[],3,0)</f>
        <v>324500000</v>
      </c>
      <c r="G19" s="17">
        <v>12</v>
      </c>
      <c r="H19" s="6">
        <f>VLOOKUP(A19,schema_ins_1year[],7,0)</f>
        <v>32450000</v>
      </c>
      <c r="I19" s="6">
        <f t="shared" si="0"/>
        <v>292050000</v>
      </c>
      <c r="J19" s="6">
        <f>VLOOKUP(A19,schema_ins_1year[],9,0)</f>
        <v>28471115.436944094</v>
      </c>
      <c r="K19" s="6">
        <f t="shared" si="1"/>
        <v>374103385.24332911</v>
      </c>
      <c r="L19" s="67">
        <f>IT1Y[[#This Row],[TOTAL PAYMENT]]-IT1Y[[#This Row],[PRICE]]</f>
        <v>49603385.243329108</v>
      </c>
    </row>
    <row r="20" spans="1:12">
      <c r="A20" s="3" t="s">
        <v>76</v>
      </c>
      <c r="B20" s="3" t="s">
        <v>125</v>
      </c>
      <c r="C20" s="26">
        <v>44114</v>
      </c>
      <c r="D20" s="3" t="s">
        <v>34</v>
      </c>
      <c r="E20" s="3" t="s">
        <v>102</v>
      </c>
      <c r="F20" s="7">
        <f>VLOOKUP(A20,Detail_Produk[],3,0)</f>
        <v>319000000</v>
      </c>
      <c r="G20" s="17">
        <v>12</v>
      </c>
      <c r="H20" s="6">
        <f>VLOOKUP(A20,schema_ins_1year[],7,0)</f>
        <v>31900000</v>
      </c>
      <c r="I20" s="6">
        <f t="shared" si="0"/>
        <v>287100000</v>
      </c>
      <c r="J20" s="6">
        <f>VLOOKUP(A20,schema_ins_1year[],9,0)</f>
        <v>27988554.158351824</v>
      </c>
      <c r="K20" s="6">
        <f t="shared" si="1"/>
        <v>367762649.90022188</v>
      </c>
      <c r="L20" s="67">
        <f>IT1Y[[#This Row],[TOTAL PAYMENT]]-IT1Y[[#This Row],[PRICE]]</f>
        <v>48762649.900221884</v>
      </c>
    </row>
    <row r="21" spans="1:12">
      <c r="A21" s="3" t="s">
        <v>84</v>
      </c>
      <c r="B21" s="3" t="s">
        <v>132</v>
      </c>
      <c r="C21" s="26">
        <v>44146</v>
      </c>
      <c r="D21" s="3" t="s">
        <v>40</v>
      </c>
      <c r="E21" s="3" t="s">
        <v>114</v>
      </c>
      <c r="F21" s="7">
        <f>VLOOKUP(A21,Detail_Produk[],3,0)</f>
        <v>334500000</v>
      </c>
      <c r="G21" s="17">
        <v>12</v>
      </c>
      <c r="H21" s="6">
        <f>VLOOKUP(A21,schema_ins_1year[],7,0)</f>
        <v>33450000</v>
      </c>
      <c r="I21" s="6">
        <f t="shared" si="0"/>
        <v>301050000</v>
      </c>
      <c r="J21" s="6">
        <f>VLOOKUP(A21,schema_ins_1year[],9,0)</f>
        <v>29348499.579839136</v>
      </c>
      <c r="K21" s="6">
        <f t="shared" si="1"/>
        <v>385631994.95806962</v>
      </c>
      <c r="L21" s="67">
        <f>IT1Y[[#This Row],[TOTAL PAYMENT]]-IT1Y[[#This Row],[PRICE]]</f>
        <v>51131994.958069623</v>
      </c>
    </row>
    <row r="22" spans="1:12">
      <c r="A22" s="3" t="s">
        <v>85</v>
      </c>
      <c r="B22" s="3" t="s">
        <v>133</v>
      </c>
      <c r="C22" s="26">
        <v>44171</v>
      </c>
      <c r="D22" s="3" t="s">
        <v>42</v>
      </c>
      <c r="E22" s="3" t="s">
        <v>101</v>
      </c>
      <c r="F22" s="7">
        <f>VLOOKUP(A22,Detail_Produk[],3,0)</f>
        <v>416500000</v>
      </c>
      <c r="G22" s="17">
        <v>12</v>
      </c>
      <c r="H22" s="6">
        <f>VLOOKUP(A22,schema_ins_1year[],7,0)</f>
        <v>41650000</v>
      </c>
      <c r="I22" s="6">
        <f t="shared" si="0"/>
        <v>374850000</v>
      </c>
      <c r="J22" s="6">
        <f>VLOOKUP(A22,schema_ins_1year[],9,0)</f>
        <v>36543049.551578477</v>
      </c>
      <c r="K22" s="6">
        <f t="shared" si="1"/>
        <v>480166594.61894172</v>
      </c>
      <c r="L22" s="67">
        <f>IT1Y[[#This Row],[TOTAL PAYMENT]]-IT1Y[[#This Row],[PRICE]]</f>
        <v>63666594.618941724</v>
      </c>
    </row>
    <row r="23" spans="1:12">
      <c r="A23" s="3" t="s">
        <v>77</v>
      </c>
      <c r="B23" s="3" t="s">
        <v>126</v>
      </c>
      <c r="C23" s="26">
        <v>44185</v>
      </c>
      <c r="D23" s="3" t="s">
        <v>35</v>
      </c>
      <c r="E23" s="3" t="s">
        <v>102</v>
      </c>
      <c r="F23" s="7">
        <f>VLOOKUP(A23,Detail_Produk[],3,0)</f>
        <v>336000000</v>
      </c>
      <c r="G23" s="17">
        <v>12</v>
      </c>
      <c r="H23" s="6">
        <f>VLOOKUP(A23,schema_ins_1year[],7,0)</f>
        <v>33600000</v>
      </c>
      <c r="I23" s="6">
        <f t="shared" si="0"/>
        <v>302400000</v>
      </c>
      <c r="J23" s="6">
        <f>VLOOKUP(A23,schema_ins_1year[],9,0)</f>
        <v>29480107.201273397</v>
      </c>
      <c r="K23" s="6">
        <f t="shared" si="1"/>
        <v>387361286.41528076</v>
      </c>
      <c r="L23" s="69">
        <f>IT1Y[[#This Row],[TOTAL PAYMENT]]-IT1Y[[#This Row],[PRICE]]</f>
        <v>51361286.415280759</v>
      </c>
    </row>
  </sheetData>
  <mergeCells count="1">
    <mergeCell ref="A1:K3"/>
  </mergeCells>
  <pageMargins left="0.7" right="0.7" top="0.75" bottom="0.75" header="0.3" footer="0.3"/>
  <pageSetup orientation="portrait" r:id="rId1"/>
  <tableParts count="2">
    <tablePart r:id="rId2"/>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A93AA-DCBE-49CE-974B-1F6C8E528562}">
  <dimension ref="A1:L23"/>
  <sheetViews>
    <sheetView topLeftCell="B1" zoomScale="70" zoomScaleNormal="70" workbookViewId="0">
      <selection activeCell="A5" sqref="A5:L23"/>
    </sheetView>
  </sheetViews>
  <sheetFormatPr defaultRowHeight="14"/>
  <cols>
    <col min="1" max="1" width="19.58203125" customWidth="1"/>
    <col min="2" max="2" width="19.1640625" customWidth="1"/>
    <col min="3" max="3" width="20.58203125" customWidth="1"/>
    <col min="4" max="4" width="40.83203125" customWidth="1"/>
    <col min="5" max="5" width="15" customWidth="1"/>
    <col min="6" max="6" width="20.9140625" customWidth="1"/>
    <col min="7" max="7" width="26.33203125" customWidth="1"/>
    <col min="8" max="8" width="19.6640625" customWidth="1"/>
    <col min="9" max="9" width="22.9140625" customWidth="1"/>
    <col min="10" max="10" width="24.5" customWidth="1"/>
    <col min="11" max="11" width="21.33203125" customWidth="1"/>
    <col min="12" max="12" width="19.4140625" customWidth="1"/>
  </cols>
  <sheetData>
    <row r="1" spans="1:12">
      <c r="A1" s="173" t="s">
        <v>163</v>
      </c>
      <c r="B1" s="173"/>
      <c r="C1" s="173"/>
      <c r="D1" s="173"/>
      <c r="E1" s="173"/>
      <c r="F1" s="173"/>
      <c r="G1" s="173"/>
      <c r="H1" s="173"/>
      <c r="I1" s="173"/>
      <c r="J1" s="173"/>
      <c r="K1" s="173"/>
    </row>
    <row r="2" spans="1:12">
      <c r="A2" s="173"/>
      <c r="B2" s="173"/>
      <c r="C2" s="173"/>
      <c r="D2" s="173"/>
      <c r="E2" s="173"/>
      <c r="F2" s="173"/>
      <c r="G2" s="173"/>
      <c r="H2" s="173"/>
      <c r="I2" s="173"/>
      <c r="J2" s="173"/>
      <c r="K2" s="173"/>
    </row>
    <row r="3" spans="1:12">
      <c r="A3" s="173"/>
      <c r="B3" s="173"/>
      <c r="C3" s="173"/>
      <c r="D3" s="173"/>
      <c r="E3" s="173"/>
      <c r="F3" s="173"/>
      <c r="G3" s="173"/>
      <c r="H3" s="173"/>
      <c r="I3" s="173"/>
      <c r="J3" s="173"/>
      <c r="K3" s="173"/>
    </row>
    <row r="4" spans="1:12">
      <c r="A4" s="52" t="s">
        <v>152</v>
      </c>
      <c r="B4" s="27" t="s">
        <v>151</v>
      </c>
      <c r="C4" s="27" t="s">
        <v>150</v>
      </c>
      <c r="D4" s="27" t="s">
        <v>149</v>
      </c>
      <c r="E4" s="27" t="s">
        <v>148</v>
      </c>
      <c r="F4" s="27" t="s">
        <v>18</v>
      </c>
      <c r="G4" s="33" t="s">
        <v>161</v>
      </c>
      <c r="H4" s="27" t="s">
        <v>140</v>
      </c>
      <c r="I4" s="27" t="s">
        <v>158</v>
      </c>
      <c r="J4" s="27" t="s">
        <v>157</v>
      </c>
      <c r="K4" s="28" t="s">
        <v>159</v>
      </c>
      <c r="L4" s="27" t="s">
        <v>160</v>
      </c>
    </row>
    <row r="5" spans="1:12">
      <c r="A5" s="60" t="s">
        <v>51</v>
      </c>
      <c r="B5" s="3" t="s">
        <v>115</v>
      </c>
      <c r="C5" s="26">
        <f>DATE(2018,4,30)</f>
        <v>43220</v>
      </c>
      <c r="D5" s="10" t="s">
        <v>4</v>
      </c>
      <c r="E5" s="3" t="s">
        <v>97</v>
      </c>
      <c r="F5" s="7">
        <f>VLOOKUP(A5,Detail_Produk[],3,0)</f>
        <v>140000000</v>
      </c>
      <c r="G5" s="17">
        <v>36</v>
      </c>
      <c r="H5" s="6">
        <f>VLOOKUP(A5,schema_ins_1year[],7,0)</f>
        <v>14000000</v>
      </c>
      <c r="I5" s="6">
        <f t="shared" ref="I5:I23" si="0">F5-H5</f>
        <v>126000000</v>
      </c>
      <c r="J5" s="6">
        <f>VLOOKUP(A5,schema_ins_3years[],9,0)</f>
        <v>4105217.1409225268</v>
      </c>
      <c r="K5" s="61">
        <f>J5*G5+H5</f>
        <v>161787817.07321095</v>
      </c>
      <c r="L5" s="70">
        <f>IT3Y[[#This Row],[TOTAL PAYMENT]]-IT3Y[[#This Row],[PRICE]]</f>
        <v>21787817.073210955</v>
      </c>
    </row>
    <row r="6" spans="1:12">
      <c r="A6" s="53" t="s">
        <v>52</v>
      </c>
      <c r="B6" s="3" t="s">
        <v>116</v>
      </c>
      <c r="C6" s="26">
        <f>DATE(2018,8,12)</f>
        <v>43324</v>
      </c>
      <c r="D6" s="3" t="s">
        <v>5</v>
      </c>
      <c r="E6" s="3" t="s">
        <v>97</v>
      </c>
      <c r="F6" s="7">
        <f>VLOOKUP(A6,Detail_Produk[],3,0)</f>
        <v>148500000</v>
      </c>
      <c r="G6" s="17">
        <v>36</v>
      </c>
      <c r="H6" s="6">
        <f>VLOOKUP(A6,schema_ins_1year[],7,0)</f>
        <v>14850000</v>
      </c>
      <c r="I6" s="6">
        <f t="shared" si="0"/>
        <v>133650000</v>
      </c>
      <c r="J6" s="6">
        <f>VLOOKUP(A6,schema_ins_3years[],9,0)</f>
        <v>4354462.4673356805</v>
      </c>
      <c r="K6" s="61">
        <f t="shared" ref="K6:K23" si="1">J6*G6+H6</f>
        <v>171610648.82408449</v>
      </c>
      <c r="L6" s="6">
        <f>IT3Y[[#This Row],[TOTAL PAYMENT]]-IT3Y[[#This Row],[PRICE]]</f>
        <v>23110648.824084491</v>
      </c>
    </row>
    <row r="7" spans="1:12">
      <c r="A7" s="53" t="s">
        <v>53</v>
      </c>
      <c r="B7" s="3" t="s">
        <v>117</v>
      </c>
      <c r="C7" s="26">
        <f>DATE(2018,9,22)</f>
        <v>43365</v>
      </c>
      <c r="D7" s="3" t="s">
        <v>6</v>
      </c>
      <c r="E7" s="3" t="s">
        <v>97</v>
      </c>
      <c r="F7" s="7">
        <f>VLOOKUP(A7,Detail_Produk[],3,0)</f>
        <v>163500000</v>
      </c>
      <c r="G7" s="17">
        <v>36</v>
      </c>
      <c r="H7" s="6">
        <f>VLOOKUP(A7,schema_ins_1year[],7,0)</f>
        <v>16350000</v>
      </c>
      <c r="I7" s="6">
        <f t="shared" si="0"/>
        <v>147150000</v>
      </c>
      <c r="J7" s="6">
        <f>VLOOKUP(A7,schema_ins_3years[],9,0)</f>
        <v>4794307.1610059515</v>
      </c>
      <c r="K7" s="61">
        <f t="shared" si="1"/>
        <v>188945057.79621425</v>
      </c>
      <c r="L7" s="6">
        <f>IT3Y[[#This Row],[TOTAL PAYMENT]]-IT3Y[[#This Row],[PRICE]]</f>
        <v>25445057.796214253</v>
      </c>
    </row>
    <row r="8" spans="1:12">
      <c r="A8" s="53" t="s">
        <v>56</v>
      </c>
      <c r="B8" s="3" t="s">
        <v>118</v>
      </c>
      <c r="C8" s="26">
        <f>DATE(2018,11,5)</f>
        <v>43409</v>
      </c>
      <c r="D8" s="3" t="s">
        <v>10</v>
      </c>
      <c r="E8" s="3" t="s">
        <v>113</v>
      </c>
      <c r="F8" s="7">
        <f>VLOOKUP(A8,Detail_Produk[],3,0)</f>
        <v>195500000</v>
      </c>
      <c r="G8" s="17">
        <v>36</v>
      </c>
      <c r="H8" s="6">
        <f>VLOOKUP(A8,schema_ins_1year[],7,0)</f>
        <v>19550000</v>
      </c>
      <c r="I8" s="6">
        <f t="shared" si="0"/>
        <v>175950000</v>
      </c>
      <c r="J8" s="6">
        <f>VLOOKUP(A8,schema_ins_3years[],9,0)</f>
        <v>5732642.5075025298</v>
      </c>
      <c r="K8" s="61">
        <f t="shared" si="1"/>
        <v>225925130.27009106</v>
      </c>
      <c r="L8" s="6">
        <f>IT3Y[[#This Row],[TOTAL PAYMENT]]-IT3Y[[#This Row],[PRICE]]</f>
        <v>30425130.270091057</v>
      </c>
    </row>
    <row r="9" spans="1:12">
      <c r="A9" s="53" t="s">
        <v>57</v>
      </c>
      <c r="B9" s="3" t="s">
        <v>119</v>
      </c>
      <c r="C9" s="26">
        <v>43498</v>
      </c>
      <c r="D9" s="3" t="s">
        <v>11</v>
      </c>
      <c r="E9" s="3" t="s">
        <v>113</v>
      </c>
      <c r="F9" s="7">
        <f>VLOOKUP(A9,Detail_Produk[],3,0)</f>
        <v>216000000</v>
      </c>
      <c r="G9" s="17">
        <v>36</v>
      </c>
      <c r="H9" s="6">
        <f>VLOOKUP(A9,schema_ins_1year[],7,0)</f>
        <v>21600000</v>
      </c>
      <c r="I9" s="6">
        <f t="shared" si="0"/>
        <v>194400000</v>
      </c>
      <c r="J9" s="6">
        <f>VLOOKUP(A9,schema_ins_3years[],9,0)</f>
        <v>6333763.5888518989</v>
      </c>
      <c r="K9" s="61">
        <f t="shared" si="1"/>
        <v>249615489.19866836</v>
      </c>
      <c r="L9" s="6">
        <f>IT3Y[[#This Row],[TOTAL PAYMENT]]-IT3Y[[#This Row],[PRICE]]</f>
        <v>33615489.198668361</v>
      </c>
    </row>
    <row r="10" spans="1:12">
      <c r="A10" s="53" t="s">
        <v>64</v>
      </c>
      <c r="B10" s="3" t="s">
        <v>120</v>
      </c>
      <c r="C10" s="26">
        <v>43625</v>
      </c>
      <c r="D10" s="3" t="s">
        <v>20</v>
      </c>
      <c r="E10" s="3" t="s">
        <v>99</v>
      </c>
      <c r="F10" s="7">
        <f>VLOOKUP(A10,Detail_Produk[],3,0)</f>
        <v>239500000</v>
      </c>
      <c r="G10" s="17">
        <v>36</v>
      </c>
      <c r="H10" s="6">
        <f>VLOOKUP(A10,schema_ins_1year[],7,0)</f>
        <v>23950000</v>
      </c>
      <c r="I10" s="6">
        <f t="shared" si="0"/>
        <v>215550000</v>
      </c>
      <c r="J10" s="6">
        <f>VLOOKUP(A10,schema_ins_3years[],9,0)</f>
        <v>7022853.6089353235</v>
      </c>
      <c r="K10" s="61">
        <f t="shared" si="1"/>
        <v>276772729.92167163</v>
      </c>
      <c r="L10" s="6">
        <f>IT3Y[[#This Row],[TOTAL PAYMENT]]-IT3Y[[#This Row],[PRICE]]</f>
        <v>37272729.921671629</v>
      </c>
    </row>
    <row r="11" spans="1:12">
      <c r="A11" s="53" t="s">
        <v>65</v>
      </c>
      <c r="B11" s="3" t="s">
        <v>121</v>
      </c>
      <c r="C11" s="26">
        <v>43748</v>
      </c>
      <c r="D11" s="3" t="s">
        <v>21</v>
      </c>
      <c r="E11" s="3" t="s">
        <v>99</v>
      </c>
      <c r="F11" s="7">
        <f>VLOOKUP(A11,Detail_Produk[],3,0)</f>
        <v>250500000</v>
      </c>
      <c r="G11" s="17">
        <v>36</v>
      </c>
      <c r="H11" s="6">
        <f>VLOOKUP(A11,schema_ins_1year[],7,0)</f>
        <v>25050000</v>
      </c>
      <c r="I11" s="6">
        <f t="shared" si="0"/>
        <v>225450000</v>
      </c>
      <c r="J11" s="6">
        <f>VLOOKUP(A11,schema_ins_3years[],9,0)</f>
        <v>7345406.3842935208</v>
      </c>
      <c r="K11" s="61">
        <f t="shared" si="1"/>
        <v>289484629.83456671</v>
      </c>
      <c r="L11" s="6">
        <f>IT3Y[[#This Row],[TOTAL PAYMENT]]-IT3Y[[#This Row],[PRICE]]</f>
        <v>38984629.834566712</v>
      </c>
    </row>
    <row r="12" spans="1:12">
      <c r="A12" s="53" t="s">
        <v>66</v>
      </c>
      <c r="B12" s="3" t="s">
        <v>122</v>
      </c>
      <c r="C12" s="26">
        <v>43811</v>
      </c>
      <c r="D12" s="3" t="s">
        <v>22</v>
      </c>
      <c r="E12" s="3" t="s">
        <v>99</v>
      </c>
      <c r="F12" s="7">
        <f>VLOOKUP(A12,Detail_Produk[],3,0)</f>
        <v>260500000</v>
      </c>
      <c r="G12" s="17">
        <v>36</v>
      </c>
      <c r="H12" s="6">
        <f>VLOOKUP(A12,schema_ins_1year[],7,0)</f>
        <v>26050000</v>
      </c>
      <c r="I12" s="6">
        <f t="shared" si="0"/>
        <v>234450000</v>
      </c>
      <c r="J12" s="6">
        <f>VLOOKUP(A12,schema_ins_3years[],9,0)</f>
        <v>7638636.1800737018</v>
      </c>
      <c r="K12" s="61">
        <f t="shared" si="1"/>
        <v>301040902.48265326</v>
      </c>
      <c r="L12" s="6">
        <f>IT3Y[[#This Row],[TOTAL PAYMENT]]-IT3Y[[#This Row],[PRICE]]</f>
        <v>40540902.48265326</v>
      </c>
    </row>
    <row r="13" spans="1:12">
      <c r="A13" s="53" t="s">
        <v>78</v>
      </c>
      <c r="B13" s="3" t="s">
        <v>127</v>
      </c>
      <c r="C13" s="26">
        <v>43850</v>
      </c>
      <c r="D13" s="3" t="s">
        <v>36</v>
      </c>
      <c r="E13" s="3" t="s">
        <v>102</v>
      </c>
      <c r="F13" s="7">
        <f>VLOOKUP(A13,Detail_Produk[],3,0)</f>
        <v>401500000</v>
      </c>
      <c r="G13" s="17">
        <v>36</v>
      </c>
      <c r="H13" s="6">
        <f>VLOOKUP(A13,schema_ins_1year[],7,0)</f>
        <v>40150000</v>
      </c>
      <c r="I13" s="6">
        <f t="shared" si="0"/>
        <v>361350000</v>
      </c>
      <c r="J13" s="6">
        <f>VLOOKUP(A13,schema_ins_3years[],9,0)</f>
        <v>11773176.300574247</v>
      </c>
      <c r="K13" s="61">
        <f t="shared" si="1"/>
        <v>463984346.82067287</v>
      </c>
      <c r="L13" s="6">
        <f>IT3Y[[#This Row],[TOTAL PAYMENT]]-IT3Y[[#This Row],[PRICE]]</f>
        <v>62484346.82067287</v>
      </c>
    </row>
    <row r="14" spans="1:12">
      <c r="A14" s="53" t="s">
        <v>79</v>
      </c>
      <c r="B14" s="3" t="s">
        <v>128</v>
      </c>
      <c r="C14" s="26">
        <v>43893</v>
      </c>
      <c r="D14" s="3" t="s">
        <v>37</v>
      </c>
      <c r="E14" s="3" t="s">
        <v>102</v>
      </c>
      <c r="F14" s="7">
        <f>VLOOKUP(A14,Detail_Produk[],3,0)</f>
        <v>403000000</v>
      </c>
      <c r="G14" s="17">
        <v>36</v>
      </c>
      <c r="H14" s="6">
        <f>VLOOKUP(A14,schema_ins_1year[],7,0)</f>
        <v>40300000</v>
      </c>
      <c r="I14" s="6">
        <f t="shared" si="0"/>
        <v>362700000</v>
      </c>
      <c r="J14" s="6">
        <f>VLOOKUP(A14,schema_ins_3years[],9,0)</f>
        <v>11817160.769941274</v>
      </c>
      <c r="K14" s="61">
        <f t="shared" si="1"/>
        <v>465717787.71788585</v>
      </c>
      <c r="L14" s="6">
        <f>IT3Y[[#This Row],[TOTAL PAYMENT]]-IT3Y[[#This Row],[PRICE]]</f>
        <v>62717787.717885852</v>
      </c>
    </row>
    <row r="15" spans="1:12">
      <c r="A15" s="53" t="s">
        <v>68</v>
      </c>
      <c r="B15" s="3" t="s">
        <v>123</v>
      </c>
      <c r="C15" s="26">
        <v>43893</v>
      </c>
      <c r="D15" s="3" t="s">
        <v>25</v>
      </c>
      <c r="E15" s="3" t="s">
        <v>100</v>
      </c>
      <c r="F15" s="7">
        <f>VLOOKUP(A15,Detail_Produk[],3,0)</f>
        <v>240500000</v>
      </c>
      <c r="G15" s="17">
        <v>36</v>
      </c>
      <c r="H15" s="6">
        <f>VLOOKUP(A15,schema_ins_1year[],7,0)</f>
        <v>24050000</v>
      </c>
      <c r="I15" s="6">
        <f t="shared" si="0"/>
        <v>216450000</v>
      </c>
      <c r="J15" s="6">
        <f>VLOOKUP(A15,schema_ins_3years[],9,0)</f>
        <v>7052176.5885133417</v>
      </c>
      <c r="K15" s="61">
        <f t="shared" si="1"/>
        <v>277928357.18648028</v>
      </c>
      <c r="L15" s="6">
        <f>IT3Y[[#This Row],[TOTAL PAYMENT]]-IT3Y[[#This Row],[PRICE]]</f>
        <v>37428357.186480284</v>
      </c>
    </row>
    <row r="16" spans="1:12">
      <c r="A16" s="53" t="s">
        <v>80</v>
      </c>
      <c r="B16" s="3" t="s">
        <v>129</v>
      </c>
      <c r="C16" s="26">
        <v>43956</v>
      </c>
      <c r="D16" s="3" t="s">
        <v>47</v>
      </c>
      <c r="E16" s="3" t="s">
        <v>103</v>
      </c>
      <c r="F16" s="7">
        <f>VLOOKUP(A16,Detail_Produk[],3,0)</f>
        <v>446500000</v>
      </c>
      <c r="G16" s="17">
        <v>36</v>
      </c>
      <c r="H16" s="6">
        <f>VLOOKUP(A16,schema_ins_1year[],7,0)</f>
        <v>44650000</v>
      </c>
      <c r="I16" s="6">
        <f t="shared" si="0"/>
        <v>401850000</v>
      </c>
      <c r="J16" s="6">
        <f>VLOOKUP(A16,schema_ins_3years[],9,0)</f>
        <v>13092710.38158506</v>
      </c>
      <c r="K16" s="61">
        <f t="shared" si="1"/>
        <v>515987573.73706216</v>
      </c>
      <c r="L16" s="6">
        <f>IT3Y[[#This Row],[TOTAL PAYMENT]]-IT3Y[[#This Row],[PRICE]]</f>
        <v>69487573.737062156</v>
      </c>
    </row>
    <row r="17" spans="1:12">
      <c r="A17" s="53" t="s">
        <v>73</v>
      </c>
      <c r="B17" s="3" t="s">
        <v>124</v>
      </c>
      <c r="C17" s="26">
        <v>43988</v>
      </c>
      <c r="D17" s="3" t="s">
        <v>30</v>
      </c>
      <c r="E17" s="3" t="s">
        <v>100</v>
      </c>
      <c r="F17" s="7">
        <f>VLOOKUP(A17,Detail_Produk[],3,0)</f>
        <v>282500000</v>
      </c>
      <c r="G17" s="17">
        <v>36</v>
      </c>
      <c r="H17" s="6">
        <f>VLOOKUP(A17,schema_ins_1year[],7,0)</f>
        <v>28250000</v>
      </c>
      <c r="I17" s="6">
        <f t="shared" si="0"/>
        <v>254250000</v>
      </c>
      <c r="J17" s="6">
        <f>VLOOKUP(A17,schema_ins_3years[],9,0)</f>
        <v>8283741.7307900991</v>
      </c>
      <c r="K17" s="61">
        <f t="shared" si="1"/>
        <v>326464702.30844355</v>
      </c>
      <c r="L17" s="6">
        <f>IT3Y[[#This Row],[TOTAL PAYMENT]]-IT3Y[[#This Row],[PRICE]]</f>
        <v>43964702.308443546</v>
      </c>
    </row>
    <row r="18" spans="1:12">
      <c r="A18" s="53" t="s">
        <v>81</v>
      </c>
      <c r="B18" s="3" t="s">
        <v>130</v>
      </c>
      <c r="C18" s="26">
        <v>44022</v>
      </c>
      <c r="D18" s="3" t="s">
        <v>48</v>
      </c>
      <c r="E18" s="3" t="s">
        <v>103</v>
      </c>
      <c r="F18" s="7">
        <f>VLOOKUP(A18,Detail_Produk[],3,0)</f>
        <v>480500000</v>
      </c>
      <c r="G18" s="17">
        <v>36</v>
      </c>
      <c r="H18" s="6">
        <f>VLOOKUP(A18,schema_ins_1year[],7,0)</f>
        <v>48050000</v>
      </c>
      <c r="I18" s="6">
        <f t="shared" si="0"/>
        <v>432450000</v>
      </c>
      <c r="J18" s="6">
        <f>VLOOKUP(A18,schema_ins_3years[],9,0)</f>
        <v>14089691.687237674</v>
      </c>
      <c r="K18" s="61">
        <f t="shared" si="1"/>
        <v>555278900.74055624</v>
      </c>
      <c r="L18" s="6">
        <f>IT3Y[[#This Row],[TOTAL PAYMENT]]-IT3Y[[#This Row],[PRICE]]</f>
        <v>74778900.74055624</v>
      </c>
    </row>
    <row r="19" spans="1:12">
      <c r="A19" s="53" t="s">
        <v>83</v>
      </c>
      <c r="B19" s="3" t="s">
        <v>131</v>
      </c>
      <c r="C19" s="26">
        <v>44089</v>
      </c>
      <c r="D19" s="3" t="s">
        <v>39</v>
      </c>
      <c r="E19" s="3" t="s">
        <v>114</v>
      </c>
      <c r="F19" s="7">
        <f>VLOOKUP(A19,Detail_Produk[],3,0)</f>
        <v>324500000</v>
      </c>
      <c r="G19" s="17">
        <v>36</v>
      </c>
      <c r="H19" s="6">
        <f>VLOOKUP(A19,schema_ins_1year[],7,0)</f>
        <v>32450000</v>
      </c>
      <c r="I19" s="6">
        <f t="shared" si="0"/>
        <v>292050000</v>
      </c>
      <c r="J19" s="6">
        <f>VLOOKUP(A19,schema_ins_3years[],9,0)</f>
        <v>9515306.8730668575</v>
      </c>
      <c r="K19" s="61">
        <f t="shared" si="1"/>
        <v>375001047.43040687</v>
      </c>
      <c r="L19" s="6">
        <f>IT3Y[[#This Row],[TOTAL PAYMENT]]-IT3Y[[#This Row],[PRICE]]</f>
        <v>50501047.430406868</v>
      </c>
    </row>
    <row r="20" spans="1:12">
      <c r="A20" s="53" t="s">
        <v>76</v>
      </c>
      <c r="B20" s="3" t="s">
        <v>125</v>
      </c>
      <c r="C20" s="26">
        <v>44114</v>
      </c>
      <c r="D20" s="3" t="s">
        <v>34</v>
      </c>
      <c r="E20" s="3" t="s">
        <v>102</v>
      </c>
      <c r="F20" s="7">
        <f>VLOOKUP(A20,Detail_Produk[],3,0)</f>
        <v>319000000</v>
      </c>
      <c r="G20" s="17">
        <v>36</v>
      </c>
      <c r="H20" s="6">
        <f>VLOOKUP(A20,schema_ins_1year[],7,0)</f>
        <v>31900000</v>
      </c>
      <c r="I20" s="6">
        <f t="shared" si="0"/>
        <v>287100000</v>
      </c>
      <c r="J20" s="6">
        <f>VLOOKUP(A20,schema_ins_3years[],9,0)</f>
        <v>9354030.4853877574</v>
      </c>
      <c r="K20" s="61">
        <f t="shared" si="1"/>
        <v>368645097.47395927</v>
      </c>
      <c r="L20" s="6">
        <f>IT3Y[[#This Row],[TOTAL PAYMENT]]-IT3Y[[#This Row],[PRICE]]</f>
        <v>49645097.473959267</v>
      </c>
    </row>
    <row r="21" spans="1:12">
      <c r="A21" s="53" t="s">
        <v>84</v>
      </c>
      <c r="B21" s="3" t="s">
        <v>132</v>
      </c>
      <c r="C21" s="26">
        <v>44146</v>
      </c>
      <c r="D21" s="3" t="s">
        <v>40</v>
      </c>
      <c r="E21" s="3" t="s">
        <v>114</v>
      </c>
      <c r="F21" s="7">
        <f>VLOOKUP(A21,Detail_Produk[],3,0)</f>
        <v>334500000</v>
      </c>
      <c r="G21" s="17">
        <v>36</v>
      </c>
      <c r="H21" s="6">
        <f>VLOOKUP(A21,schema_ins_1year[],7,0)</f>
        <v>33450000</v>
      </c>
      <c r="I21" s="6">
        <f t="shared" si="0"/>
        <v>301050000</v>
      </c>
      <c r="J21" s="6">
        <f>VLOOKUP(A21,schema_ins_3years[],9,0)</f>
        <v>9808536.6688470375</v>
      </c>
      <c r="K21" s="61">
        <f t="shared" si="1"/>
        <v>386557320.07849336</v>
      </c>
      <c r="L21" s="6">
        <f>IT3Y[[#This Row],[TOTAL PAYMENT]]-IT3Y[[#This Row],[PRICE]]</f>
        <v>52057320.078493357</v>
      </c>
    </row>
    <row r="22" spans="1:12">
      <c r="A22" s="53" t="s">
        <v>85</v>
      </c>
      <c r="B22" s="3" t="s">
        <v>133</v>
      </c>
      <c r="C22" s="26">
        <v>44171</v>
      </c>
      <c r="D22" s="3" t="s">
        <v>42</v>
      </c>
      <c r="E22" s="3" t="s">
        <v>101</v>
      </c>
      <c r="F22" s="7">
        <f>VLOOKUP(A22,Detail_Produk[],3,0)</f>
        <v>416500000</v>
      </c>
      <c r="G22" s="17">
        <v>36</v>
      </c>
      <c r="H22" s="6">
        <f>VLOOKUP(A22,schema_ins_1year[],7,0)</f>
        <v>41650000</v>
      </c>
      <c r="I22" s="6">
        <f t="shared" si="0"/>
        <v>374850000</v>
      </c>
      <c r="J22" s="6">
        <f>VLOOKUP(A22,schema_ins_3years[],9,0)</f>
        <v>12213020.994244518</v>
      </c>
      <c r="K22" s="61">
        <f t="shared" si="1"/>
        <v>481318755.79280263</v>
      </c>
      <c r="L22" s="6">
        <f>IT3Y[[#This Row],[TOTAL PAYMENT]]-IT3Y[[#This Row],[PRICE]]</f>
        <v>64818755.792802632</v>
      </c>
    </row>
    <row r="23" spans="1:12">
      <c r="A23" s="29" t="s">
        <v>77</v>
      </c>
      <c r="B23" s="55" t="s">
        <v>126</v>
      </c>
      <c r="C23" s="62">
        <v>44185</v>
      </c>
      <c r="D23" s="55" t="s">
        <v>35</v>
      </c>
      <c r="E23" s="55" t="s">
        <v>102</v>
      </c>
      <c r="F23" s="63">
        <f>VLOOKUP(A23,Detail_Produk[],3,0)</f>
        <v>336000000</v>
      </c>
      <c r="G23" s="39">
        <v>36</v>
      </c>
      <c r="H23" s="64">
        <f>VLOOKUP(A23,schema_ins_1year[],7,0)</f>
        <v>33600000</v>
      </c>
      <c r="I23" s="64">
        <f t="shared" si="0"/>
        <v>302400000</v>
      </c>
      <c r="J23" s="64">
        <f>VLOOKUP(A23,schema_ins_3years[],9,0)</f>
        <v>9852521.1382140648</v>
      </c>
      <c r="K23" s="65">
        <f t="shared" si="1"/>
        <v>388290760.97570634</v>
      </c>
      <c r="L23" s="64">
        <f>IT3Y[[#This Row],[TOTAL PAYMENT]]-IT3Y[[#This Row],[PRICE]]</f>
        <v>52290760.975706339</v>
      </c>
    </row>
  </sheetData>
  <mergeCells count="1">
    <mergeCell ref="A1:K3"/>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4D0DC-64BE-4872-9B49-1BDEA3132FB0}">
  <dimension ref="A1:L24"/>
  <sheetViews>
    <sheetView zoomScale="55" zoomScaleNormal="55" workbookViewId="0">
      <selection activeCell="A5" sqref="A5:L23"/>
    </sheetView>
  </sheetViews>
  <sheetFormatPr defaultRowHeight="14"/>
  <cols>
    <col min="1" max="1" width="18" customWidth="1"/>
    <col min="2" max="2" width="19.1640625" customWidth="1"/>
    <col min="3" max="3" width="20.83203125" customWidth="1"/>
    <col min="4" max="4" width="42.6640625" customWidth="1"/>
    <col min="5" max="5" width="13" customWidth="1"/>
    <col min="6" max="6" width="23.4140625" customWidth="1"/>
    <col min="7" max="7" width="25.9140625" customWidth="1"/>
    <col min="8" max="8" width="19.9140625" customWidth="1"/>
    <col min="9" max="9" width="22.5" customWidth="1"/>
    <col min="10" max="10" width="24.33203125" customWidth="1"/>
    <col min="11" max="11" width="22.33203125" customWidth="1"/>
    <col min="12" max="12" width="19.58203125" customWidth="1"/>
    <col min="13" max="13" width="8.6640625" customWidth="1"/>
  </cols>
  <sheetData>
    <row r="1" spans="1:12">
      <c r="A1" s="173" t="s">
        <v>164</v>
      </c>
      <c r="B1" s="173"/>
      <c r="C1" s="173"/>
      <c r="D1" s="173"/>
      <c r="E1" s="173"/>
      <c r="F1" s="173"/>
      <c r="G1" s="173"/>
      <c r="H1" s="173"/>
      <c r="I1" s="173"/>
      <c r="J1" s="173"/>
      <c r="K1" s="173"/>
    </row>
    <row r="2" spans="1:12">
      <c r="A2" s="173"/>
      <c r="B2" s="173"/>
      <c r="C2" s="173"/>
      <c r="D2" s="173"/>
      <c r="E2" s="173"/>
      <c r="F2" s="173"/>
      <c r="G2" s="173"/>
      <c r="H2" s="173"/>
      <c r="I2" s="173"/>
      <c r="J2" s="173"/>
      <c r="K2" s="173"/>
    </row>
    <row r="3" spans="1:12">
      <c r="A3" s="173"/>
      <c r="B3" s="173"/>
      <c r="C3" s="173"/>
      <c r="D3" s="173"/>
      <c r="E3" s="173"/>
      <c r="F3" s="173"/>
      <c r="G3" s="173"/>
      <c r="H3" s="173"/>
      <c r="I3" s="173"/>
      <c r="J3" s="173"/>
      <c r="K3" s="173"/>
    </row>
    <row r="4" spans="1:12">
      <c r="A4" s="52" t="s">
        <v>152</v>
      </c>
      <c r="B4" s="27" t="s">
        <v>151</v>
      </c>
      <c r="C4" s="27" t="s">
        <v>150</v>
      </c>
      <c r="D4" s="27" t="s">
        <v>149</v>
      </c>
      <c r="E4" s="27" t="s">
        <v>148</v>
      </c>
      <c r="F4" s="27" t="s">
        <v>18</v>
      </c>
      <c r="G4" s="33" t="s">
        <v>161</v>
      </c>
      <c r="H4" s="27" t="s">
        <v>140</v>
      </c>
      <c r="I4" s="27" t="s">
        <v>158</v>
      </c>
      <c r="J4" s="27" t="s">
        <v>157</v>
      </c>
      <c r="K4" s="28" t="s">
        <v>159</v>
      </c>
      <c r="L4" s="27" t="s">
        <v>160</v>
      </c>
    </row>
    <row r="5" spans="1:12">
      <c r="A5" s="60" t="s">
        <v>51</v>
      </c>
      <c r="B5" s="3" t="s">
        <v>115</v>
      </c>
      <c r="C5" s="26">
        <f>DATE(2018,4,30)</f>
        <v>43220</v>
      </c>
      <c r="D5" s="10" t="s">
        <v>4</v>
      </c>
      <c r="E5" s="3" t="s">
        <v>97</v>
      </c>
      <c r="F5" s="7">
        <f>VLOOKUP(A5,Detail_Produk[],3,0)</f>
        <v>140000000</v>
      </c>
      <c r="G5" s="17">
        <v>60</v>
      </c>
      <c r="H5" s="6">
        <f>VLOOKUP(A5,schema_ins_1year[],7,0)</f>
        <v>14000000</v>
      </c>
      <c r="I5" s="6">
        <f t="shared" ref="I5:I23" si="0">F5-H5</f>
        <v>126000000</v>
      </c>
      <c r="J5" s="6">
        <f>VLOOKUP(A5,schema_ins_5year[],9,0)</f>
        <v>2781622.6736365799</v>
      </c>
      <c r="K5" s="61">
        <f>J5*G5+H5</f>
        <v>180897360.4181948</v>
      </c>
      <c r="L5" s="70">
        <f>IT5Y[[#This Row],[TOTAL PAYMENT]]-IT5Y[[#This Row],[PRICE]]</f>
        <v>40897360.418194801</v>
      </c>
    </row>
    <row r="6" spans="1:12">
      <c r="A6" s="53" t="s">
        <v>52</v>
      </c>
      <c r="B6" s="3" t="s">
        <v>116</v>
      </c>
      <c r="C6" s="26">
        <f>DATE(2018,8,12)</f>
        <v>43324</v>
      </c>
      <c r="D6" s="3" t="s">
        <v>5</v>
      </c>
      <c r="E6" s="3" t="s">
        <v>97</v>
      </c>
      <c r="F6" s="7">
        <f>VLOOKUP(A6,Detail_Produk[],3,0)</f>
        <v>148500000</v>
      </c>
      <c r="G6" s="17">
        <v>60</v>
      </c>
      <c r="H6" s="6">
        <f>VLOOKUP(A6,schema_ins_1year[],7,0)</f>
        <v>14850000</v>
      </c>
      <c r="I6" s="6">
        <f t="shared" si="0"/>
        <v>133650000</v>
      </c>
      <c r="J6" s="6">
        <f>VLOOKUP(A6,schema_ins_5year[],9,0)</f>
        <v>2950506.9073930867</v>
      </c>
      <c r="K6" s="61">
        <f t="shared" ref="K6:K23" si="1">J6*G6+H6</f>
        <v>191880414.44358522</v>
      </c>
      <c r="L6" s="6">
        <f>IT5Y[[#This Row],[TOTAL PAYMENT]]-IT5Y[[#This Row],[PRICE]]</f>
        <v>43380414.443585217</v>
      </c>
    </row>
    <row r="7" spans="1:12">
      <c r="A7" s="53" t="s">
        <v>53</v>
      </c>
      <c r="B7" s="3" t="s">
        <v>117</v>
      </c>
      <c r="C7" s="26">
        <f>DATE(2018,9,22)</f>
        <v>43365</v>
      </c>
      <c r="D7" s="3" t="s">
        <v>6</v>
      </c>
      <c r="E7" s="3" t="s">
        <v>97</v>
      </c>
      <c r="F7" s="7">
        <f>VLOOKUP(A7,Detail_Produk[],3,0)</f>
        <v>163500000</v>
      </c>
      <c r="G7" s="17">
        <v>60</v>
      </c>
      <c r="H7" s="6">
        <f>VLOOKUP(A7,schema_ins_1year[],7,0)</f>
        <v>16350000</v>
      </c>
      <c r="I7" s="6">
        <f t="shared" si="0"/>
        <v>147150000</v>
      </c>
      <c r="J7" s="6">
        <f>VLOOKUP(A7,schema_ins_5year[],9,0)</f>
        <v>3248537.9081398631</v>
      </c>
      <c r="K7" s="61">
        <f t="shared" si="1"/>
        <v>211262274.48839179</v>
      </c>
      <c r="L7" s="6">
        <f>IT5Y[[#This Row],[TOTAL PAYMENT]]-IT5Y[[#This Row],[PRICE]]</f>
        <v>47762274.488391787</v>
      </c>
    </row>
    <row r="8" spans="1:12">
      <c r="A8" s="53" t="s">
        <v>56</v>
      </c>
      <c r="B8" s="3" t="s">
        <v>118</v>
      </c>
      <c r="C8" s="26">
        <f>DATE(2018,11,5)</f>
        <v>43409</v>
      </c>
      <c r="D8" s="3" t="s">
        <v>10</v>
      </c>
      <c r="E8" s="3" t="s">
        <v>113</v>
      </c>
      <c r="F8" s="7">
        <f>VLOOKUP(A8,Detail_Produk[],3,0)</f>
        <v>195500000</v>
      </c>
      <c r="G8" s="17">
        <v>60</v>
      </c>
      <c r="H8" s="6">
        <f>VLOOKUP(A8,schema_ins_1year[],7,0)</f>
        <v>19550000</v>
      </c>
      <c r="I8" s="6">
        <f t="shared" si="0"/>
        <v>175950000</v>
      </c>
      <c r="J8" s="6">
        <f>VLOOKUP(A8,schema_ins_5year[],9,0)</f>
        <v>3884337.3763996526</v>
      </c>
      <c r="K8" s="61">
        <f t="shared" si="1"/>
        <v>252610242.58397916</v>
      </c>
      <c r="L8" s="6">
        <f>IT5Y[[#This Row],[TOTAL PAYMENT]]-IT5Y[[#This Row],[PRICE]]</f>
        <v>57110242.58397916</v>
      </c>
    </row>
    <row r="9" spans="1:12">
      <c r="A9" s="53" t="s">
        <v>57</v>
      </c>
      <c r="B9" s="3" t="s">
        <v>119</v>
      </c>
      <c r="C9" s="26">
        <v>43498</v>
      </c>
      <c r="D9" s="3" t="s">
        <v>11</v>
      </c>
      <c r="E9" s="3" t="s">
        <v>113</v>
      </c>
      <c r="F9" s="7">
        <f>VLOOKUP(A9,Detail_Produk[],3,0)</f>
        <v>216000000</v>
      </c>
      <c r="G9" s="17">
        <v>60</v>
      </c>
      <c r="H9" s="6">
        <f>VLOOKUP(A9,schema_ins_1year[],7,0)</f>
        <v>21600000</v>
      </c>
      <c r="I9" s="6">
        <f t="shared" si="0"/>
        <v>194400000</v>
      </c>
      <c r="J9" s="6">
        <f>VLOOKUP(A9,schema_ins_5year[],9,0)</f>
        <v>4291646.4107535807</v>
      </c>
      <c r="K9" s="61">
        <f t="shared" si="1"/>
        <v>279098784.64521486</v>
      </c>
      <c r="L9" s="6">
        <f>IT5Y[[#This Row],[TOTAL PAYMENT]]-IT5Y[[#This Row],[PRICE]]</f>
        <v>63098784.645214856</v>
      </c>
    </row>
    <row r="10" spans="1:12">
      <c r="A10" s="53" t="s">
        <v>64</v>
      </c>
      <c r="B10" s="3" t="s">
        <v>120</v>
      </c>
      <c r="C10" s="26">
        <v>43625</v>
      </c>
      <c r="D10" s="3" t="s">
        <v>20</v>
      </c>
      <c r="E10" s="3" t="s">
        <v>99</v>
      </c>
      <c r="F10" s="7">
        <f>VLOOKUP(A10,Detail_Produk[],3,0)</f>
        <v>239500000</v>
      </c>
      <c r="G10" s="17">
        <v>60</v>
      </c>
      <c r="H10" s="6">
        <f>VLOOKUP(A10,schema_ins_1year[],7,0)</f>
        <v>23950000</v>
      </c>
      <c r="I10" s="6">
        <f t="shared" si="0"/>
        <v>215550000</v>
      </c>
      <c r="J10" s="6">
        <f>VLOOKUP(A10,schema_ins_5year[],9,0)</f>
        <v>4758561.6452568639</v>
      </c>
      <c r="K10" s="61">
        <f t="shared" si="1"/>
        <v>309463698.71541184</v>
      </c>
      <c r="L10" s="6">
        <f>IT5Y[[#This Row],[TOTAL PAYMENT]]-IT5Y[[#This Row],[PRICE]]</f>
        <v>69963698.715411842</v>
      </c>
    </row>
    <row r="11" spans="1:12">
      <c r="A11" s="53" t="s">
        <v>65</v>
      </c>
      <c r="B11" s="3" t="s">
        <v>121</v>
      </c>
      <c r="C11" s="26">
        <v>43748</v>
      </c>
      <c r="D11" s="3" t="s">
        <v>21</v>
      </c>
      <c r="E11" s="3" t="s">
        <v>99</v>
      </c>
      <c r="F11" s="7">
        <f>VLOOKUP(A11,Detail_Produk[],3,0)</f>
        <v>250500000</v>
      </c>
      <c r="G11" s="17">
        <v>60</v>
      </c>
      <c r="H11" s="6">
        <f>VLOOKUP(A11,schema_ins_1year[],7,0)</f>
        <v>25050000</v>
      </c>
      <c r="I11" s="6">
        <f t="shared" si="0"/>
        <v>225450000</v>
      </c>
      <c r="J11" s="6">
        <f>VLOOKUP(A11,schema_ins_5year[],9,0)</f>
        <v>4977117.7124711657</v>
      </c>
      <c r="K11" s="61">
        <f t="shared" si="1"/>
        <v>323677062.74826992</v>
      </c>
      <c r="L11" s="6">
        <f>IT5Y[[#This Row],[TOTAL PAYMENT]]-IT5Y[[#This Row],[PRICE]]</f>
        <v>73177062.748269916</v>
      </c>
    </row>
    <row r="12" spans="1:12">
      <c r="A12" s="53" t="s">
        <v>66</v>
      </c>
      <c r="B12" s="3" t="s">
        <v>122</v>
      </c>
      <c r="C12" s="26">
        <v>43811</v>
      </c>
      <c r="D12" s="3" t="s">
        <v>22</v>
      </c>
      <c r="E12" s="3" t="s">
        <v>99</v>
      </c>
      <c r="F12" s="7">
        <f>VLOOKUP(A12,Detail_Produk[],3,0)</f>
        <v>260500000</v>
      </c>
      <c r="G12" s="17">
        <v>60</v>
      </c>
      <c r="H12" s="6">
        <f>VLOOKUP(A12,schema_ins_1year[],7,0)</f>
        <v>26050000</v>
      </c>
      <c r="I12" s="6">
        <f t="shared" si="0"/>
        <v>234450000</v>
      </c>
      <c r="J12" s="6">
        <f>VLOOKUP(A12,schema_ins_5year[],9,0)</f>
        <v>5175805.0463023512</v>
      </c>
      <c r="K12" s="61">
        <f t="shared" si="1"/>
        <v>336598302.77814108</v>
      </c>
      <c r="L12" s="6">
        <f>IT5Y[[#This Row],[TOTAL PAYMENT]]-IT5Y[[#This Row],[PRICE]]</f>
        <v>76098302.778141081</v>
      </c>
    </row>
    <row r="13" spans="1:12">
      <c r="A13" s="53" t="s">
        <v>78</v>
      </c>
      <c r="B13" s="3" t="s">
        <v>127</v>
      </c>
      <c r="C13" s="26">
        <v>43850</v>
      </c>
      <c r="D13" s="3" t="s">
        <v>36</v>
      </c>
      <c r="E13" s="3" t="s">
        <v>102</v>
      </c>
      <c r="F13" s="7">
        <f>VLOOKUP(A13,Detail_Produk[],3,0)</f>
        <v>401500000</v>
      </c>
      <c r="G13" s="17">
        <v>60</v>
      </c>
      <c r="H13" s="6">
        <f>VLOOKUP(A13,schema_ins_1year[],7,0)</f>
        <v>40150000</v>
      </c>
      <c r="I13" s="6">
        <f t="shared" si="0"/>
        <v>361350000</v>
      </c>
      <c r="J13" s="6">
        <f>VLOOKUP(A13,schema_ins_5year[],9,0)</f>
        <v>7977296.4533220492</v>
      </c>
      <c r="K13" s="61">
        <f t="shared" si="1"/>
        <v>518787787.19932294</v>
      </c>
      <c r="L13" s="6">
        <f>IT5Y[[#This Row],[TOTAL PAYMENT]]-IT5Y[[#This Row],[PRICE]]</f>
        <v>117287787.19932294</v>
      </c>
    </row>
    <row r="14" spans="1:12">
      <c r="A14" s="53" t="s">
        <v>79</v>
      </c>
      <c r="B14" s="3" t="s">
        <v>128</v>
      </c>
      <c r="C14" s="26">
        <v>43893</v>
      </c>
      <c r="D14" s="3" t="s">
        <v>37</v>
      </c>
      <c r="E14" s="3" t="s">
        <v>102</v>
      </c>
      <c r="F14" s="7">
        <f>VLOOKUP(A14,Detail_Produk[],3,0)</f>
        <v>403000000</v>
      </c>
      <c r="G14" s="17">
        <v>60</v>
      </c>
      <c r="H14" s="6">
        <f>VLOOKUP(A14,schema_ins_1year[],7,0)</f>
        <v>40300000</v>
      </c>
      <c r="I14" s="6">
        <f t="shared" si="0"/>
        <v>362700000</v>
      </c>
      <c r="J14" s="6">
        <f>VLOOKUP(A14,schema_ins_5year[],9,0)</f>
        <v>8007099.553396727</v>
      </c>
      <c r="K14" s="61">
        <f t="shared" si="1"/>
        <v>520725973.2038036</v>
      </c>
      <c r="L14" s="6">
        <f>IT5Y[[#This Row],[TOTAL PAYMENT]]-IT5Y[[#This Row],[PRICE]]</f>
        <v>117725973.2038036</v>
      </c>
    </row>
    <row r="15" spans="1:12">
      <c r="A15" s="53" t="s">
        <v>68</v>
      </c>
      <c r="B15" s="3" t="s">
        <v>123</v>
      </c>
      <c r="C15" s="26">
        <v>43893</v>
      </c>
      <c r="D15" s="3" t="s">
        <v>25</v>
      </c>
      <c r="E15" s="3" t="s">
        <v>100</v>
      </c>
      <c r="F15" s="7">
        <f>VLOOKUP(A15,Detail_Produk[],3,0)</f>
        <v>240500000</v>
      </c>
      <c r="G15" s="17">
        <v>60</v>
      </c>
      <c r="H15" s="6">
        <f>VLOOKUP(A15,schema_ins_1year[],7,0)</f>
        <v>24050000</v>
      </c>
      <c r="I15" s="6">
        <f t="shared" si="0"/>
        <v>216450000</v>
      </c>
      <c r="J15" s="6">
        <f>VLOOKUP(A15,schema_ins_5year[],9,0)</f>
        <v>4778430.3786399821</v>
      </c>
      <c r="K15" s="61">
        <f t="shared" si="1"/>
        <v>310755822.71839893</v>
      </c>
      <c r="L15" s="6">
        <f>IT5Y[[#This Row],[TOTAL PAYMENT]]-IT5Y[[#This Row],[PRICE]]</f>
        <v>70255822.718398929</v>
      </c>
    </row>
    <row r="16" spans="1:12">
      <c r="A16" s="53" t="s">
        <v>80</v>
      </c>
      <c r="B16" s="3" t="s">
        <v>129</v>
      </c>
      <c r="C16" s="26">
        <v>43956</v>
      </c>
      <c r="D16" s="3" t="s">
        <v>47</v>
      </c>
      <c r="E16" s="3" t="s">
        <v>103</v>
      </c>
      <c r="F16" s="7">
        <f>VLOOKUP(A16,Detail_Produk[],3,0)</f>
        <v>446500000</v>
      </c>
      <c r="G16" s="17">
        <v>60</v>
      </c>
      <c r="H16" s="6">
        <f>VLOOKUP(A16,schema_ins_1year[],7,0)</f>
        <v>44650000</v>
      </c>
      <c r="I16" s="6">
        <f t="shared" si="0"/>
        <v>401850000</v>
      </c>
      <c r="J16" s="6">
        <f>VLOOKUP(A16,schema_ins_5year[],9,0)</f>
        <v>8871389.4555623773</v>
      </c>
      <c r="K16" s="61">
        <f t="shared" si="1"/>
        <v>576933367.33374262</v>
      </c>
      <c r="L16" s="6">
        <f>IT5Y[[#This Row],[TOTAL PAYMENT]]-IT5Y[[#This Row],[PRICE]]</f>
        <v>130433367.33374262</v>
      </c>
    </row>
    <row r="17" spans="1:12">
      <c r="A17" s="53" t="s">
        <v>73</v>
      </c>
      <c r="B17" s="3" t="s">
        <v>124</v>
      </c>
      <c r="C17" s="26">
        <v>43988</v>
      </c>
      <c r="D17" s="3" t="s">
        <v>30</v>
      </c>
      <c r="E17" s="3" t="s">
        <v>100</v>
      </c>
      <c r="F17" s="7">
        <f>VLOOKUP(A17,Detail_Produk[],3,0)</f>
        <v>282500000</v>
      </c>
      <c r="G17" s="17">
        <v>60</v>
      </c>
      <c r="H17" s="6">
        <f>VLOOKUP(A17,schema_ins_1year[],7,0)</f>
        <v>28250000</v>
      </c>
      <c r="I17" s="6">
        <f t="shared" si="0"/>
        <v>254250000</v>
      </c>
      <c r="J17" s="6">
        <f>VLOOKUP(A17,schema_ins_5year[],9,0)</f>
        <v>5612917.1807309566</v>
      </c>
      <c r="K17" s="61">
        <f t="shared" si="1"/>
        <v>365025030.84385741</v>
      </c>
      <c r="L17" s="6">
        <f>IT5Y[[#This Row],[TOTAL PAYMENT]]-IT5Y[[#This Row],[PRICE]]</f>
        <v>82525030.843857408</v>
      </c>
    </row>
    <row r="18" spans="1:12">
      <c r="A18" s="53" t="s">
        <v>81</v>
      </c>
      <c r="B18" s="3" t="s">
        <v>130</v>
      </c>
      <c r="C18" s="26">
        <v>44022</v>
      </c>
      <c r="D18" s="3" t="s">
        <v>48</v>
      </c>
      <c r="E18" s="3" t="s">
        <v>103</v>
      </c>
      <c r="F18" s="7">
        <f>VLOOKUP(A18,Detail_Produk[],3,0)</f>
        <v>480500000</v>
      </c>
      <c r="G18" s="17">
        <v>60</v>
      </c>
      <c r="H18" s="6">
        <f>VLOOKUP(A18,schema_ins_1year[],7,0)</f>
        <v>48050000</v>
      </c>
      <c r="I18" s="6">
        <f t="shared" si="0"/>
        <v>432450000</v>
      </c>
      <c r="J18" s="6">
        <f>VLOOKUP(A18,schema_ins_5year[],9,0)</f>
        <v>9546926.3905884046</v>
      </c>
      <c r="K18" s="61">
        <f t="shared" si="1"/>
        <v>620865583.43530428</v>
      </c>
      <c r="L18" s="6">
        <f>IT5Y[[#This Row],[TOTAL PAYMENT]]-IT5Y[[#This Row],[PRICE]]</f>
        <v>140365583.43530428</v>
      </c>
    </row>
    <row r="19" spans="1:12">
      <c r="A19" s="53" t="s">
        <v>83</v>
      </c>
      <c r="B19" s="3" t="s">
        <v>131</v>
      </c>
      <c r="C19" s="26">
        <v>44089</v>
      </c>
      <c r="D19" s="3" t="s">
        <v>39</v>
      </c>
      <c r="E19" s="3" t="s">
        <v>114</v>
      </c>
      <c r="F19" s="7">
        <f>VLOOKUP(A19,Detail_Produk[],3,0)</f>
        <v>324500000</v>
      </c>
      <c r="G19" s="17">
        <v>60</v>
      </c>
      <c r="H19" s="6">
        <f>VLOOKUP(A19,schema_ins_1year[],7,0)</f>
        <v>32450000</v>
      </c>
      <c r="I19" s="6">
        <f t="shared" si="0"/>
        <v>292050000</v>
      </c>
      <c r="J19" s="6">
        <f>VLOOKUP(A19,schema_ins_5year[],9,0)</f>
        <v>6447403.9828219302</v>
      </c>
      <c r="K19" s="61">
        <f t="shared" si="1"/>
        <v>419294238.96931583</v>
      </c>
      <c r="L19" s="6">
        <f>IT5Y[[#This Row],[TOTAL PAYMENT]]-IT5Y[[#This Row],[PRICE]]</f>
        <v>94794238.969315827</v>
      </c>
    </row>
    <row r="20" spans="1:12">
      <c r="A20" s="53" t="s">
        <v>76</v>
      </c>
      <c r="B20" s="3" t="s">
        <v>125</v>
      </c>
      <c r="C20" s="26">
        <v>44114</v>
      </c>
      <c r="D20" s="3" t="s">
        <v>34</v>
      </c>
      <c r="E20" s="3" t="s">
        <v>102</v>
      </c>
      <c r="F20" s="7">
        <f>VLOOKUP(A20,Detail_Produk[],3,0)</f>
        <v>319000000</v>
      </c>
      <c r="G20" s="17">
        <v>60</v>
      </c>
      <c r="H20" s="6">
        <f>VLOOKUP(A20,schema_ins_1year[],7,0)</f>
        <v>31900000</v>
      </c>
      <c r="I20" s="6">
        <f t="shared" si="0"/>
        <v>287100000</v>
      </c>
      <c r="J20" s="6">
        <f>VLOOKUP(A20,schema_ins_5year[],9,0)</f>
        <v>6338125.9492147788</v>
      </c>
      <c r="K20" s="61">
        <f t="shared" si="1"/>
        <v>412187556.9528867</v>
      </c>
      <c r="L20" s="6">
        <f>IT5Y[[#This Row],[TOTAL PAYMENT]]-IT5Y[[#This Row],[PRICE]]</f>
        <v>93187556.952886701</v>
      </c>
    </row>
    <row r="21" spans="1:12">
      <c r="A21" s="53" t="s">
        <v>84</v>
      </c>
      <c r="B21" s="3" t="s">
        <v>132</v>
      </c>
      <c r="C21" s="26">
        <v>44146</v>
      </c>
      <c r="D21" s="3" t="s">
        <v>40</v>
      </c>
      <c r="E21" s="3" t="s">
        <v>114</v>
      </c>
      <c r="F21" s="7">
        <f>VLOOKUP(A21,Detail_Produk[],3,0)</f>
        <v>334500000</v>
      </c>
      <c r="G21" s="17">
        <v>60</v>
      </c>
      <c r="H21" s="6">
        <f>VLOOKUP(A21,schema_ins_1year[],7,0)</f>
        <v>33450000</v>
      </c>
      <c r="I21" s="6">
        <f t="shared" si="0"/>
        <v>301050000</v>
      </c>
      <c r="J21" s="6">
        <f>VLOOKUP(A21,schema_ins_5year[],9,0)</f>
        <v>6646091.3166531147</v>
      </c>
      <c r="K21" s="61">
        <f t="shared" si="1"/>
        <v>432215478.99918687</v>
      </c>
      <c r="L21" s="6">
        <f>IT5Y[[#This Row],[TOTAL PAYMENT]]-IT5Y[[#This Row],[PRICE]]</f>
        <v>97715478.999186873</v>
      </c>
    </row>
    <row r="22" spans="1:12">
      <c r="A22" s="53" t="s">
        <v>85</v>
      </c>
      <c r="B22" s="3" t="s">
        <v>133</v>
      </c>
      <c r="C22" s="26">
        <v>44171</v>
      </c>
      <c r="D22" s="3" t="s">
        <v>42</v>
      </c>
      <c r="E22" s="3" t="s">
        <v>101</v>
      </c>
      <c r="F22" s="7">
        <f>VLOOKUP(A22,Detail_Produk[],3,0)</f>
        <v>416500000</v>
      </c>
      <c r="G22" s="17">
        <v>60</v>
      </c>
      <c r="H22" s="6">
        <f>VLOOKUP(A22,schema_ins_1year[],7,0)</f>
        <v>41650000</v>
      </c>
      <c r="I22" s="6">
        <f t="shared" si="0"/>
        <v>374850000</v>
      </c>
      <c r="J22" s="6">
        <f>VLOOKUP(A22,schema_ins_5year[],9,0)</f>
        <v>8275327.4540688246</v>
      </c>
      <c r="K22" s="61">
        <f t="shared" si="1"/>
        <v>538169647.24412942</v>
      </c>
      <c r="L22" s="6">
        <f>IT5Y[[#This Row],[TOTAL PAYMENT]]-IT5Y[[#This Row],[PRICE]]</f>
        <v>121669647.24412942</v>
      </c>
    </row>
    <row r="23" spans="1:12">
      <c r="A23" s="29" t="s">
        <v>77</v>
      </c>
      <c r="B23" s="55" t="s">
        <v>126</v>
      </c>
      <c r="C23" s="62">
        <v>44185</v>
      </c>
      <c r="D23" s="55" t="s">
        <v>35</v>
      </c>
      <c r="E23" s="55" t="s">
        <v>102</v>
      </c>
      <c r="F23" s="63">
        <f>VLOOKUP(A23,Detail_Produk[],3,0)</f>
        <v>336000000</v>
      </c>
      <c r="G23" s="17">
        <v>60</v>
      </c>
      <c r="H23" s="64">
        <f>VLOOKUP(A23,schema_ins_1year[],7,0)</f>
        <v>33600000</v>
      </c>
      <c r="I23" s="64">
        <f t="shared" si="0"/>
        <v>302400000</v>
      </c>
      <c r="J23" s="64">
        <f>VLOOKUP(A23,schema_ins_5year[],9,0)</f>
        <v>6675894.4167277915</v>
      </c>
      <c r="K23" s="65">
        <f t="shared" si="1"/>
        <v>434153665.00366747</v>
      </c>
      <c r="L23" s="64">
        <f>IT5Y[[#This Row],[TOTAL PAYMENT]]-IT5Y[[#This Row],[PRICE]]</f>
        <v>98153665.003667474</v>
      </c>
    </row>
    <row r="24" spans="1:12">
      <c r="A24" s="29"/>
      <c r="B24" s="55"/>
      <c r="C24" s="62"/>
      <c r="D24" s="55"/>
      <c r="E24" s="55"/>
      <c r="F24" s="63"/>
      <c r="G24" s="39"/>
      <c r="H24" s="64"/>
      <c r="I24" s="64"/>
      <c r="J24" s="64"/>
      <c r="K24" s="65"/>
      <c r="L24" s="64"/>
    </row>
  </sheetData>
  <mergeCells count="1">
    <mergeCell ref="A1:K3"/>
  </mergeCell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978D9-9785-40F9-ABD4-86F88574D057}">
  <dimension ref="A4:B79"/>
  <sheetViews>
    <sheetView zoomScale="67" zoomScaleNormal="70" workbookViewId="0">
      <selection activeCell="I38" sqref="I38"/>
    </sheetView>
  </sheetViews>
  <sheetFormatPr defaultRowHeight="14"/>
  <cols>
    <col min="1" max="1" width="42.1640625" bestFit="1" customWidth="1"/>
    <col min="2" max="2" width="19.4140625" bestFit="1" customWidth="1"/>
    <col min="3" max="66" width="11.9140625" bestFit="1" customWidth="1"/>
  </cols>
  <sheetData>
    <row r="4" spans="1:2">
      <c r="A4" s="11" t="s">
        <v>108</v>
      </c>
      <c r="B4" t="s">
        <v>248</v>
      </c>
    </row>
    <row r="5" spans="1:2">
      <c r="A5" s="12" t="s">
        <v>97</v>
      </c>
    </row>
    <row r="6" spans="1:2">
      <c r="A6" s="13" t="s">
        <v>51</v>
      </c>
    </row>
    <row r="7" spans="1:2">
      <c r="A7" s="139" t="s">
        <v>4</v>
      </c>
      <c r="B7" s="20">
        <v>140000000</v>
      </c>
    </row>
    <row r="8" spans="1:2">
      <c r="A8" s="13" t="s">
        <v>52</v>
      </c>
      <c r="B8" s="20"/>
    </row>
    <row r="9" spans="1:2">
      <c r="A9" s="139" t="s">
        <v>5</v>
      </c>
      <c r="B9" s="20">
        <v>297000000</v>
      </c>
    </row>
    <row r="10" spans="1:2">
      <c r="A10" s="13" t="s">
        <v>53</v>
      </c>
      <c r="B10" s="20"/>
    </row>
    <row r="11" spans="1:2">
      <c r="A11" s="139" t="s">
        <v>6</v>
      </c>
      <c r="B11" s="20">
        <v>490500000</v>
      </c>
    </row>
    <row r="12" spans="1:2">
      <c r="A12" s="13" t="s">
        <v>54</v>
      </c>
      <c r="B12" s="20"/>
    </row>
    <row r="13" spans="1:2">
      <c r="A13" s="139" t="s">
        <v>7</v>
      </c>
      <c r="B13" s="20">
        <v>352000000</v>
      </c>
    </row>
    <row r="14" spans="1:2">
      <c r="A14" s="13" t="s">
        <v>55</v>
      </c>
      <c r="B14" s="20"/>
    </row>
    <row r="15" spans="1:2">
      <c r="A15" s="139" t="s">
        <v>8</v>
      </c>
      <c r="B15" s="20">
        <v>382000000</v>
      </c>
    </row>
    <row r="16" spans="1:2">
      <c r="A16" s="12" t="s">
        <v>99</v>
      </c>
      <c r="B16" s="20"/>
    </row>
    <row r="17" spans="1:2">
      <c r="A17" s="13" t="s">
        <v>64</v>
      </c>
      <c r="B17" s="20"/>
    </row>
    <row r="18" spans="1:2">
      <c r="A18" s="139" t="s">
        <v>20</v>
      </c>
      <c r="B18" s="20">
        <v>479000000</v>
      </c>
    </row>
    <row r="19" spans="1:2">
      <c r="A19" s="13" t="s">
        <v>65</v>
      </c>
      <c r="B19" s="20"/>
    </row>
    <row r="20" spans="1:2">
      <c r="A20" s="139" t="s">
        <v>21</v>
      </c>
      <c r="B20" s="20">
        <v>501000000</v>
      </c>
    </row>
    <row r="21" spans="1:2">
      <c r="A21" s="13" t="s">
        <v>66</v>
      </c>
      <c r="B21" s="20"/>
    </row>
    <row r="22" spans="1:2">
      <c r="A22" s="139" t="s">
        <v>22</v>
      </c>
      <c r="B22" s="20">
        <v>521000000</v>
      </c>
    </row>
    <row r="23" spans="1:2">
      <c r="A23" s="13" t="s">
        <v>67</v>
      </c>
      <c r="B23" s="20"/>
    </row>
    <row r="24" spans="1:2">
      <c r="A24" s="139" t="s">
        <v>23</v>
      </c>
      <c r="B24" s="20">
        <v>275500000</v>
      </c>
    </row>
    <row r="25" spans="1:2">
      <c r="A25" s="12" t="s">
        <v>101</v>
      </c>
      <c r="B25" s="20"/>
    </row>
    <row r="26" spans="1:2">
      <c r="A26" s="13" t="s">
        <v>85</v>
      </c>
      <c r="B26" s="20"/>
    </row>
    <row r="27" spans="1:2">
      <c r="A27" s="139" t="s">
        <v>42</v>
      </c>
      <c r="B27" s="20">
        <v>1249500000</v>
      </c>
    </row>
    <row r="28" spans="1:2">
      <c r="A28" s="13" t="s">
        <v>86</v>
      </c>
      <c r="B28" s="20"/>
    </row>
    <row r="29" spans="1:2">
      <c r="A29" s="139" t="s">
        <v>43</v>
      </c>
      <c r="B29" s="20">
        <v>911000000</v>
      </c>
    </row>
    <row r="30" spans="1:2">
      <c r="A30" s="13" t="s">
        <v>87</v>
      </c>
      <c r="B30" s="20"/>
    </row>
    <row r="31" spans="1:2">
      <c r="A31" s="139" t="s">
        <v>44</v>
      </c>
      <c r="B31" s="20">
        <v>995000000</v>
      </c>
    </row>
    <row r="32" spans="1:2">
      <c r="A32" s="13" t="s">
        <v>88</v>
      </c>
      <c r="B32" s="20"/>
    </row>
    <row r="33" spans="1:2">
      <c r="A33" s="139" t="s">
        <v>45</v>
      </c>
      <c r="B33" s="20">
        <v>500500000</v>
      </c>
    </row>
    <row r="34" spans="1:2">
      <c r="A34" s="13" t="s">
        <v>89</v>
      </c>
      <c r="B34" s="20"/>
    </row>
    <row r="35" spans="1:2">
      <c r="A35" s="139" t="s">
        <v>46</v>
      </c>
      <c r="B35" s="20">
        <v>1034500000</v>
      </c>
    </row>
    <row r="36" spans="1:2">
      <c r="A36" s="12" t="s">
        <v>103</v>
      </c>
      <c r="B36" s="20"/>
    </row>
    <row r="37" spans="1:2">
      <c r="A37" s="13" t="s">
        <v>80</v>
      </c>
      <c r="B37" s="20"/>
    </row>
    <row r="38" spans="1:2">
      <c r="A38" s="139" t="s">
        <v>47</v>
      </c>
      <c r="B38" s="20">
        <v>1339500000</v>
      </c>
    </row>
    <row r="39" spans="1:2">
      <c r="A39" s="13" t="s">
        <v>81</v>
      </c>
      <c r="B39" s="20"/>
    </row>
    <row r="40" spans="1:2">
      <c r="A40" s="139" t="s">
        <v>48</v>
      </c>
      <c r="B40" s="20">
        <v>1441500000</v>
      </c>
    </row>
    <row r="41" spans="1:2">
      <c r="A41" s="12" t="s">
        <v>105</v>
      </c>
      <c r="B41" s="20"/>
    </row>
    <row r="42" spans="1:2">
      <c r="A42" s="13" t="s">
        <v>83</v>
      </c>
      <c r="B42" s="20"/>
    </row>
    <row r="43" spans="1:2">
      <c r="A43" s="139" t="s">
        <v>39</v>
      </c>
      <c r="B43" s="20">
        <v>649000000</v>
      </c>
    </row>
    <row r="44" spans="1:2">
      <c r="A44" s="13" t="s">
        <v>84</v>
      </c>
      <c r="B44" s="20"/>
    </row>
    <row r="45" spans="1:2">
      <c r="A45" s="139" t="s">
        <v>40</v>
      </c>
      <c r="B45" s="20">
        <v>1003500000</v>
      </c>
    </row>
    <row r="46" spans="1:2">
      <c r="A46" s="12" t="s">
        <v>102</v>
      </c>
      <c r="B46" s="20"/>
    </row>
    <row r="47" spans="1:2">
      <c r="A47" s="13" t="s">
        <v>74</v>
      </c>
      <c r="B47" s="20"/>
    </row>
    <row r="48" spans="1:2">
      <c r="A48" s="139" t="s">
        <v>32</v>
      </c>
      <c r="B48" s="20">
        <v>286000000</v>
      </c>
    </row>
    <row r="49" spans="1:2">
      <c r="A49" s="13" t="s">
        <v>76</v>
      </c>
      <c r="B49" s="20"/>
    </row>
    <row r="50" spans="1:2">
      <c r="A50" s="139" t="s">
        <v>34</v>
      </c>
      <c r="B50" s="20">
        <v>1276000000</v>
      </c>
    </row>
    <row r="51" spans="1:2">
      <c r="A51" s="13" t="s">
        <v>77</v>
      </c>
      <c r="B51" s="20"/>
    </row>
    <row r="52" spans="1:2">
      <c r="A52" s="139" t="s">
        <v>35</v>
      </c>
      <c r="B52" s="20">
        <v>672000000</v>
      </c>
    </row>
    <row r="53" spans="1:2">
      <c r="A53" s="13" t="s">
        <v>78</v>
      </c>
      <c r="B53" s="20"/>
    </row>
    <row r="54" spans="1:2">
      <c r="A54" s="139" t="s">
        <v>36</v>
      </c>
      <c r="B54" s="20">
        <v>803000000</v>
      </c>
    </row>
    <row r="55" spans="1:2">
      <c r="A55" s="13" t="s">
        <v>79</v>
      </c>
      <c r="B55" s="20"/>
    </row>
    <row r="56" spans="1:2">
      <c r="A56" s="139" t="s">
        <v>37</v>
      </c>
      <c r="B56" s="20">
        <v>806000000</v>
      </c>
    </row>
    <row r="57" spans="1:2">
      <c r="A57" s="12" t="s">
        <v>100</v>
      </c>
      <c r="B57" s="20"/>
    </row>
    <row r="58" spans="1:2">
      <c r="A58" s="13" t="s">
        <v>68</v>
      </c>
      <c r="B58" s="20"/>
    </row>
    <row r="59" spans="1:2">
      <c r="A59" s="139" t="s">
        <v>25</v>
      </c>
      <c r="B59" s="20">
        <v>721500000</v>
      </c>
    </row>
    <row r="60" spans="1:2">
      <c r="A60" s="13" t="s">
        <v>69</v>
      </c>
      <c r="B60" s="20"/>
    </row>
    <row r="61" spans="1:2">
      <c r="A61" s="139" t="s">
        <v>26</v>
      </c>
      <c r="B61" s="20">
        <v>542000000</v>
      </c>
    </row>
    <row r="62" spans="1:2">
      <c r="A62" s="13" t="s">
        <v>71</v>
      </c>
      <c r="B62" s="20"/>
    </row>
    <row r="63" spans="1:2">
      <c r="A63" s="139" t="s">
        <v>29</v>
      </c>
      <c r="B63" s="20">
        <v>275000000</v>
      </c>
    </row>
    <row r="64" spans="1:2">
      <c r="A64" s="13" t="s">
        <v>72</v>
      </c>
      <c r="B64" s="20"/>
    </row>
    <row r="65" spans="1:2">
      <c r="A65" s="139" t="s">
        <v>27</v>
      </c>
      <c r="B65" s="20">
        <v>281000000</v>
      </c>
    </row>
    <row r="66" spans="1:2">
      <c r="A66" s="13" t="s">
        <v>73</v>
      </c>
      <c r="B66" s="20"/>
    </row>
    <row r="67" spans="1:2">
      <c r="A67" s="139" t="s">
        <v>30</v>
      </c>
      <c r="B67" s="20">
        <v>282500000</v>
      </c>
    </row>
    <row r="68" spans="1:2">
      <c r="A68" s="12" t="s">
        <v>98</v>
      </c>
      <c r="B68" s="20"/>
    </row>
    <row r="69" spans="1:2">
      <c r="A69" s="13" t="s">
        <v>56</v>
      </c>
      <c r="B69" s="20"/>
    </row>
    <row r="70" spans="1:2">
      <c r="A70" s="139" t="s">
        <v>10</v>
      </c>
      <c r="B70" s="20">
        <v>586500000</v>
      </c>
    </row>
    <row r="71" spans="1:2">
      <c r="A71" s="13" t="s">
        <v>57</v>
      </c>
      <c r="B71" s="20"/>
    </row>
    <row r="72" spans="1:2">
      <c r="A72" s="139" t="s">
        <v>11</v>
      </c>
      <c r="B72" s="20">
        <v>432000000</v>
      </c>
    </row>
    <row r="73" spans="1:2">
      <c r="A73" s="13" t="s">
        <v>59</v>
      </c>
      <c r="B73" s="20"/>
    </row>
    <row r="74" spans="1:2">
      <c r="A74" s="139" t="s">
        <v>13</v>
      </c>
      <c r="B74" s="20">
        <v>231400000</v>
      </c>
    </row>
    <row r="75" spans="1:2">
      <c r="A75" s="13" t="s">
        <v>60</v>
      </c>
      <c r="B75" s="20"/>
    </row>
    <row r="76" spans="1:2">
      <c r="A76" s="139" t="s">
        <v>14</v>
      </c>
      <c r="B76" s="20">
        <v>237500000</v>
      </c>
    </row>
    <row r="77" spans="1:2">
      <c r="A77" s="13" t="s">
        <v>62</v>
      </c>
      <c r="B77" s="20"/>
    </row>
    <row r="78" spans="1:2">
      <c r="A78" s="139" t="s">
        <v>16</v>
      </c>
      <c r="B78" s="20">
        <v>239000000</v>
      </c>
    </row>
    <row r="79" spans="1:2">
      <c r="A79" s="12" t="s">
        <v>109</v>
      </c>
      <c r="B79" s="20">
        <v>20233400000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34708-4A9E-4581-885B-7B1AD5BDFC3E}">
  <dimension ref="A1:F87"/>
  <sheetViews>
    <sheetView topLeftCell="A3" zoomScale="68" zoomScaleNormal="68" workbookViewId="0">
      <selection activeCell="A3" sqref="A3:F41"/>
    </sheetView>
  </sheetViews>
  <sheetFormatPr defaultRowHeight="14"/>
  <cols>
    <col min="1" max="1" width="34.9140625" customWidth="1"/>
    <col min="2" max="2" width="45.83203125" customWidth="1"/>
    <col min="3" max="3" width="20.6640625" customWidth="1"/>
    <col min="4" max="4" width="12.1640625" customWidth="1"/>
    <col min="5" max="5" width="11.5" customWidth="1"/>
    <col min="6" max="6" width="17.1640625" customWidth="1"/>
    <col min="7" max="7" width="21.4140625" customWidth="1"/>
    <col min="8" max="8" width="8.1640625" customWidth="1"/>
  </cols>
  <sheetData>
    <row r="1" spans="1:6" ht="59.5" customHeight="1">
      <c r="A1" s="143" t="s">
        <v>96</v>
      </c>
      <c r="B1" s="144"/>
      <c r="C1" s="144"/>
      <c r="D1" s="144"/>
      <c r="E1" s="144"/>
      <c r="F1" s="144"/>
    </row>
    <row r="2" spans="1:6">
      <c r="A2" s="32" t="s">
        <v>94</v>
      </c>
      <c r="B2" s="33" t="s">
        <v>95</v>
      </c>
      <c r="C2" s="33" t="s">
        <v>90</v>
      </c>
      <c r="D2" s="33" t="s">
        <v>91</v>
      </c>
      <c r="E2" s="33" t="s">
        <v>92</v>
      </c>
      <c r="F2" s="35" t="s">
        <v>93</v>
      </c>
    </row>
    <row r="3" spans="1:6">
      <c r="A3" s="30" t="s">
        <v>51</v>
      </c>
      <c r="B3" s="10" t="s">
        <v>4</v>
      </c>
      <c r="C3" s="14">
        <v>140000000</v>
      </c>
      <c r="D3" s="17">
        <v>15</v>
      </c>
      <c r="E3" s="10" t="s">
        <v>97</v>
      </c>
      <c r="F3" s="50">
        <v>2011</v>
      </c>
    </row>
    <row r="4" spans="1:6">
      <c r="A4" s="30" t="s">
        <v>52</v>
      </c>
      <c r="B4" s="10" t="s">
        <v>5</v>
      </c>
      <c r="C4" s="15">
        <v>148500000</v>
      </c>
      <c r="D4" s="17">
        <v>15</v>
      </c>
      <c r="E4" s="10" t="s">
        <v>97</v>
      </c>
      <c r="F4" s="50">
        <v>2011</v>
      </c>
    </row>
    <row r="5" spans="1:6">
      <c r="A5" s="30" t="s">
        <v>53</v>
      </c>
      <c r="B5" s="10" t="s">
        <v>6</v>
      </c>
      <c r="C5" s="15">
        <v>163500000</v>
      </c>
      <c r="D5" s="17">
        <v>15</v>
      </c>
      <c r="E5" s="10" t="s">
        <v>97</v>
      </c>
      <c r="F5" s="50">
        <v>2011</v>
      </c>
    </row>
    <row r="6" spans="1:6">
      <c r="A6" s="30" t="s">
        <v>54</v>
      </c>
      <c r="B6" s="10" t="s">
        <v>7</v>
      </c>
      <c r="C6" s="15">
        <v>176000000</v>
      </c>
      <c r="D6" s="17">
        <v>15</v>
      </c>
      <c r="E6" s="10" t="s">
        <v>97</v>
      </c>
      <c r="F6" s="50">
        <v>2011</v>
      </c>
    </row>
    <row r="7" spans="1:6">
      <c r="A7" s="30" t="s">
        <v>55</v>
      </c>
      <c r="B7" s="10" t="s">
        <v>8</v>
      </c>
      <c r="C7" s="15">
        <v>191000000</v>
      </c>
      <c r="D7" s="17">
        <v>15</v>
      </c>
      <c r="E7" s="10" t="s">
        <v>97</v>
      </c>
      <c r="F7" s="50">
        <v>2011</v>
      </c>
    </row>
    <row r="8" spans="1:6">
      <c r="A8" s="30" t="s">
        <v>56</v>
      </c>
      <c r="B8" s="10" t="s">
        <v>10</v>
      </c>
      <c r="C8" s="15">
        <v>195500000</v>
      </c>
      <c r="D8" s="17">
        <v>10</v>
      </c>
      <c r="E8" s="10" t="s">
        <v>98</v>
      </c>
      <c r="F8" s="50">
        <v>2012</v>
      </c>
    </row>
    <row r="9" spans="1:6">
      <c r="A9" s="30" t="s">
        <v>57</v>
      </c>
      <c r="B9" s="10" t="s">
        <v>11</v>
      </c>
      <c r="C9" s="15">
        <v>216000000</v>
      </c>
      <c r="D9" s="17">
        <v>10</v>
      </c>
      <c r="E9" s="10" t="s">
        <v>98</v>
      </c>
      <c r="F9" s="50">
        <v>2012</v>
      </c>
    </row>
    <row r="10" spans="1:6">
      <c r="A10" s="30" t="s">
        <v>58</v>
      </c>
      <c r="B10" s="10" t="s">
        <v>12</v>
      </c>
      <c r="C10" s="15">
        <v>227000000</v>
      </c>
      <c r="D10" s="17">
        <v>10</v>
      </c>
      <c r="E10" s="10" t="s">
        <v>98</v>
      </c>
      <c r="F10" s="50">
        <v>2012</v>
      </c>
    </row>
    <row r="11" spans="1:6">
      <c r="A11" s="30" t="s">
        <v>59</v>
      </c>
      <c r="B11" s="10" t="s">
        <v>13</v>
      </c>
      <c r="C11" s="15">
        <v>231400000</v>
      </c>
      <c r="D11" s="17">
        <v>10</v>
      </c>
      <c r="E11" s="10" t="s">
        <v>98</v>
      </c>
      <c r="F11" s="50">
        <v>2012</v>
      </c>
    </row>
    <row r="12" spans="1:6">
      <c r="A12" s="30" t="s">
        <v>60</v>
      </c>
      <c r="B12" s="10" t="s">
        <v>14</v>
      </c>
      <c r="C12" s="15">
        <v>237500000</v>
      </c>
      <c r="D12" s="17">
        <v>10</v>
      </c>
      <c r="E12" s="10" t="s">
        <v>98</v>
      </c>
      <c r="F12" s="50">
        <v>2012</v>
      </c>
    </row>
    <row r="13" spans="1:6">
      <c r="A13" s="30" t="s">
        <v>61</v>
      </c>
      <c r="B13" s="10" t="s">
        <v>15</v>
      </c>
      <c r="C13" s="15">
        <v>248000000</v>
      </c>
      <c r="D13" s="17">
        <v>10</v>
      </c>
      <c r="E13" s="10" t="s">
        <v>98</v>
      </c>
      <c r="F13" s="50">
        <v>2012</v>
      </c>
    </row>
    <row r="14" spans="1:6">
      <c r="A14" s="30" t="s">
        <v>62</v>
      </c>
      <c r="B14" s="10" t="s">
        <v>16</v>
      </c>
      <c r="C14" s="15">
        <v>239000000</v>
      </c>
      <c r="D14" s="17">
        <v>10</v>
      </c>
      <c r="E14" s="10" t="s">
        <v>98</v>
      </c>
      <c r="F14" s="50">
        <v>2012</v>
      </c>
    </row>
    <row r="15" spans="1:6">
      <c r="A15" s="30" t="s">
        <v>63</v>
      </c>
      <c r="B15" s="10" t="s">
        <v>17</v>
      </c>
      <c r="C15" s="15">
        <v>249500000</v>
      </c>
      <c r="D15" s="17">
        <v>10</v>
      </c>
      <c r="E15" s="10" t="s">
        <v>98</v>
      </c>
      <c r="F15" s="50">
        <v>2012</v>
      </c>
    </row>
    <row r="16" spans="1:6">
      <c r="A16" s="30" t="s">
        <v>64</v>
      </c>
      <c r="B16" s="10" t="s">
        <v>20</v>
      </c>
      <c r="C16" s="14">
        <v>239500000</v>
      </c>
      <c r="D16" s="17">
        <v>5</v>
      </c>
      <c r="E16" s="10" t="s">
        <v>99</v>
      </c>
      <c r="F16" s="50">
        <v>2015</v>
      </c>
    </row>
    <row r="17" spans="1:6">
      <c r="A17" s="30" t="s">
        <v>65</v>
      </c>
      <c r="B17" s="10" t="s">
        <v>21</v>
      </c>
      <c r="C17" s="14">
        <v>250500000</v>
      </c>
      <c r="D17" s="17">
        <v>5</v>
      </c>
      <c r="E17" s="10" t="s">
        <v>99</v>
      </c>
      <c r="F17" s="50">
        <v>2015</v>
      </c>
    </row>
    <row r="18" spans="1:6">
      <c r="A18" s="30" t="s">
        <v>66</v>
      </c>
      <c r="B18" s="10" t="s">
        <v>22</v>
      </c>
      <c r="C18" s="14">
        <v>260500000</v>
      </c>
      <c r="D18" s="17">
        <v>5</v>
      </c>
      <c r="E18" s="10" t="s">
        <v>99</v>
      </c>
      <c r="F18" s="50">
        <v>2015</v>
      </c>
    </row>
    <row r="19" spans="1:6">
      <c r="A19" s="30" t="s">
        <v>67</v>
      </c>
      <c r="B19" s="10" t="s">
        <v>23</v>
      </c>
      <c r="C19" s="14">
        <v>275500000</v>
      </c>
      <c r="D19" s="17">
        <v>5</v>
      </c>
      <c r="E19" s="10" t="s">
        <v>99</v>
      </c>
      <c r="F19" s="50">
        <v>2015</v>
      </c>
    </row>
    <row r="20" spans="1:6">
      <c r="A20" s="30" t="s">
        <v>68</v>
      </c>
      <c r="B20" s="10" t="s">
        <v>25</v>
      </c>
      <c r="C20" s="14">
        <v>240500000</v>
      </c>
      <c r="D20" s="17">
        <v>8</v>
      </c>
      <c r="E20" s="10" t="s">
        <v>100</v>
      </c>
      <c r="F20" s="50">
        <v>2016</v>
      </c>
    </row>
    <row r="21" spans="1:6">
      <c r="A21" s="30" t="s">
        <v>69</v>
      </c>
      <c r="B21" s="10" t="s">
        <v>26</v>
      </c>
      <c r="C21" s="14">
        <v>271000000</v>
      </c>
      <c r="D21" s="17">
        <v>8</v>
      </c>
      <c r="E21" s="10" t="s">
        <v>100</v>
      </c>
      <c r="F21" s="50">
        <v>2016</v>
      </c>
    </row>
    <row r="22" spans="1:6">
      <c r="A22" s="30" t="s">
        <v>70</v>
      </c>
      <c r="B22" s="10" t="s">
        <v>28</v>
      </c>
      <c r="C22" s="14">
        <v>272500000</v>
      </c>
      <c r="D22" s="17">
        <v>8</v>
      </c>
      <c r="E22" s="10" t="s">
        <v>100</v>
      </c>
      <c r="F22" s="50">
        <v>2016</v>
      </c>
    </row>
    <row r="23" spans="1:6">
      <c r="A23" s="30" t="s">
        <v>71</v>
      </c>
      <c r="B23" s="10" t="s">
        <v>29</v>
      </c>
      <c r="C23" s="14">
        <v>275000000</v>
      </c>
      <c r="D23" s="17">
        <v>8</v>
      </c>
      <c r="E23" s="10" t="s">
        <v>100</v>
      </c>
      <c r="F23" s="50">
        <v>2016</v>
      </c>
    </row>
    <row r="24" spans="1:6">
      <c r="A24" s="30" t="s">
        <v>72</v>
      </c>
      <c r="B24" s="10" t="s">
        <v>27</v>
      </c>
      <c r="C24" s="14">
        <v>281000000</v>
      </c>
      <c r="D24" s="17">
        <v>8</v>
      </c>
      <c r="E24" s="10" t="s">
        <v>100</v>
      </c>
      <c r="F24" s="50">
        <v>2016</v>
      </c>
    </row>
    <row r="25" spans="1:6">
      <c r="A25" s="30" t="s">
        <v>73</v>
      </c>
      <c r="B25" s="10" t="s">
        <v>30</v>
      </c>
      <c r="C25" s="14">
        <v>282500000</v>
      </c>
      <c r="D25" s="17">
        <v>8</v>
      </c>
      <c r="E25" s="10" t="s">
        <v>100</v>
      </c>
      <c r="F25" s="50">
        <v>2016</v>
      </c>
    </row>
    <row r="26" spans="1:6">
      <c r="A26" s="30" t="s">
        <v>74</v>
      </c>
      <c r="B26" s="10" t="s">
        <v>32</v>
      </c>
      <c r="C26" s="15">
        <v>286000000</v>
      </c>
      <c r="D26" s="17">
        <v>4</v>
      </c>
      <c r="E26" s="10" t="s">
        <v>102</v>
      </c>
      <c r="F26" s="50">
        <v>2017</v>
      </c>
    </row>
    <row r="27" spans="1:6">
      <c r="A27" s="30" t="s">
        <v>75</v>
      </c>
      <c r="B27" s="10" t="s">
        <v>33</v>
      </c>
      <c r="C27" s="15">
        <v>296000000</v>
      </c>
      <c r="D27" s="17">
        <v>4</v>
      </c>
      <c r="E27" s="10" t="s">
        <v>102</v>
      </c>
      <c r="F27" s="50">
        <v>2017</v>
      </c>
    </row>
    <row r="28" spans="1:6">
      <c r="A28" s="30" t="s">
        <v>76</v>
      </c>
      <c r="B28" s="10" t="s">
        <v>34</v>
      </c>
      <c r="C28" s="15">
        <v>319000000</v>
      </c>
      <c r="D28" s="17">
        <v>4</v>
      </c>
      <c r="E28" s="10" t="s">
        <v>102</v>
      </c>
      <c r="F28" s="50">
        <v>2017</v>
      </c>
    </row>
    <row r="29" spans="1:6">
      <c r="A29" s="30" t="s">
        <v>77</v>
      </c>
      <c r="B29" s="10" t="s">
        <v>35</v>
      </c>
      <c r="C29" s="15">
        <v>336000000</v>
      </c>
      <c r="D29" s="17">
        <v>4</v>
      </c>
      <c r="E29" s="10" t="s">
        <v>102</v>
      </c>
      <c r="F29" s="50">
        <v>2017</v>
      </c>
    </row>
    <row r="30" spans="1:6">
      <c r="A30" s="30" t="s">
        <v>78</v>
      </c>
      <c r="B30" s="10" t="s">
        <v>36</v>
      </c>
      <c r="C30" s="15">
        <v>401500000</v>
      </c>
      <c r="D30" s="17">
        <v>4</v>
      </c>
      <c r="E30" s="10" t="s">
        <v>102</v>
      </c>
      <c r="F30" s="50">
        <v>2017</v>
      </c>
    </row>
    <row r="31" spans="1:6">
      <c r="A31" s="30" t="s">
        <v>79</v>
      </c>
      <c r="B31" s="10" t="s">
        <v>37</v>
      </c>
      <c r="C31" s="15">
        <v>403000000</v>
      </c>
      <c r="D31" s="17">
        <v>4</v>
      </c>
      <c r="E31" s="10" t="s">
        <v>102</v>
      </c>
      <c r="F31" s="50">
        <v>2017</v>
      </c>
    </row>
    <row r="32" spans="1:6">
      <c r="A32" s="30" t="s">
        <v>80</v>
      </c>
      <c r="B32" s="10" t="s">
        <v>47</v>
      </c>
      <c r="C32" s="14">
        <v>446500000</v>
      </c>
      <c r="D32" s="17">
        <v>10</v>
      </c>
      <c r="E32" s="10" t="s">
        <v>103</v>
      </c>
      <c r="F32" s="50">
        <v>2018</v>
      </c>
    </row>
    <row r="33" spans="1:6">
      <c r="A33" s="30" t="s">
        <v>81</v>
      </c>
      <c r="B33" s="10" t="s">
        <v>48</v>
      </c>
      <c r="C33" s="14">
        <v>480500000</v>
      </c>
      <c r="D33" s="17">
        <v>10</v>
      </c>
      <c r="E33" s="10" t="s">
        <v>103</v>
      </c>
      <c r="F33" s="50">
        <v>2018</v>
      </c>
    </row>
    <row r="34" spans="1:6">
      <c r="A34" s="30" t="s">
        <v>82</v>
      </c>
      <c r="B34" s="10" t="s">
        <v>104</v>
      </c>
      <c r="C34" s="14">
        <v>520500000</v>
      </c>
      <c r="D34" s="17">
        <v>10</v>
      </c>
      <c r="E34" s="10" t="s">
        <v>103</v>
      </c>
      <c r="F34" s="50">
        <v>2018</v>
      </c>
    </row>
    <row r="35" spans="1:6">
      <c r="A35" s="30" t="s">
        <v>83</v>
      </c>
      <c r="B35" s="10" t="s">
        <v>39</v>
      </c>
      <c r="C35" s="14">
        <v>324500000</v>
      </c>
      <c r="D35" s="17">
        <v>7</v>
      </c>
      <c r="E35" s="10" t="s">
        <v>105</v>
      </c>
      <c r="F35" s="50">
        <v>2019</v>
      </c>
    </row>
    <row r="36" spans="1:6">
      <c r="A36" s="30" t="s">
        <v>84</v>
      </c>
      <c r="B36" s="10" t="s">
        <v>40</v>
      </c>
      <c r="C36" s="14">
        <v>334500000</v>
      </c>
      <c r="D36" s="17">
        <v>7</v>
      </c>
      <c r="E36" s="10" t="s">
        <v>105</v>
      </c>
      <c r="F36" s="50">
        <v>2019</v>
      </c>
    </row>
    <row r="37" spans="1:6">
      <c r="A37" s="30" t="s">
        <v>85</v>
      </c>
      <c r="B37" s="10" t="s">
        <v>42</v>
      </c>
      <c r="C37" s="14">
        <v>416500000</v>
      </c>
      <c r="D37" s="17">
        <v>10</v>
      </c>
      <c r="E37" s="10" t="s">
        <v>101</v>
      </c>
      <c r="F37" s="50">
        <v>2020</v>
      </c>
    </row>
    <row r="38" spans="1:6">
      <c r="A38" s="30" t="s">
        <v>86</v>
      </c>
      <c r="B38" s="10" t="s">
        <v>43</v>
      </c>
      <c r="C38" s="14">
        <v>455500000</v>
      </c>
      <c r="D38" s="17">
        <v>10</v>
      </c>
      <c r="E38" s="10" t="s">
        <v>101</v>
      </c>
      <c r="F38" s="50">
        <v>2020</v>
      </c>
    </row>
    <row r="39" spans="1:6">
      <c r="A39" s="30" t="s">
        <v>87</v>
      </c>
      <c r="B39" s="10" t="s">
        <v>44</v>
      </c>
      <c r="C39" s="14">
        <v>497500000</v>
      </c>
      <c r="D39" s="17">
        <v>10</v>
      </c>
      <c r="E39" s="10" t="s">
        <v>101</v>
      </c>
      <c r="F39" s="50">
        <v>2021</v>
      </c>
    </row>
    <row r="40" spans="1:6">
      <c r="A40" s="30" t="s">
        <v>88</v>
      </c>
      <c r="B40" s="10" t="s">
        <v>45</v>
      </c>
      <c r="C40" s="14">
        <v>500500000</v>
      </c>
      <c r="D40" s="17">
        <v>10</v>
      </c>
      <c r="E40" s="10" t="s">
        <v>101</v>
      </c>
      <c r="F40" s="50">
        <v>2021</v>
      </c>
    </row>
    <row r="41" spans="1:6">
      <c r="A41" s="36" t="s">
        <v>89</v>
      </c>
      <c r="B41" s="37" t="s">
        <v>46</v>
      </c>
      <c r="C41" s="38">
        <v>1034500000</v>
      </c>
      <c r="D41" s="39">
        <v>10</v>
      </c>
      <c r="E41" s="37" t="s">
        <v>101</v>
      </c>
      <c r="F41" s="51">
        <v>2021</v>
      </c>
    </row>
    <row r="42" spans="1:6">
      <c r="A42" s="12"/>
      <c r="C42" s="113"/>
    </row>
    <row r="45" spans="1:6" ht="14.5" customHeight="1">
      <c r="A45" s="106"/>
      <c r="B45" s="1"/>
      <c r="C45" s="1"/>
    </row>
    <row r="46" spans="1:6">
      <c r="A46" s="1"/>
      <c r="B46" s="1"/>
      <c r="C46" s="1"/>
    </row>
    <row r="47" spans="1:6">
      <c r="A47" s="1"/>
      <c r="B47" s="1"/>
      <c r="C47" s="1"/>
    </row>
    <row r="48" spans="1:6">
      <c r="B48" s="12"/>
      <c r="C48" s="12"/>
      <c r="D48" s="12"/>
      <c r="E48" s="12"/>
      <c r="F48" s="12"/>
    </row>
    <row r="49" spans="1:3">
      <c r="A49" s="12"/>
      <c r="B49" s="12"/>
      <c r="C49" s="22"/>
    </row>
    <row r="50" spans="1:3">
      <c r="A50" s="12"/>
      <c r="B50" s="12"/>
      <c r="C50" s="22"/>
    </row>
    <row r="51" spans="1:3">
      <c r="A51" s="12"/>
      <c r="B51" s="12"/>
      <c r="C51" s="22"/>
    </row>
    <row r="52" spans="1:3">
      <c r="A52" s="12"/>
      <c r="B52" s="12"/>
      <c r="C52" s="22"/>
    </row>
    <row r="53" spans="1:3">
      <c r="A53" s="12"/>
      <c r="B53" s="12"/>
      <c r="C53" s="22"/>
    </row>
    <row r="54" spans="1:3">
      <c r="A54" s="12"/>
      <c r="B54" s="12"/>
      <c r="C54" s="22"/>
    </row>
    <row r="55" spans="1:3">
      <c r="A55" s="12"/>
      <c r="B55" s="12"/>
      <c r="C55" s="22"/>
    </row>
    <row r="56" spans="1:3">
      <c r="A56" s="12"/>
      <c r="B56" s="12"/>
      <c r="C56" s="22"/>
    </row>
    <row r="57" spans="1:3">
      <c r="A57" s="12"/>
      <c r="B57" s="12"/>
      <c r="C57" s="22"/>
    </row>
    <row r="58" spans="1:3">
      <c r="A58" s="12"/>
      <c r="B58" s="12"/>
      <c r="C58" s="22"/>
    </row>
    <row r="59" spans="1:3">
      <c r="A59" s="12"/>
      <c r="B59" s="12"/>
      <c r="C59" s="22"/>
    </row>
    <row r="60" spans="1:3">
      <c r="A60" s="12"/>
      <c r="B60" s="12"/>
      <c r="C60" s="22"/>
    </row>
    <row r="61" spans="1:3">
      <c r="A61" s="12"/>
      <c r="B61" s="12"/>
      <c r="C61" s="22"/>
    </row>
    <row r="62" spans="1:3">
      <c r="A62" s="12"/>
      <c r="B62" s="12"/>
      <c r="C62" s="22"/>
    </row>
    <row r="63" spans="1:3">
      <c r="A63" s="12"/>
      <c r="B63" s="12"/>
      <c r="C63" s="22"/>
    </row>
    <row r="64" spans="1:3">
      <c r="A64" s="12"/>
      <c r="B64" s="12"/>
      <c r="C64" s="22"/>
    </row>
    <row r="65" spans="1:3">
      <c r="A65" s="12"/>
      <c r="B65" s="12"/>
      <c r="C65" s="22"/>
    </row>
    <row r="66" spans="1:3">
      <c r="A66" s="12"/>
      <c r="B66" s="12"/>
      <c r="C66" s="22"/>
    </row>
    <row r="67" spans="1:3">
      <c r="A67" s="12"/>
      <c r="B67" s="12"/>
      <c r="C67" s="22"/>
    </row>
    <row r="68" spans="1:3">
      <c r="A68" s="12"/>
      <c r="B68" s="12"/>
      <c r="C68" s="22"/>
    </row>
    <row r="69" spans="1:3">
      <c r="A69" s="12"/>
      <c r="B69" s="12"/>
      <c r="C69" s="22"/>
    </row>
    <row r="70" spans="1:3">
      <c r="A70" s="12"/>
      <c r="B70" s="12"/>
      <c r="C70" s="22"/>
    </row>
    <row r="71" spans="1:3">
      <c r="A71" s="12"/>
      <c r="B71" s="12"/>
      <c r="C71" s="22"/>
    </row>
    <row r="72" spans="1:3">
      <c r="A72" s="12"/>
      <c r="B72" s="12"/>
      <c r="C72" s="22"/>
    </row>
    <row r="73" spans="1:3">
      <c r="A73" s="12"/>
      <c r="B73" s="12"/>
      <c r="C73" s="22"/>
    </row>
    <row r="74" spans="1:3">
      <c r="A74" s="12"/>
      <c r="B74" s="12"/>
      <c r="C74" s="22"/>
    </row>
    <row r="75" spans="1:3">
      <c r="A75" s="12"/>
      <c r="B75" s="12"/>
      <c r="C75" s="22"/>
    </row>
    <row r="76" spans="1:3">
      <c r="A76" s="12"/>
      <c r="B76" s="12"/>
      <c r="C76" s="22"/>
    </row>
    <row r="77" spans="1:3" ht="30" customHeight="1">
      <c r="A77" s="12"/>
      <c r="B77" s="107"/>
      <c r="C77" s="22"/>
    </row>
    <row r="78" spans="1:3">
      <c r="A78" s="12"/>
      <c r="B78" s="12"/>
      <c r="C78" s="22"/>
    </row>
    <row r="79" spans="1:3">
      <c r="A79" s="12"/>
      <c r="B79" s="12"/>
      <c r="C79" s="22"/>
    </row>
    <row r="80" spans="1:3">
      <c r="A80" s="12"/>
      <c r="B80" s="12"/>
      <c r="C80" s="22"/>
    </row>
    <row r="81" spans="1:3">
      <c r="A81" s="12"/>
      <c r="B81" s="12"/>
      <c r="C81" s="22"/>
    </row>
    <row r="82" spans="1:3">
      <c r="A82" s="12"/>
      <c r="B82" s="12"/>
      <c r="C82" s="22"/>
    </row>
    <row r="83" spans="1:3">
      <c r="A83" s="12"/>
      <c r="B83" s="12"/>
      <c r="C83" s="22"/>
    </row>
    <row r="84" spans="1:3">
      <c r="A84" s="12"/>
      <c r="B84" s="12"/>
      <c r="C84" s="22"/>
    </row>
    <row r="85" spans="1:3">
      <c r="A85" s="12"/>
      <c r="B85" s="12"/>
      <c r="C85" s="22"/>
    </row>
    <row r="86" spans="1:3">
      <c r="A86" s="12"/>
      <c r="B86" s="12"/>
      <c r="C86" s="22"/>
    </row>
    <row r="87" spans="1:3">
      <c r="A87" s="12"/>
      <c r="B87" s="12"/>
      <c r="C87" s="22"/>
    </row>
  </sheetData>
  <mergeCells count="1">
    <mergeCell ref="A1:F1"/>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452FA-CD5A-4AD6-BCBD-57C159B8300A}">
  <dimension ref="A3:B84"/>
  <sheetViews>
    <sheetView topLeftCell="A5" zoomScale="85" zoomScaleNormal="85" workbookViewId="0">
      <selection activeCell="B30" sqref="B30:C30"/>
    </sheetView>
  </sheetViews>
  <sheetFormatPr defaultRowHeight="14"/>
  <cols>
    <col min="1" max="1" width="43.1640625" customWidth="1"/>
    <col min="2" max="2" width="20.6640625" customWidth="1"/>
  </cols>
  <sheetData>
    <row r="3" spans="1:2">
      <c r="A3" s="11" t="s">
        <v>92</v>
      </c>
      <c r="B3" t="s">
        <v>107</v>
      </c>
    </row>
    <row r="5" spans="1:2">
      <c r="A5" s="11" t="s">
        <v>108</v>
      </c>
      <c r="B5" t="s">
        <v>106</v>
      </c>
    </row>
    <row r="6" spans="1:2">
      <c r="A6" s="12" t="s">
        <v>51</v>
      </c>
      <c r="B6" s="16">
        <v>140000000</v>
      </c>
    </row>
    <row r="7" spans="1:2">
      <c r="A7" s="13" t="s">
        <v>4</v>
      </c>
      <c r="B7" s="16">
        <v>140000000</v>
      </c>
    </row>
    <row r="8" spans="1:2">
      <c r="A8" s="12" t="s">
        <v>52</v>
      </c>
      <c r="B8" s="16">
        <v>148500000</v>
      </c>
    </row>
    <row r="9" spans="1:2">
      <c r="A9" s="13" t="s">
        <v>5</v>
      </c>
      <c r="B9" s="16">
        <v>148500000</v>
      </c>
    </row>
    <row r="10" spans="1:2">
      <c r="A10" s="12" t="s">
        <v>53</v>
      </c>
      <c r="B10" s="16">
        <v>163500000</v>
      </c>
    </row>
    <row r="11" spans="1:2">
      <c r="A11" s="13" t="s">
        <v>6</v>
      </c>
      <c r="B11" s="16">
        <v>163500000</v>
      </c>
    </row>
    <row r="12" spans="1:2">
      <c r="A12" s="12" t="s">
        <v>54</v>
      </c>
      <c r="B12" s="16">
        <v>176000000</v>
      </c>
    </row>
    <row r="13" spans="1:2">
      <c r="A13" s="13" t="s">
        <v>7</v>
      </c>
      <c r="B13" s="16">
        <v>176000000</v>
      </c>
    </row>
    <row r="14" spans="1:2">
      <c r="A14" s="12" t="s">
        <v>55</v>
      </c>
      <c r="B14" s="16">
        <v>191000000</v>
      </c>
    </row>
    <row r="15" spans="1:2">
      <c r="A15" s="13" t="s">
        <v>8</v>
      </c>
      <c r="B15" s="16">
        <v>191000000</v>
      </c>
    </row>
    <row r="16" spans="1:2">
      <c r="A16" s="12" t="s">
        <v>64</v>
      </c>
      <c r="B16" s="16">
        <v>239500000</v>
      </c>
    </row>
    <row r="17" spans="1:2">
      <c r="A17" s="13" t="s">
        <v>20</v>
      </c>
      <c r="B17" s="16">
        <v>239500000</v>
      </c>
    </row>
    <row r="18" spans="1:2">
      <c r="A18" s="12" t="s">
        <v>65</v>
      </c>
      <c r="B18" s="16">
        <v>250500000</v>
      </c>
    </row>
    <row r="19" spans="1:2">
      <c r="A19" s="13" t="s">
        <v>21</v>
      </c>
      <c r="B19" s="16">
        <v>250500000</v>
      </c>
    </row>
    <row r="20" spans="1:2">
      <c r="A20" s="12" t="s">
        <v>66</v>
      </c>
      <c r="B20" s="16">
        <v>260500000</v>
      </c>
    </row>
    <row r="21" spans="1:2">
      <c r="A21" s="13" t="s">
        <v>22</v>
      </c>
      <c r="B21" s="16">
        <v>260500000</v>
      </c>
    </row>
    <row r="22" spans="1:2">
      <c r="A22" s="12" t="s">
        <v>67</v>
      </c>
      <c r="B22" s="16">
        <v>275500000</v>
      </c>
    </row>
    <row r="23" spans="1:2">
      <c r="A23" s="13" t="s">
        <v>23</v>
      </c>
      <c r="B23" s="16">
        <v>275500000</v>
      </c>
    </row>
    <row r="24" spans="1:2">
      <c r="A24" s="12" t="s">
        <v>80</v>
      </c>
      <c r="B24" s="16">
        <v>446500000</v>
      </c>
    </row>
    <row r="25" spans="1:2">
      <c r="A25" s="13" t="s">
        <v>47</v>
      </c>
      <c r="B25" s="16">
        <v>446500000</v>
      </c>
    </row>
    <row r="26" spans="1:2">
      <c r="A26" s="12" t="s">
        <v>81</v>
      </c>
      <c r="B26" s="16">
        <v>480500000</v>
      </c>
    </row>
    <row r="27" spans="1:2">
      <c r="A27" s="13" t="s">
        <v>48</v>
      </c>
      <c r="B27" s="16">
        <v>480500000</v>
      </c>
    </row>
    <row r="28" spans="1:2">
      <c r="A28" s="12" t="s">
        <v>82</v>
      </c>
      <c r="B28" s="16">
        <v>520500000</v>
      </c>
    </row>
    <row r="29" spans="1:2">
      <c r="A29" s="13" t="s">
        <v>104</v>
      </c>
      <c r="B29" s="16">
        <v>520500000</v>
      </c>
    </row>
    <row r="30" spans="1:2">
      <c r="A30" s="12" t="s">
        <v>83</v>
      </c>
      <c r="B30" s="16">
        <v>324500000</v>
      </c>
    </row>
    <row r="31" spans="1:2">
      <c r="A31" s="13" t="s">
        <v>39</v>
      </c>
      <c r="B31" s="16">
        <v>324500000</v>
      </c>
    </row>
    <row r="32" spans="1:2">
      <c r="A32" s="12" t="s">
        <v>84</v>
      </c>
      <c r="B32" s="16">
        <v>334500000</v>
      </c>
    </row>
    <row r="33" spans="1:2">
      <c r="A33" s="13" t="s">
        <v>40</v>
      </c>
      <c r="B33" s="16">
        <v>334500000</v>
      </c>
    </row>
    <row r="34" spans="1:2">
      <c r="A34" s="12" t="s">
        <v>85</v>
      </c>
      <c r="B34" s="16">
        <v>416500000</v>
      </c>
    </row>
    <row r="35" spans="1:2">
      <c r="A35" s="13" t="s">
        <v>42</v>
      </c>
      <c r="B35" s="16">
        <v>416500000</v>
      </c>
    </row>
    <row r="36" spans="1:2">
      <c r="A36" s="12" t="s">
        <v>86</v>
      </c>
      <c r="B36" s="16">
        <v>455500000</v>
      </c>
    </row>
    <row r="37" spans="1:2">
      <c r="A37" s="13" t="s">
        <v>43</v>
      </c>
      <c r="B37" s="16">
        <v>455500000</v>
      </c>
    </row>
    <row r="38" spans="1:2">
      <c r="A38" s="12" t="s">
        <v>87</v>
      </c>
      <c r="B38" s="16">
        <v>497500000</v>
      </c>
    </row>
    <row r="39" spans="1:2">
      <c r="A39" s="13" t="s">
        <v>44</v>
      </c>
      <c r="B39" s="16">
        <v>497500000</v>
      </c>
    </row>
    <row r="40" spans="1:2">
      <c r="A40" s="12" t="s">
        <v>88</v>
      </c>
      <c r="B40" s="16">
        <v>500500000</v>
      </c>
    </row>
    <row r="41" spans="1:2">
      <c r="A41" s="13" t="s">
        <v>45</v>
      </c>
      <c r="B41" s="16">
        <v>500500000</v>
      </c>
    </row>
    <row r="42" spans="1:2">
      <c r="A42" s="12" t="s">
        <v>89</v>
      </c>
      <c r="B42" s="16">
        <v>1034500000</v>
      </c>
    </row>
    <row r="43" spans="1:2">
      <c r="A43" s="13" t="s">
        <v>46</v>
      </c>
      <c r="B43" s="16">
        <v>1034500000</v>
      </c>
    </row>
    <row r="44" spans="1:2">
      <c r="A44" s="12" t="s">
        <v>68</v>
      </c>
      <c r="B44" s="16">
        <v>240500000</v>
      </c>
    </row>
    <row r="45" spans="1:2">
      <c r="A45" s="13" t="s">
        <v>25</v>
      </c>
      <c r="B45" s="16">
        <v>240500000</v>
      </c>
    </row>
    <row r="46" spans="1:2">
      <c r="A46" s="12" t="s">
        <v>69</v>
      </c>
      <c r="B46" s="16">
        <v>271000000</v>
      </c>
    </row>
    <row r="47" spans="1:2">
      <c r="A47" s="13" t="s">
        <v>26</v>
      </c>
      <c r="B47" s="16">
        <v>271000000</v>
      </c>
    </row>
    <row r="48" spans="1:2">
      <c r="A48" s="12" t="s">
        <v>70</v>
      </c>
      <c r="B48" s="16">
        <v>272500000</v>
      </c>
    </row>
    <row r="49" spans="1:2">
      <c r="A49" s="13" t="s">
        <v>28</v>
      </c>
      <c r="B49" s="16">
        <v>272500000</v>
      </c>
    </row>
    <row r="50" spans="1:2">
      <c r="A50" s="12" t="s">
        <v>71</v>
      </c>
      <c r="B50" s="16">
        <v>275000000</v>
      </c>
    </row>
    <row r="51" spans="1:2">
      <c r="A51" s="13" t="s">
        <v>29</v>
      </c>
      <c r="B51" s="16">
        <v>275000000</v>
      </c>
    </row>
    <row r="52" spans="1:2">
      <c r="A52" s="12" t="s">
        <v>72</v>
      </c>
      <c r="B52" s="16">
        <v>281000000</v>
      </c>
    </row>
    <row r="53" spans="1:2">
      <c r="A53" s="13" t="s">
        <v>27</v>
      </c>
      <c r="B53" s="16">
        <v>281000000</v>
      </c>
    </row>
    <row r="54" spans="1:2">
      <c r="A54" s="12" t="s">
        <v>73</v>
      </c>
      <c r="B54" s="16">
        <v>282500000</v>
      </c>
    </row>
    <row r="55" spans="1:2">
      <c r="A55" s="13" t="s">
        <v>30</v>
      </c>
      <c r="B55" s="16">
        <v>282500000</v>
      </c>
    </row>
    <row r="56" spans="1:2">
      <c r="A56" s="12" t="s">
        <v>56</v>
      </c>
      <c r="B56" s="16">
        <v>195500000</v>
      </c>
    </row>
    <row r="57" spans="1:2">
      <c r="A57" s="13" t="s">
        <v>10</v>
      </c>
      <c r="B57" s="16">
        <v>195500000</v>
      </c>
    </row>
    <row r="58" spans="1:2">
      <c r="A58" s="12" t="s">
        <v>57</v>
      </c>
      <c r="B58" s="16">
        <v>216000000</v>
      </c>
    </row>
    <row r="59" spans="1:2">
      <c r="A59" s="13" t="s">
        <v>11</v>
      </c>
      <c r="B59" s="16">
        <v>216000000</v>
      </c>
    </row>
    <row r="60" spans="1:2">
      <c r="A60" s="12" t="s">
        <v>58</v>
      </c>
      <c r="B60" s="16">
        <v>227000000</v>
      </c>
    </row>
    <row r="61" spans="1:2">
      <c r="A61" s="13" t="s">
        <v>12</v>
      </c>
      <c r="B61" s="16">
        <v>227000000</v>
      </c>
    </row>
    <row r="62" spans="1:2">
      <c r="A62" s="12" t="s">
        <v>59</v>
      </c>
      <c r="B62" s="16">
        <v>231400000</v>
      </c>
    </row>
    <row r="63" spans="1:2">
      <c r="A63" s="13" t="s">
        <v>13</v>
      </c>
      <c r="B63" s="16">
        <v>231400000</v>
      </c>
    </row>
    <row r="64" spans="1:2">
      <c r="A64" s="12" t="s">
        <v>60</v>
      </c>
      <c r="B64" s="16">
        <v>237500000</v>
      </c>
    </row>
    <row r="65" spans="1:2">
      <c r="A65" s="13" t="s">
        <v>14</v>
      </c>
      <c r="B65" s="16">
        <v>237500000</v>
      </c>
    </row>
    <row r="66" spans="1:2">
      <c r="A66" s="12" t="s">
        <v>61</v>
      </c>
      <c r="B66" s="16">
        <v>248000000</v>
      </c>
    </row>
    <row r="67" spans="1:2">
      <c r="A67" s="13" t="s">
        <v>15</v>
      </c>
      <c r="B67" s="16">
        <v>248000000</v>
      </c>
    </row>
    <row r="68" spans="1:2">
      <c r="A68" s="12" t="s">
        <v>62</v>
      </c>
      <c r="B68" s="16">
        <v>239000000</v>
      </c>
    </row>
    <row r="69" spans="1:2">
      <c r="A69" s="13" t="s">
        <v>16</v>
      </c>
      <c r="B69" s="16">
        <v>239000000</v>
      </c>
    </row>
    <row r="70" spans="1:2">
      <c r="A70" s="12" t="s">
        <v>63</v>
      </c>
      <c r="B70" s="16">
        <v>249500000</v>
      </c>
    </row>
    <row r="71" spans="1:2">
      <c r="A71" s="13" t="s">
        <v>17</v>
      </c>
      <c r="B71" s="16">
        <v>249500000</v>
      </c>
    </row>
    <row r="72" spans="1:2">
      <c r="A72" s="12" t="s">
        <v>74</v>
      </c>
      <c r="B72" s="16">
        <v>286000000</v>
      </c>
    </row>
    <row r="73" spans="1:2">
      <c r="A73" s="13" t="s">
        <v>32</v>
      </c>
      <c r="B73" s="16">
        <v>286000000</v>
      </c>
    </row>
    <row r="74" spans="1:2">
      <c r="A74" s="12" t="s">
        <v>75</v>
      </c>
      <c r="B74" s="16">
        <v>296000000</v>
      </c>
    </row>
    <row r="75" spans="1:2">
      <c r="A75" s="13" t="s">
        <v>33</v>
      </c>
      <c r="B75" s="16">
        <v>296000000</v>
      </c>
    </row>
    <row r="76" spans="1:2">
      <c r="A76" s="12" t="s">
        <v>76</v>
      </c>
      <c r="B76" s="16">
        <v>319000000</v>
      </c>
    </row>
    <row r="77" spans="1:2">
      <c r="A77" s="13" t="s">
        <v>34</v>
      </c>
      <c r="B77" s="16">
        <v>319000000</v>
      </c>
    </row>
    <row r="78" spans="1:2">
      <c r="A78" s="12" t="s">
        <v>77</v>
      </c>
      <c r="B78" s="16">
        <v>336000000</v>
      </c>
    </row>
    <row r="79" spans="1:2">
      <c r="A79" s="13" t="s">
        <v>35</v>
      </c>
      <c r="B79" s="16">
        <v>336000000</v>
      </c>
    </row>
    <row r="80" spans="1:2">
      <c r="A80" s="12" t="s">
        <v>78</v>
      </c>
      <c r="B80" s="16">
        <v>401500000</v>
      </c>
    </row>
    <row r="81" spans="1:2">
      <c r="A81" s="13" t="s">
        <v>36</v>
      </c>
      <c r="B81" s="16">
        <v>401500000</v>
      </c>
    </row>
    <row r="82" spans="1:2">
      <c r="A82" s="12" t="s">
        <v>79</v>
      </c>
      <c r="B82" s="16">
        <v>403000000</v>
      </c>
    </row>
    <row r="83" spans="1:2">
      <c r="A83" s="13" t="s">
        <v>37</v>
      </c>
      <c r="B83" s="16">
        <v>403000000</v>
      </c>
    </row>
    <row r="84" spans="1:2">
      <c r="A84" s="12" t="s">
        <v>109</v>
      </c>
      <c r="B84" s="16">
        <v>12363900000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6C6F1-4362-499F-868E-717C7025BBF9}">
  <dimension ref="A1:H45"/>
  <sheetViews>
    <sheetView zoomScale="85" zoomScaleNormal="85" workbookViewId="0">
      <selection activeCell="B27" sqref="B27"/>
    </sheetView>
  </sheetViews>
  <sheetFormatPr defaultColWidth="8.6640625" defaultRowHeight="14"/>
  <cols>
    <col min="1" max="1" width="17.33203125" customWidth="1"/>
    <col min="2" max="2" width="33.33203125" customWidth="1"/>
    <col min="3" max="3" width="13.5" customWidth="1"/>
    <col min="4" max="4" width="12.4140625" customWidth="1"/>
    <col min="5" max="5" width="6" customWidth="1"/>
    <col min="6" max="6" width="6.6640625" customWidth="1"/>
    <col min="8" max="8" width="8.4140625" customWidth="1"/>
  </cols>
  <sheetData>
    <row r="1" spans="1:8" ht="14" customHeight="1">
      <c r="A1" s="145" t="s">
        <v>205</v>
      </c>
      <c r="B1" s="146"/>
      <c r="C1" s="146"/>
      <c r="D1" s="146"/>
      <c r="E1" s="146"/>
      <c r="F1" s="146"/>
      <c r="G1" s="147"/>
    </row>
    <row r="2" spans="1:8">
      <c r="A2" s="148"/>
      <c r="B2" s="149"/>
      <c r="C2" s="149"/>
      <c r="D2" s="149"/>
      <c r="E2" s="149"/>
      <c r="F2" s="149"/>
      <c r="G2" s="150"/>
    </row>
    <row r="3" spans="1:8">
      <c r="A3" s="151"/>
      <c r="B3" s="152"/>
      <c r="C3" s="152"/>
      <c r="D3" s="152"/>
      <c r="E3" s="152"/>
      <c r="F3" s="152"/>
      <c r="G3" s="153"/>
    </row>
    <row r="4" spans="1:8">
      <c r="A4" s="95" t="s">
        <v>208</v>
      </c>
      <c r="B4" s="96" t="s">
        <v>207</v>
      </c>
      <c r="C4" s="95" t="s">
        <v>148</v>
      </c>
      <c r="D4" s="96" t="s">
        <v>206</v>
      </c>
      <c r="E4" s="96">
        <v>2018</v>
      </c>
      <c r="F4" s="96">
        <v>2019</v>
      </c>
      <c r="G4" s="96">
        <v>2020</v>
      </c>
      <c r="H4" s="96">
        <v>2021</v>
      </c>
    </row>
    <row r="5" spans="1:8">
      <c r="A5" s="59" t="s">
        <v>51</v>
      </c>
      <c r="B5" s="59" t="s">
        <v>4</v>
      </c>
      <c r="C5" s="3" t="str">
        <f>VLOOKUP(A5,Detail_Produk[],5,0)</f>
        <v>Brio</v>
      </c>
      <c r="D5" s="84">
        <v>15</v>
      </c>
      <c r="E5" s="88">
        <f>D5-VLOOKUP(A5,TRANSACTION!A7:F25,6,0)</f>
        <v>14</v>
      </c>
      <c r="F5" s="88">
        <v>14</v>
      </c>
      <c r="G5" s="88">
        <v>14</v>
      </c>
      <c r="H5" s="88">
        <v>14</v>
      </c>
    </row>
    <row r="6" spans="1:8">
      <c r="A6" s="85" t="s">
        <v>52</v>
      </c>
      <c r="B6" s="85" t="s">
        <v>5</v>
      </c>
      <c r="C6" s="3" t="str">
        <f>VLOOKUP(A6,Detail_Produk[],5,0)</f>
        <v>Brio</v>
      </c>
      <c r="D6" s="86">
        <v>15</v>
      </c>
      <c r="E6" s="88">
        <f>D6-VLOOKUP(A6,TRANSACTION!A8:F26,6,0)</f>
        <v>14</v>
      </c>
      <c r="F6" s="88">
        <v>14</v>
      </c>
      <c r="G6" s="88">
        <v>13</v>
      </c>
      <c r="H6" s="88">
        <v>13</v>
      </c>
    </row>
    <row r="7" spans="1:8">
      <c r="A7" s="59" t="s">
        <v>53</v>
      </c>
      <c r="B7" s="59" t="s">
        <v>6</v>
      </c>
      <c r="C7" s="3" t="str">
        <f>VLOOKUP(A7,Detail_Produk[],5,0)</f>
        <v>Brio</v>
      </c>
      <c r="D7" s="84">
        <v>15</v>
      </c>
      <c r="E7" s="88">
        <f>D7-VLOOKUP(A7,TRANSACTION!A9:F27,6,0)</f>
        <v>14</v>
      </c>
      <c r="F7" s="88">
        <v>14</v>
      </c>
      <c r="G7" s="88">
        <v>14</v>
      </c>
      <c r="H7" s="88">
        <v>12</v>
      </c>
    </row>
    <row r="8" spans="1:8">
      <c r="A8" s="85" t="s">
        <v>54</v>
      </c>
      <c r="B8" s="85" t="s">
        <v>7</v>
      </c>
      <c r="C8" s="3" t="str">
        <f>VLOOKUP(A8,Detail_Produk[],5,0)</f>
        <v>Brio</v>
      </c>
      <c r="D8" s="86">
        <v>15</v>
      </c>
      <c r="E8" s="88">
        <v>15</v>
      </c>
      <c r="F8" s="88">
        <v>14</v>
      </c>
      <c r="G8" s="88">
        <v>14</v>
      </c>
      <c r="H8" s="88">
        <v>13</v>
      </c>
    </row>
    <row r="9" spans="1:8">
      <c r="A9" s="59" t="s">
        <v>55</v>
      </c>
      <c r="B9" s="59" t="s">
        <v>8</v>
      </c>
      <c r="C9" s="3" t="str">
        <f>VLOOKUP(A9,Detail_Produk[],5,0)</f>
        <v>Brio</v>
      </c>
      <c r="D9" s="84">
        <v>15</v>
      </c>
      <c r="E9" s="88">
        <v>15</v>
      </c>
      <c r="F9" s="88">
        <v>14</v>
      </c>
      <c r="G9" s="88">
        <v>13</v>
      </c>
      <c r="H9" s="88">
        <v>13</v>
      </c>
    </row>
    <row r="10" spans="1:8">
      <c r="A10" s="85" t="s">
        <v>56</v>
      </c>
      <c r="B10" s="85" t="s">
        <v>10</v>
      </c>
      <c r="C10" s="3" t="str">
        <f>VLOOKUP(A10,Detail_Produk[],5,0)</f>
        <v>Mobilio</v>
      </c>
      <c r="D10" s="86">
        <v>10</v>
      </c>
      <c r="E10" s="88">
        <v>9</v>
      </c>
      <c r="F10" s="88">
        <v>8</v>
      </c>
      <c r="G10" s="88">
        <v>8</v>
      </c>
      <c r="H10" s="88">
        <v>7</v>
      </c>
    </row>
    <row r="11" spans="1:8">
      <c r="A11" s="59" t="s">
        <v>57</v>
      </c>
      <c r="B11" s="59" t="s">
        <v>11</v>
      </c>
      <c r="C11" s="3" t="str">
        <f>VLOOKUP(A11,Detail_Produk[],5,0)</f>
        <v>Mobilio</v>
      </c>
      <c r="D11" s="84">
        <v>10</v>
      </c>
      <c r="E11" s="88">
        <v>9</v>
      </c>
      <c r="F11" s="88">
        <v>8</v>
      </c>
      <c r="G11" s="88">
        <v>8</v>
      </c>
      <c r="H11" s="88">
        <v>8</v>
      </c>
    </row>
    <row r="12" spans="1:8">
      <c r="A12" s="85" t="s">
        <v>58</v>
      </c>
      <c r="B12" s="85" t="s">
        <v>12</v>
      </c>
      <c r="C12" s="3" t="str">
        <f>VLOOKUP(A12,Detail_Produk[],5,0)</f>
        <v>Mobilio</v>
      </c>
      <c r="D12" s="86">
        <v>10</v>
      </c>
      <c r="E12" s="88">
        <v>10</v>
      </c>
      <c r="F12" s="88">
        <v>10</v>
      </c>
      <c r="G12" s="88">
        <v>10</v>
      </c>
      <c r="H12" s="88">
        <v>10</v>
      </c>
    </row>
    <row r="13" spans="1:8">
      <c r="A13" s="59" t="s">
        <v>59</v>
      </c>
      <c r="B13" s="59" t="s">
        <v>13</v>
      </c>
      <c r="C13" s="3" t="str">
        <f>VLOOKUP(A13,Detail_Produk[],5,0)</f>
        <v>Mobilio</v>
      </c>
      <c r="D13" s="84">
        <v>10</v>
      </c>
      <c r="E13" s="88">
        <v>10</v>
      </c>
      <c r="F13" s="88">
        <v>10</v>
      </c>
      <c r="G13" s="88">
        <v>9</v>
      </c>
      <c r="H13" s="88">
        <v>9</v>
      </c>
    </row>
    <row r="14" spans="1:8">
      <c r="A14" s="85" t="s">
        <v>60</v>
      </c>
      <c r="B14" s="85" t="s">
        <v>14</v>
      </c>
      <c r="C14" s="3" t="str">
        <f>VLOOKUP(A14,Detail_Produk[],5,0)</f>
        <v>Mobilio</v>
      </c>
      <c r="D14" s="86">
        <v>10</v>
      </c>
      <c r="E14" s="88">
        <v>10</v>
      </c>
      <c r="F14" s="88">
        <v>10</v>
      </c>
      <c r="G14" s="88">
        <v>10</v>
      </c>
      <c r="H14" s="88">
        <v>9</v>
      </c>
    </row>
    <row r="15" spans="1:8">
      <c r="A15" s="59" t="s">
        <v>61</v>
      </c>
      <c r="B15" s="59" t="s">
        <v>15</v>
      </c>
      <c r="C15" s="3" t="str">
        <f>VLOOKUP(A15,Detail_Produk[],5,0)</f>
        <v>Mobilio</v>
      </c>
      <c r="D15" s="84">
        <v>10</v>
      </c>
      <c r="E15" s="88">
        <v>10</v>
      </c>
      <c r="F15" s="88">
        <v>10</v>
      </c>
      <c r="G15" s="88">
        <v>10</v>
      </c>
      <c r="H15" s="88">
        <v>10</v>
      </c>
    </row>
    <row r="16" spans="1:8">
      <c r="A16" s="85" t="s">
        <v>62</v>
      </c>
      <c r="B16" s="85" t="s">
        <v>16</v>
      </c>
      <c r="C16" s="3" t="str">
        <f>VLOOKUP(A16,Detail_Produk[],5,0)</f>
        <v>Mobilio</v>
      </c>
      <c r="D16" s="86">
        <v>10</v>
      </c>
      <c r="E16" s="88">
        <v>10</v>
      </c>
      <c r="F16" s="88">
        <v>10</v>
      </c>
      <c r="G16" s="88">
        <v>10</v>
      </c>
      <c r="H16" s="88">
        <v>9</v>
      </c>
    </row>
    <row r="17" spans="1:8">
      <c r="A17" s="59" t="s">
        <v>63</v>
      </c>
      <c r="B17" s="59" t="s">
        <v>17</v>
      </c>
      <c r="C17" s="3" t="str">
        <f>VLOOKUP(A17,Detail_Produk[],5,0)</f>
        <v>Mobilio</v>
      </c>
      <c r="D17" s="84">
        <v>10</v>
      </c>
      <c r="E17" s="88">
        <v>10</v>
      </c>
      <c r="F17" s="88">
        <v>10</v>
      </c>
      <c r="G17" s="88">
        <v>10</v>
      </c>
      <c r="H17" s="88">
        <v>10</v>
      </c>
    </row>
    <row r="18" spans="1:8">
      <c r="A18" s="85" t="s">
        <v>64</v>
      </c>
      <c r="B18" s="85" t="s">
        <v>20</v>
      </c>
      <c r="C18" s="3" t="str">
        <f>VLOOKUP(A18,Detail_Produk[],5,0)</f>
        <v>BRV</v>
      </c>
      <c r="D18" s="86">
        <v>5</v>
      </c>
      <c r="E18" s="88">
        <v>4</v>
      </c>
      <c r="F18" s="88">
        <v>4</v>
      </c>
      <c r="G18" s="88">
        <v>4</v>
      </c>
      <c r="H18" s="88">
        <v>3</v>
      </c>
    </row>
    <row r="19" spans="1:8">
      <c r="A19" s="59" t="s">
        <v>65</v>
      </c>
      <c r="B19" s="59" t="s">
        <v>21</v>
      </c>
      <c r="C19" s="3" t="str">
        <f>VLOOKUP(A19,Detail_Produk[],5,0)</f>
        <v>BRV</v>
      </c>
      <c r="D19" s="84">
        <v>5</v>
      </c>
      <c r="E19" s="88">
        <v>4</v>
      </c>
      <c r="F19" s="88">
        <v>4</v>
      </c>
      <c r="G19" s="88">
        <v>3</v>
      </c>
      <c r="H19" s="88">
        <v>3</v>
      </c>
    </row>
    <row r="20" spans="1:8">
      <c r="A20" s="85" t="s">
        <v>66</v>
      </c>
      <c r="B20" s="85" t="s">
        <v>22</v>
      </c>
      <c r="C20" s="3" t="str">
        <f>VLOOKUP(A20,Detail_Produk[],5,0)</f>
        <v>BRV</v>
      </c>
      <c r="D20" s="86">
        <v>5</v>
      </c>
      <c r="E20" s="88">
        <v>4</v>
      </c>
      <c r="F20" s="88">
        <v>3</v>
      </c>
      <c r="G20" s="88">
        <v>3</v>
      </c>
      <c r="H20" s="88">
        <v>3</v>
      </c>
    </row>
    <row r="21" spans="1:8">
      <c r="A21" s="59" t="s">
        <v>67</v>
      </c>
      <c r="B21" s="59" t="s">
        <v>23</v>
      </c>
      <c r="C21" s="3" t="str">
        <f>VLOOKUP(A21,Detail_Produk[],5,0)</f>
        <v>BRV</v>
      </c>
      <c r="D21" s="84">
        <v>5</v>
      </c>
      <c r="E21" s="88">
        <v>5</v>
      </c>
      <c r="F21" s="88">
        <v>4</v>
      </c>
      <c r="G21" s="88">
        <v>4</v>
      </c>
      <c r="H21" s="88">
        <v>4</v>
      </c>
    </row>
    <row r="22" spans="1:8">
      <c r="A22" s="85" t="s">
        <v>68</v>
      </c>
      <c r="B22" s="85" t="s">
        <v>25</v>
      </c>
      <c r="C22" s="3" t="str">
        <f>VLOOKUP(A22,Detail_Produk[],5,0)</f>
        <v>Jazz</v>
      </c>
      <c r="D22" s="86">
        <v>8</v>
      </c>
      <c r="E22" s="88">
        <v>7</v>
      </c>
      <c r="F22" s="88">
        <v>6</v>
      </c>
      <c r="G22" s="88">
        <v>6</v>
      </c>
      <c r="H22" s="88">
        <v>5</v>
      </c>
    </row>
    <row r="23" spans="1:8">
      <c r="A23" s="59" t="s">
        <v>69</v>
      </c>
      <c r="B23" s="59" t="s">
        <v>26</v>
      </c>
      <c r="C23" s="3" t="str">
        <f>VLOOKUP(A23,Detail_Produk[],5,0)</f>
        <v>Jazz</v>
      </c>
      <c r="D23" s="84">
        <v>8</v>
      </c>
      <c r="E23" s="88">
        <v>8</v>
      </c>
      <c r="F23" s="88">
        <v>7</v>
      </c>
      <c r="G23" s="88">
        <v>6</v>
      </c>
      <c r="H23" s="88">
        <v>6</v>
      </c>
    </row>
    <row r="24" spans="1:8">
      <c r="A24" s="85" t="s">
        <v>70</v>
      </c>
      <c r="B24" s="85" t="s">
        <v>28</v>
      </c>
      <c r="C24" s="3" t="str">
        <f>VLOOKUP(A24,Detail_Produk[],5,0)</f>
        <v>Jazz</v>
      </c>
      <c r="D24" s="86">
        <v>8</v>
      </c>
      <c r="E24" s="88">
        <v>8</v>
      </c>
      <c r="F24" s="88">
        <v>8</v>
      </c>
      <c r="G24" s="88">
        <v>8</v>
      </c>
      <c r="H24" s="88">
        <v>8</v>
      </c>
    </row>
    <row r="25" spans="1:8">
      <c r="A25" s="59" t="s">
        <v>71</v>
      </c>
      <c r="B25" s="59" t="s">
        <v>29</v>
      </c>
      <c r="C25" s="3" t="str">
        <f>VLOOKUP(A25,Detail_Produk[],5,0)</f>
        <v>Jazz</v>
      </c>
      <c r="D25" s="84">
        <v>8</v>
      </c>
      <c r="E25" s="88">
        <v>7</v>
      </c>
      <c r="F25" s="88">
        <v>7</v>
      </c>
      <c r="G25" s="88">
        <v>7</v>
      </c>
      <c r="H25" s="88">
        <v>6</v>
      </c>
    </row>
    <row r="26" spans="1:8">
      <c r="A26" s="85" t="s">
        <v>72</v>
      </c>
      <c r="B26" s="85" t="s">
        <v>27</v>
      </c>
      <c r="C26" s="3" t="str">
        <f>VLOOKUP(A26,Detail_Produk[],5,0)</f>
        <v>Jazz</v>
      </c>
      <c r="D26" s="86">
        <v>8</v>
      </c>
      <c r="E26" s="88">
        <v>8</v>
      </c>
      <c r="F26" s="88">
        <v>8</v>
      </c>
      <c r="G26" s="88">
        <v>8</v>
      </c>
      <c r="H26" s="88">
        <v>7</v>
      </c>
    </row>
    <row r="27" spans="1:8">
      <c r="A27" s="59" t="s">
        <v>73</v>
      </c>
      <c r="B27" s="59" t="s">
        <v>30</v>
      </c>
      <c r="C27" s="3" t="str">
        <f>VLOOKUP(A27,Detail_Produk[],5,0)</f>
        <v>Jazz</v>
      </c>
      <c r="D27" s="84">
        <v>8</v>
      </c>
      <c r="E27" s="88">
        <v>8</v>
      </c>
      <c r="F27" s="88">
        <v>8</v>
      </c>
      <c r="G27" s="88">
        <v>8</v>
      </c>
      <c r="H27" s="88">
        <v>8</v>
      </c>
    </row>
    <row r="28" spans="1:8">
      <c r="A28" s="85" t="s">
        <v>74</v>
      </c>
      <c r="B28" s="85" t="s">
        <v>32</v>
      </c>
      <c r="C28" s="3" t="str">
        <f>VLOOKUP(A28,Detail_Produk[],5,0)</f>
        <v>HRV</v>
      </c>
      <c r="D28" s="86">
        <v>4</v>
      </c>
      <c r="E28" s="88">
        <v>4</v>
      </c>
      <c r="F28" s="88">
        <v>4</v>
      </c>
      <c r="G28" s="88">
        <v>4</v>
      </c>
      <c r="H28" s="88">
        <v>3</v>
      </c>
    </row>
    <row r="29" spans="1:8">
      <c r="A29" s="59" t="s">
        <v>75</v>
      </c>
      <c r="B29" s="59" t="s">
        <v>33</v>
      </c>
      <c r="C29" s="3" t="str">
        <f>VLOOKUP(A29,Detail_Produk[],5,0)</f>
        <v>HRV</v>
      </c>
      <c r="D29" s="84">
        <v>4</v>
      </c>
      <c r="E29" s="88">
        <v>4</v>
      </c>
      <c r="F29" s="88">
        <v>4</v>
      </c>
      <c r="G29" s="88">
        <v>4</v>
      </c>
      <c r="H29" s="88">
        <v>4</v>
      </c>
    </row>
    <row r="30" spans="1:8">
      <c r="A30" s="85" t="s">
        <v>76</v>
      </c>
      <c r="B30" s="85" t="s">
        <v>34</v>
      </c>
      <c r="C30" s="3" t="str">
        <f>VLOOKUP(A30,Detail_Produk[],5,0)</f>
        <v>HRV</v>
      </c>
      <c r="D30" s="86">
        <v>4</v>
      </c>
      <c r="E30" s="88">
        <v>3</v>
      </c>
      <c r="F30" s="88">
        <v>3</v>
      </c>
      <c r="G30" s="88">
        <v>2</v>
      </c>
      <c r="H30" s="88">
        <v>0</v>
      </c>
    </row>
    <row r="31" spans="1:8">
      <c r="A31" s="59" t="s">
        <v>77</v>
      </c>
      <c r="B31" s="59" t="s">
        <v>35</v>
      </c>
      <c r="C31" s="3" t="str">
        <f>VLOOKUP(A31,Detail_Produk[],5,0)</f>
        <v>HRV</v>
      </c>
      <c r="D31" s="84">
        <v>4</v>
      </c>
      <c r="E31" s="88">
        <v>3</v>
      </c>
      <c r="F31" s="88">
        <v>3</v>
      </c>
      <c r="G31" s="88">
        <v>2</v>
      </c>
      <c r="H31" s="88">
        <v>2</v>
      </c>
    </row>
    <row r="32" spans="1:8">
      <c r="A32" s="85" t="s">
        <v>78</v>
      </c>
      <c r="B32" s="85" t="s">
        <v>36</v>
      </c>
      <c r="C32" s="3" t="str">
        <f>VLOOKUP(A32,Detail_Produk[],5,0)</f>
        <v>HRV</v>
      </c>
      <c r="D32" s="86">
        <v>4</v>
      </c>
      <c r="E32" s="88">
        <f>D32-VLOOKUP(A32,TRANSACTION!A34:F52,6,0)</f>
        <v>3</v>
      </c>
      <c r="F32" s="88">
        <v>2</v>
      </c>
      <c r="G32" s="88">
        <v>2</v>
      </c>
      <c r="H32" s="88">
        <v>2</v>
      </c>
    </row>
    <row r="33" spans="1:8" ht="23.5" customHeight="1">
      <c r="A33" s="59" t="s">
        <v>79</v>
      </c>
      <c r="B33" s="87" t="s">
        <v>37</v>
      </c>
      <c r="C33" s="3" t="str">
        <f>VLOOKUP(A33,Detail_Produk[],5,0)</f>
        <v>HRV</v>
      </c>
      <c r="D33" s="84">
        <v>4</v>
      </c>
      <c r="E33" s="88">
        <f>D33-VLOOKUP(A33,TRANSACTION!A35:F53,6,0)</f>
        <v>3</v>
      </c>
      <c r="F33" s="88">
        <v>2</v>
      </c>
      <c r="G33" s="88">
        <v>2</v>
      </c>
      <c r="H33" s="88">
        <v>2</v>
      </c>
    </row>
    <row r="34" spans="1:8">
      <c r="A34" s="85" t="s">
        <v>80</v>
      </c>
      <c r="B34" s="85" t="s">
        <v>47</v>
      </c>
      <c r="C34" s="3" t="str">
        <f>VLOOKUP(A34,Detail_Produk[],5,0)</f>
        <v>CRV</v>
      </c>
      <c r="D34" s="86">
        <v>10</v>
      </c>
      <c r="E34" s="88">
        <f>D34-VLOOKUP(A34,TRANSACTION!A36:F54,6,0)</f>
        <v>9</v>
      </c>
      <c r="F34" s="88">
        <v>8</v>
      </c>
      <c r="G34" s="88">
        <v>7</v>
      </c>
      <c r="H34" s="88">
        <v>7</v>
      </c>
    </row>
    <row r="35" spans="1:8">
      <c r="A35" s="59" t="s">
        <v>81</v>
      </c>
      <c r="B35" s="59" t="s">
        <v>48</v>
      </c>
      <c r="C35" s="3" t="str">
        <f>VLOOKUP(A35,Detail_Produk[],5,0)</f>
        <v>CRV</v>
      </c>
      <c r="D35" s="84">
        <v>10</v>
      </c>
      <c r="E35" s="88">
        <f>D35-VLOOKUP(A35,TRANSACTION!A37:F57,6,0)</f>
        <v>9</v>
      </c>
      <c r="F35" s="88">
        <v>8</v>
      </c>
      <c r="G35" s="88">
        <v>8</v>
      </c>
      <c r="H35" s="88">
        <v>7</v>
      </c>
    </row>
    <row r="36" spans="1:8">
      <c r="A36" s="85" t="s">
        <v>82</v>
      </c>
      <c r="B36" s="85" t="s">
        <v>104</v>
      </c>
      <c r="C36" s="3" t="str">
        <f>VLOOKUP(A36,Detail_Produk[],5,0)</f>
        <v>CRV</v>
      </c>
      <c r="D36" s="86">
        <v>10</v>
      </c>
      <c r="E36" s="88">
        <v>10</v>
      </c>
      <c r="F36" s="88">
        <v>10</v>
      </c>
      <c r="G36" s="88">
        <v>10</v>
      </c>
      <c r="H36" s="88">
        <v>10</v>
      </c>
    </row>
    <row r="37" spans="1:8">
      <c r="A37" s="59" t="s">
        <v>83</v>
      </c>
      <c r="B37" s="59" t="s">
        <v>39</v>
      </c>
      <c r="C37" s="3" t="str">
        <f>VLOOKUP(A37,Detail_Produk[],5,0)</f>
        <v>Hcity</v>
      </c>
      <c r="D37" s="84">
        <v>7</v>
      </c>
      <c r="E37" s="88">
        <f>D37-VLOOKUP(A37,TRANSACTION!A39:F57,6,0)</f>
        <v>6</v>
      </c>
      <c r="F37" s="88">
        <v>5</v>
      </c>
      <c r="G37" s="88">
        <v>5</v>
      </c>
      <c r="H37" s="88">
        <v>5</v>
      </c>
    </row>
    <row r="38" spans="1:8">
      <c r="A38" s="85" t="s">
        <v>84</v>
      </c>
      <c r="B38" s="85" t="s">
        <v>40</v>
      </c>
      <c r="C38" s="3" t="str">
        <f>VLOOKUP(A38,Detail_Produk[],5,0)</f>
        <v>Hcity</v>
      </c>
      <c r="D38" s="86">
        <v>7</v>
      </c>
      <c r="E38" s="88">
        <f>D38-VLOOKUP(A38,TRANSACTION!A40:F58,6,0)</f>
        <v>6</v>
      </c>
      <c r="F38" s="88">
        <v>5</v>
      </c>
      <c r="G38" s="88">
        <v>5</v>
      </c>
      <c r="H38" s="88">
        <v>4</v>
      </c>
    </row>
    <row r="39" spans="1:8">
      <c r="A39" s="59" t="s">
        <v>85</v>
      </c>
      <c r="B39" s="59" t="s">
        <v>42</v>
      </c>
      <c r="C39" s="3" t="str">
        <f>VLOOKUP(A39,Detail_Produk[],5,0)</f>
        <v>Civic</v>
      </c>
      <c r="D39" s="84">
        <v>10</v>
      </c>
      <c r="E39" s="88">
        <f>D39-VLOOKUP(A39,TRANSACTION!A41:F59,6,0)</f>
        <v>9</v>
      </c>
      <c r="F39" s="88">
        <v>8</v>
      </c>
      <c r="G39" s="88">
        <v>7</v>
      </c>
      <c r="H39" s="88">
        <v>7</v>
      </c>
    </row>
    <row r="40" spans="1:8">
      <c r="A40" s="85" t="s">
        <v>86</v>
      </c>
      <c r="B40" s="85" t="s">
        <v>43</v>
      </c>
      <c r="C40" s="3" t="str">
        <f>VLOOKUP(A40,Detail_Produk[],5,0)</f>
        <v>Civic</v>
      </c>
      <c r="D40" s="86">
        <v>10</v>
      </c>
      <c r="E40" s="88">
        <v>10</v>
      </c>
      <c r="F40" s="88">
        <v>9</v>
      </c>
      <c r="G40" s="88">
        <v>9</v>
      </c>
      <c r="H40" s="88">
        <v>8</v>
      </c>
    </row>
    <row r="41" spans="1:8">
      <c r="A41" s="59" t="s">
        <v>87</v>
      </c>
      <c r="B41" s="59" t="s">
        <v>44</v>
      </c>
      <c r="C41" s="3" t="str">
        <f>VLOOKUP(A41,Detail_Produk[],5,0)</f>
        <v>Civic</v>
      </c>
      <c r="D41" s="84">
        <v>10</v>
      </c>
      <c r="E41" s="88">
        <v>10</v>
      </c>
      <c r="F41" s="88">
        <v>9</v>
      </c>
      <c r="G41" s="88">
        <v>8</v>
      </c>
      <c r="H41" s="88">
        <v>8</v>
      </c>
    </row>
    <row r="42" spans="1:8">
      <c r="A42" s="85" t="s">
        <v>88</v>
      </c>
      <c r="B42" s="85" t="s">
        <v>45</v>
      </c>
      <c r="C42" s="3" t="str">
        <f>VLOOKUP(A42,Detail_Produk[],5,0)</f>
        <v>Civic</v>
      </c>
      <c r="D42" s="86">
        <v>10</v>
      </c>
      <c r="E42" s="88">
        <v>10</v>
      </c>
      <c r="F42" s="88">
        <v>10</v>
      </c>
      <c r="G42" s="88">
        <v>10</v>
      </c>
      <c r="H42" s="88">
        <v>9</v>
      </c>
    </row>
    <row r="43" spans="1:8">
      <c r="A43" s="59" t="s">
        <v>89</v>
      </c>
      <c r="B43" s="59" t="s">
        <v>46</v>
      </c>
      <c r="C43" s="3" t="str">
        <f>VLOOKUP(A43,Detail_Produk[],5,0)</f>
        <v>Civic</v>
      </c>
      <c r="D43" s="84">
        <v>10</v>
      </c>
      <c r="E43" s="88">
        <v>10</v>
      </c>
      <c r="F43" s="88">
        <v>10</v>
      </c>
      <c r="G43" s="88">
        <v>10</v>
      </c>
      <c r="H43" s="88">
        <v>9</v>
      </c>
    </row>
    <row r="44" spans="1:8" ht="48.5" customHeight="1">
      <c r="A44" s="154" t="s">
        <v>112</v>
      </c>
      <c r="B44" s="154"/>
      <c r="C44" s="154"/>
      <c r="D44" s="88">
        <f>SUM(D5:D43)</f>
        <v>341</v>
      </c>
      <c r="E44" s="88">
        <f>SUM(E5:E43)</f>
        <v>322</v>
      </c>
      <c r="F44" s="88">
        <f>SUM(F5:F43)</f>
        <v>305</v>
      </c>
      <c r="G44" s="88">
        <f>SUM(G5:G43)</f>
        <v>295</v>
      </c>
      <c r="H44" s="88">
        <f>SUM(H5:H43)</f>
        <v>277</v>
      </c>
    </row>
    <row r="45" spans="1:8" ht="46" customHeight="1">
      <c r="A45" s="155" t="s">
        <v>209</v>
      </c>
      <c r="B45" s="156"/>
      <c r="C45" s="156"/>
      <c r="D45" s="157"/>
      <c r="E45" s="88">
        <f>D44-E44</f>
        <v>19</v>
      </c>
      <c r="F45" s="88">
        <f>E44-F44</f>
        <v>17</v>
      </c>
      <c r="G45" s="88">
        <f>F44-G44</f>
        <v>10</v>
      </c>
      <c r="H45" s="88">
        <f>G44-H44</f>
        <v>18</v>
      </c>
    </row>
  </sheetData>
  <mergeCells count="3">
    <mergeCell ref="A1:G3"/>
    <mergeCell ref="A44:C44"/>
    <mergeCell ref="A45:D45"/>
  </mergeCells>
  <pageMargins left="0.7" right="0.7" top="0.75" bottom="0.75" header="0.3" footer="0.3"/>
  <extLst>
    <ext xmlns:x14="http://schemas.microsoft.com/office/spreadsheetml/2009/9/main" uri="{05C60535-1F16-4fd2-B633-F4F36F0B64E0}">
      <x14:sparklineGroups xmlns:xm="http://schemas.microsoft.com/office/excel/2006/main">
        <x14:sparklineGroup manualMax="0" manualMin="0" displayEmptyCellsAs="gap" high="1" low="1" xr2:uid="{711D4D3B-B660-42CC-86BE-5031C08A284C}">
          <x14:colorSeries rgb="FF376092"/>
          <x14:colorNegative rgb="FFD00000"/>
          <x14:colorAxis rgb="FF000000"/>
          <x14:colorMarkers rgb="FFD00000"/>
          <x14:colorFirst rgb="FFD00000"/>
          <x14:colorLast rgb="FFD00000"/>
          <x14:colorHigh rgb="FFD00000"/>
          <x14:colorLow rgb="FFD00000"/>
          <x14:sparklines>
            <x14:sparkline>
              <xm:f>STOK!D44:H44</xm:f>
              <xm:sqref>I44</xm:sqref>
            </x14:sparkline>
          </x14:sparklines>
        </x14:sparklineGroup>
        <x14:sparklineGroup manualMax="0" manualMin="0" displayEmptyCellsAs="gap" markers="1" high="1" low="1" last="1" negative="1" xr2:uid="{412B0E8E-8B1F-4E2A-9BC0-F65063CE50B4}">
          <x14:colorSeries rgb="FF376092"/>
          <x14:colorNegative rgb="FFD00000"/>
          <x14:colorAxis rgb="FF000000"/>
          <x14:colorMarkers rgb="FFD00000"/>
          <x14:colorFirst rgb="FFD00000"/>
          <x14:colorLast rgb="FFD00000"/>
          <x14:colorHigh rgb="FFD00000"/>
          <x14:colorLow rgb="FFD00000"/>
          <x14:sparklines>
            <x14:sparkline>
              <xm:f>STOK!E45:H45</xm:f>
              <xm:sqref>I45</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A4E1B-5DB0-4128-93AE-BACCB02F4665}">
  <dimension ref="A1:J107"/>
  <sheetViews>
    <sheetView topLeftCell="A26" zoomScale="70" zoomScaleNormal="70" workbookViewId="0">
      <selection activeCell="A38" sqref="A38:J57"/>
    </sheetView>
  </sheetViews>
  <sheetFormatPr defaultRowHeight="14" outlineLevelRow="1"/>
  <cols>
    <col min="1" max="1" width="22.58203125" customWidth="1"/>
    <col min="2" max="2" width="18.4140625" customWidth="1"/>
    <col min="3" max="3" width="20.33203125" customWidth="1"/>
    <col min="4" max="4" width="41.6640625" customWidth="1"/>
    <col min="5" max="5" width="15.6640625" customWidth="1"/>
    <col min="6" max="6" width="13.1640625" customWidth="1"/>
    <col min="7" max="7" width="10.6640625" customWidth="1"/>
    <col min="8" max="8" width="13.5" customWidth="1"/>
    <col min="9" max="9" width="23.58203125" customWidth="1"/>
    <col min="10" max="10" width="22.83203125" customWidth="1"/>
    <col min="11" max="11" width="11.33203125" customWidth="1"/>
  </cols>
  <sheetData>
    <row r="1" spans="1:10" ht="14.4" customHeight="1">
      <c r="A1" s="162">
        <v>2018</v>
      </c>
      <c r="B1" s="162"/>
      <c r="C1" s="162"/>
      <c r="D1" s="162"/>
      <c r="E1" s="162"/>
      <c r="F1" s="162"/>
      <c r="G1" s="162"/>
      <c r="H1" s="162"/>
      <c r="I1" s="162"/>
      <c r="J1" s="162"/>
    </row>
    <row r="2" spans="1:10">
      <c r="A2" s="162"/>
      <c r="B2" s="162"/>
      <c r="C2" s="162"/>
      <c r="D2" s="162"/>
      <c r="E2" s="162"/>
      <c r="F2" s="162"/>
      <c r="G2" s="162"/>
      <c r="H2" s="162"/>
      <c r="I2" s="162"/>
      <c r="J2" s="162"/>
    </row>
    <row r="3" spans="1:10">
      <c r="A3" s="162"/>
      <c r="B3" s="162"/>
      <c r="C3" s="162"/>
      <c r="D3" s="162"/>
      <c r="E3" s="162"/>
      <c r="F3" s="162"/>
      <c r="G3" s="162"/>
      <c r="H3" s="162"/>
      <c r="I3" s="162"/>
      <c r="J3" s="162"/>
    </row>
    <row r="4" spans="1:10">
      <c r="A4" s="158" t="s">
        <v>110</v>
      </c>
      <c r="B4" s="159"/>
      <c r="C4" s="159"/>
      <c r="D4" s="159"/>
      <c r="E4" s="159"/>
      <c r="F4" s="159"/>
      <c r="G4" s="159"/>
      <c r="H4" s="159"/>
      <c r="I4" s="159"/>
      <c r="J4" s="159"/>
    </row>
    <row r="5" spans="1:10">
      <c r="A5" s="160"/>
      <c r="B5" s="161"/>
      <c r="C5" s="161"/>
      <c r="D5" s="161"/>
      <c r="E5" s="161"/>
      <c r="F5" s="161"/>
      <c r="G5" s="161"/>
      <c r="H5" s="161"/>
      <c r="I5" s="161"/>
      <c r="J5" s="161"/>
    </row>
    <row r="6" spans="1:10">
      <c r="A6" s="52" t="s">
        <v>50</v>
      </c>
      <c r="B6" s="27" t="s">
        <v>151</v>
      </c>
      <c r="C6" s="27" t="s">
        <v>150</v>
      </c>
      <c r="D6" s="27" t="s">
        <v>149</v>
      </c>
      <c r="E6" s="27" t="s">
        <v>148</v>
      </c>
      <c r="F6" s="27" t="s">
        <v>153</v>
      </c>
      <c r="G6" s="27" t="s">
        <v>154</v>
      </c>
      <c r="H6" s="27" t="s">
        <v>155</v>
      </c>
      <c r="I6" s="27" t="s">
        <v>18</v>
      </c>
      <c r="J6" s="28" t="s">
        <v>156</v>
      </c>
    </row>
    <row r="7" spans="1:10" outlineLevel="1">
      <c r="A7" s="30" t="s">
        <v>51</v>
      </c>
      <c r="B7" s="3" t="s">
        <v>115</v>
      </c>
      <c r="C7" s="19">
        <f>DATE(2018,1,30)</f>
        <v>43130</v>
      </c>
      <c r="D7" s="10" t="s">
        <v>4</v>
      </c>
      <c r="E7" s="3" t="str">
        <f>VLOOKUP(transaksi_2018[[#This Row],[ID PRODUCT]],Detail_Produk[],5,0)</f>
        <v>Brio</v>
      </c>
      <c r="F7" s="17">
        <v>1</v>
      </c>
      <c r="G7" s="17">
        <f>VLOOKUP(transaksi_2018[[#This Row],[ID PRODUCT]],Detail_Produk[],4,0)</f>
        <v>15</v>
      </c>
      <c r="H7" s="17">
        <f t="shared" ref="H7:H25" si="0">G7-F7</f>
        <v>14</v>
      </c>
      <c r="I7" s="8">
        <f>VLOOKUP(TRANSACTION!D7,'DETAIL PRODUCT'!B3:G41,2,FALSE)</f>
        <v>140000000</v>
      </c>
      <c r="J7" s="54">
        <f t="shared" ref="J7:J25" si="1">F7*I7</f>
        <v>140000000</v>
      </c>
    </row>
    <row r="8" spans="1:10" outlineLevel="1">
      <c r="A8" t="s">
        <v>52</v>
      </c>
      <c r="B8" s="3" t="s">
        <v>116</v>
      </c>
      <c r="C8" s="19">
        <f>DATE(2018,1,12)</f>
        <v>43112</v>
      </c>
      <c r="D8" s="3" t="s">
        <v>5</v>
      </c>
      <c r="E8" s="3" t="str">
        <f>VLOOKUP(transaksi_2018[[#This Row],[ID PRODUCT]],Detail_Produk[],5,0)</f>
        <v>Brio</v>
      </c>
      <c r="F8" s="17">
        <v>1</v>
      </c>
      <c r="G8" s="17">
        <f>VLOOKUP(transaksi_2018[[#This Row],[ID PRODUCT]],Detail_Produk[],4,0)</f>
        <v>15</v>
      </c>
      <c r="H8" s="17">
        <f t="shared" si="0"/>
        <v>14</v>
      </c>
      <c r="I8" s="8">
        <f>VLOOKUP(TRANSACTION!D8,'DETAIL PRODUCT'!B4:G42,2,FALSE)</f>
        <v>148500000</v>
      </c>
      <c r="J8" s="54">
        <f t="shared" si="1"/>
        <v>148500000</v>
      </c>
    </row>
    <row r="9" spans="1:10" outlineLevel="1">
      <c r="A9" t="s">
        <v>53</v>
      </c>
      <c r="B9" s="3" t="s">
        <v>117</v>
      </c>
      <c r="C9" s="19">
        <v>43840</v>
      </c>
      <c r="D9" s="3" t="s">
        <v>6</v>
      </c>
      <c r="E9" s="3" t="str">
        <f>VLOOKUP(transaksi_2018[[#This Row],[ID PRODUCT]],Detail_Produk[],5,0)</f>
        <v>Brio</v>
      </c>
      <c r="F9" s="17">
        <v>1</v>
      </c>
      <c r="G9" s="17">
        <f>VLOOKUP(transaksi_2018[[#This Row],[ID PRODUCT]],Detail_Produk[],4,0)</f>
        <v>15</v>
      </c>
      <c r="H9" s="17">
        <f t="shared" si="0"/>
        <v>14</v>
      </c>
      <c r="I9" s="8">
        <f>VLOOKUP(TRANSACTION!D9,'DETAIL PRODUCT'!B5:G43,2,FALSE)</f>
        <v>163500000</v>
      </c>
      <c r="J9" s="54">
        <f t="shared" si="1"/>
        <v>163500000</v>
      </c>
    </row>
    <row r="10" spans="1:10" outlineLevel="1">
      <c r="A10" t="s">
        <v>56</v>
      </c>
      <c r="B10" s="3" t="s">
        <v>118</v>
      </c>
      <c r="C10" s="19">
        <v>43876</v>
      </c>
      <c r="D10" s="3" t="s">
        <v>10</v>
      </c>
      <c r="E10" s="3" t="str">
        <f>VLOOKUP(transaksi_2018[[#This Row],[ID PRODUCT]],Detail_Produk[],5,0)</f>
        <v>Mobilio</v>
      </c>
      <c r="F10" s="17">
        <v>1</v>
      </c>
      <c r="G10" s="17">
        <f>VLOOKUP(transaksi_2018[[#This Row],[ID PRODUCT]],Detail_Produk[],4,0)</f>
        <v>10</v>
      </c>
      <c r="H10" s="17">
        <f t="shared" si="0"/>
        <v>9</v>
      </c>
      <c r="I10" s="8">
        <f>VLOOKUP(TRANSACTION!D10,'DETAIL PRODUCT'!B6:G44,2,FALSE)</f>
        <v>195500000</v>
      </c>
      <c r="J10" s="54">
        <f t="shared" si="1"/>
        <v>195500000</v>
      </c>
    </row>
    <row r="11" spans="1:10" outlineLevel="1">
      <c r="A11" t="s">
        <v>57</v>
      </c>
      <c r="B11" s="3" t="s">
        <v>119</v>
      </c>
      <c r="C11" s="19">
        <v>43132</v>
      </c>
      <c r="D11" s="3" t="s">
        <v>11</v>
      </c>
      <c r="E11" s="3" t="str">
        <f>VLOOKUP(transaksi_2018[[#This Row],[ID PRODUCT]],Detail_Produk[],5,0)</f>
        <v>Mobilio</v>
      </c>
      <c r="F11" s="17">
        <v>1</v>
      </c>
      <c r="G11" s="17">
        <f>VLOOKUP(transaksi_2018[[#This Row],[ID PRODUCT]],Detail_Produk[],4,0)</f>
        <v>10</v>
      </c>
      <c r="H11" s="17">
        <f t="shared" si="0"/>
        <v>9</v>
      </c>
      <c r="I11" s="8">
        <f>VLOOKUP(TRANSACTION!D11,'DETAIL PRODUCT'!B7:G45,2,FALSE)</f>
        <v>216000000</v>
      </c>
      <c r="J11" s="54">
        <f t="shared" si="1"/>
        <v>216000000</v>
      </c>
    </row>
    <row r="12" spans="1:10" outlineLevel="1">
      <c r="A12" t="s">
        <v>64</v>
      </c>
      <c r="B12" s="3" t="s">
        <v>120</v>
      </c>
      <c r="C12" s="19">
        <f>DATE(2018,3,5)</f>
        <v>43164</v>
      </c>
      <c r="D12" s="3" t="s">
        <v>20</v>
      </c>
      <c r="E12" s="3" t="str">
        <f>VLOOKUP(transaksi_2018[[#This Row],[ID PRODUCT]],Detail_Produk[],5,0)</f>
        <v>BRV</v>
      </c>
      <c r="F12" s="17">
        <v>1</v>
      </c>
      <c r="G12" s="17">
        <f>VLOOKUP(transaksi_2018[[#This Row],[ID PRODUCT]],Detail_Produk[],4,0)</f>
        <v>5</v>
      </c>
      <c r="H12" s="17">
        <f t="shared" si="0"/>
        <v>4</v>
      </c>
      <c r="I12" s="8">
        <f>VLOOKUP(TRANSACTION!D12,'DETAIL PRODUCT'!B8:G46,2,FALSE)</f>
        <v>239500000</v>
      </c>
      <c r="J12" s="54">
        <f t="shared" si="1"/>
        <v>239500000</v>
      </c>
    </row>
    <row r="13" spans="1:10" outlineLevel="1">
      <c r="A13" t="s">
        <v>65</v>
      </c>
      <c r="B13" s="3" t="s">
        <v>121</v>
      </c>
      <c r="C13" s="19">
        <v>43192</v>
      </c>
      <c r="D13" s="3" t="s">
        <v>21</v>
      </c>
      <c r="E13" s="3" t="str">
        <f>VLOOKUP(transaksi_2018[[#This Row],[ID PRODUCT]],Detail_Produk[],5,0)</f>
        <v>BRV</v>
      </c>
      <c r="F13" s="17">
        <v>1</v>
      </c>
      <c r="G13" s="17">
        <f>VLOOKUP(transaksi_2018[[#This Row],[ID PRODUCT]],Detail_Produk[],4,0)</f>
        <v>5</v>
      </c>
      <c r="H13" s="17">
        <f t="shared" si="0"/>
        <v>4</v>
      </c>
      <c r="I13" s="8">
        <f>VLOOKUP(TRANSACTION!D13,'DETAIL PRODUCT'!B9:G47,2,FALSE)</f>
        <v>250500000</v>
      </c>
      <c r="J13" s="54">
        <f t="shared" si="1"/>
        <v>250500000</v>
      </c>
    </row>
    <row r="14" spans="1:10" outlineLevel="1">
      <c r="A14" t="s">
        <v>66</v>
      </c>
      <c r="B14" s="3" t="s">
        <v>122</v>
      </c>
      <c r="C14" s="56">
        <v>43200</v>
      </c>
      <c r="D14" s="3" t="s">
        <v>22</v>
      </c>
      <c r="E14" s="3" t="str">
        <f>VLOOKUP(transaksi_2018[[#This Row],[ID PRODUCT]],Detail_Produk[],5,0)</f>
        <v>BRV</v>
      </c>
      <c r="F14" s="17">
        <v>1</v>
      </c>
      <c r="G14" s="17">
        <f>VLOOKUP(transaksi_2018[[#This Row],[ID PRODUCT]],Detail_Produk[],4,0)</f>
        <v>5</v>
      </c>
      <c r="H14" s="17">
        <f t="shared" si="0"/>
        <v>4</v>
      </c>
      <c r="I14" s="8">
        <f>VLOOKUP(TRANSACTION!D14,'DETAIL PRODUCT'!B10:G48,2,FALSE)</f>
        <v>260500000</v>
      </c>
      <c r="J14" s="54">
        <f t="shared" si="1"/>
        <v>260500000</v>
      </c>
    </row>
    <row r="15" spans="1:10" outlineLevel="1">
      <c r="A15" t="s">
        <v>78</v>
      </c>
      <c r="B15" s="3" t="s">
        <v>127</v>
      </c>
      <c r="C15" s="19">
        <v>43231</v>
      </c>
      <c r="D15" s="3" t="s">
        <v>36</v>
      </c>
      <c r="E15" s="3" t="str">
        <f>VLOOKUP(transaksi_2018[[#This Row],[ID PRODUCT]],Detail_Produk[],5,0)</f>
        <v>HRV</v>
      </c>
      <c r="F15" s="17">
        <v>1</v>
      </c>
      <c r="G15" s="17">
        <f>VLOOKUP(transaksi_2018[[#This Row],[ID PRODUCT]],Detail_Produk[],4,0)</f>
        <v>4</v>
      </c>
      <c r="H15" s="17">
        <f t="shared" si="0"/>
        <v>3</v>
      </c>
      <c r="I15" s="8">
        <f>VLOOKUP(TRANSACTION!D15,'DETAIL PRODUCT'!B11:G49,2,FALSE)</f>
        <v>401500000</v>
      </c>
      <c r="J15" s="54">
        <f t="shared" si="1"/>
        <v>401500000</v>
      </c>
    </row>
    <row r="16" spans="1:10" outlineLevel="1">
      <c r="A16" t="s">
        <v>79</v>
      </c>
      <c r="B16" s="3" t="s">
        <v>128</v>
      </c>
      <c r="C16" s="19">
        <v>43229</v>
      </c>
      <c r="D16" s="3" t="s">
        <v>37</v>
      </c>
      <c r="E16" s="3" t="str">
        <f>VLOOKUP(transaksi_2018[[#This Row],[ID PRODUCT]],Detail_Produk[],5,0)</f>
        <v>HRV</v>
      </c>
      <c r="F16" s="17">
        <v>1</v>
      </c>
      <c r="G16" s="17">
        <f>VLOOKUP(transaksi_2018[[#This Row],[ID PRODUCT]],Detail_Produk[],4,0)</f>
        <v>4</v>
      </c>
      <c r="H16" s="17">
        <f t="shared" si="0"/>
        <v>3</v>
      </c>
      <c r="I16" s="8">
        <f>VLOOKUP(TRANSACTION!D16,'DETAIL PRODUCT'!B12:G50,2,FALSE)</f>
        <v>403000000</v>
      </c>
      <c r="J16" s="54">
        <f t="shared" si="1"/>
        <v>403000000</v>
      </c>
    </row>
    <row r="17" spans="1:10" outlineLevel="1">
      <c r="A17" t="s">
        <v>68</v>
      </c>
      <c r="B17" s="3" t="s">
        <v>123</v>
      </c>
      <c r="C17" s="19">
        <v>43261</v>
      </c>
      <c r="D17" s="3" t="s">
        <v>25</v>
      </c>
      <c r="E17" s="3" t="str">
        <f>VLOOKUP(transaksi_2018[[#This Row],[ID PRODUCT]],Detail_Produk[],5,0)</f>
        <v>Jazz</v>
      </c>
      <c r="F17" s="17">
        <v>1</v>
      </c>
      <c r="G17" s="17">
        <f>VLOOKUP(transaksi_2018[[#This Row],[ID PRODUCT]],Detail_Produk[],4,0)</f>
        <v>8</v>
      </c>
      <c r="H17" s="17">
        <f t="shared" si="0"/>
        <v>7</v>
      </c>
      <c r="I17" s="8">
        <f>VLOOKUP(TRANSACTION!D17,'DETAIL PRODUCT'!B13:G51,2,FALSE)</f>
        <v>240500000</v>
      </c>
      <c r="J17" s="54">
        <f t="shared" si="1"/>
        <v>240500000</v>
      </c>
    </row>
    <row r="18" spans="1:10" outlineLevel="1">
      <c r="A18" t="s">
        <v>80</v>
      </c>
      <c r="B18" s="3" t="s">
        <v>129</v>
      </c>
      <c r="C18" s="19">
        <v>43293</v>
      </c>
      <c r="D18" s="3" t="s">
        <v>47</v>
      </c>
      <c r="E18" s="3" t="str">
        <f>VLOOKUP(transaksi_2018[[#This Row],[ID PRODUCT]],Detail_Produk[],5,0)</f>
        <v>CRV</v>
      </c>
      <c r="F18" s="17">
        <v>1</v>
      </c>
      <c r="G18" s="17">
        <f>VLOOKUP(transaksi_2018[[#This Row],[ID PRODUCT]],Detail_Produk[],4,0)</f>
        <v>10</v>
      </c>
      <c r="H18" s="17">
        <f t="shared" si="0"/>
        <v>9</v>
      </c>
      <c r="I18" s="8">
        <f>VLOOKUP(TRANSACTION!D18,'DETAIL PRODUCT'!B14:G52,2,FALSE)</f>
        <v>446500000</v>
      </c>
      <c r="J18" s="54">
        <f t="shared" si="1"/>
        <v>446500000</v>
      </c>
    </row>
    <row r="19" spans="1:10" outlineLevel="1">
      <c r="A19" t="s">
        <v>73</v>
      </c>
      <c r="B19" s="3" t="s">
        <v>124</v>
      </c>
      <c r="C19" s="19">
        <v>43318</v>
      </c>
      <c r="D19" s="3" t="s">
        <v>30</v>
      </c>
      <c r="E19" s="3" t="str">
        <f>VLOOKUP(transaksi_2018[[#This Row],[ID PRODUCT]],Detail_Produk[],5,0)</f>
        <v>Jazz</v>
      </c>
      <c r="F19" s="17">
        <v>1</v>
      </c>
      <c r="G19" s="17">
        <f>VLOOKUP(transaksi_2018[[#This Row],[ID PRODUCT]],Detail_Produk[],4,0)</f>
        <v>8</v>
      </c>
      <c r="H19" s="17">
        <f t="shared" si="0"/>
        <v>7</v>
      </c>
      <c r="I19" s="8">
        <f>VLOOKUP(TRANSACTION!D19,'DETAIL PRODUCT'!B15:G53,2,FALSE)</f>
        <v>282500000</v>
      </c>
      <c r="J19" s="54">
        <f t="shared" si="1"/>
        <v>282500000</v>
      </c>
    </row>
    <row r="20" spans="1:10" outlineLevel="1">
      <c r="A20" t="s">
        <v>81</v>
      </c>
      <c r="B20" s="3" t="s">
        <v>130</v>
      </c>
      <c r="C20" s="19">
        <v>43318</v>
      </c>
      <c r="D20" s="3" t="s">
        <v>48</v>
      </c>
      <c r="E20" s="3" t="str">
        <f>VLOOKUP(transaksi_2018[[#This Row],[ID PRODUCT]],Detail_Produk[],5,0)</f>
        <v>CRV</v>
      </c>
      <c r="F20" s="17">
        <v>1</v>
      </c>
      <c r="G20" s="17">
        <f>VLOOKUP(transaksi_2018[[#This Row],[ID PRODUCT]],Detail_Produk[],4,0)</f>
        <v>10</v>
      </c>
      <c r="H20" s="17">
        <f t="shared" si="0"/>
        <v>9</v>
      </c>
      <c r="I20" s="8">
        <f>VLOOKUP(TRANSACTION!D20,'DETAIL PRODUCT'!B16:G54,2,FALSE)</f>
        <v>480500000</v>
      </c>
      <c r="J20" s="54">
        <f t="shared" si="1"/>
        <v>480500000</v>
      </c>
    </row>
    <row r="21" spans="1:10" outlineLevel="1">
      <c r="A21" t="s">
        <v>83</v>
      </c>
      <c r="B21" s="3" t="s">
        <v>131</v>
      </c>
      <c r="C21" s="19">
        <v>43363</v>
      </c>
      <c r="D21" s="3" t="s">
        <v>39</v>
      </c>
      <c r="E21" s="3" t="str">
        <f>VLOOKUP(transaksi_2018[[#This Row],[ID PRODUCT]],Detail_Produk[],5,0)</f>
        <v>Hcity</v>
      </c>
      <c r="F21" s="17">
        <v>1</v>
      </c>
      <c r="G21" s="17">
        <f>VLOOKUP(transaksi_2018[[#This Row],[ID PRODUCT]],Detail_Produk[],4,0)</f>
        <v>7</v>
      </c>
      <c r="H21" s="17">
        <f t="shared" si="0"/>
        <v>6</v>
      </c>
      <c r="I21" s="8">
        <f>VLOOKUP(TRANSACTION!D21,'DETAIL PRODUCT'!B17:G55,2,FALSE)</f>
        <v>324500000</v>
      </c>
      <c r="J21" s="54">
        <f t="shared" si="1"/>
        <v>324500000</v>
      </c>
    </row>
    <row r="22" spans="1:10" outlineLevel="1">
      <c r="A22" t="s">
        <v>76</v>
      </c>
      <c r="B22" s="3" t="s">
        <v>125</v>
      </c>
      <c r="C22" s="19">
        <v>43376</v>
      </c>
      <c r="D22" s="3" t="s">
        <v>34</v>
      </c>
      <c r="E22" s="3" t="str">
        <f>VLOOKUP(transaksi_2018[[#This Row],[ID PRODUCT]],Detail_Produk[],5,0)</f>
        <v>HRV</v>
      </c>
      <c r="F22" s="17">
        <v>1</v>
      </c>
      <c r="G22" s="17">
        <f>VLOOKUP(transaksi_2018[[#This Row],[ID PRODUCT]],Detail_Produk[],4,0)</f>
        <v>4</v>
      </c>
      <c r="H22" s="17">
        <f t="shared" si="0"/>
        <v>3</v>
      </c>
      <c r="I22" s="8">
        <f>VLOOKUP(TRANSACTION!D22,'DETAIL PRODUCT'!B18:G56,2,FALSE)</f>
        <v>319000000</v>
      </c>
      <c r="J22" s="54">
        <f t="shared" si="1"/>
        <v>319000000</v>
      </c>
    </row>
    <row r="23" spans="1:10" outlineLevel="1">
      <c r="A23" t="s">
        <v>84</v>
      </c>
      <c r="B23" s="3" t="s">
        <v>132</v>
      </c>
      <c r="C23" s="19">
        <v>43407</v>
      </c>
      <c r="D23" s="3" t="s">
        <v>40</v>
      </c>
      <c r="E23" s="3" t="str">
        <f>VLOOKUP(transaksi_2018[[#This Row],[ID PRODUCT]],Detail_Produk[],5,0)</f>
        <v>Hcity</v>
      </c>
      <c r="F23" s="17">
        <v>1</v>
      </c>
      <c r="G23" s="17">
        <f>VLOOKUP(transaksi_2018[[#This Row],[ID PRODUCT]],Detail_Produk[],4,0)</f>
        <v>7</v>
      </c>
      <c r="H23" s="17">
        <f t="shared" si="0"/>
        <v>6</v>
      </c>
      <c r="I23" s="8">
        <f>VLOOKUP(TRANSACTION!D23,'DETAIL PRODUCT'!B19:G57,2,FALSE)</f>
        <v>334500000</v>
      </c>
      <c r="J23" s="54">
        <f t="shared" si="1"/>
        <v>334500000</v>
      </c>
    </row>
    <row r="24" spans="1:10" outlineLevel="1">
      <c r="A24" t="s">
        <v>85</v>
      </c>
      <c r="B24" s="3" t="s">
        <v>133</v>
      </c>
      <c r="C24" s="19">
        <v>43424</v>
      </c>
      <c r="D24" s="3" t="s">
        <v>42</v>
      </c>
      <c r="E24" s="3" t="str">
        <f>VLOOKUP(transaksi_2018[[#This Row],[ID PRODUCT]],Detail_Produk[],5,0)</f>
        <v>Civic</v>
      </c>
      <c r="F24" s="17">
        <v>1</v>
      </c>
      <c r="G24" s="17">
        <f>VLOOKUP(transaksi_2018[[#This Row],[ID PRODUCT]],Detail_Produk[],4,0)</f>
        <v>10</v>
      </c>
      <c r="H24" s="17">
        <f t="shared" si="0"/>
        <v>9</v>
      </c>
      <c r="I24" s="8">
        <f>VLOOKUP(TRANSACTION!D24,'DETAIL PRODUCT'!B20:G58,2,FALSE)</f>
        <v>416500000</v>
      </c>
      <c r="J24" s="54">
        <f t="shared" si="1"/>
        <v>416500000</v>
      </c>
    </row>
    <row r="25" spans="1:10" outlineLevel="1">
      <c r="A25" t="s">
        <v>77</v>
      </c>
      <c r="B25" s="55" t="s">
        <v>126</v>
      </c>
      <c r="C25" s="19">
        <v>43439</v>
      </c>
      <c r="D25" s="55" t="s">
        <v>35</v>
      </c>
      <c r="E25" s="3" t="str">
        <f>VLOOKUP(transaksi_2018[[#This Row],[ID PRODUCT]],Detail_Produk[],5,0)</f>
        <v>HRV</v>
      </c>
      <c r="F25" s="17">
        <v>1</v>
      </c>
      <c r="G25" s="17">
        <f>VLOOKUP(transaksi_2018[[#This Row],[ID PRODUCT]],Detail_Produk[],4,0)</f>
        <v>4</v>
      </c>
      <c r="H25" s="39">
        <f t="shared" si="0"/>
        <v>3</v>
      </c>
      <c r="I25" s="57">
        <f>VLOOKUP(TRANSACTION!D25,'DETAIL PRODUCT'!B21:G59,2,FALSE)</f>
        <v>336000000</v>
      </c>
      <c r="J25" s="58">
        <f t="shared" si="1"/>
        <v>336000000</v>
      </c>
    </row>
    <row r="26" spans="1:10" outlineLevel="1">
      <c r="A26" s="53"/>
      <c r="B26" s="3"/>
      <c r="C26" s="19"/>
      <c r="D26" s="3" t="s">
        <v>112</v>
      </c>
      <c r="E26" s="3"/>
      <c r="F26" s="17">
        <f>SUM(F7:F25)</f>
        <v>19</v>
      </c>
      <c r="G26" s="17"/>
      <c r="H26" s="17"/>
      <c r="I26" s="8">
        <f>SUM(I7:I25)</f>
        <v>5599000000</v>
      </c>
      <c r="J26" s="54"/>
    </row>
    <row r="27" spans="1:10" outlineLevel="1">
      <c r="A27" s="53"/>
      <c r="B27" s="3"/>
      <c r="C27" s="19"/>
      <c r="D27" s="3"/>
      <c r="E27" s="17"/>
      <c r="F27" s="17"/>
      <c r="G27" s="17"/>
      <c r="H27" s="17"/>
      <c r="I27" s="8"/>
      <c r="J27" s="54"/>
    </row>
    <row r="28" spans="1:10" outlineLevel="1">
      <c r="A28" s="53"/>
      <c r="B28" s="3"/>
      <c r="C28" s="56"/>
      <c r="D28" s="3"/>
      <c r="E28" s="17"/>
      <c r="F28" s="17"/>
      <c r="G28" s="17"/>
      <c r="H28" s="17"/>
      <c r="I28" s="8"/>
      <c r="J28" s="54"/>
    </row>
    <row r="29" spans="1:10" outlineLevel="1">
      <c r="A29" s="29"/>
      <c r="B29" s="55"/>
      <c r="C29" s="56"/>
      <c r="D29" s="55"/>
      <c r="E29" s="55"/>
      <c r="F29" s="39"/>
      <c r="G29" s="39"/>
      <c r="H29" s="39"/>
      <c r="I29" s="57"/>
      <c r="J29" s="58"/>
    </row>
    <row r="32" spans="1:10">
      <c r="A32" s="162">
        <v>2019</v>
      </c>
      <c r="B32" s="162"/>
      <c r="C32" s="162"/>
      <c r="D32" s="162"/>
      <c r="E32" s="162"/>
      <c r="F32" s="162"/>
      <c r="G32" s="162"/>
      <c r="H32" s="162"/>
      <c r="I32" s="162"/>
      <c r="J32" s="162"/>
    </row>
    <row r="33" spans="1:10">
      <c r="A33" s="162"/>
      <c r="B33" s="162"/>
      <c r="C33" s="162"/>
      <c r="D33" s="162"/>
      <c r="E33" s="162"/>
      <c r="F33" s="162"/>
      <c r="G33" s="162"/>
      <c r="H33" s="162"/>
      <c r="I33" s="162"/>
      <c r="J33" s="162"/>
    </row>
    <row r="34" spans="1:10">
      <c r="A34" s="162"/>
      <c r="B34" s="162"/>
      <c r="C34" s="162"/>
      <c r="D34" s="162"/>
      <c r="E34" s="162"/>
      <c r="F34" s="162"/>
      <c r="G34" s="162"/>
      <c r="H34" s="162"/>
      <c r="I34" s="162"/>
      <c r="J34" s="162"/>
    </row>
    <row r="35" spans="1:10">
      <c r="A35" s="158" t="s">
        <v>110</v>
      </c>
      <c r="B35" s="159"/>
      <c r="C35" s="159"/>
      <c r="D35" s="159"/>
      <c r="E35" s="159"/>
      <c r="F35" s="159"/>
      <c r="G35" s="159"/>
      <c r="H35" s="159"/>
      <c r="I35" s="159"/>
      <c r="J35" s="159"/>
    </row>
    <row r="36" spans="1:10">
      <c r="A36" s="160"/>
      <c r="B36" s="161"/>
      <c r="C36" s="161"/>
      <c r="D36" s="161"/>
      <c r="E36" s="161"/>
      <c r="F36" s="161"/>
      <c r="G36" s="161"/>
      <c r="H36" s="161"/>
      <c r="I36" s="161"/>
      <c r="J36" s="161"/>
    </row>
    <row r="37" spans="1:10">
      <c r="A37" s="90" t="s">
        <v>50</v>
      </c>
      <c r="B37" s="92" t="s">
        <v>151</v>
      </c>
      <c r="C37" s="92" t="s">
        <v>150</v>
      </c>
      <c r="D37" s="92" t="s">
        <v>149</v>
      </c>
      <c r="E37" s="92" t="s">
        <v>148</v>
      </c>
      <c r="F37" s="92" t="s">
        <v>153</v>
      </c>
      <c r="G37" s="92" t="s">
        <v>154</v>
      </c>
      <c r="H37" s="92" t="s">
        <v>155</v>
      </c>
      <c r="I37" s="92" t="s">
        <v>18</v>
      </c>
      <c r="J37" s="89" t="s">
        <v>156</v>
      </c>
    </row>
    <row r="38" spans="1:10" outlineLevel="1">
      <c r="A38" s="53" t="str">
        <f>INDEX(Detail_Produk[ID Product],MATCH(D38,Detail_Produk[Type],0))</f>
        <v>HB-0101200204</v>
      </c>
      <c r="B38" s="3" t="s">
        <v>188</v>
      </c>
      <c r="C38" s="19">
        <f>DATE(2019,1,21)</f>
        <v>43486</v>
      </c>
      <c r="D38" s="10" t="s">
        <v>7</v>
      </c>
      <c r="E38" s="3" t="str">
        <f>VLOOKUP(A38,Detail_Produk[],5,0)</f>
        <v>Brio</v>
      </c>
      <c r="F38" s="3">
        <v>1</v>
      </c>
      <c r="G38" s="3">
        <f>VLOOKUP(A38,STOK!A5:E43,4,0)</f>
        <v>15</v>
      </c>
      <c r="H38" s="3">
        <f>G38-F38</f>
        <v>14</v>
      </c>
      <c r="I38" s="6">
        <f>VLOOKUP(A38,Detail_Produk[],3,0)</f>
        <v>176000000</v>
      </c>
      <c r="J38" s="61">
        <f>I38*F38</f>
        <v>176000000</v>
      </c>
    </row>
    <row r="39" spans="1:10" outlineLevel="1">
      <c r="A39" s="53" t="str">
        <f>INDEX(Detail_Produk[ID Product],MATCH(D39,Detail_Produk[Type],0))</f>
        <v>HB-0101200205</v>
      </c>
      <c r="B39" s="3" t="s">
        <v>189</v>
      </c>
      <c r="C39" s="19">
        <f>DATE(2019,2,8)</f>
        <v>43504</v>
      </c>
      <c r="D39" s="59" t="s">
        <v>8</v>
      </c>
      <c r="E39" s="3" t="str">
        <f>VLOOKUP(A39,Detail_Produk[],5,0)</f>
        <v>Brio</v>
      </c>
      <c r="F39" s="3">
        <v>1</v>
      </c>
      <c r="G39" s="114">
        <f>VLOOKUP(A39,STOK!A6:D44,4,0)</f>
        <v>15</v>
      </c>
      <c r="H39" s="3">
        <f t="shared" ref="H39:H54" si="2">G39-F39</f>
        <v>14</v>
      </c>
      <c r="I39" s="6">
        <f>VLOOKUP(A39,Detail_Produk[],3,0)</f>
        <v>191000000</v>
      </c>
      <c r="J39" s="61">
        <f t="shared" ref="J39:J54" si="3">I39*F39</f>
        <v>191000000</v>
      </c>
    </row>
    <row r="40" spans="1:10" outlineLevel="1">
      <c r="A40" s="53" t="str">
        <f>INDEX(Detail_Produk[ID Product],MATCH(D40,Detail_Produk[Type],0))</f>
        <v>HM-0202200201</v>
      </c>
      <c r="B40" s="3" t="s">
        <v>190</v>
      </c>
      <c r="C40" s="19">
        <f>DATE(2019,2,14)</f>
        <v>43510</v>
      </c>
      <c r="D40" s="10" t="s">
        <v>10</v>
      </c>
      <c r="E40" s="3" t="str">
        <f>VLOOKUP(A40,Detail_Produk[],5,0)</f>
        <v>Mobilio</v>
      </c>
      <c r="F40" s="3">
        <v>1</v>
      </c>
      <c r="G40" s="114">
        <f>VLOOKUP(A40,STOK!A7:D45,4,0)</f>
        <v>10</v>
      </c>
      <c r="H40" s="3">
        <f t="shared" si="2"/>
        <v>9</v>
      </c>
      <c r="I40" s="6">
        <f>VLOOKUP(A40,Detail_Produk[],3,0)</f>
        <v>195500000</v>
      </c>
      <c r="J40" s="61">
        <f t="shared" si="3"/>
        <v>195500000</v>
      </c>
    </row>
    <row r="41" spans="1:10" outlineLevel="1">
      <c r="A41" s="53" t="str">
        <f>INDEX(Detail_Produk[ID Product],MATCH(D41,Detail_Produk[Type],0))</f>
        <v>HM-0202200202</v>
      </c>
      <c r="B41" s="3" t="s">
        <v>191</v>
      </c>
      <c r="C41" s="19">
        <f>DATE(2019,3,12)</f>
        <v>43536</v>
      </c>
      <c r="D41" s="59" t="s">
        <v>11</v>
      </c>
      <c r="E41" s="3" t="str">
        <f>VLOOKUP(A41,Detail_Produk[],5,0)</f>
        <v>Mobilio</v>
      </c>
      <c r="F41" s="3">
        <v>1</v>
      </c>
      <c r="G41" s="114">
        <f>VLOOKUP(A41,STOK!A8:D46,4,0)</f>
        <v>10</v>
      </c>
      <c r="H41" s="3">
        <f t="shared" si="2"/>
        <v>9</v>
      </c>
      <c r="I41" s="6">
        <f>VLOOKUP(A41,Detail_Produk[],3,0)</f>
        <v>216000000</v>
      </c>
      <c r="J41" s="61">
        <f t="shared" si="3"/>
        <v>216000000</v>
      </c>
    </row>
    <row r="42" spans="1:10" outlineLevel="1">
      <c r="A42" s="53" t="str">
        <f>INDEX(Detail_Produk[ID Product],MATCH(D42,Detail_Produk[Type],0))</f>
        <v>HBRV-0303200203</v>
      </c>
      <c r="B42" s="3" t="s">
        <v>192</v>
      </c>
      <c r="C42" s="19">
        <f>DATE(2019,3,22)</f>
        <v>43546</v>
      </c>
      <c r="D42" s="10" t="s">
        <v>22</v>
      </c>
      <c r="E42" s="3" t="str">
        <f>VLOOKUP(A42,Detail_Produk[],5,0)</f>
        <v>BRV</v>
      </c>
      <c r="F42" s="3">
        <v>1</v>
      </c>
      <c r="G42" s="114">
        <f>VLOOKUP(A42,STOK!A9:D47,4,0)</f>
        <v>5</v>
      </c>
      <c r="H42" s="3">
        <f t="shared" si="2"/>
        <v>4</v>
      </c>
      <c r="I42" s="6">
        <f>VLOOKUP(A42,Detail_Produk[],3,0)</f>
        <v>260500000</v>
      </c>
      <c r="J42" s="61">
        <f t="shared" si="3"/>
        <v>260500000</v>
      </c>
    </row>
    <row r="43" spans="1:10" outlineLevel="1">
      <c r="A43" s="53" t="str">
        <f>INDEX(Detail_Produk[ID Product],MATCH(D43,Detail_Produk[Type],0))</f>
        <v>HBRV-0303200204</v>
      </c>
      <c r="B43" s="3" t="s">
        <v>193</v>
      </c>
      <c r="C43" s="19">
        <f>DATE(2019,3,29)</f>
        <v>43553</v>
      </c>
      <c r="D43" s="59" t="s">
        <v>23</v>
      </c>
      <c r="E43" s="3" t="str">
        <f>VLOOKUP(A43,Detail_Produk[],5,0)</f>
        <v>BRV</v>
      </c>
      <c r="F43" s="3">
        <v>1</v>
      </c>
      <c r="G43" s="114">
        <f>VLOOKUP(A43,STOK!A10:D48,4,0)</f>
        <v>5</v>
      </c>
      <c r="H43" s="3">
        <f t="shared" si="2"/>
        <v>4</v>
      </c>
      <c r="I43" s="6">
        <f>VLOOKUP(A43,Detail_Produk[],3,0)</f>
        <v>275500000</v>
      </c>
      <c r="J43" s="61">
        <f t="shared" si="3"/>
        <v>275500000</v>
      </c>
    </row>
    <row r="44" spans="1:10" outlineLevel="1">
      <c r="A44" s="53" t="str">
        <f>INDEX(Detail_Produk[ID Product],MATCH(D44,Detail_Produk[Type],0))</f>
        <v>HJ-0404202201</v>
      </c>
      <c r="B44" s="3" t="s">
        <v>194</v>
      </c>
      <c r="C44" s="19">
        <f>DATE(2019,5,9)</f>
        <v>43594</v>
      </c>
      <c r="D44" s="10" t="s">
        <v>25</v>
      </c>
      <c r="E44" s="3" t="str">
        <f>VLOOKUP(A44,Detail_Produk[],5,0)</f>
        <v>Jazz</v>
      </c>
      <c r="F44" s="3">
        <v>1</v>
      </c>
      <c r="G44" s="114">
        <f>VLOOKUP(A44,STOK!A11:D49,4,0)</f>
        <v>8</v>
      </c>
      <c r="H44" s="3">
        <f t="shared" si="2"/>
        <v>7</v>
      </c>
      <c r="I44" s="6">
        <f>VLOOKUP(A44,Detail_Produk[],3,0)</f>
        <v>240500000</v>
      </c>
      <c r="J44" s="61">
        <f t="shared" si="3"/>
        <v>240500000</v>
      </c>
    </row>
    <row r="45" spans="1:10" outlineLevel="1">
      <c r="A45" s="53" t="str">
        <f>INDEX(Detail_Produk[ID Product],MATCH(D45,Detail_Produk[Type],0))</f>
        <v>HJ-0404202202</v>
      </c>
      <c r="B45" s="3" t="s">
        <v>195</v>
      </c>
      <c r="C45" s="19">
        <f>DATE(2019,5,30)</f>
        <v>43615</v>
      </c>
      <c r="D45" s="59" t="s">
        <v>26</v>
      </c>
      <c r="E45" s="3" t="str">
        <f>VLOOKUP(A45,Detail_Produk[],5,0)</f>
        <v>Jazz</v>
      </c>
      <c r="F45" s="3">
        <v>1</v>
      </c>
      <c r="G45" s="114">
        <f>VLOOKUP(A45,STOK!A12:D50,4,0)</f>
        <v>8</v>
      </c>
      <c r="H45" s="3">
        <f t="shared" si="2"/>
        <v>7</v>
      </c>
      <c r="I45" s="6">
        <f>VLOOKUP(A45,Detail_Produk[],3,0)</f>
        <v>271000000</v>
      </c>
      <c r="J45" s="61">
        <f t="shared" si="3"/>
        <v>271000000</v>
      </c>
    </row>
    <row r="46" spans="1:10" outlineLevel="1">
      <c r="A46" s="53" t="str">
        <f>INDEX(Detail_Produk[ID Product],MATCH(D46,Detail_Produk[Type],0))</f>
        <v>HRV-209819805</v>
      </c>
      <c r="B46" s="3" t="s">
        <v>196</v>
      </c>
      <c r="C46" s="19">
        <f>DATE(2019,6,17)</f>
        <v>43633</v>
      </c>
      <c r="D46" s="10" t="s">
        <v>36</v>
      </c>
      <c r="E46" s="3" t="str">
        <f>VLOOKUP(A46,Detail_Produk[],5,0)</f>
        <v>HRV</v>
      </c>
      <c r="F46" s="3">
        <v>1</v>
      </c>
      <c r="G46" s="114">
        <f>VLOOKUP(A46,STOK!A13:D51,4,0)</f>
        <v>4</v>
      </c>
      <c r="H46" s="3">
        <f>G46-F46</f>
        <v>3</v>
      </c>
      <c r="I46" s="6">
        <f>VLOOKUP(A46,Detail_Produk[],3,0)</f>
        <v>401500000</v>
      </c>
      <c r="J46" s="61">
        <f t="shared" si="3"/>
        <v>401500000</v>
      </c>
    </row>
    <row r="47" spans="1:10" outlineLevel="1">
      <c r="A47" s="53" t="str">
        <f>INDEX(Detail_Produk[ID Product],MATCH(D47,Detail_Produk[Type],0))</f>
        <v>HRV-209819806</v>
      </c>
      <c r="B47" s="3" t="s">
        <v>197</v>
      </c>
      <c r="C47" s="19">
        <f>DATE(2019,7,23)</f>
        <v>43669</v>
      </c>
      <c r="D47" s="59" t="s">
        <v>37</v>
      </c>
      <c r="E47" s="3" t="str">
        <f>VLOOKUP(A47,Detail_Produk[],5,0)</f>
        <v>HRV</v>
      </c>
      <c r="F47" s="3">
        <v>1</v>
      </c>
      <c r="G47" s="114">
        <f>VLOOKUP(A47,STOK!A14:D52,4,0)</f>
        <v>4</v>
      </c>
      <c r="H47" s="3">
        <f t="shared" si="2"/>
        <v>3</v>
      </c>
      <c r="I47" s="6">
        <f>VLOOKUP(A47,Detail_Produk[],3,0)</f>
        <v>403000000</v>
      </c>
      <c r="J47" s="61">
        <f t="shared" si="3"/>
        <v>403000000</v>
      </c>
    </row>
    <row r="48" spans="1:10" outlineLevel="1">
      <c r="A48" s="53" t="str">
        <f>INDEX(Detail_Produk[ID Product],MATCH(D48,Detail_Produk[Type],0))</f>
        <v>HCRV-98765001</v>
      </c>
      <c r="B48" s="3" t="s">
        <v>198</v>
      </c>
      <c r="C48" s="19">
        <f>DATE(2019,8,17)</f>
        <v>43694</v>
      </c>
      <c r="D48" s="10" t="s">
        <v>47</v>
      </c>
      <c r="E48" s="3" t="str">
        <f>VLOOKUP(A48,Detail_Produk[],5,0)</f>
        <v>CRV</v>
      </c>
      <c r="F48" s="3">
        <v>1</v>
      </c>
      <c r="G48" s="114">
        <f>VLOOKUP(A48,STOK!A15:D53,4,0)</f>
        <v>10</v>
      </c>
      <c r="H48" s="3">
        <f t="shared" si="2"/>
        <v>9</v>
      </c>
      <c r="I48" s="6">
        <f>VLOOKUP(A48,Detail_Produk[],3,0)</f>
        <v>446500000</v>
      </c>
      <c r="J48" s="61">
        <f t="shared" si="3"/>
        <v>446500000</v>
      </c>
    </row>
    <row r="49" spans="1:10" outlineLevel="1">
      <c r="A49" s="53" t="str">
        <f>INDEX(Detail_Produk[ID Product],MATCH(D49,Detail_Produk[Type],0))</f>
        <v>HCRV-98765002</v>
      </c>
      <c r="B49" s="3" t="s">
        <v>199</v>
      </c>
      <c r="C49" s="19">
        <f>DATE(2019,8,24)</f>
        <v>43701</v>
      </c>
      <c r="D49" s="59" t="s">
        <v>48</v>
      </c>
      <c r="E49" s="3" t="str">
        <f>VLOOKUP(A49,Detail_Produk[],5,0)</f>
        <v>CRV</v>
      </c>
      <c r="F49" s="3">
        <v>1</v>
      </c>
      <c r="G49" s="114">
        <f>VLOOKUP(A49,STOK!A16:D54,4,0)</f>
        <v>10</v>
      </c>
      <c r="H49" s="3">
        <f t="shared" si="2"/>
        <v>9</v>
      </c>
      <c r="I49" s="6">
        <f>VLOOKUP(A49,Detail_Produk[],3,0)</f>
        <v>480500000</v>
      </c>
      <c r="J49" s="61">
        <f t="shared" si="3"/>
        <v>480500000</v>
      </c>
    </row>
    <row r="50" spans="1:10" outlineLevel="1">
      <c r="A50" s="53" t="str">
        <f>INDEX(Detail_Produk[ID Product],MATCH(D50,Detail_Produk[Type],0))</f>
        <v>HCT-081320001</v>
      </c>
      <c r="B50" s="3" t="s">
        <v>200</v>
      </c>
      <c r="C50" s="19">
        <f>DATE(2019,8,29)</f>
        <v>43706</v>
      </c>
      <c r="D50" s="83" t="s">
        <v>39</v>
      </c>
      <c r="E50" s="3" t="str">
        <f>VLOOKUP(A50,Detail_Produk[],5,0)</f>
        <v>Hcity</v>
      </c>
      <c r="F50" s="3">
        <v>1</v>
      </c>
      <c r="G50" s="114">
        <f>VLOOKUP(A50,STOK!A17:D55,4,0)</f>
        <v>7</v>
      </c>
      <c r="H50" s="3">
        <f t="shared" si="2"/>
        <v>6</v>
      </c>
      <c r="I50" s="6">
        <f>VLOOKUP(A50,Detail_Produk[],3,0)</f>
        <v>324500000</v>
      </c>
      <c r="J50" s="61">
        <f t="shared" si="3"/>
        <v>324500000</v>
      </c>
    </row>
    <row r="51" spans="1:10" outlineLevel="1">
      <c r="A51" s="53" t="str">
        <f>INDEX(Detail_Produk[ID Product],MATCH(D51,Detail_Produk[Type],0))</f>
        <v>HCT-081320002</v>
      </c>
      <c r="B51" s="3" t="s">
        <v>201</v>
      </c>
      <c r="C51" s="19">
        <f>DATE(2019,11,11)</f>
        <v>43780</v>
      </c>
      <c r="D51" s="10" t="s">
        <v>40</v>
      </c>
      <c r="E51" s="3" t="str">
        <f>VLOOKUP(A51,Detail_Produk[],5,0)</f>
        <v>Hcity</v>
      </c>
      <c r="F51" s="3">
        <v>1</v>
      </c>
      <c r="G51" s="114">
        <f>VLOOKUP(A51,STOK!A18:D56,4,0)</f>
        <v>7</v>
      </c>
      <c r="H51" s="3">
        <f t="shared" si="2"/>
        <v>6</v>
      </c>
      <c r="I51" s="6">
        <f>VLOOKUP(A51,Detail_Produk[],3,0)</f>
        <v>334500000</v>
      </c>
      <c r="J51" s="61">
        <f t="shared" si="3"/>
        <v>334500000</v>
      </c>
    </row>
    <row r="52" spans="1:10" outlineLevel="1">
      <c r="A52" s="53" t="str">
        <f>INDEX(Detail_Produk[ID Product],MATCH(D52,Detail_Produk[Type],0))</f>
        <v>HCV-3004200301</v>
      </c>
      <c r="B52" s="3" t="s">
        <v>202</v>
      </c>
      <c r="C52" s="19">
        <f>DATE(2019,12,16)</f>
        <v>43815</v>
      </c>
      <c r="D52" s="83" t="s">
        <v>42</v>
      </c>
      <c r="E52" s="3" t="str">
        <f>VLOOKUP(A52,Detail_Produk[],5,0)</f>
        <v>Civic</v>
      </c>
      <c r="F52" s="3">
        <v>1</v>
      </c>
      <c r="G52" s="114">
        <f>VLOOKUP(A52,STOK!A19:D57,4,0)</f>
        <v>10</v>
      </c>
      <c r="H52" s="3">
        <f t="shared" si="2"/>
        <v>9</v>
      </c>
      <c r="I52" s="6">
        <f>VLOOKUP(A52,Detail_Produk[],3,0)</f>
        <v>416500000</v>
      </c>
      <c r="J52" s="61">
        <f t="shared" si="3"/>
        <v>416500000</v>
      </c>
    </row>
    <row r="53" spans="1:10" outlineLevel="1">
      <c r="A53" s="53" t="str">
        <f>INDEX(Detail_Produk[ID Product],MATCH(D53,Detail_Produk[Type],0))</f>
        <v>HCV-3004200302</v>
      </c>
      <c r="B53" s="3" t="s">
        <v>203</v>
      </c>
      <c r="C53" s="19">
        <f>DATE(2019,12,23)</f>
        <v>43822</v>
      </c>
      <c r="D53" s="10" t="s">
        <v>43</v>
      </c>
      <c r="E53" s="3" t="str">
        <f>VLOOKUP(A53,Detail_Produk[],5,0)</f>
        <v>Civic</v>
      </c>
      <c r="F53" s="3">
        <v>1</v>
      </c>
      <c r="G53" s="114">
        <f>VLOOKUP(A53,STOK!A20:D58,4,0)</f>
        <v>10</v>
      </c>
      <c r="H53" s="3">
        <f t="shared" si="2"/>
        <v>9</v>
      </c>
      <c r="I53" s="6">
        <f>VLOOKUP(A53,Detail_Produk[],3,0)</f>
        <v>455500000</v>
      </c>
      <c r="J53" s="61">
        <f t="shared" si="3"/>
        <v>455500000</v>
      </c>
    </row>
    <row r="54" spans="1:10" outlineLevel="1">
      <c r="A54" s="29" t="str">
        <f>INDEX(Detail_Produk[ID Product],MATCH(D54,Detail_Produk[Type],0))</f>
        <v>HCV-3004200303</v>
      </c>
      <c r="B54" s="55" t="s">
        <v>204</v>
      </c>
      <c r="C54" s="56">
        <f>DATE(2019,12,30)</f>
        <v>43829</v>
      </c>
      <c r="D54" s="94" t="s">
        <v>44</v>
      </c>
      <c r="E54" s="55" t="str">
        <f>VLOOKUP(A54,Detail_Produk[],5,0)</f>
        <v>Civic</v>
      </c>
      <c r="F54" s="55">
        <v>1</v>
      </c>
      <c r="G54" s="115">
        <f>VLOOKUP(A54,STOK!A21:D59,4,0)</f>
        <v>10</v>
      </c>
      <c r="H54" s="55">
        <f t="shared" si="2"/>
        <v>9</v>
      </c>
      <c r="I54" s="64">
        <f>VLOOKUP(A54,Detail_Produk[],3,0)</f>
        <v>497500000</v>
      </c>
      <c r="J54" s="65">
        <f t="shared" si="3"/>
        <v>497500000</v>
      </c>
    </row>
    <row r="55" spans="1:10" outlineLevel="1">
      <c r="A55" s="29"/>
      <c r="B55" s="55"/>
      <c r="C55" s="56"/>
      <c r="D55" s="94" t="s">
        <v>112</v>
      </c>
      <c r="E55" s="55"/>
      <c r="F55" s="55">
        <f>SUM(F38:F54)</f>
        <v>17</v>
      </c>
      <c r="G55" s="55"/>
      <c r="H55" s="55"/>
      <c r="I55" s="64"/>
      <c r="J55" s="65"/>
    </row>
    <row r="56" spans="1:10" outlineLevel="1">
      <c r="A56" s="29"/>
      <c r="B56" s="55"/>
      <c r="C56" s="56"/>
      <c r="D56" s="94"/>
      <c r="E56" s="55"/>
      <c r="F56" s="55"/>
      <c r="G56" s="55"/>
      <c r="H56" s="55"/>
      <c r="I56" s="64"/>
      <c r="J56" s="65"/>
    </row>
    <row r="57" spans="1:10" outlineLevel="1">
      <c r="A57" s="29"/>
      <c r="B57" s="55"/>
      <c r="C57" s="56"/>
      <c r="D57" s="94"/>
      <c r="E57" s="55"/>
      <c r="F57" s="55"/>
      <c r="G57" s="55"/>
      <c r="H57" s="55"/>
      <c r="I57" s="64"/>
      <c r="J57" s="65"/>
    </row>
    <row r="61" spans="1:10">
      <c r="A61" s="162">
        <v>2020</v>
      </c>
      <c r="B61" s="162"/>
      <c r="C61" s="162"/>
      <c r="D61" s="162"/>
      <c r="E61" s="162"/>
      <c r="F61" s="162"/>
      <c r="G61" s="162"/>
      <c r="H61" s="162"/>
      <c r="I61" s="162"/>
      <c r="J61" s="162"/>
    </row>
    <row r="62" spans="1:10">
      <c r="A62" s="162"/>
      <c r="B62" s="162"/>
      <c r="C62" s="162"/>
      <c r="D62" s="162"/>
      <c r="E62" s="162"/>
      <c r="F62" s="162"/>
      <c r="G62" s="162"/>
      <c r="H62" s="162"/>
      <c r="I62" s="162"/>
      <c r="J62" s="162"/>
    </row>
    <row r="63" spans="1:10">
      <c r="A63" s="162"/>
      <c r="B63" s="162"/>
      <c r="C63" s="162"/>
      <c r="D63" s="162"/>
      <c r="E63" s="162"/>
      <c r="F63" s="162"/>
      <c r="G63" s="162"/>
      <c r="H63" s="162"/>
      <c r="I63" s="162"/>
      <c r="J63" s="162"/>
    </row>
    <row r="64" spans="1:10">
      <c r="A64" s="158" t="s">
        <v>110</v>
      </c>
      <c r="B64" s="159"/>
      <c r="C64" s="159"/>
      <c r="D64" s="159"/>
      <c r="E64" s="159"/>
      <c r="F64" s="159"/>
      <c r="G64" s="159"/>
      <c r="H64" s="159"/>
      <c r="I64" s="159"/>
      <c r="J64" s="159"/>
    </row>
    <row r="65" spans="1:10">
      <c r="A65" s="160"/>
      <c r="B65" s="161"/>
      <c r="C65" s="161"/>
      <c r="D65" s="161"/>
      <c r="E65" s="161"/>
      <c r="F65" s="161"/>
      <c r="G65" s="161"/>
      <c r="H65" s="161"/>
      <c r="I65" s="161"/>
      <c r="J65" s="161"/>
    </row>
    <row r="66" spans="1:10">
      <c r="A66" s="90" t="s">
        <v>50</v>
      </c>
      <c r="B66" s="92" t="s">
        <v>151</v>
      </c>
      <c r="C66" s="92" t="s">
        <v>150</v>
      </c>
      <c r="D66" s="92" t="s">
        <v>149</v>
      </c>
      <c r="E66" s="92" t="s">
        <v>148</v>
      </c>
      <c r="F66" s="92" t="s">
        <v>153</v>
      </c>
      <c r="G66" s="92" t="s">
        <v>154</v>
      </c>
      <c r="H66" s="92" t="s">
        <v>155</v>
      </c>
      <c r="I66" s="92" t="s">
        <v>18</v>
      </c>
      <c r="J66" s="89" t="s">
        <v>156</v>
      </c>
    </row>
    <row r="67" spans="1:10" outlineLevel="1">
      <c r="A67" s="112" t="s">
        <v>52</v>
      </c>
      <c r="B67" s="3" t="s">
        <v>210</v>
      </c>
      <c r="C67" s="19">
        <v>43875</v>
      </c>
      <c r="D67" s="3" t="str">
        <f>VLOOKUP(A67,Detail_Produk[],2,0)</f>
        <v>HONDA All New Brio Satya E MT</v>
      </c>
      <c r="E67" s="3" t="str">
        <f>VLOOKUP(A67,Detail_Produk[],5,0)</f>
        <v>Brio</v>
      </c>
      <c r="F67" s="3">
        <v>1</v>
      </c>
      <c r="G67" s="3">
        <f>VLOOKUP(transaksi_2020[[#This Row],[ID PRODUCT]],STOK!A5:F43,5,0)</f>
        <v>14</v>
      </c>
      <c r="H67" s="3">
        <f>transaksi_2020[[#This Row],[STOCK]]-transaksi_2020[[#This Row],[QUANTITY]]</f>
        <v>13</v>
      </c>
      <c r="I67" s="7">
        <f>VLOOKUP(A67,Detail_Produk[],3,0)</f>
        <v>148500000</v>
      </c>
      <c r="J67" s="61">
        <f>I67*F67</f>
        <v>148500000</v>
      </c>
    </row>
    <row r="68" spans="1:10" outlineLevel="1">
      <c r="A68" s="60" t="s">
        <v>55</v>
      </c>
      <c r="B68" s="3" t="s">
        <v>211</v>
      </c>
      <c r="C68" s="19">
        <v>43910</v>
      </c>
      <c r="D68" s="3" t="str">
        <f>VLOOKUP(A68,Detail_Produk[],2,0)</f>
        <v>HONDA All New Brio RS MT</v>
      </c>
      <c r="E68" s="3" t="str">
        <f>VLOOKUP(A68,Detail_Produk[],5,0)</f>
        <v>Brio</v>
      </c>
      <c r="F68" s="3">
        <v>1</v>
      </c>
      <c r="G68" s="3">
        <f>VLOOKUP(transaksi_2020[[#This Row],[ID PRODUCT]],STOK!A6:E44,5,0)</f>
        <v>15</v>
      </c>
      <c r="H68" s="3">
        <f>transaksi_2020[[#This Row],[STOCK]]-transaksi_2020[[#This Row],[QUANTITY]]</f>
        <v>14</v>
      </c>
      <c r="I68" s="7">
        <f>VLOOKUP(A68,Detail_Produk[],3,0)</f>
        <v>191000000</v>
      </c>
      <c r="J68" s="61">
        <f t="shared" ref="J68:J76" si="4">I68*F68</f>
        <v>191000000</v>
      </c>
    </row>
    <row r="69" spans="1:10" outlineLevel="1">
      <c r="A69" s="91" t="s">
        <v>65</v>
      </c>
      <c r="B69" s="3" t="s">
        <v>212</v>
      </c>
      <c r="C69" s="19">
        <v>43919</v>
      </c>
      <c r="D69" s="3" t="str">
        <f>VLOOKUP(A69,Detail_Produk[],2,0)</f>
        <v>HONDA BRV E MT</v>
      </c>
      <c r="E69" s="3" t="str">
        <f>VLOOKUP(A69,Detail_Produk[],5,0)</f>
        <v>BRV</v>
      </c>
      <c r="F69" s="3">
        <v>1</v>
      </c>
      <c r="G69" s="3">
        <f>VLOOKUP(transaksi_2020[[#This Row],[ID PRODUCT]],STOK!A7:E45,5,0)</f>
        <v>4</v>
      </c>
      <c r="H69" s="3">
        <f>transaksi_2020[[#This Row],[STOCK]]-transaksi_2020[[#This Row],[QUANTITY]]</f>
        <v>3</v>
      </c>
      <c r="I69" s="7">
        <f>VLOOKUP(A69,Detail_Produk[],3,0)</f>
        <v>250500000</v>
      </c>
      <c r="J69" s="61">
        <f t="shared" si="4"/>
        <v>250500000</v>
      </c>
    </row>
    <row r="70" spans="1:10" outlineLevel="1">
      <c r="A70" s="60" t="s">
        <v>69</v>
      </c>
      <c r="B70" s="3" t="s">
        <v>213</v>
      </c>
      <c r="C70" s="19">
        <v>43987</v>
      </c>
      <c r="D70" s="3" t="str">
        <f>VLOOKUP(A70,Detail_Produk[],2,0)</f>
        <v>HONDA Jazz S CVT</v>
      </c>
      <c r="E70" s="3" t="str">
        <f>VLOOKUP(A70,Detail_Produk[],5,0)</f>
        <v>Jazz</v>
      </c>
      <c r="F70" s="3">
        <v>1</v>
      </c>
      <c r="G70" s="3">
        <f>VLOOKUP(transaksi_2020[[#This Row],[ID PRODUCT]],STOK!A8:E46,5,0)</f>
        <v>8</v>
      </c>
      <c r="H70" s="3">
        <f>transaksi_2020[[#This Row],[STOCK]]-transaksi_2020[[#This Row],[QUANTITY]]</f>
        <v>7</v>
      </c>
      <c r="I70" s="7">
        <f>VLOOKUP(A70,Detail_Produk[],3,0)</f>
        <v>271000000</v>
      </c>
      <c r="J70" s="61">
        <f t="shared" si="4"/>
        <v>271000000</v>
      </c>
    </row>
    <row r="71" spans="1:10" outlineLevel="1">
      <c r="A71" s="112" t="s">
        <v>76</v>
      </c>
      <c r="B71" s="3" t="s">
        <v>214</v>
      </c>
      <c r="C71" s="19">
        <v>44003</v>
      </c>
      <c r="D71" s="3" t="str">
        <f>VLOOKUP(A71,Detail_Produk[],2,0)</f>
        <v>HONDA NEW HRV 1.5 E CVT</v>
      </c>
      <c r="E71" s="3" t="str">
        <f>VLOOKUP(A71,Detail_Produk[],5,0)</f>
        <v>HRV</v>
      </c>
      <c r="F71" s="3">
        <v>1</v>
      </c>
      <c r="G71" s="3">
        <f>VLOOKUP(transaksi_2020[[#This Row],[ID PRODUCT]],STOK!A9:E47,5,0)</f>
        <v>3</v>
      </c>
      <c r="H71" s="3">
        <f>transaksi_2020[[#This Row],[STOCK]]-transaksi_2020[[#This Row],[QUANTITY]]</f>
        <v>2</v>
      </c>
      <c r="I71" s="7">
        <f>VLOOKUP(A71,Detail_Produk[],3,0)</f>
        <v>319000000</v>
      </c>
      <c r="J71" s="61">
        <f t="shared" si="4"/>
        <v>319000000</v>
      </c>
    </row>
    <row r="72" spans="1:10" outlineLevel="1">
      <c r="A72" s="60" t="s">
        <v>77</v>
      </c>
      <c r="B72" s="3" t="s">
        <v>215</v>
      </c>
      <c r="C72" s="19">
        <v>44027</v>
      </c>
      <c r="D72" s="3" t="str">
        <f>VLOOKUP(A72,Detail_Produk[],2,0)</f>
        <v>HONDA NEW HRV 1.5 E CVT SE</v>
      </c>
      <c r="E72" s="3" t="str">
        <f>VLOOKUP(A72,Detail_Produk[],5,0)</f>
        <v>HRV</v>
      </c>
      <c r="F72" s="3">
        <v>1</v>
      </c>
      <c r="G72" s="3">
        <f>VLOOKUP(transaksi_2020[[#This Row],[ID PRODUCT]],STOK!A10:E48,5,0)</f>
        <v>3</v>
      </c>
      <c r="H72" s="3">
        <f>transaksi_2020[[#This Row],[STOCK]]-transaksi_2020[[#This Row],[QUANTITY]]</f>
        <v>2</v>
      </c>
      <c r="I72" s="7">
        <f>VLOOKUP(A72,Detail_Produk[],3,0)</f>
        <v>336000000</v>
      </c>
      <c r="J72" s="61">
        <f t="shared" si="4"/>
        <v>336000000</v>
      </c>
    </row>
    <row r="73" spans="1:10" outlineLevel="1">
      <c r="A73" s="112" t="s">
        <v>80</v>
      </c>
      <c r="B73" s="3" t="s">
        <v>216</v>
      </c>
      <c r="C73" s="19">
        <v>44034</v>
      </c>
      <c r="D73" s="3" t="str">
        <f>VLOOKUP(A73,Detail_Produk[],2,0)</f>
        <v>HONDA NEW CRV 2.0L CVT</v>
      </c>
      <c r="E73" s="3" t="str">
        <f>VLOOKUP(A73,Detail_Produk[],5,0)</f>
        <v>CRV</v>
      </c>
      <c r="F73" s="3">
        <v>1</v>
      </c>
      <c r="G73" s="3">
        <f>VLOOKUP(transaksi_2020[[#This Row],[ID PRODUCT]],STOK!A11:E49,5,0)</f>
        <v>9</v>
      </c>
      <c r="H73" s="3">
        <f>transaksi_2020[[#This Row],[STOCK]]-transaksi_2020[[#This Row],[QUANTITY]]</f>
        <v>8</v>
      </c>
      <c r="I73" s="7">
        <f>VLOOKUP(A73,Detail_Produk[],3,0)</f>
        <v>446500000</v>
      </c>
      <c r="J73" s="61">
        <f t="shared" si="4"/>
        <v>446500000</v>
      </c>
    </row>
    <row r="74" spans="1:10" outlineLevel="1">
      <c r="A74" s="60" t="s">
        <v>59</v>
      </c>
      <c r="B74" s="3" t="s">
        <v>217</v>
      </c>
      <c r="C74" s="19">
        <v>44068</v>
      </c>
      <c r="D74" s="3" t="str">
        <f>VLOOKUP(A74,Detail_Produk[],2,0)</f>
        <v>HONDA Mobilio E S CVT</v>
      </c>
      <c r="E74" s="3" t="str">
        <f>VLOOKUP(A74,Detail_Produk[],5,0)</f>
        <v>Mobilio</v>
      </c>
      <c r="F74" s="3">
        <v>1</v>
      </c>
      <c r="G74" s="3">
        <f>VLOOKUP(transaksi_2020[[#This Row],[ID PRODUCT]],STOK!A12:E50,5,0)</f>
        <v>10</v>
      </c>
      <c r="H74" s="3">
        <f>transaksi_2020[[#This Row],[STOCK]]-transaksi_2020[[#This Row],[QUANTITY]]</f>
        <v>9</v>
      </c>
      <c r="I74" s="7">
        <f>VLOOKUP(A74,Detail_Produk[],3,0)</f>
        <v>231400000</v>
      </c>
      <c r="J74" s="61">
        <f t="shared" si="4"/>
        <v>231400000</v>
      </c>
    </row>
    <row r="75" spans="1:10" outlineLevel="1">
      <c r="A75" s="91" t="s">
        <v>85</v>
      </c>
      <c r="B75" s="3" t="s">
        <v>218</v>
      </c>
      <c r="C75" s="19">
        <v>44113</v>
      </c>
      <c r="D75" s="3" t="str">
        <f>VLOOKUP(A75,Detail_Produk[],2,0)</f>
        <v>HONDA Civic E MT</v>
      </c>
      <c r="E75" s="3" t="str">
        <f>VLOOKUP(A75,Detail_Produk[],5,0)</f>
        <v>Civic</v>
      </c>
      <c r="F75" s="3">
        <v>1</v>
      </c>
      <c r="G75" s="3">
        <f>VLOOKUP(transaksi_2020[[#This Row],[ID PRODUCT]],STOK!A13:E51,5,0)</f>
        <v>9</v>
      </c>
      <c r="H75" s="3">
        <f>transaksi_2020[[#This Row],[STOCK]]-transaksi_2020[[#This Row],[QUANTITY]]</f>
        <v>8</v>
      </c>
      <c r="I75" s="7">
        <f>VLOOKUP(A75,Detail_Produk[],3,0)</f>
        <v>416500000</v>
      </c>
      <c r="J75" s="61">
        <f t="shared" si="4"/>
        <v>416500000</v>
      </c>
    </row>
    <row r="76" spans="1:10" outlineLevel="1">
      <c r="A76" s="93" t="s">
        <v>87</v>
      </c>
      <c r="B76" s="55" t="s">
        <v>219</v>
      </c>
      <c r="C76" s="56">
        <v>44173</v>
      </c>
      <c r="D76" s="55" t="str">
        <f>VLOOKUP(A76,Detail_Produk[],2,0)</f>
        <v>HONDA Civic HATCHBACK S CVT</v>
      </c>
      <c r="E76" s="55" t="str">
        <f>VLOOKUP(A76,Detail_Produk[],5,0)</f>
        <v>Civic</v>
      </c>
      <c r="F76" s="55">
        <v>1</v>
      </c>
      <c r="G76" s="55">
        <f>VLOOKUP(transaksi_2020[[#This Row],[ID PRODUCT]],STOK!A14:E52,5,0)</f>
        <v>10</v>
      </c>
      <c r="H76" s="55">
        <f>transaksi_2020[[#This Row],[STOCK]]-transaksi_2020[[#This Row],[QUANTITY]]</f>
        <v>9</v>
      </c>
      <c r="I76" s="63">
        <f>VLOOKUP(A76,Detail_Produk[],3,0)</f>
        <v>497500000</v>
      </c>
      <c r="J76" s="65">
        <f t="shared" si="4"/>
        <v>497500000</v>
      </c>
    </row>
    <row r="77" spans="1:10" outlineLevel="1">
      <c r="A77" s="93"/>
      <c r="B77" s="55"/>
      <c r="C77" s="56"/>
      <c r="D77" s="55" t="s">
        <v>112</v>
      </c>
      <c r="E77" s="55"/>
      <c r="F77" s="55">
        <f>SUM(F67:F76)</f>
        <v>10</v>
      </c>
      <c r="G77" s="55"/>
      <c r="H77" s="55"/>
      <c r="I77" s="63"/>
      <c r="J77" s="65"/>
    </row>
    <row r="78" spans="1:10" outlineLevel="1"/>
    <row r="79" spans="1:10" outlineLevel="1"/>
    <row r="83" spans="1:10">
      <c r="A83" s="162">
        <v>2021</v>
      </c>
      <c r="B83" s="162"/>
      <c r="C83" s="162"/>
      <c r="D83" s="162"/>
      <c r="E83" s="162"/>
      <c r="F83" s="162"/>
      <c r="G83" s="162"/>
      <c r="H83" s="162"/>
      <c r="I83" s="162"/>
      <c r="J83" s="162"/>
    </row>
    <row r="84" spans="1:10">
      <c r="A84" s="162"/>
      <c r="B84" s="162"/>
      <c r="C84" s="162"/>
      <c r="D84" s="162"/>
      <c r="E84" s="162"/>
      <c r="F84" s="162"/>
      <c r="G84" s="162"/>
      <c r="H84" s="162"/>
      <c r="I84" s="162"/>
      <c r="J84" s="162"/>
    </row>
    <row r="85" spans="1:10">
      <c r="A85" s="162"/>
      <c r="B85" s="162"/>
      <c r="C85" s="162"/>
      <c r="D85" s="162"/>
      <c r="E85" s="162"/>
      <c r="F85" s="162"/>
      <c r="G85" s="162"/>
      <c r="H85" s="162"/>
      <c r="I85" s="162"/>
      <c r="J85" s="162"/>
    </row>
    <row r="86" spans="1:10">
      <c r="A86" s="158" t="s">
        <v>110</v>
      </c>
      <c r="B86" s="159"/>
      <c r="C86" s="159"/>
      <c r="D86" s="159"/>
      <c r="E86" s="159"/>
      <c r="F86" s="159"/>
      <c r="G86" s="159"/>
      <c r="H86" s="159"/>
      <c r="I86" s="159"/>
      <c r="J86" s="159"/>
    </row>
    <row r="87" spans="1:10">
      <c r="A87" s="160"/>
      <c r="B87" s="161"/>
      <c r="C87" s="161"/>
      <c r="D87" s="161"/>
      <c r="E87" s="161"/>
      <c r="F87" s="161"/>
      <c r="G87" s="161"/>
      <c r="H87" s="161"/>
      <c r="I87" s="161"/>
      <c r="J87" s="161"/>
    </row>
    <row r="88" spans="1:10">
      <c r="A88" s="90" t="s">
        <v>50</v>
      </c>
      <c r="B88" s="92" t="s">
        <v>151</v>
      </c>
      <c r="C88" s="92" t="s">
        <v>150</v>
      </c>
      <c r="D88" s="92" t="s">
        <v>149</v>
      </c>
      <c r="E88" s="92" t="s">
        <v>148</v>
      </c>
      <c r="F88" s="92" t="s">
        <v>153</v>
      </c>
      <c r="G88" s="92" t="s">
        <v>154</v>
      </c>
      <c r="H88" s="92" t="s">
        <v>155</v>
      </c>
      <c r="I88" s="92" t="s">
        <v>18</v>
      </c>
      <c r="J88" s="89" t="s">
        <v>156</v>
      </c>
    </row>
    <row r="89" spans="1:10">
      <c r="A89" s="91" t="s">
        <v>53</v>
      </c>
      <c r="B89" s="3" t="s">
        <v>220</v>
      </c>
      <c r="C89" s="19">
        <v>44201</v>
      </c>
      <c r="D89" s="3" t="str">
        <f>VLOOKUP(A89,Detail_Produk[],2,0)</f>
        <v>HONDA All New Brio Satya E CVT</v>
      </c>
      <c r="E89" s="3" t="str">
        <f>VLOOKUP(TRANSACTION!A89,Detail_Produk[],5,0)</f>
        <v>Brio</v>
      </c>
      <c r="F89" s="3">
        <v>1</v>
      </c>
      <c r="G89" s="3">
        <f>VLOOKUP(transaksi_2021[[#This Row],[ID PRODUCT]],STOK!A5:G43,6,0)</f>
        <v>14</v>
      </c>
      <c r="H89" s="3">
        <f>transaksi_2021[[#This Row],[STOCK]]-transaksi_2021[[#This Row],[QUANTITY]]</f>
        <v>13</v>
      </c>
      <c r="I89" s="6">
        <f>VLOOKUP(A89,Detail_Produk[],3,0)</f>
        <v>163500000</v>
      </c>
      <c r="J89" s="61">
        <f>I89*F89</f>
        <v>163500000</v>
      </c>
    </row>
    <row r="90" spans="1:10">
      <c r="A90" s="30" t="s">
        <v>54</v>
      </c>
      <c r="B90" s="3" t="s">
        <v>221</v>
      </c>
      <c r="C90" s="19">
        <v>44221</v>
      </c>
      <c r="D90" s="3" t="str">
        <f>VLOOKUP(A90,Detail_Produk[],2,0)</f>
        <v>HONDA All New Brio RS CVT</v>
      </c>
      <c r="E90" s="3" t="str">
        <f>VLOOKUP(TRANSACTION!A90,Detail_Produk[],5,0)</f>
        <v>Brio</v>
      </c>
      <c r="F90" s="3">
        <v>1</v>
      </c>
      <c r="G90" s="3">
        <f>VLOOKUP(transaksi_2021[[#This Row],[ID PRODUCT]],STOK!A6:F44,6,0)</f>
        <v>14</v>
      </c>
      <c r="H90" s="3">
        <f>transaksi_2021[[#This Row],[STOCK]]-transaksi_2021[[#This Row],[QUANTITY]]</f>
        <v>13</v>
      </c>
      <c r="I90" s="6">
        <f>VLOOKUP(A90,Detail_Produk[],3,0)</f>
        <v>176000000</v>
      </c>
      <c r="J90" s="61">
        <f t="shared" ref="J90:J106" si="5">I90*F90</f>
        <v>176000000</v>
      </c>
    </row>
    <row r="91" spans="1:10">
      <c r="A91" s="30" t="s">
        <v>56</v>
      </c>
      <c r="B91" s="3" t="s">
        <v>222</v>
      </c>
      <c r="C91" s="19">
        <v>44226</v>
      </c>
      <c r="D91" s="3" t="str">
        <f>VLOOKUP(A91,Detail_Produk[],2,0)</f>
        <v>HONDA Mobilio S MT</v>
      </c>
      <c r="E91" s="3" t="str">
        <f>VLOOKUP(TRANSACTION!A91,Detail_Produk[],5,0)</f>
        <v>Mobilio</v>
      </c>
      <c r="F91" s="3">
        <v>1</v>
      </c>
      <c r="G91" s="3">
        <f>VLOOKUP(transaksi_2021[[#This Row],[ID PRODUCT]],STOK!A7:F45,6,0)</f>
        <v>8</v>
      </c>
      <c r="H91" s="3">
        <f>transaksi_2021[[#This Row],[STOCK]]-transaksi_2021[[#This Row],[QUANTITY]]</f>
        <v>7</v>
      </c>
      <c r="I91" s="6">
        <f>VLOOKUP(A91,Detail_Produk[],3,0)</f>
        <v>195500000</v>
      </c>
      <c r="J91" s="61">
        <f t="shared" si="5"/>
        <v>195500000</v>
      </c>
    </row>
    <row r="92" spans="1:10">
      <c r="A92" s="30" t="s">
        <v>88</v>
      </c>
      <c r="B92" s="3" t="s">
        <v>223</v>
      </c>
      <c r="C92" s="19">
        <v>44258</v>
      </c>
      <c r="D92" s="3" t="str">
        <f>VLOOKUP(A92,Detail_Produk[],2,0)</f>
        <v>HONDA Civic HATCHBACK E CVT</v>
      </c>
      <c r="E92" s="3" t="str">
        <f>VLOOKUP(TRANSACTION!A92,Detail_Produk[],5,0)</f>
        <v>Civic</v>
      </c>
      <c r="F92" s="3">
        <v>1</v>
      </c>
      <c r="G92" s="3">
        <f>VLOOKUP(transaksi_2021[[#This Row],[ID PRODUCT]],STOK!A8:F46,6,0)</f>
        <v>10</v>
      </c>
      <c r="H92" s="3">
        <f>transaksi_2021[[#This Row],[STOCK]]-transaksi_2021[[#This Row],[QUANTITY]]</f>
        <v>9</v>
      </c>
      <c r="I92" s="6">
        <f>VLOOKUP(A92,Detail_Produk[],3,0)</f>
        <v>500500000</v>
      </c>
      <c r="J92" s="61">
        <f t="shared" si="5"/>
        <v>500500000</v>
      </c>
    </row>
    <row r="93" spans="1:10">
      <c r="A93" s="30" t="s">
        <v>84</v>
      </c>
      <c r="B93" s="3" t="s">
        <v>224</v>
      </c>
      <c r="C93" s="19">
        <v>44290</v>
      </c>
      <c r="D93" s="3" t="str">
        <f>VLOOKUP(A93,Detail_Produk[],2,0)</f>
        <v>HONDA CITY ECVT</v>
      </c>
      <c r="E93" s="3" t="str">
        <f>VLOOKUP(TRANSACTION!A93,Detail_Produk[],5,0)</f>
        <v>Hcity</v>
      </c>
      <c r="F93" s="3">
        <v>1</v>
      </c>
      <c r="G93" s="3">
        <f>VLOOKUP(transaksi_2021[[#This Row],[ID PRODUCT]],STOK!A9:F47,6,0)</f>
        <v>5</v>
      </c>
      <c r="H93" s="3">
        <f>transaksi_2021[[#This Row],[STOCK]]-transaksi_2021[[#This Row],[QUANTITY]]</f>
        <v>4</v>
      </c>
      <c r="I93" s="6">
        <f>VLOOKUP(A93,Detail_Produk[],3,0)</f>
        <v>334500000</v>
      </c>
      <c r="J93" s="61">
        <f t="shared" si="5"/>
        <v>334500000</v>
      </c>
    </row>
    <row r="94" spans="1:10">
      <c r="A94" s="30" t="s">
        <v>64</v>
      </c>
      <c r="B94" s="3" t="s">
        <v>225</v>
      </c>
      <c r="C94" s="19">
        <v>44304</v>
      </c>
      <c r="D94" s="3" t="str">
        <f>VLOOKUP(A94,Detail_Produk[],2,0)</f>
        <v>HONDA BRV  S MT</v>
      </c>
      <c r="E94" s="3" t="str">
        <f>VLOOKUP(TRANSACTION!A94,Detail_Produk[],5,0)</f>
        <v>BRV</v>
      </c>
      <c r="F94" s="3">
        <v>1</v>
      </c>
      <c r="G94" s="3">
        <f>VLOOKUP(transaksi_2021[[#This Row],[ID PRODUCT]],STOK!A10:F48,6,0)</f>
        <v>4</v>
      </c>
      <c r="H94" s="3">
        <f>transaksi_2021[[#This Row],[STOCK]]-transaksi_2021[[#This Row],[QUANTITY]]</f>
        <v>3</v>
      </c>
      <c r="I94" s="6">
        <f>VLOOKUP(A94,Detail_Produk[],3,0)</f>
        <v>239500000</v>
      </c>
      <c r="J94" s="61">
        <f t="shared" si="5"/>
        <v>239500000</v>
      </c>
    </row>
    <row r="95" spans="1:10">
      <c r="A95" s="91" t="s">
        <v>71</v>
      </c>
      <c r="B95" s="3" t="s">
        <v>226</v>
      </c>
      <c r="C95" s="19">
        <v>44353</v>
      </c>
      <c r="D95" s="3" t="str">
        <f>VLOOKUP(A95,Detail_Produk[],2,0)</f>
        <v>HONDA Jazz M/T RS 2Tone</v>
      </c>
      <c r="E95" s="3" t="str">
        <f>VLOOKUP(TRANSACTION!A95,Detail_Produk[],5,0)</f>
        <v>Jazz</v>
      </c>
      <c r="F95" s="3">
        <v>1</v>
      </c>
      <c r="G95" s="3">
        <f>VLOOKUP(transaksi_2021[[#This Row],[ID PRODUCT]],STOK!A11:F49,6,0)</f>
        <v>7</v>
      </c>
      <c r="H95" s="3">
        <f>transaksi_2021[[#This Row],[STOCK]]-transaksi_2021[[#This Row],[QUANTITY]]</f>
        <v>6</v>
      </c>
      <c r="I95" s="6">
        <f>VLOOKUP(A95,Detail_Produk[],3,0)</f>
        <v>275000000</v>
      </c>
      <c r="J95" s="61">
        <f t="shared" si="5"/>
        <v>275000000</v>
      </c>
    </row>
    <row r="96" spans="1:10">
      <c r="A96" s="60" t="s">
        <v>89</v>
      </c>
      <c r="B96" s="3" t="s">
        <v>227</v>
      </c>
      <c r="C96" s="19">
        <v>44376</v>
      </c>
      <c r="D96" s="3" t="str">
        <f>VLOOKUP(A96,Detail_Produk[],2,0)</f>
        <v>HONDA Civic 1.5L Turbo AT</v>
      </c>
      <c r="E96" s="3" t="str">
        <f>VLOOKUP(TRANSACTION!A96,Detail_Produk[],5,0)</f>
        <v>Civic</v>
      </c>
      <c r="F96" s="3">
        <v>1</v>
      </c>
      <c r="G96" s="3">
        <f>VLOOKUP(transaksi_2021[[#This Row],[ID PRODUCT]],STOK!A12:F50,6,0)</f>
        <v>10</v>
      </c>
      <c r="H96" s="3">
        <f>transaksi_2021[[#This Row],[STOCK]]-transaksi_2021[[#This Row],[QUANTITY]]</f>
        <v>9</v>
      </c>
      <c r="I96" s="6">
        <f>VLOOKUP(A96,Detail_Produk[],3,0)</f>
        <v>1034500000</v>
      </c>
      <c r="J96" s="61">
        <f t="shared" si="5"/>
        <v>1034500000</v>
      </c>
    </row>
    <row r="97" spans="1:10">
      <c r="A97" s="30" t="s">
        <v>68</v>
      </c>
      <c r="B97" s="3" t="s">
        <v>228</v>
      </c>
      <c r="C97" s="19">
        <v>44399</v>
      </c>
      <c r="D97" s="3" t="str">
        <f>VLOOKUP(A97,Detail_Produk[],2,0)</f>
        <v>HONDA Jazz S MT</v>
      </c>
      <c r="E97" s="3" t="str">
        <f>VLOOKUP(TRANSACTION!A97,Detail_Produk[],5,0)</f>
        <v>Jazz</v>
      </c>
      <c r="F97" s="3">
        <v>1</v>
      </c>
      <c r="G97" s="3">
        <f>VLOOKUP(transaksi_2021[[#This Row],[ID PRODUCT]],STOK!A13:F51,6,0)</f>
        <v>6</v>
      </c>
      <c r="H97" s="3">
        <f>transaksi_2021[[#This Row],[STOCK]]-transaksi_2021[[#This Row],[QUANTITY]]</f>
        <v>5</v>
      </c>
      <c r="I97" s="6">
        <f>VLOOKUP(A97,Detail_Produk[],3,0)</f>
        <v>240500000</v>
      </c>
      <c r="J97" s="61">
        <f t="shared" si="5"/>
        <v>240500000</v>
      </c>
    </row>
    <row r="98" spans="1:10">
      <c r="A98" s="30" t="s">
        <v>62</v>
      </c>
      <c r="B98" s="3" t="s">
        <v>229</v>
      </c>
      <c r="C98" s="19">
        <v>44402</v>
      </c>
      <c r="D98" s="3" t="str">
        <f>VLOOKUP(A98,Detail_Produk[],2,0)</f>
        <v>HONDA Mobilio RT MT (2tone)</v>
      </c>
      <c r="E98" s="3" t="str">
        <f>VLOOKUP(TRANSACTION!A98,Detail_Produk[],5,0)</f>
        <v>Mobilio</v>
      </c>
      <c r="F98" s="3">
        <v>1</v>
      </c>
      <c r="G98" s="3">
        <f>VLOOKUP(transaksi_2021[[#This Row],[ID PRODUCT]],STOK!A14:F52,6,0)</f>
        <v>10</v>
      </c>
      <c r="H98" s="3">
        <f>transaksi_2021[[#This Row],[STOCK]]-transaksi_2021[[#This Row],[QUANTITY]]</f>
        <v>9</v>
      </c>
      <c r="I98" s="6">
        <f>VLOOKUP(A98,Detail_Produk[],3,0)</f>
        <v>239000000</v>
      </c>
      <c r="J98" s="61">
        <f t="shared" si="5"/>
        <v>239000000</v>
      </c>
    </row>
    <row r="99" spans="1:10">
      <c r="A99" s="30" t="s">
        <v>74</v>
      </c>
      <c r="B99" s="3" t="s">
        <v>230</v>
      </c>
      <c r="C99" s="19">
        <v>44438</v>
      </c>
      <c r="D99" s="3" t="str">
        <f>VLOOKUP(A99,Detail_Produk[],2,0)</f>
        <v>HONDA NEW HRV 1.5 S MT</v>
      </c>
      <c r="E99" s="3" t="str">
        <f>VLOOKUP(TRANSACTION!A99,Detail_Produk[],5,0)</f>
        <v>HRV</v>
      </c>
      <c r="F99" s="3">
        <v>1</v>
      </c>
      <c r="G99" s="3">
        <f>VLOOKUP(transaksi_2021[[#This Row],[ID PRODUCT]],STOK!A15:F53,6,0)</f>
        <v>4</v>
      </c>
      <c r="H99" s="3">
        <f>transaksi_2021[[#This Row],[STOCK]]-transaksi_2021[[#This Row],[QUANTITY]]</f>
        <v>3</v>
      </c>
      <c r="I99" s="6">
        <f>VLOOKUP(A99,Detail_Produk[],3,0)</f>
        <v>286000000</v>
      </c>
      <c r="J99" s="61">
        <f t="shared" si="5"/>
        <v>286000000</v>
      </c>
    </row>
    <row r="100" spans="1:10">
      <c r="A100" s="30" t="s">
        <v>76</v>
      </c>
      <c r="B100" s="3" t="s">
        <v>231</v>
      </c>
      <c r="C100" s="19">
        <v>44441</v>
      </c>
      <c r="D100" s="3" t="str">
        <f>VLOOKUP(A100,Detail_Produk[],2,0)</f>
        <v>HONDA NEW HRV 1.5 E CVT</v>
      </c>
      <c r="E100" s="3" t="str">
        <f>VLOOKUP(TRANSACTION!A100,Detail_Produk[],5,0)</f>
        <v>HRV</v>
      </c>
      <c r="F100" s="3">
        <v>1</v>
      </c>
      <c r="G100" s="3">
        <f>VLOOKUP(transaksi_2021[[#This Row],[ID PRODUCT]],STOK!A16:F54,6,0)</f>
        <v>3</v>
      </c>
      <c r="H100" s="3">
        <f>transaksi_2021[[#This Row],[STOCK]]-transaksi_2021[[#This Row],[QUANTITY]]</f>
        <v>2</v>
      </c>
      <c r="I100" s="6">
        <f>VLOOKUP(A100,Detail_Produk[],3,0)</f>
        <v>319000000</v>
      </c>
      <c r="J100" s="61">
        <f t="shared" si="5"/>
        <v>319000000</v>
      </c>
    </row>
    <row r="101" spans="1:10">
      <c r="A101" s="30" t="s">
        <v>86</v>
      </c>
      <c r="B101" s="3" t="s">
        <v>232</v>
      </c>
      <c r="C101" s="19">
        <v>44451</v>
      </c>
      <c r="D101" s="3" t="str">
        <f>VLOOKUP(A101,Detail_Produk[],2,0)</f>
        <v>HONDA Civic E CVT</v>
      </c>
      <c r="E101" s="3" t="str">
        <f>VLOOKUP(TRANSACTION!A101,Detail_Produk[],5,0)</f>
        <v>Civic</v>
      </c>
      <c r="F101" s="3">
        <v>1</v>
      </c>
      <c r="G101" s="3">
        <f>VLOOKUP(transaksi_2021[[#This Row],[ID PRODUCT]],STOK!A17:F55,6,0)</f>
        <v>9</v>
      </c>
      <c r="H101" s="3">
        <f>transaksi_2021[[#This Row],[STOCK]]-transaksi_2021[[#This Row],[QUANTITY]]</f>
        <v>8</v>
      </c>
      <c r="I101" s="6">
        <f>VLOOKUP(A101,Detail_Produk[],3,0)</f>
        <v>455500000</v>
      </c>
      <c r="J101" s="61">
        <f t="shared" si="5"/>
        <v>455500000</v>
      </c>
    </row>
    <row r="102" spans="1:10">
      <c r="A102" s="60" t="s">
        <v>81</v>
      </c>
      <c r="B102" s="3" t="s">
        <v>233</v>
      </c>
      <c r="C102" s="19">
        <v>44456</v>
      </c>
      <c r="D102" s="3" t="str">
        <f>VLOOKUP(A102,Detail_Produk[],2,0)</f>
        <v>HONDA NEW CRV 1.5L Turbo CVT</v>
      </c>
      <c r="E102" s="3" t="str">
        <f>VLOOKUP(TRANSACTION!A102,Detail_Produk[],5,0)</f>
        <v>CRV</v>
      </c>
      <c r="F102" s="3">
        <v>1</v>
      </c>
      <c r="G102" s="3">
        <f>VLOOKUP(transaksi_2021[[#This Row],[ID PRODUCT]],STOK!A18:F56,6,0)</f>
        <v>8</v>
      </c>
      <c r="H102" s="3">
        <f>transaksi_2021[[#This Row],[STOCK]]-transaksi_2021[[#This Row],[QUANTITY]]</f>
        <v>7</v>
      </c>
      <c r="I102" s="6">
        <f>VLOOKUP(A102,Detail_Produk[],3,0)</f>
        <v>480500000</v>
      </c>
      <c r="J102" s="61">
        <f t="shared" si="5"/>
        <v>480500000</v>
      </c>
    </row>
    <row r="103" spans="1:10">
      <c r="A103" s="30" t="s">
        <v>76</v>
      </c>
      <c r="B103" s="3" t="s">
        <v>234</v>
      </c>
      <c r="C103" s="19">
        <v>44503</v>
      </c>
      <c r="D103" s="3" t="str">
        <f>VLOOKUP(A103,Detail_Produk[],2,0)</f>
        <v>HONDA NEW HRV 1.5 E CVT</v>
      </c>
      <c r="E103" s="3" t="str">
        <f>VLOOKUP(TRANSACTION!A103,Detail_Produk[],5,0)</f>
        <v>HRV</v>
      </c>
      <c r="F103" s="3">
        <v>1</v>
      </c>
      <c r="G103" s="3">
        <v>1</v>
      </c>
      <c r="H103" s="3">
        <f>transaksi_2021[[#This Row],[STOCK]]-transaksi_2021[[#This Row],[QUANTITY]]</f>
        <v>0</v>
      </c>
      <c r="I103" s="6">
        <f>VLOOKUP(A103,Detail_Produk[],3,0)</f>
        <v>319000000</v>
      </c>
      <c r="J103" s="61">
        <f t="shared" si="5"/>
        <v>319000000</v>
      </c>
    </row>
    <row r="104" spans="1:10">
      <c r="A104" s="30" t="s">
        <v>72</v>
      </c>
      <c r="B104" s="3" t="s">
        <v>235</v>
      </c>
      <c r="C104" s="19">
        <v>44519</v>
      </c>
      <c r="D104" s="3" t="str">
        <f>VLOOKUP(A104,Detail_Produk[],2,0)</f>
        <v>HONDA Jazz RS CVT</v>
      </c>
      <c r="E104" s="3" t="str">
        <f>VLOOKUP(TRANSACTION!A104,Detail_Produk[],5,0)</f>
        <v>Jazz</v>
      </c>
      <c r="F104" s="3">
        <v>1</v>
      </c>
      <c r="G104" s="3">
        <f>VLOOKUP(transaksi_2021[[#This Row],[ID PRODUCT]],STOK!A20:F58,6,0)</f>
        <v>8</v>
      </c>
      <c r="H104" s="3">
        <f>transaksi_2021[[#This Row],[STOCK]]-transaksi_2021[[#This Row],[QUANTITY]]</f>
        <v>7</v>
      </c>
      <c r="I104" s="6">
        <f>VLOOKUP(A104,Detail_Produk[],3,0)</f>
        <v>281000000</v>
      </c>
      <c r="J104" s="61">
        <f t="shared" si="5"/>
        <v>281000000</v>
      </c>
    </row>
    <row r="105" spans="1:10">
      <c r="A105" s="91" t="s">
        <v>53</v>
      </c>
      <c r="B105" s="3" t="s">
        <v>236</v>
      </c>
      <c r="C105" s="19">
        <v>44540</v>
      </c>
      <c r="D105" s="3" t="str">
        <f>VLOOKUP(A105,Detail_Produk[],2,0)</f>
        <v>HONDA All New Brio Satya E CVT</v>
      </c>
      <c r="E105" s="3" t="str">
        <f>VLOOKUP(TRANSACTION!A105,Detail_Produk[],5,0)</f>
        <v>Brio</v>
      </c>
      <c r="F105" s="3">
        <v>1</v>
      </c>
      <c r="G105" s="3">
        <v>13</v>
      </c>
      <c r="H105" s="3">
        <f>transaksi_2021[[#This Row],[STOCK]]-transaksi_2021[[#This Row],[QUANTITY]]</f>
        <v>12</v>
      </c>
      <c r="I105" s="6">
        <f>VLOOKUP(A105,Detail_Produk[],3,0)</f>
        <v>163500000</v>
      </c>
      <c r="J105" s="61">
        <f t="shared" si="5"/>
        <v>163500000</v>
      </c>
    </row>
    <row r="106" spans="1:10">
      <c r="A106" s="36" t="s">
        <v>60</v>
      </c>
      <c r="B106" s="55" t="s">
        <v>237</v>
      </c>
      <c r="C106" s="56">
        <v>44552</v>
      </c>
      <c r="D106" s="55" t="str">
        <f>VLOOKUP(A106,Detail_Produk[],2,0)</f>
        <v>HONDA Mobilio RS MT</v>
      </c>
      <c r="E106" s="55" t="str">
        <f>VLOOKUP(TRANSACTION!A106,Detail_Produk[],5,0)</f>
        <v>Mobilio</v>
      </c>
      <c r="F106" s="55">
        <v>1</v>
      </c>
      <c r="G106" s="3">
        <f>VLOOKUP(transaksi_2021[[#This Row],[ID PRODUCT]],STOK!A6:G24,6,0)</f>
        <v>10</v>
      </c>
      <c r="H106" s="55">
        <f>transaksi_2021[[#This Row],[STOCK]]-transaksi_2021[[#This Row],[QUANTITY]]</f>
        <v>9</v>
      </c>
      <c r="I106" s="64">
        <f>VLOOKUP(A106,Detail_Produk[],3,0)</f>
        <v>237500000</v>
      </c>
      <c r="J106" s="65">
        <f t="shared" si="5"/>
        <v>237500000</v>
      </c>
    </row>
    <row r="107" spans="1:10">
      <c r="A107" s="36"/>
      <c r="B107" s="55"/>
      <c r="C107" s="56"/>
      <c r="D107" s="55" t="s">
        <v>112</v>
      </c>
      <c r="E107" s="55"/>
      <c r="F107" s="55">
        <f>SUM(F89:F106)</f>
        <v>18</v>
      </c>
      <c r="G107" s="3"/>
      <c r="H107" s="55"/>
      <c r="I107" s="64"/>
      <c r="J107" s="65"/>
    </row>
  </sheetData>
  <mergeCells count="8">
    <mergeCell ref="A64:J65"/>
    <mergeCell ref="A83:J85"/>
    <mergeCell ref="A86:J87"/>
    <mergeCell ref="A4:J5"/>
    <mergeCell ref="A1:J3"/>
    <mergeCell ref="A32:J34"/>
    <mergeCell ref="A35:J36"/>
    <mergeCell ref="A61:J63"/>
  </mergeCells>
  <pageMargins left="0.7" right="0.7" top="0.75" bottom="0.75" header="0.3" footer="0.3"/>
  <pageSetup orientation="portrait" r:id="rId1"/>
  <ignoredErrors>
    <ignoredError sqref="D77 G106 D107 G103 G39:G40" calculatedColumn="1"/>
  </ignoredErrors>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9B4C8-C979-4DB8-B947-72F35FB2A742}">
  <dimension ref="A1:J65"/>
  <sheetViews>
    <sheetView zoomScale="70" zoomScaleNormal="70" workbookViewId="0">
      <selection activeCell="L8" sqref="L8"/>
    </sheetView>
  </sheetViews>
  <sheetFormatPr defaultRowHeight="14"/>
  <cols>
    <col min="1" max="1" width="19.6640625" customWidth="1"/>
    <col min="2" max="2" width="13.4140625" customWidth="1"/>
    <col min="3" max="3" width="14.33203125" customWidth="1"/>
    <col min="4" max="4" width="27.4140625" customWidth="1"/>
    <col min="5" max="5" width="11.1640625" customWidth="1"/>
    <col min="6" max="6" width="10.6640625" customWidth="1"/>
    <col min="7" max="7" width="12.5" customWidth="1"/>
    <col min="8" max="8" width="15.5" customWidth="1"/>
    <col min="9" max="9" width="19.1640625" customWidth="1"/>
    <col min="10" max="10" width="18.1640625" customWidth="1"/>
  </cols>
  <sheetData>
    <row r="1" spans="1:10">
      <c r="A1" s="134" t="s">
        <v>327</v>
      </c>
      <c r="B1" s="135" t="s">
        <v>240</v>
      </c>
      <c r="C1" s="135" t="s">
        <v>328</v>
      </c>
      <c r="D1" s="135" t="s">
        <v>138</v>
      </c>
      <c r="E1" s="135" t="s">
        <v>329</v>
      </c>
      <c r="F1" s="135" t="s">
        <v>153</v>
      </c>
      <c r="G1" s="135" t="s">
        <v>154</v>
      </c>
      <c r="H1" s="135" t="s">
        <v>155</v>
      </c>
      <c r="I1" s="135" t="s">
        <v>18</v>
      </c>
      <c r="J1" s="136" t="s">
        <v>156</v>
      </c>
    </row>
    <row r="2" spans="1:10">
      <c r="A2" s="91" t="s">
        <v>51</v>
      </c>
      <c r="B2" s="83" t="s">
        <v>115</v>
      </c>
      <c r="C2" s="127">
        <f>DATE(2018,1,30)</f>
        <v>43130</v>
      </c>
      <c r="D2" s="83" t="s">
        <v>4</v>
      </c>
      <c r="E2" s="83" t="str">
        <f>VLOOKUP(A2,TRANSACTION!A7:J25,5,0)</f>
        <v>Brio</v>
      </c>
      <c r="F2" s="83">
        <v>1</v>
      </c>
      <c r="G2" s="83">
        <f>VLOOKUP(A2,TRANSACTION!A7:J25,7,0)</f>
        <v>15</v>
      </c>
      <c r="H2" s="83">
        <f>VLOOKUP(A2,TRANSACTION!A7:J25,8,0)</f>
        <v>14</v>
      </c>
      <c r="I2" s="128">
        <f>VLOOKUP(A2,TRANSACTION!A7:J25,9,0)</f>
        <v>140000000</v>
      </c>
      <c r="J2" s="131">
        <f>I2*F2</f>
        <v>140000000</v>
      </c>
    </row>
    <row r="3" spans="1:10">
      <c r="A3" s="30" t="s">
        <v>52</v>
      </c>
      <c r="B3" s="10" t="s">
        <v>116</v>
      </c>
      <c r="C3" s="26">
        <f>DATE(2018,1,12)</f>
        <v>43112</v>
      </c>
      <c r="D3" s="10" t="s">
        <v>5</v>
      </c>
      <c r="E3" s="83" t="str">
        <f>VLOOKUP(A3,TRANSACTION!A8:J26,5,0)</f>
        <v>Brio</v>
      </c>
      <c r="F3" s="10">
        <v>1</v>
      </c>
      <c r="G3" s="83">
        <f>VLOOKUP(A3,TRANSACTION!A8:J26,7,0)</f>
        <v>15</v>
      </c>
      <c r="H3" s="83">
        <f>VLOOKUP(A3,TRANSACTION!A8:J26,8,0)</f>
        <v>14</v>
      </c>
      <c r="I3" s="128">
        <f>VLOOKUP(A3,TRANSACTION!A8:J26,9,0)</f>
        <v>148500000</v>
      </c>
      <c r="J3" s="131">
        <f t="shared" ref="J3:J20" si="0">I3*F3</f>
        <v>148500000</v>
      </c>
    </row>
    <row r="4" spans="1:10">
      <c r="A4" s="91" t="s">
        <v>53</v>
      </c>
      <c r="B4" s="83" t="s">
        <v>117</v>
      </c>
      <c r="C4" s="127">
        <v>43840</v>
      </c>
      <c r="D4" s="83" t="s">
        <v>6</v>
      </c>
      <c r="E4" s="83" t="str">
        <f>VLOOKUP(A4,TRANSACTION!A9:J27,5,0)</f>
        <v>Brio</v>
      </c>
      <c r="F4" s="83">
        <v>1</v>
      </c>
      <c r="G4" s="83">
        <f>VLOOKUP(A4,TRANSACTION!A9:J27,7,0)</f>
        <v>15</v>
      </c>
      <c r="H4" s="83">
        <f>VLOOKUP(A4,TRANSACTION!A9:J27,8,0)</f>
        <v>14</v>
      </c>
      <c r="I4" s="128">
        <f>VLOOKUP(A4,TRANSACTION!A9:J27,9,0)</f>
        <v>163500000</v>
      </c>
      <c r="J4" s="131">
        <f t="shared" si="0"/>
        <v>163500000</v>
      </c>
    </row>
    <row r="5" spans="1:10">
      <c r="A5" s="30" t="s">
        <v>56</v>
      </c>
      <c r="B5" s="10" t="s">
        <v>118</v>
      </c>
      <c r="C5" s="26">
        <v>43876</v>
      </c>
      <c r="D5" s="10" t="s">
        <v>10</v>
      </c>
      <c r="E5" s="83" t="str">
        <f>VLOOKUP(A5,TRANSACTION!A10:J28,5,0)</f>
        <v>Mobilio</v>
      </c>
      <c r="F5" s="10">
        <v>1</v>
      </c>
      <c r="G5" s="83">
        <f>VLOOKUP(A5,TRANSACTION!A10:J28,7,0)</f>
        <v>10</v>
      </c>
      <c r="H5" s="83">
        <f>VLOOKUP(A5,TRANSACTION!A10:J28,8,0)</f>
        <v>9</v>
      </c>
      <c r="I5" s="128">
        <f>VLOOKUP(A5,TRANSACTION!A10:J28,9,0)</f>
        <v>195500000</v>
      </c>
      <c r="J5" s="131">
        <f t="shared" si="0"/>
        <v>195500000</v>
      </c>
    </row>
    <row r="6" spans="1:10">
      <c r="A6" s="91" t="s">
        <v>57</v>
      </c>
      <c r="B6" s="83" t="s">
        <v>119</v>
      </c>
      <c r="C6" s="127">
        <v>43132</v>
      </c>
      <c r="D6" s="83" t="s">
        <v>11</v>
      </c>
      <c r="E6" s="83" t="str">
        <f>VLOOKUP(A6,TRANSACTION!A11:J29,5,0)</f>
        <v>Mobilio</v>
      </c>
      <c r="F6" s="83">
        <v>1</v>
      </c>
      <c r="G6" s="83">
        <f>VLOOKUP(A6,TRANSACTION!A11:J29,7,0)</f>
        <v>10</v>
      </c>
      <c r="H6" s="83">
        <f>VLOOKUP(A6,TRANSACTION!A11:J29,8,0)</f>
        <v>9</v>
      </c>
      <c r="I6" s="128">
        <f>VLOOKUP(A6,TRANSACTION!A11:J29,9,0)</f>
        <v>216000000</v>
      </c>
      <c r="J6" s="131">
        <f t="shared" si="0"/>
        <v>216000000</v>
      </c>
    </row>
    <row r="7" spans="1:10">
      <c r="A7" s="30" t="s">
        <v>64</v>
      </c>
      <c r="B7" s="10" t="s">
        <v>120</v>
      </c>
      <c r="C7" s="26">
        <f>DATE(2018,3,5)</f>
        <v>43164</v>
      </c>
      <c r="D7" s="10" t="s">
        <v>20</v>
      </c>
      <c r="E7" s="83" t="str">
        <f>VLOOKUP(A7,TRANSACTION!A12:J30,5,0)</f>
        <v>BRV</v>
      </c>
      <c r="F7" s="10">
        <v>1</v>
      </c>
      <c r="G7" s="83">
        <f>VLOOKUP(A7,TRANSACTION!A12:J30,7,0)</f>
        <v>5</v>
      </c>
      <c r="H7" s="83">
        <f>VLOOKUP(A7,TRANSACTION!A12:J30,8,0)</f>
        <v>4</v>
      </c>
      <c r="I7" s="128">
        <f>VLOOKUP(A7,TRANSACTION!A12:J30,9,0)</f>
        <v>239500000</v>
      </c>
      <c r="J7" s="131">
        <f t="shared" si="0"/>
        <v>239500000</v>
      </c>
    </row>
    <row r="8" spans="1:10">
      <c r="A8" s="91" t="s">
        <v>65</v>
      </c>
      <c r="B8" s="83" t="s">
        <v>121</v>
      </c>
      <c r="C8" s="127">
        <v>43192</v>
      </c>
      <c r="D8" s="83" t="s">
        <v>21</v>
      </c>
      <c r="E8" s="83" t="str">
        <f>VLOOKUP(A8,TRANSACTION!A13:J31,5,0)</f>
        <v>BRV</v>
      </c>
      <c r="F8" s="83">
        <v>1</v>
      </c>
      <c r="G8" s="83">
        <f>VLOOKUP(A8,TRANSACTION!A13:J31,7,0)</f>
        <v>5</v>
      </c>
      <c r="H8" s="83">
        <f>VLOOKUP(A8,TRANSACTION!A13:J31,8,0)</f>
        <v>4</v>
      </c>
      <c r="I8" s="128">
        <f>VLOOKUP(A8,TRANSACTION!A13:J31,9,0)</f>
        <v>250500000</v>
      </c>
      <c r="J8" s="131">
        <f t="shared" si="0"/>
        <v>250500000</v>
      </c>
    </row>
    <row r="9" spans="1:10">
      <c r="A9" s="30" t="s">
        <v>66</v>
      </c>
      <c r="B9" s="10" t="s">
        <v>122</v>
      </c>
      <c r="C9" s="26">
        <v>43200</v>
      </c>
      <c r="D9" s="10" t="s">
        <v>22</v>
      </c>
      <c r="E9" s="83" t="str">
        <f>VLOOKUP(A9,TRANSACTION!A14:J32,5,0)</f>
        <v>BRV</v>
      </c>
      <c r="F9" s="10">
        <v>1</v>
      </c>
      <c r="G9" s="83">
        <f>VLOOKUP(A9,TRANSACTION!A14:J32,7,0)</f>
        <v>5</v>
      </c>
      <c r="H9" s="83">
        <f>VLOOKUP(A9,TRANSACTION!A14:J32,8,0)</f>
        <v>4</v>
      </c>
      <c r="I9" s="128">
        <f>VLOOKUP(A9,TRANSACTION!A14:J32,9,0)</f>
        <v>260500000</v>
      </c>
      <c r="J9" s="131">
        <f t="shared" si="0"/>
        <v>260500000</v>
      </c>
    </row>
    <row r="10" spans="1:10">
      <c r="A10" s="91" t="s">
        <v>78</v>
      </c>
      <c r="B10" s="83" t="s">
        <v>127</v>
      </c>
      <c r="C10" s="127">
        <v>43231</v>
      </c>
      <c r="D10" s="83" t="s">
        <v>36</v>
      </c>
      <c r="E10" s="83" t="str">
        <f>VLOOKUP(A10,TRANSACTION!A15:J33,5,0)</f>
        <v>HRV</v>
      </c>
      <c r="F10" s="83">
        <v>1</v>
      </c>
      <c r="G10" s="83">
        <f>VLOOKUP(A10,TRANSACTION!A15:J33,7,0)</f>
        <v>4</v>
      </c>
      <c r="H10" s="83">
        <f>VLOOKUP(A10,TRANSACTION!A15:J33,8,0)</f>
        <v>3</v>
      </c>
      <c r="I10" s="128">
        <f>VLOOKUP(A10,TRANSACTION!A15:J33,9,0)</f>
        <v>401500000</v>
      </c>
      <c r="J10" s="131">
        <f t="shared" si="0"/>
        <v>401500000</v>
      </c>
    </row>
    <row r="11" spans="1:10">
      <c r="A11" s="30" t="s">
        <v>79</v>
      </c>
      <c r="B11" s="10" t="s">
        <v>128</v>
      </c>
      <c r="C11" s="26">
        <v>43229</v>
      </c>
      <c r="D11" s="10" t="s">
        <v>37</v>
      </c>
      <c r="E11" s="83" t="str">
        <f>VLOOKUP(A11,TRANSACTION!A16:J34,5,0)</f>
        <v>HRV</v>
      </c>
      <c r="F11" s="10">
        <v>1</v>
      </c>
      <c r="G11" s="83">
        <f>VLOOKUP(A11,TRANSACTION!A16:J34,7,0)</f>
        <v>4</v>
      </c>
      <c r="H11" s="83">
        <f>VLOOKUP(A11,TRANSACTION!A16:J34,8,0)</f>
        <v>3</v>
      </c>
      <c r="I11" s="128">
        <f>VLOOKUP(A11,TRANSACTION!A16:J34,9,0)</f>
        <v>403000000</v>
      </c>
      <c r="J11" s="131">
        <f t="shared" si="0"/>
        <v>403000000</v>
      </c>
    </row>
    <row r="12" spans="1:10">
      <c r="A12" s="91" t="s">
        <v>68</v>
      </c>
      <c r="B12" s="83" t="s">
        <v>123</v>
      </c>
      <c r="C12" s="127">
        <v>43261</v>
      </c>
      <c r="D12" s="83" t="s">
        <v>25</v>
      </c>
      <c r="E12" s="83" t="str">
        <f>VLOOKUP(A12,TRANSACTION!A17:J35,5,0)</f>
        <v>Jazz</v>
      </c>
      <c r="F12" s="83">
        <v>1</v>
      </c>
      <c r="G12" s="83">
        <f>VLOOKUP(A12,TRANSACTION!A17:J35,7,0)</f>
        <v>8</v>
      </c>
      <c r="H12" s="83">
        <f>VLOOKUP(A12,TRANSACTION!A17:J35,8,0)</f>
        <v>7</v>
      </c>
      <c r="I12" s="128">
        <f>VLOOKUP(A12,TRANSACTION!A17:J35,9,0)</f>
        <v>240500000</v>
      </c>
      <c r="J12" s="131">
        <f t="shared" si="0"/>
        <v>240500000</v>
      </c>
    </row>
    <row r="13" spans="1:10">
      <c r="A13" s="30" t="s">
        <v>80</v>
      </c>
      <c r="B13" s="10" t="s">
        <v>129</v>
      </c>
      <c r="C13" s="26">
        <v>43293</v>
      </c>
      <c r="D13" s="10" t="s">
        <v>47</v>
      </c>
      <c r="E13" s="83" t="str">
        <f>VLOOKUP(A13,TRANSACTION!A18:J36,5,0)</f>
        <v>CRV</v>
      </c>
      <c r="F13" s="10">
        <v>1</v>
      </c>
      <c r="G13" s="83">
        <f>VLOOKUP(A13,TRANSACTION!A18:J36,7,0)</f>
        <v>10</v>
      </c>
      <c r="H13" s="83">
        <f>VLOOKUP(A13,TRANSACTION!A18:J36,8,0)</f>
        <v>9</v>
      </c>
      <c r="I13" s="128">
        <f>VLOOKUP(A13,TRANSACTION!A18:J36,9,0)</f>
        <v>446500000</v>
      </c>
      <c r="J13" s="131">
        <f t="shared" si="0"/>
        <v>446500000</v>
      </c>
    </row>
    <row r="14" spans="1:10">
      <c r="A14" s="91" t="s">
        <v>73</v>
      </c>
      <c r="B14" s="83" t="s">
        <v>124</v>
      </c>
      <c r="C14" s="127">
        <v>43318</v>
      </c>
      <c r="D14" s="83" t="s">
        <v>30</v>
      </c>
      <c r="E14" s="83" t="str">
        <f>VLOOKUP(A14,TRANSACTION!A19:J37,5,0)</f>
        <v>Jazz</v>
      </c>
      <c r="F14" s="83">
        <v>1</v>
      </c>
      <c r="G14" s="83">
        <f>VLOOKUP(A14,TRANSACTION!A19:J37,7,0)</f>
        <v>8</v>
      </c>
      <c r="H14" s="83">
        <f>VLOOKUP(A14,TRANSACTION!A19:J37,8,0)</f>
        <v>7</v>
      </c>
      <c r="I14" s="128">
        <f>VLOOKUP(A14,TRANSACTION!A19:J37,9,0)</f>
        <v>282500000</v>
      </c>
      <c r="J14" s="131">
        <f t="shared" si="0"/>
        <v>282500000</v>
      </c>
    </row>
    <row r="15" spans="1:10">
      <c r="A15" s="30" t="s">
        <v>81</v>
      </c>
      <c r="B15" s="10" t="s">
        <v>130</v>
      </c>
      <c r="C15" s="26">
        <v>43318</v>
      </c>
      <c r="D15" s="10" t="s">
        <v>48</v>
      </c>
      <c r="E15" s="83" t="str">
        <f>VLOOKUP(A15,TRANSACTION!A20:J38,5,0)</f>
        <v>CRV</v>
      </c>
      <c r="F15" s="10">
        <v>1</v>
      </c>
      <c r="G15" s="83">
        <f>VLOOKUP(A15,TRANSACTION!A20:J38,7,0)</f>
        <v>10</v>
      </c>
      <c r="H15" s="83">
        <f>VLOOKUP(A15,TRANSACTION!A20:J38,8,0)</f>
        <v>9</v>
      </c>
      <c r="I15" s="128">
        <f>VLOOKUP(A15,TRANSACTION!A20:J38,9,0)</f>
        <v>480500000</v>
      </c>
      <c r="J15" s="131">
        <f t="shared" si="0"/>
        <v>480500000</v>
      </c>
    </row>
    <row r="16" spans="1:10">
      <c r="A16" s="91" t="s">
        <v>83</v>
      </c>
      <c r="B16" s="83" t="s">
        <v>131</v>
      </c>
      <c r="C16" s="127">
        <v>43363</v>
      </c>
      <c r="D16" s="83" t="s">
        <v>39</v>
      </c>
      <c r="E16" s="83" t="str">
        <f>VLOOKUP(A16,TRANSACTION!A21:J39,5,0)</f>
        <v>Hcity</v>
      </c>
      <c r="F16" s="83">
        <v>1</v>
      </c>
      <c r="G16" s="83">
        <f>VLOOKUP(A16,TRANSACTION!A21:J39,7,0)</f>
        <v>7</v>
      </c>
      <c r="H16" s="83">
        <f>VLOOKUP(A16,TRANSACTION!A21:J39,8,0)</f>
        <v>6</v>
      </c>
      <c r="I16" s="128">
        <f>VLOOKUP(A16,TRANSACTION!A21:J39,9,0)</f>
        <v>324500000</v>
      </c>
      <c r="J16" s="131">
        <f t="shared" si="0"/>
        <v>324500000</v>
      </c>
    </row>
    <row r="17" spans="1:10">
      <c r="A17" s="30" t="s">
        <v>76</v>
      </c>
      <c r="B17" s="10" t="s">
        <v>125</v>
      </c>
      <c r="C17" s="26">
        <v>43376</v>
      </c>
      <c r="D17" s="10" t="s">
        <v>34</v>
      </c>
      <c r="E17" s="83" t="str">
        <f>VLOOKUP(A17,TRANSACTION!A22:J40,5,0)</f>
        <v>HRV</v>
      </c>
      <c r="F17" s="10">
        <v>1</v>
      </c>
      <c r="G17" s="83">
        <f>VLOOKUP(A17,TRANSACTION!A22:J40,7,0)</f>
        <v>4</v>
      </c>
      <c r="H17" s="83">
        <f>VLOOKUP(A17,TRANSACTION!A22:J40,8,0)</f>
        <v>3</v>
      </c>
      <c r="I17" s="128">
        <f>VLOOKUP(A17,TRANSACTION!A22:J40,9,0)</f>
        <v>319000000</v>
      </c>
      <c r="J17" s="131">
        <f t="shared" si="0"/>
        <v>319000000</v>
      </c>
    </row>
    <row r="18" spans="1:10">
      <c r="A18" s="91" t="s">
        <v>84</v>
      </c>
      <c r="B18" s="83" t="s">
        <v>132</v>
      </c>
      <c r="C18" s="127">
        <v>43407</v>
      </c>
      <c r="D18" s="83" t="s">
        <v>40</v>
      </c>
      <c r="E18" s="83" t="str">
        <f>VLOOKUP(A18,TRANSACTION!A23:J41,5,0)</f>
        <v>Hcity</v>
      </c>
      <c r="F18" s="83">
        <v>1</v>
      </c>
      <c r="G18" s="83">
        <f>VLOOKUP(A18,TRANSACTION!A23:J41,7,0)</f>
        <v>7</v>
      </c>
      <c r="H18" s="83">
        <f>VLOOKUP(A18,TRANSACTION!A23:J41,8,0)</f>
        <v>6</v>
      </c>
      <c r="I18" s="128">
        <f>VLOOKUP(A18,TRANSACTION!A23:J41,9,0)</f>
        <v>334500000</v>
      </c>
      <c r="J18" s="131">
        <f t="shared" si="0"/>
        <v>334500000</v>
      </c>
    </row>
    <row r="19" spans="1:10">
      <c r="A19" s="30" t="s">
        <v>85</v>
      </c>
      <c r="B19" s="10" t="s">
        <v>133</v>
      </c>
      <c r="C19" s="26">
        <v>43424</v>
      </c>
      <c r="D19" s="10" t="s">
        <v>42</v>
      </c>
      <c r="E19" s="83" t="str">
        <f>VLOOKUP(A19,TRANSACTION!A24:J42,5,0)</f>
        <v>Civic</v>
      </c>
      <c r="F19" s="10">
        <v>1</v>
      </c>
      <c r="G19" s="83">
        <f>VLOOKUP(A19,TRANSACTION!A24:J42,7,0)</f>
        <v>10</v>
      </c>
      <c r="H19" s="83">
        <f>VLOOKUP(A19,TRANSACTION!A24:J42,8,0)</f>
        <v>9</v>
      </c>
      <c r="I19" s="128">
        <f>VLOOKUP(A19,TRANSACTION!A24:J42,9,0)</f>
        <v>416500000</v>
      </c>
      <c r="J19" s="131">
        <f t="shared" si="0"/>
        <v>416500000</v>
      </c>
    </row>
    <row r="20" spans="1:10">
      <c r="A20" s="91" t="s">
        <v>77</v>
      </c>
      <c r="B20" s="83" t="s">
        <v>126</v>
      </c>
      <c r="C20" s="127">
        <v>43439</v>
      </c>
      <c r="D20" s="83" t="s">
        <v>35</v>
      </c>
      <c r="E20" s="83" t="str">
        <f>VLOOKUP(A20,TRANSACTION!A25:J43,5,0)</f>
        <v>HRV</v>
      </c>
      <c r="F20" s="83">
        <v>1</v>
      </c>
      <c r="G20" s="83">
        <f>VLOOKUP(A20,TRANSACTION!A25:J43,7,0)</f>
        <v>4</v>
      </c>
      <c r="H20" s="83">
        <f>VLOOKUP(A20,TRANSACTION!A25:J43,8,0)</f>
        <v>3</v>
      </c>
      <c r="I20" s="128">
        <f>VLOOKUP(A20,TRANSACTION!A25:J43,9,0)</f>
        <v>336000000</v>
      </c>
      <c r="J20" s="131">
        <f t="shared" si="0"/>
        <v>336000000</v>
      </c>
    </row>
    <row r="21" spans="1:10">
      <c r="A21" s="91" t="str">
        <f>INDEX(Detail_Produk[ID Product],MATCH(D21,Detail_Produk[Type],0))</f>
        <v>HB-0101200204</v>
      </c>
      <c r="B21" s="83" t="s">
        <v>188</v>
      </c>
      <c r="C21" s="127">
        <f>DATE(2019,1,21)</f>
        <v>43486</v>
      </c>
      <c r="D21" s="83" t="s">
        <v>7</v>
      </c>
      <c r="E21" s="83" t="str">
        <f>VLOOKUP(A21,Detail_Produk[],5,0)</f>
        <v>Brio</v>
      </c>
      <c r="F21" s="83">
        <v>1</v>
      </c>
      <c r="G21" s="83">
        <f>VLOOKUP(A21,TRANSACTION!A38:J54,7,0)</f>
        <v>15</v>
      </c>
      <c r="H21" s="83">
        <f>G21-F21</f>
        <v>14</v>
      </c>
      <c r="I21" s="129">
        <f>VLOOKUP(A21,TRANSACTION!A38:J54,9,0)</f>
        <v>176000000</v>
      </c>
      <c r="J21" s="132">
        <f>I21*F21</f>
        <v>176000000</v>
      </c>
    </row>
    <row r="22" spans="1:10">
      <c r="A22" s="30" t="str">
        <f>INDEX(Detail_Produk[ID Product],MATCH(D22,Detail_Produk[Type],0))</f>
        <v>HB-0101200205</v>
      </c>
      <c r="B22" s="10" t="s">
        <v>189</v>
      </c>
      <c r="C22" s="26">
        <f>DATE(2019,2,8)</f>
        <v>43504</v>
      </c>
      <c r="D22" s="59" t="s">
        <v>8</v>
      </c>
      <c r="E22" s="10" t="str">
        <f>VLOOKUP(A22,Detail_Produk[],5,0)</f>
        <v>Brio</v>
      </c>
      <c r="F22" s="10">
        <v>1</v>
      </c>
      <c r="G22" s="83">
        <f>VLOOKUP(A22,TRANSACTION!A39:J55,7,0)</f>
        <v>15</v>
      </c>
      <c r="H22" s="83">
        <f t="shared" ref="H22:H65" si="1">G22-F22</f>
        <v>14</v>
      </c>
      <c r="I22" s="129">
        <f>VLOOKUP(A22,TRANSACTION!A39:J55,9,0)</f>
        <v>191000000</v>
      </c>
      <c r="J22" s="133">
        <f t="shared" ref="J22:J65" si="2">I22*F22</f>
        <v>191000000</v>
      </c>
    </row>
    <row r="23" spans="1:10">
      <c r="A23" s="91" t="str">
        <f>INDEX(Detail_Produk[ID Product],MATCH(D23,Detail_Produk[Type],0))</f>
        <v>HM-0202200201</v>
      </c>
      <c r="B23" s="83" t="s">
        <v>190</v>
      </c>
      <c r="C23" s="127">
        <f>DATE(2019,2,14)</f>
        <v>43510</v>
      </c>
      <c r="D23" s="83" t="s">
        <v>10</v>
      </c>
      <c r="E23" s="83" t="str">
        <f>VLOOKUP(A23,Detail_Produk[],5,0)</f>
        <v>Mobilio</v>
      </c>
      <c r="F23" s="83">
        <v>1</v>
      </c>
      <c r="G23" s="83">
        <f>VLOOKUP(A23,TRANSACTION!A40:J56,7,0)</f>
        <v>10</v>
      </c>
      <c r="H23" s="83">
        <f t="shared" si="1"/>
        <v>9</v>
      </c>
      <c r="I23" s="129">
        <f>VLOOKUP(A23,TRANSACTION!A40:J56,9,0)</f>
        <v>195500000</v>
      </c>
      <c r="J23" s="132">
        <f t="shared" si="2"/>
        <v>195500000</v>
      </c>
    </row>
    <row r="24" spans="1:10">
      <c r="A24" s="30" t="str">
        <f>INDEX(Detail_Produk[ID Product],MATCH(D24,Detail_Produk[Type],0))</f>
        <v>HM-0202200202</v>
      </c>
      <c r="B24" s="10" t="s">
        <v>191</v>
      </c>
      <c r="C24" s="26">
        <f>DATE(2019,3,12)</f>
        <v>43536</v>
      </c>
      <c r="D24" s="59" t="s">
        <v>11</v>
      </c>
      <c r="E24" s="10" t="str">
        <f>VLOOKUP(A24,Detail_Produk[],5,0)</f>
        <v>Mobilio</v>
      </c>
      <c r="F24" s="10">
        <v>1</v>
      </c>
      <c r="G24" s="83">
        <f>VLOOKUP(A24,TRANSACTION!A41:J57,7,0)</f>
        <v>10</v>
      </c>
      <c r="H24" s="83">
        <f t="shared" si="1"/>
        <v>9</v>
      </c>
      <c r="I24" s="129">
        <f>VLOOKUP(A24,TRANSACTION!A41:J57,9,0)</f>
        <v>216000000</v>
      </c>
      <c r="J24" s="133">
        <f t="shared" si="2"/>
        <v>216000000</v>
      </c>
    </row>
    <row r="25" spans="1:10">
      <c r="A25" s="91" t="str">
        <f>INDEX(Detail_Produk[ID Product],MATCH(D25,Detail_Produk[Type],0))</f>
        <v>HBRV-0303200203</v>
      </c>
      <c r="B25" s="83" t="s">
        <v>192</v>
      </c>
      <c r="C25" s="127">
        <f>DATE(2019,3,22)</f>
        <v>43546</v>
      </c>
      <c r="D25" s="83" t="s">
        <v>22</v>
      </c>
      <c r="E25" s="83" t="str">
        <f>VLOOKUP(A25,Detail_Produk[],5,0)</f>
        <v>BRV</v>
      </c>
      <c r="F25" s="83">
        <v>1</v>
      </c>
      <c r="G25" s="83">
        <f>VLOOKUP(A25,TRANSACTION!A42:J58,7,0)</f>
        <v>5</v>
      </c>
      <c r="H25" s="83">
        <f t="shared" si="1"/>
        <v>4</v>
      </c>
      <c r="I25" s="129">
        <f>VLOOKUP(A25,TRANSACTION!A42:J58,9,0)</f>
        <v>260500000</v>
      </c>
      <c r="J25" s="132">
        <f t="shared" si="2"/>
        <v>260500000</v>
      </c>
    </row>
    <row r="26" spans="1:10">
      <c r="A26" s="30" t="str">
        <f>INDEX(Detail_Produk[ID Product],MATCH(D26,Detail_Produk[Type],0))</f>
        <v>HBRV-0303200204</v>
      </c>
      <c r="B26" s="10" t="s">
        <v>193</v>
      </c>
      <c r="C26" s="26">
        <f>DATE(2019,3,29)</f>
        <v>43553</v>
      </c>
      <c r="D26" s="59" t="s">
        <v>23</v>
      </c>
      <c r="E26" s="10" t="str">
        <f>VLOOKUP(A26,Detail_Produk[],5,0)</f>
        <v>BRV</v>
      </c>
      <c r="F26" s="10">
        <v>1</v>
      </c>
      <c r="G26" s="83">
        <f>VLOOKUP(A26,TRANSACTION!A43:J59,7,0)</f>
        <v>5</v>
      </c>
      <c r="H26" s="83">
        <f t="shared" si="1"/>
        <v>4</v>
      </c>
      <c r="I26" s="129">
        <f>VLOOKUP(A26,TRANSACTION!A43:J59,9,0)</f>
        <v>275500000</v>
      </c>
      <c r="J26" s="133">
        <f t="shared" si="2"/>
        <v>275500000</v>
      </c>
    </row>
    <row r="27" spans="1:10">
      <c r="A27" s="91" t="str">
        <f>INDEX(Detail_Produk[ID Product],MATCH(D27,Detail_Produk[Type],0))</f>
        <v>HJ-0404202201</v>
      </c>
      <c r="B27" s="83" t="s">
        <v>194</v>
      </c>
      <c r="C27" s="127">
        <f>DATE(2019,5,9)</f>
        <v>43594</v>
      </c>
      <c r="D27" s="83" t="s">
        <v>25</v>
      </c>
      <c r="E27" s="83" t="str">
        <f>VLOOKUP(A27,Detail_Produk[],5,0)</f>
        <v>Jazz</v>
      </c>
      <c r="F27" s="83">
        <v>1</v>
      </c>
      <c r="G27" s="83">
        <f>VLOOKUP(A27,TRANSACTION!A44:J60,7,0)</f>
        <v>8</v>
      </c>
      <c r="H27" s="83">
        <f t="shared" si="1"/>
        <v>7</v>
      </c>
      <c r="I27" s="129">
        <f>VLOOKUP(A27,TRANSACTION!A44:J60,9,0)</f>
        <v>240500000</v>
      </c>
      <c r="J27" s="132">
        <f t="shared" si="2"/>
        <v>240500000</v>
      </c>
    </row>
    <row r="28" spans="1:10">
      <c r="A28" s="30" t="str">
        <f>INDEX(Detail_Produk[ID Product],MATCH(D28,Detail_Produk[Type],0))</f>
        <v>HJ-0404202202</v>
      </c>
      <c r="B28" s="10" t="s">
        <v>195</v>
      </c>
      <c r="C28" s="26">
        <f>DATE(2019,5,30)</f>
        <v>43615</v>
      </c>
      <c r="D28" s="59" t="s">
        <v>26</v>
      </c>
      <c r="E28" s="10" t="str">
        <f>VLOOKUP(A28,Detail_Produk[],5,0)</f>
        <v>Jazz</v>
      </c>
      <c r="F28" s="10">
        <v>1</v>
      </c>
      <c r="G28" s="83">
        <f>VLOOKUP(A28,TRANSACTION!A45:J61,7,0)</f>
        <v>8</v>
      </c>
      <c r="H28" s="83">
        <f t="shared" si="1"/>
        <v>7</v>
      </c>
      <c r="I28" s="129">
        <f>VLOOKUP(A28,TRANSACTION!A45:J61,9,0)</f>
        <v>271000000</v>
      </c>
      <c r="J28" s="133">
        <f t="shared" si="2"/>
        <v>271000000</v>
      </c>
    </row>
    <row r="29" spans="1:10">
      <c r="A29" s="91" t="str">
        <f>INDEX(Detail_Produk[ID Product],MATCH(D29,Detail_Produk[Type],0))</f>
        <v>HRV-209819805</v>
      </c>
      <c r="B29" s="83" t="s">
        <v>196</v>
      </c>
      <c r="C29" s="127">
        <f>DATE(2019,6,17)</f>
        <v>43633</v>
      </c>
      <c r="D29" s="83" t="s">
        <v>36</v>
      </c>
      <c r="E29" s="83" t="str">
        <f>VLOOKUP(A29,Detail_Produk[],5,0)</f>
        <v>HRV</v>
      </c>
      <c r="F29" s="83">
        <v>1</v>
      </c>
      <c r="G29" s="83">
        <f>VLOOKUP(A29,TRANSACTION!A46:J62,7,0)</f>
        <v>4</v>
      </c>
      <c r="H29" s="83">
        <f t="shared" si="1"/>
        <v>3</v>
      </c>
      <c r="I29" s="129">
        <f>VLOOKUP(A29,TRANSACTION!A46:J62,9,0)</f>
        <v>401500000</v>
      </c>
      <c r="J29" s="132">
        <f t="shared" si="2"/>
        <v>401500000</v>
      </c>
    </row>
    <row r="30" spans="1:10">
      <c r="A30" s="30" t="str">
        <f>INDEX(Detail_Produk[ID Product],MATCH(D30,Detail_Produk[Type],0))</f>
        <v>HRV-209819806</v>
      </c>
      <c r="B30" s="10" t="s">
        <v>197</v>
      </c>
      <c r="C30" s="26">
        <f>DATE(2019,7,23)</f>
        <v>43669</v>
      </c>
      <c r="D30" s="59" t="s">
        <v>37</v>
      </c>
      <c r="E30" s="10" t="str">
        <f>VLOOKUP(A30,Detail_Produk[],5,0)</f>
        <v>HRV</v>
      </c>
      <c r="F30" s="10">
        <v>1</v>
      </c>
      <c r="G30" s="83">
        <f>VLOOKUP(A30,TRANSACTION!A47:J63,7,0)</f>
        <v>4</v>
      </c>
      <c r="H30" s="83">
        <f t="shared" si="1"/>
        <v>3</v>
      </c>
      <c r="I30" s="129">
        <f>VLOOKUP(A30,TRANSACTION!A47:J63,9,0)</f>
        <v>403000000</v>
      </c>
      <c r="J30" s="133">
        <f t="shared" si="2"/>
        <v>403000000</v>
      </c>
    </row>
    <row r="31" spans="1:10">
      <c r="A31" s="91" t="str">
        <f>INDEX(Detail_Produk[ID Product],MATCH(D31,Detail_Produk[Type],0))</f>
        <v>HCRV-98765001</v>
      </c>
      <c r="B31" s="83" t="s">
        <v>198</v>
      </c>
      <c r="C31" s="127">
        <f>DATE(2019,8,17)</f>
        <v>43694</v>
      </c>
      <c r="D31" s="83" t="s">
        <v>47</v>
      </c>
      <c r="E31" s="83" t="str">
        <f>VLOOKUP(A31,Detail_Produk[],5,0)</f>
        <v>CRV</v>
      </c>
      <c r="F31" s="83">
        <v>1</v>
      </c>
      <c r="G31" s="83">
        <f>VLOOKUP(A31,TRANSACTION!A48:J64,7,0)</f>
        <v>10</v>
      </c>
      <c r="H31" s="83">
        <f t="shared" si="1"/>
        <v>9</v>
      </c>
      <c r="I31" s="129">
        <f>VLOOKUP(A31,TRANSACTION!A48:J64,9,0)</f>
        <v>446500000</v>
      </c>
      <c r="J31" s="132">
        <f t="shared" si="2"/>
        <v>446500000</v>
      </c>
    </row>
    <row r="32" spans="1:10">
      <c r="A32" s="30" t="str">
        <f>INDEX(Detail_Produk[ID Product],MATCH(D32,Detail_Produk[Type],0))</f>
        <v>HCRV-98765002</v>
      </c>
      <c r="B32" s="10" t="s">
        <v>199</v>
      </c>
      <c r="C32" s="26">
        <f>DATE(2019,8,24)</f>
        <v>43701</v>
      </c>
      <c r="D32" s="59" t="s">
        <v>48</v>
      </c>
      <c r="E32" s="10" t="str">
        <f>VLOOKUP(A32,Detail_Produk[],5,0)</f>
        <v>CRV</v>
      </c>
      <c r="F32" s="10">
        <v>1</v>
      </c>
      <c r="G32" s="83">
        <f>VLOOKUP(A32,TRANSACTION!A49:J65,7,0)</f>
        <v>10</v>
      </c>
      <c r="H32" s="83">
        <f t="shared" si="1"/>
        <v>9</v>
      </c>
      <c r="I32" s="129">
        <f>VLOOKUP(A32,TRANSACTION!A49:J65,9,0)</f>
        <v>480500000</v>
      </c>
      <c r="J32" s="133">
        <f t="shared" si="2"/>
        <v>480500000</v>
      </c>
    </row>
    <row r="33" spans="1:10">
      <c r="A33" s="91" t="str">
        <f>INDEX(Detail_Produk[ID Product],MATCH(D33,Detail_Produk[Type],0))</f>
        <v>HCT-081320001</v>
      </c>
      <c r="B33" s="83" t="s">
        <v>200</v>
      </c>
      <c r="C33" s="127">
        <f>DATE(2019,8,29)</f>
        <v>43706</v>
      </c>
      <c r="D33" s="83" t="s">
        <v>39</v>
      </c>
      <c r="E33" s="83" t="str">
        <f>VLOOKUP(A33,Detail_Produk[],5,0)</f>
        <v>Hcity</v>
      </c>
      <c r="F33" s="83">
        <v>1</v>
      </c>
      <c r="G33" s="83">
        <f>VLOOKUP(A33,TRANSACTION!A50:J66,7,0)</f>
        <v>7</v>
      </c>
      <c r="H33" s="83">
        <f t="shared" si="1"/>
        <v>6</v>
      </c>
      <c r="I33" s="129">
        <f>VLOOKUP(A33,TRANSACTION!A50:J66,9,0)</f>
        <v>324500000</v>
      </c>
      <c r="J33" s="132">
        <f t="shared" si="2"/>
        <v>324500000</v>
      </c>
    </row>
    <row r="34" spans="1:10">
      <c r="A34" s="30" t="str">
        <f>INDEX(Detail_Produk[ID Product],MATCH(D34,Detail_Produk[Type],0))</f>
        <v>HCT-081320002</v>
      </c>
      <c r="B34" s="10" t="s">
        <v>201</v>
      </c>
      <c r="C34" s="26">
        <f>DATE(2019,11,11)</f>
        <v>43780</v>
      </c>
      <c r="D34" s="10" t="s">
        <v>40</v>
      </c>
      <c r="E34" s="10" t="str">
        <f>VLOOKUP(A34,Detail_Produk[],5,0)</f>
        <v>Hcity</v>
      </c>
      <c r="F34" s="10">
        <v>1</v>
      </c>
      <c r="G34" s="83">
        <f>VLOOKUP(A34,TRANSACTION!A51:J67,7,0)</f>
        <v>7</v>
      </c>
      <c r="H34" s="83">
        <f t="shared" si="1"/>
        <v>6</v>
      </c>
      <c r="I34" s="129">
        <f>VLOOKUP(A34,TRANSACTION!A51:J67,9,0)</f>
        <v>334500000</v>
      </c>
      <c r="J34" s="133">
        <f t="shared" si="2"/>
        <v>334500000</v>
      </c>
    </row>
    <row r="35" spans="1:10">
      <c r="A35" s="91" t="str">
        <f>INDEX(Detail_Produk[ID Product],MATCH(D35,Detail_Produk[Type],0))</f>
        <v>HCV-3004200301</v>
      </c>
      <c r="B35" s="83" t="s">
        <v>202</v>
      </c>
      <c r="C35" s="127">
        <f>DATE(2019,12,16)</f>
        <v>43815</v>
      </c>
      <c r="D35" s="83" t="s">
        <v>42</v>
      </c>
      <c r="E35" s="83" t="str">
        <f>VLOOKUP(A35,Detail_Produk[],5,0)</f>
        <v>Civic</v>
      </c>
      <c r="F35" s="83">
        <v>1</v>
      </c>
      <c r="G35" s="83">
        <f>VLOOKUP(A35,TRANSACTION!A52:J68,7,0)</f>
        <v>10</v>
      </c>
      <c r="H35" s="83">
        <f t="shared" si="1"/>
        <v>9</v>
      </c>
      <c r="I35" s="129">
        <f>VLOOKUP(A35,TRANSACTION!A52:J68,9,0)</f>
        <v>416500000</v>
      </c>
      <c r="J35" s="132">
        <f t="shared" si="2"/>
        <v>416500000</v>
      </c>
    </row>
    <row r="36" spans="1:10">
      <c r="A36" s="30" t="str">
        <f>INDEX(Detail_Produk[ID Product],MATCH(D36,Detail_Produk[Type],0))</f>
        <v>HCV-3004200302</v>
      </c>
      <c r="B36" s="10" t="s">
        <v>203</v>
      </c>
      <c r="C36" s="26">
        <f>DATE(2019,12,23)</f>
        <v>43822</v>
      </c>
      <c r="D36" s="10" t="s">
        <v>43</v>
      </c>
      <c r="E36" s="10" t="str">
        <f>VLOOKUP(A36,Detail_Produk[],5,0)</f>
        <v>Civic</v>
      </c>
      <c r="F36" s="10">
        <v>1</v>
      </c>
      <c r="G36" s="83">
        <f>VLOOKUP(A36,TRANSACTION!A53:J69,7,0)</f>
        <v>10</v>
      </c>
      <c r="H36" s="83">
        <f t="shared" si="1"/>
        <v>9</v>
      </c>
      <c r="I36" s="129">
        <f>VLOOKUP(A36,TRANSACTION!A53:J69,9,0)</f>
        <v>455500000</v>
      </c>
      <c r="J36" s="133">
        <f t="shared" si="2"/>
        <v>455500000</v>
      </c>
    </row>
    <row r="37" spans="1:10">
      <c r="A37" s="91" t="str">
        <f>INDEX(Detail_Produk[ID Product],MATCH(D37,Detail_Produk[Type],0))</f>
        <v>HCV-3004200303</v>
      </c>
      <c r="B37" s="83" t="s">
        <v>204</v>
      </c>
      <c r="C37" s="127">
        <f>DATE(2019,12,30)</f>
        <v>43829</v>
      </c>
      <c r="D37" s="83" t="s">
        <v>44</v>
      </c>
      <c r="E37" s="83" t="str">
        <f>VLOOKUP(A37,Detail_Produk[],5,0)</f>
        <v>Civic</v>
      </c>
      <c r="F37" s="83">
        <v>1</v>
      </c>
      <c r="G37" s="83">
        <f>VLOOKUP(A37,TRANSACTION!A54:J70,7,0)</f>
        <v>10</v>
      </c>
      <c r="H37" s="83">
        <f t="shared" si="1"/>
        <v>9</v>
      </c>
      <c r="I37" s="129">
        <f>VLOOKUP(A37,TRANSACTION!A54:J70,9,0)</f>
        <v>497500000</v>
      </c>
      <c r="J37" s="132">
        <f t="shared" si="2"/>
        <v>497500000</v>
      </c>
    </row>
    <row r="38" spans="1:10">
      <c r="A38" s="112" t="s">
        <v>52</v>
      </c>
      <c r="B38" s="83" t="s">
        <v>210</v>
      </c>
      <c r="C38" s="127">
        <v>43875</v>
      </c>
      <c r="D38" s="83" t="str">
        <f>VLOOKUP(A38,Detail_Produk[],2,0)</f>
        <v>HONDA All New Brio Satya E MT</v>
      </c>
      <c r="E38" s="83" t="str">
        <f>VLOOKUP(A38,Detail_Produk[],5,0)</f>
        <v>Brio</v>
      </c>
      <c r="F38" s="83">
        <v>1</v>
      </c>
      <c r="G38" s="83">
        <f>VLOOKUP(A38,TRANSACTION!A67:J76,7,0)</f>
        <v>14</v>
      </c>
      <c r="H38" s="83">
        <f t="shared" si="1"/>
        <v>13</v>
      </c>
      <c r="I38" s="130">
        <f>VLOOKUP(A38,TRANSACTION!A67:J76,9,0)</f>
        <v>148500000</v>
      </c>
      <c r="J38" s="132">
        <f t="shared" si="2"/>
        <v>148500000</v>
      </c>
    </row>
    <row r="39" spans="1:10">
      <c r="A39" s="60" t="s">
        <v>55</v>
      </c>
      <c r="B39" s="10" t="s">
        <v>211</v>
      </c>
      <c r="C39" s="26">
        <v>43910</v>
      </c>
      <c r="D39" s="10" t="str">
        <f>VLOOKUP(A39,Detail_Produk[],2,0)</f>
        <v>HONDA All New Brio RS MT</v>
      </c>
      <c r="E39" s="10" t="str">
        <f>VLOOKUP(A39,Detail_Produk[],5,0)</f>
        <v>Brio</v>
      </c>
      <c r="F39" s="10">
        <v>1</v>
      </c>
      <c r="G39" s="83">
        <f>VLOOKUP(A39,TRANSACTION!A68:J77,7,0)</f>
        <v>15</v>
      </c>
      <c r="H39" s="83">
        <f t="shared" si="1"/>
        <v>14</v>
      </c>
      <c r="I39" s="130">
        <f>VLOOKUP(A39,TRANSACTION!A68:J77,9,0)</f>
        <v>191000000</v>
      </c>
      <c r="J39" s="132">
        <f t="shared" si="2"/>
        <v>191000000</v>
      </c>
    </row>
    <row r="40" spans="1:10">
      <c r="A40" s="91" t="s">
        <v>65</v>
      </c>
      <c r="B40" s="83" t="s">
        <v>212</v>
      </c>
      <c r="C40" s="127">
        <v>43919</v>
      </c>
      <c r="D40" s="83" t="str">
        <f>VLOOKUP(A40,Detail_Produk[],2,0)</f>
        <v>HONDA BRV E MT</v>
      </c>
      <c r="E40" s="83" t="str">
        <f>VLOOKUP(A40,Detail_Produk[],5,0)</f>
        <v>BRV</v>
      </c>
      <c r="F40" s="83">
        <v>1</v>
      </c>
      <c r="G40" s="83">
        <f>VLOOKUP(A40,TRANSACTION!A69:J78,7,0)</f>
        <v>4</v>
      </c>
      <c r="H40" s="83">
        <f t="shared" si="1"/>
        <v>3</v>
      </c>
      <c r="I40" s="130">
        <f>VLOOKUP(A40,TRANSACTION!A69:J78,9,0)</f>
        <v>250500000</v>
      </c>
      <c r="J40" s="132">
        <f t="shared" si="2"/>
        <v>250500000</v>
      </c>
    </row>
    <row r="41" spans="1:10">
      <c r="A41" s="60" t="s">
        <v>69</v>
      </c>
      <c r="B41" s="10" t="s">
        <v>213</v>
      </c>
      <c r="C41" s="26">
        <v>43987</v>
      </c>
      <c r="D41" s="10" t="str">
        <f>VLOOKUP(A41,Detail_Produk[],2,0)</f>
        <v>HONDA Jazz S CVT</v>
      </c>
      <c r="E41" s="10" t="str">
        <f>VLOOKUP(A41,Detail_Produk[],5,0)</f>
        <v>Jazz</v>
      </c>
      <c r="F41" s="10">
        <v>1</v>
      </c>
      <c r="G41" s="83">
        <f>VLOOKUP(A41,TRANSACTION!A70:J79,7,0)</f>
        <v>8</v>
      </c>
      <c r="H41" s="83">
        <f t="shared" si="1"/>
        <v>7</v>
      </c>
      <c r="I41" s="130">
        <f>VLOOKUP(A41,TRANSACTION!A70:J79,9,0)</f>
        <v>271000000</v>
      </c>
      <c r="J41" s="132">
        <f t="shared" si="2"/>
        <v>271000000</v>
      </c>
    </row>
    <row r="42" spans="1:10">
      <c r="A42" s="112" t="s">
        <v>76</v>
      </c>
      <c r="B42" s="83" t="s">
        <v>214</v>
      </c>
      <c r="C42" s="127">
        <v>44003</v>
      </c>
      <c r="D42" s="83" t="str">
        <f>VLOOKUP(A42,Detail_Produk[],2,0)</f>
        <v>HONDA NEW HRV 1.5 E CVT</v>
      </c>
      <c r="E42" s="83" t="str">
        <f>VLOOKUP(A42,Detail_Produk[],5,0)</f>
        <v>HRV</v>
      </c>
      <c r="F42" s="83">
        <v>1</v>
      </c>
      <c r="G42" s="83">
        <f>VLOOKUP(A42,TRANSACTION!A71:J80,7,0)</f>
        <v>3</v>
      </c>
      <c r="H42" s="83">
        <f t="shared" si="1"/>
        <v>2</v>
      </c>
      <c r="I42" s="130">
        <f>VLOOKUP(A42,TRANSACTION!A71:J80,9,0)</f>
        <v>319000000</v>
      </c>
      <c r="J42" s="132">
        <f t="shared" si="2"/>
        <v>319000000</v>
      </c>
    </row>
    <row r="43" spans="1:10">
      <c r="A43" s="60" t="s">
        <v>77</v>
      </c>
      <c r="B43" s="10" t="s">
        <v>215</v>
      </c>
      <c r="C43" s="26">
        <v>44027</v>
      </c>
      <c r="D43" s="10" t="str">
        <f>VLOOKUP(A43,Detail_Produk[],2,0)</f>
        <v>HONDA NEW HRV 1.5 E CVT SE</v>
      </c>
      <c r="E43" s="10" t="str">
        <f>VLOOKUP(A43,Detail_Produk[],5,0)</f>
        <v>HRV</v>
      </c>
      <c r="F43" s="10">
        <v>1</v>
      </c>
      <c r="G43" s="83">
        <f>VLOOKUP(A43,TRANSACTION!A72:J81,7,0)</f>
        <v>3</v>
      </c>
      <c r="H43" s="83">
        <f t="shared" si="1"/>
        <v>2</v>
      </c>
      <c r="I43" s="130">
        <f>VLOOKUP(A43,TRANSACTION!A72:J81,9,0)</f>
        <v>336000000</v>
      </c>
      <c r="J43" s="132">
        <f t="shared" si="2"/>
        <v>336000000</v>
      </c>
    </row>
    <row r="44" spans="1:10">
      <c r="A44" s="112" t="s">
        <v>80</v>
      </c>
      <c r="B44" s="83" t="s">
        <v>216</v>
      </c>
      <c r="C44" s="127">
        <v>44034</v>
      </c>
      <c r="D44" s="83" t="str">
        <f>VLOOKUP(A44,Detail_Produk[],2,0)</f>
        <v>HONDA NEW CRV 2.0L CVT</v>
      </c>
      <c r="E44" s="83" t="str">
        <f>VLOOKUP(A44,Detail_Produk[],5,0)</f>
        <v>CRV</v>
      </c>
      <c r="F44" s="83">
        <v>1</v>
      </c>
      <c r="G44" s="83">
        <f>VLOOKUP(A44,TRANSACTION!A73:J82,7,0)</f>
        <v>9</v>
      </c>
      <c r="H44" s="83">
        <f t="shared" si="1"/>
        <v>8</v>
      </c>
      <c r="I44" s="130">
        <f>VLOOKUP(A44,TRANSACTION!A73:J82,9,0)</f>
        <v>446500000</v>
      </c>
      <c r="J44" s="132">
        <f t="shared" si="2"/>
        <v>446500000</v>
      </c>
    </row>
    <row r="45" spans="1:10">
      <c r="A45" s="60" t="s">
        <v>59</v>
      </c>
      <c r="B45" s="10" t="s">
        <v>217</v>
      </c>
      <c r="C45" s="26">
        <v>44068</v>
      </c>
      <c r="D45" s="10" t="str">
        <f>VLOOKUP(A45,Detail_Produk[],2,0)</f>
        <v>HONDA Mobilio E S CVT</v>
      </c>
      <c r="E45" s="10" t="str">
        <f>VLOOKUP(A45,Detail_Produk[],5,0)</f>
        <v>Mobilio</v>
      </c>
      <c r="F45" s="10">
        <v>1</v>
      </c>
      <c r="G45" s="83">
        <f>VLOOKUP(A45,TRANSACTION!A74:J83,7,0)</f>
        <v>10</v>
      </c>
      <c r="H45" s="83">
        <f t="shared" si="1"/>
        <v>9</v>
      </c>
      <c r="I45" s="130">
        <f>VLOOKUP(A45,TRANSACTION!A74:J83,9,0)</f>
        <v>231400000</v>
      </c>
      <c r="J45" s="132">
        <f t="shared" si="2"/>
        <v>231400000</v>
      </c>
    </row>
    <row r="46" spans="1:10">
      <c r="A46" s="91" t="s">
        <v>85</v>
      </c>
      <c r="B46" s="83" t="s">
        <v>218</v>
      </c>
      <c r="C46" s="127">
        <v>44113</v>
      </c>
      <c r="D46" s="83" t="str">
        <f>VLOOKUP(A46,Detail_Produk[],2,0)</f>
        <v>HONDA Civic E MT</v>
      </c>
      <c r="E46" s="83" t="str">
        <f>VLOOKUP(A46,Detail_Produk[],5,0)</f>
        <v>Civic</v>
      </c>
      <c r="F46" s="83">
        <v>1</v>
      </c>
      <c r="G46" s="83">
        <f>VLOOKUP(A46,TRANSACTION!A75:J84,7,0)</f>
        <v>9</v>
      </c>
      <c r="H46" s="83">
        <f t="shared" si="1"/>
        <v>8</v>
      </c>
      <c r="I46" s="130">
        <f>VLOOKUP(A46,TRANSACTION!A75:J84,9,0)</f>
        <v>416500000</v>
      </c>
      <c r="J46" s="132">
        <f t="shared" si="2"/>
        <v>416500000</v>
      </c>
    </row>
    <row r="47" spans="1:10">
      <c r="A47" s="60" t="s">
        <v>87</v>
      </c>
      <c r="B47" s="10" t="s">
        <v>219</v>
      </c>
      <c r="C47" s="26">
        <v>44173</v>
      </c>
      <c r="D47" s="10" t="str">
        <f>VLOOKUP(A47,Detail_Produk[],2,0)</f>
        <v>HONDA Civic HATCHBACK S CVT</v>
      </c>
      <c r="E47" s="10" t="str">
        <f>VLOOKUP(A47,Detail_Produk[],5,0)</f>
        <v>Civic</v>
      </c>
      <c r="F47" s="10">
        <v>1</v>
      </c>
      <c r="G47" s="83">
        <f>VLOOKUP(A47,TRANSACTION!A76:J85,7,0)</f>
        <v>10</v>
      </c>
      <c r="H47" s="83">
        <f t="shared" si="1"/>
        <v>9</v>
      </c>
      <c r="I47" s="130">
        <f>VLOOKUP(A47,TRANSACTION!A76:J85,9,0)</f>
        <v>497500000</v>
      </c>
      <c r="J47" s="132">
        <f t="shared" si="2"/>
        <v>497500000</v>
      </c>
    </row>
    <row r="48" spans="1:10">
      <c r="A48" s="91" t="s">
        <v>53</v>
      </c>
      <c r="B48" s="83" t="s">
        <v>220</v>
      </c>
      <c r="C48" s="127">
        <v>44201</v>
      </c>
      <c r="D48" s="83" t="str">
        <f>VLOOKUP(A48,Detail_Produk[],2,0)</f>
        <v>HONDA All New Brio Satya E CVT</v>
      </c>
      <c r="E48" s="10" t="str">
        <f>VLOOKUP(A48,TRANSACTION!A82:J99,5,0)</f>
        <v>Brio</v>
      </c>
      <c r="F48" s="83">
        <v>1</v>
      </c>
      <c r="G48" s="83">
        <f>VLOOKUP(A48,TRANSACTION!A89:J106,7,0)</f>
        <v>14</v>
      </c>
      <c r="H48" s="83">
        <f t="shared" si="1"/>
        <v>13</v>
      </c>
      <c r="I48" s="129">
        <f>VLOOKUP(A48,TRANSACTION!A89:J106,9,0)</f>
        <v>163500000</v>
      </c>
      <c r="J48" s="132">
        <f t="shared" si="2"/>
        <v>163500000</v>
      </c>
    </row>
    <row r="49" spans="1:10">
      <c r="A49" s="30" t="s">
        <v>54</v>
      </c>
      <c r="B49" s="10" t="s">
        <v>221</v>
      </c>
      <c r="C49" s="26">
        <v>44221</v>
      </c>
      <c r="D49" s="10" t="str">
        <f>VLOOKUP(A49,Detail_Produk[],2,0)</f>
        <v>HONDA All New Brio RS CVT</v>
      </c>
      <c r="E49" s="10" t="str">
        <f>VLOOKUP(A49,TRANSACTION!A83:J100,5,0)</f>
        <v>Brio</v>
      </c>
      <c r="F49" s="10">
        <v>1</v>
      </c>
      <c r="G49" s="83">
        <f>VLOOKUP(A49,TRANSACTION!A90:J107,7,0)</f>
        <v>14</v>
      </c>
      <c r="H49" s="83">
        <f t="shared" si="1"/>
        <v>13</v>
      </c>
      <c r="I49" s="129">
        <f>VLOOKUP(A49,TRANSACTION!A90:J107,9,0)</f>
        <v>176000000</v>
      </c>
      <c r="J49" s="132">
        <f t="shared" si="2"/>
        <v>176000000</v>
      </c>
    </row>
    <row r="50" spans="1:10">
      <c r="A50" s="91" t="s">
        <v>56</v>
      </c>
      <c r="B50" s="83" t="s">
        <v>222</v>
      </c>
      <c r="C50" s="127">
        <v>44226</v>
      </c>
      <c r="D50" s="83" t="str">
        <f>VLOOKUP(A50,Detail_Produk[],2,0)</f>
        <v>HONDA Mobilio S MT</v>
      </c>
      <c r="E50" s="10" t="str">
        <f>VLOOKUP(A50,TRANSACTION!A84:J101,5,0)</f>
        <v>Mobilio</v>
      </c>
      <c r="F50" s="83">
        <v>1</v>
      </c>
      <c r="G50" s="83">
        <f>VLOOKUP(A50,TRANSACTION!A91:J108,7,0)</f>
        <v>8</v>
      </c>
      <c r="H50" s="83">
        <f t="shared" si="1"/>
        <v>7</v>
      </c>
      <c r="I50" s="129">
        <f>VLOOKUP(A50,TRANSACTION!A91:J108,9,0)</f>
        <v>195500000</v>
      </c>
      <c r="J50" s="132">
        <f t="shared" si="2"/>
        <v>195500000</v>
      </c>
    </row>
    <row r="51" spans="1:10">
      <c r="A51" s="30" t="s">
        <v>88</v>
      </c>
      <c r="B51" s="10" t="s">
        <v>223</v>
      </c>
      <c r="C51" s="26">
        <v>44258</v>
      </c>
      <c r="D51" s="10" t="str">
        <f>VLOOKUP(A51,Detail_Produk[],2,0)</f>
        <v>HONDA Civic HATCHBACK E CVT</v>
      </c>
      <c r="E51" s="10" t="str">
        <f>VLOOKUP(A51,TRANSACTION!A85:J102,5,0)</f>
        <v>Civic</v>
      </c>
      <c r="F51" s="10">
        <v>1</v>
      </c>
      <c r="G51" s="83">
        <f>VLOOKUP(A51,TRANSACTION!A92:J109,7,0)</f>
        <v>10</v>
      </c>
      <c r="H51" s="83">
        <f t="shared" si="1"/>
        <v>9</v>
      </c>
      <c r="I51" s="129">
        <f>VLOOKUP(A51,TRANSACTION!A92:J109,9,0)</f>
        <v>500500000</v>
      </c>
      <c r="J51" s="132">
        <f t="shared" si="2"/>
        <v>500500000</v>
      </c>
    </row>
    <row r="52" spans="1:10">
      <c r="A52" s="91" t="s">
        <v>84</v>
      </c>
      <c r="B52" s="83" t="s">
        <v>224</v>
      </c>
      <c r="C52" s="127">
        <v>44290</v>
      </c>
      <c r="D52" s="83" t="str">
        <f>VLOOKUP(A52,Detail_Produk[],2,0)</f>
        <v>HONDA CITY ECVT</v>
      </c>
      <c r="E52" s="10" t="str">
        <f>VLOOKUP(A52,TRANSACTION!A86:J103,5,0)</f>
        <v>Hcity</v>
      </c>
      <c r="F52" s="83">
        <v>1</v>
      </c>
      <c r="G52" s="83">
        <f>VLOOKUP(A52,TRANSACTION!A93:J110,7,0)</f>
        <v>5</v>
      </c>
      <c r="H52" s="83">
        <f t="shared" si="1"/>
        <v>4</v>
      </c>
      <c r="I52" s="129">
        <f>VLOOKUP(A52,TRANSACTION!A93:J110,9,0)</f>
        <v>334500000</v>
      </c>
      <c r="J52" s="132">
        <f t="shared" si="2"/>
        <v>334500000</v>
      </c>
    </row>
    <row r="53" spans="1:10">
      <c r="A53" s="30" t="s">
        <v>64</v>
      </c>
      <c r="B53" s="10" t="s">
        <v>225</v>
      </c>
      <c r="C53" s="26">
        <v>44304</v>
      </c>
      <c r="D53" s="10" t="str">
        <f>VLOOKUP(A53,Detail_Produk[],2,0)</f>
        <v>HONDA BRV  S MT</v>
      </c>
      <c r="E53" s="10" t="str">
        <f>VLOOKUP(A53,TRANSACTION!A87:J104,5,0)</f>
        <v>BRV</v>
      </c>
      <c r="F53" s="10">
        <v>1</v>
      </c>
      <c r="G53" s="83">
        <f>VLOOKUP(A53,TRANSACTION!A94:J111,7,0)</f>
        <v>4</v>
      </c>
      <c r="H53" s="83">
        <f t="shared" si="1"/>
        <v>3</v>
      </c>
      <c r="I53" s="129">
        <f>VLOOKUP(A53,TRANSACTION!A94:J111,9,0)</f>
        <v>239500000</v>
      </c>
      <c r="J53" s="132">
        <f t="shared" si="2"/>
        <v>239500000</v>
      </c>
    </row>
    <row r="54" spans="1:10">
      <c r="A54" s="91" t="s">
        <v>71</v>
      </c>
      <c r="B54" s="83" t="s">
        <v>226</v>
      </c>
      <c r="C54" s="127">
        <v>44353</v>
      </c>
      <c r="D54" s="83" t="str">
        <f>VLOOKUP(A54,Detail_Produk[],2,0)</f>
        <v>HONDA Jazz M/T RS 2Tone</v>
      </c>
      <c r="E54" s="10" t="str">
        <f>VLOOKUP(A54,TRANSACTION!A88:J105,5,0)</f>
        <v>Jazz</v>
      </c>
      <c r="F54" s="83">
        <v>1</v>
      </c>
      <c r="G54" s="83">
        <f>VLOOKUP(A54,TRANSACTION!A95:J112,7,0)</f>
        <v>7</v>
      </c>
      <c r="H54" s="83">
        <f t="shared" si="1"/>
        <v>6</v>
      </c>
      <c r="I54" s="129">
        <f>VLOOKUP(A54,TRANSACTION!A95:J112,9,0)</f>
        <v>275000000</v>
      </c>
      <c r="J54" s="132">
        <f t="shared" si="2"/>
        <v>275000000</v>
      </c>
    </row>
    <row r="55" spans="1:10">
      <c r="A55" s="60" t="s">
        <v>89</v>
      </c>
      <c r="B55" s="10" t="s">
        <v>227</v>
      </c>
      <c r="C55" s="26">
        <v>44376</v>
      </c>
      <c r="D55" s="10" t="str">
        <f>VLOOKUP(A55,Detail_Produk[],2,0)</f>
        <v>HONDA Civic 1.5L Turbo AT</v>
      </c>
      <c r="E55" s="10" t="str">
        <f>VLOOKUP(A55,TRANSACTION!A89:J106,5,0)</f>
        <v>Civic</v>
      </c>
      <c r="F55" s="10">
        <v>1</v>
      </c>
      <c r="G55" s="83">
        <f>VLOOKUP(A55,TRANSACTION!A96:J113,7,0)</f>
        <v>10</v>
      </c>
      <c r="H55" s="83">
        <f t="shared" si="1"/>
        <v>9</v>
      </c>
      <c r="I55" s="129">
        <f>VLOOKUP(A55,TRANSACTION!A96:J113,9,0)</f>
        <v>1034500000</v>
      </c>
      <c r="J55" s="132">
        <f t="shared" si="2"/>
        <v>1034500000</v>
      </c>
    </row>
    <row r="56" spans="1:10">
      <c r="A56" s="91" t="s">
        <v>68</v>
      </c>
      <c r="B56" s="83" t="s">
        <v>228</v>
      </c>
      <c r="C56" s="127">
        <v>44399</v>
      </c>
      <c r="D56" s="83" t="str">
        <f>VLOOKUP(A56,Detail_Produk[],2,0)</f>
        <v>HONDA Jazz S MT</v>
      </c>
      <c r="E56" s="10" t="str">
        <f>VLOOKUP(A56,TRANSACTION!A90:J107,5,0)</f>
        <v>Jazz</v>
      </c>
      <c r="F56" s="83">
        <v>1</v>
      </c>
      <c r="G56" s="83">
        <f>VLOOKUP(A56,TRANSACTION!A97:J114,7,0)</f>
        <v>6</v>
      </c>
      <c r="H56" s="83">
        <f t="shared" si="1"/>
        <v>5</v>
      </c>
      <c r="I56" s="129">
        <f>VLOOKUP(A56,TRANSACTION!A97:J114,9,0)</f>
        <v>240500000</v>
      </c>
      <c r="J56" s="132">
        <f t="shared" si="2"/>
        <v>240500000</v>
      </c>
    </row>
    <row r="57" spans="1:10">
      <c r="A57" s="30" t="s">
        <v>62</v>
      </c>
      <c r="B57" s="10" t="s">
        <v>229</v>
      </c>
      <c r="C57" s="26">
        <v>44402</v>
      </c>
      <c r="D57" s="10" t="str">
        <f>VLOOKUP(A57,Detail_Produk[],2,0)</f>
        <v>HONDA Mobilio RT MT (2tone)</v>
      </c>
      <c r="E57" s="10" t="str">
        <f>VLOOKUP(A57,TRANSACTION!A91:J108,5,0)</f>
        <v>Mobilio</v>
      </c>
      <c r="F57" s="10">
        <v>1</v>
      </c>
      <c r="G57" s="83">
        <f>VLOOKUP(A57,TRANSACTION!A98:J115,7,0)</f>
        <v>10</v>
      </c>
      <c r="H57" s="83">
        <f t="shared" si="1"/>
        <v>9</v>
      </c>
      <c r="I57" s="129">
        <f>VLOOKUP(A57,TRANSACTION!A98:J115,9,0)</f>
        <v>239000000</v>
      </c>
      <c r="J57" s="132">
        <f t="shared" si="2"/>
        <v>239000000</v>
      </c>
    </row>
    <row r="58" spans="1:10">
      <c r="A58" s="91" t="s">
        <v>74</v>
      </c>
      <c r="B58" s="83" t="s">
        <v>230</v>
      </c>
      <c r="C58" s="127">
        <v>44438</v>
      </c>
      <c r="D58" s="83" t="str">
        <f>VLOOKUP(A58,Detail_Produk[],2,0)</f>
        <v>HONDA NEW HRV 1.5 S MT</v>
      </c>
      <c r="E58" s="10" t="str">
        <f>VLOOKUP(A58,TRANSACTION!A92:J109,5,0)</f>
        <v>HRV</v>
      </c>
      <c r="F58" s="83">
        <v>1</v>
      </c>
      <c r="G58" s="83">
        <f>VLOOKUP(A58,TRANSACTION!A99:J116,7,0)</f>
        <v>4</v>
      </c>
      <c r="H58" s="83">
        <f t="shared" si="1"/>
        <v>3</v>
      </c>
      <c r="I58" s="129">
        <f>VLOOKUP(A58,TRANSACTION!A99:J116,9,0)</f>
        <v>286000000</v>
      </c>
      <c r="J58" s="132">
        <f t="shared" si="2"/>
        <v>286000000</v>
      </c>
    </row>
    <row r="59" spans="1:10">
      <c r="A59" s="30" t="s">
        <v>76</v>
      </c>
      <c r="B59" s="10" t="s">
        <v>231</v>
      </c>
      <c r="C59" s="26">
        <v>44441</v>
      </c>
      <c r="D59" s="10" t="str">
        <f>VLOOKUP(A59,Detail_Produk[],2,0)</f>
        <v>HONDA NEW HRV 1.5 E CVT</v>
      </c>
      <c r="E59" s="10" t="str">
        <f>VLOOKUP(A59,TRANSACTION!A93:J110,5,0)</f>
        <v>HRV</v>
      </c>
      <c r="F59" s="10">
        <v>1</v>
      </c>
      <c r="G59" s="83">
        <f>VLOOKUP(A59,TRANSACTION!A100:J117,7,0)</f>
        <v>3</v>
      </c>
      <c r="H59" s="83">
        <f t="shared" si="1"/>
        <v>2</v>
      </c>
      <c r="I59" s="129">
        <f>VLOOKUP(A59,TRANSACTION!A100:J117,9,0)</f>
        <v>319000000</v>
      </c>
      <c r="J59" s="132">
        <f t="shared" si="2"/>
        <v>319000000</v>
      </c>
    </row>
    <row r="60" spans="1:10">
      <c r="A60" s="91" t="s">
        <v>86</v>
      </c>
      <c r="B60" s="83" t="s">
        <v>232</v>
      </c>
      <c r="C60" s="127">
        <v>44451</v>
      </c>
      <c r="D60" s="83" t="str">
        <f>VLOOKUP(A60,Detail_Produk[],2,0)</f>
        <v>HONDA Civic E CVT</v>
      </c>
      <c r="E60" s="10" t="str">
        <f>VLOOKUP(A60,TRANSACTION!A94:J111,5,0)</f>
        <v>Civic</v>
      </c>
      <c r="F60" s="83">
        <v>1</v>
      </c>
      <c r="G60" s="83">
        <f>VLOOKUP(A60,TRANSACTION!A101:J118,7,0)</f>
        <v>9</v>
      </c>
      <c r="H60" s="83">
        <f t="shared" si="1"/>
        <v>8</v>
      </c>
      <c r="I60" s="129">
        <f>VLOOKUP(A60,TRANSACTION!A101:J118,9,0)</f>
        <v>455500000</v>
      </c>
      <c r="J60" s="132">
        <f t="shared" si="2"/>
        <v>455500000</v>
      </c>
    </row>
    <row r="61" spans="1:10">
      <c r="A61" s="60" t="s">
        <v>81</v>
      </c>
      <c r="B61" s="10" t="s">
        <v>233</v>
      </c>
      <c r="C61" s="26">
        <v>44456</v>
      </c>
      <c r="D61" s="10" t="str">
        <f>VLOOKUP(A61,Detail_Produk[],2,0)</f>
        <v>HONDA NEW CRV 1.5L Turbo CVT</v>
      </c>
      <c r="E61" s="10" t="str">
        <f>VLOOKUP(A61,TRANSACTION!A95:J112,5,0)</f>
        <v>CRV</v>
      </c>
      <c r="F61" s="10">
        <v>1</v>
      </c>
      <c r="G61" s="83">
        <f>VLOOKUP(A61,TRANSACTION!A102:J119,7,0)</f>
        <v>8</v>
      </c>
      <c r="H61" s="83">
        <f t="shared" si="1"/>
        <v>7</v>
      </c>
      <c r="I61" s="129">
        <f>VLOOKUP(A61,TRANSACTION!A102:J119,9,0)</f>
        <v>480500000</v>
      </c>
      <c r="J61" s="132">
        <f t="shared" si="2"/>
        <v>480500000</v>
      </c>
    </row>
    <row r="62" spans="1:10">
      <c r="A62" s="91" t="s">
        <v>76</v>
      </c>
      <c r="B62" s="83" t="s">
        <v>234</v>
      </c>
      <c r="C62" s="127">
        <v>44503</v>
      </c>
      <c r="D62" s="83" t="str">
        <f>VLOOKUP(A62,Detail_Produk[],2,0)</f>
        <v>HONDA NEW HRV 1.5 E CVT</v>
      </c>
      <c r="E62" s="10" t="str">
        <f>VLOOKUP(A62,TRANSACTION!A96:J113,5,0)</f>
        <v>HRV</v>
      </c>
      <c r="F62" s="83">
        <v>1</v>
      </c>
      <c r="G62" s="83">
        <f>VLOOKUP(A62,TRANSACTION!A103:J120,7,0)</f>
        <v>1</v>
      </c>
      <c r="H62" s="83">
        <f t="shared" si="1"/>
        <v>0</v>
      </c>
      <c r="I62" s="129">
        <f>VLOOKUP(A62,TRANSACTION!A103:J120,9,0)</f>
        <v>319000000</v>
      </c>
      <c r="J62" s="132">
        <f t="shared" si="2"/>
        <v>319000000</v>
      </c>
    </row>
    <row r="63" spans="1:10">
      <c r="A63" s="30" t="s">
        <v>72</v>
      </c>
      <c r="B63" s="10" t="s">
        <v>235</v>
      </c>
      <c r="C63" s="26">
        <v>44519</v>
      </c>
      <c r="D63" s="10" t="str">
        <f>VLOOKUP(A63,Detail_Produk[],2,0)</f>
        <v>HONDA Jazz RS CVT</v>
      </c>
      <c r="E63" s="10" t="str">
        <f>VLOOKUP(A63,TRANSACTION!A97:J114,5,0)</f>
        <v>Jazz</v>
      </c>
      <c r="F63" s="10">
        <v>1</v>
      </c>
      <c r="G63" s="83">
        <f>VLOOKUP(A63,TRANSACTION!A104:J121,7,0)</f>
        <v>8</v>
      </c>
      <c r="H63" s="83">
        <f t="shared" si="1"/>
        <v>7</v>
      </c>
      <c r="I63" s="129">
        <f>VLOOKUP(A63,TRANSACTION!A104:J121,9,0)</f>
        <v>281000000</v>
      </c>
      <c r="J63" s="132">
        <f t="shared" si="2"/>
        <v>281000000</v>
      </c>
    </row>
    <row r="64" spans="1:10">
      <c r="A64" s="91" t="s">
        <v>53</v>
      </c>
      <c r="B64" s="83" t="s">
        <v>236</v>
      </c>
      <c r="C64" s="127">
        <v>44540</v>
      </c>
      <c r="D64" s="83" t="str">
        <f>VLOOKUP(A64,Detail_Produk[],2,0)</f>
        <v>HONDA All New Brio Satya E CVT</v>
      </c>
      <c r="E64" s="10" t="str">
        <f>VLOOKUP(A64,TRANSACTION!A98:J115,5,0)</f>
        <v>Brio</v>
      </c>
      <c r="F64" s="83">
        <v>1</v>
      </c>
      <c r="G64" s="83">
        <f>VLOOKUP(A64,TRANSACTION!A105:J122,7,0)</f>
        <v>13</v>
      </c>
      <c r="H64" s="83">
        <f t="shared" si="1"/>
        <v>12</v>
      </c>
      <c r="I64" s="129">
        <f>VLOOKUP(A64,TRANSACTION!A105:J122,9,0)</f>
        <v>163500000</v>
      </c>
      <c r="J64" s="132">
        <f t="shared" si="2"/>
        <v>163500000</v>
      </c>
    </row>
    <row r="65" spans="1:10">
      <c r="A65" s="36" t="s">
        <v>60</v>
      </c>
      <c r="B65" s="37" t="s">
        <v>237</v>
      </c>
      <c r="C65" s="62">
        <v>44552</v>
      </c>
      <c r="D65" s="37" t="str">
        <f>VLOOKUP(A65,Detail_Produk[],2,0)</f>
        <v>HONDA Mobilio RS MT</v>
      </c>
      <c r="E65" s="37" t="str">
        <f>VLOOKUP(A65,TRANSACTION!A99:J116,5,0)</f>
        <v>Mobilio</v>
      </c>
      <c r="F65" s="37">
        <v>1</v>
      </c>
      <c r="G65" s="94">
        <f>VLOOKUP(A65,TRANSACTION!A106:J123,7,0)</f>
        <v>10</v>
      </c>
      <c r="H65" s="94">
        <f t="shared" si="1"/>
        <v>9</v>
      </c>
      <c r="I65" s="137">
        <f>VLOOKUP(A65,TRANSACTION!A106:J123,9,0)</f>
        <v>237500000</v>
      </c>
      <c r="J65" s="138">
        <f t="shared" si="2"/>
        <v>237500000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0127B-071B-40A4-A7D9-A36B6DB81908}">
  <dimension ref="A1:H68"/>
  <sheetViews>
    <sheetView tabSelected="1" zoomScale="82" workbookViewId="0">
      <selection activeCell="G24" sqref="G24"/>
    </sheetView>
  </sheetViews>
  <sheetFormatPr defaultRowHeight="14"/>
  <cols>
    <col min="1" max="1" width="13.58203125" customWidth="1"/>
    <col min="2" max="2" width="12.1640625" customWidth="1"/>
    <col min="3" max="3" width="18.1640625" customWidth="1"/>
    <col min="4" max="4" width="9.4140625" customWidth="1"/>
  </cols>
  <sheetData>
    <row r="1" spans="1:8">
      <c r="A1" s="162" t="s">
        <v>259</v>
      </c>
      <c r="B1" s="163"/>
      <c r="C1" s="163"/>
      <c r="D1" s="163"/>
      <c r="E1" s="163"/>
      <c r="F1" s="163"/>
      <c r="G1" s="163"/>
      <c r="H1" s="163"/>
    </row>
    <row r="2" spans="1:8">
      <c r="A2" s="163"/>
      <c r="B2" s="163"/>
      <c r="C2" s="163"/>
      <c r="D2" s="163"/>
      <c r="E2" s="163"/>
      <c r="F2" s="163"/>
      <c r="G2" s="163"/>
      <c r="H2" s="163"/>
    </row>
    <row r="3" spans="1:8">
      <c r="A3" s="163"/>
      <c r="B3" s="163"/>
      <c r="C3" s="163"/>
      <c r="D3" s="163"/>
      <c r="E3" s="163"/>
      <c r="F3" s="163"/>
      <c r="G3" s="163"/>
      <c r="H3" s="163"/>
    </row>
    <row r="4" spans="1:8">
      <c r="A4" s="120" t="s">
        <v>260</v>
      </c>
      <c r="B4" s="121" t="s">
        <v>240</v>
      </c>
      <c r="C4" s="121" t="s">
        <v>261</v>
      </c>
      <c r="D4" s="122" t="s">
        <v>262</v>
      </c>
    </row>
    <row r="5" spans="1:8">
      <c r="A5" s="117" t="s">
        <v>263</v>
      </c>
      <c r="B5" s="116" t="s">
        <v>115</v>
      </c>
      <c r="C5" s="84" t="s">
        <v>244</v>
      </c>
      <c r="D5" s="118" t="s">
        <v>253</v>
      </c>
    </row>
    <row r="6" spans="1:8">
      <c r="A6" s="117" t="s">
        <v>264</v>
      </c>
      <c r="B6" s="88" t="s">
        <v>116</v>
      </c>
      <c r="C6" s="86" t="s">
        <v>245</v>
      </c>
      <c r="D6" s="119" t="s">
        <v>253</v>
      </c>
    </row>
    <row r="7" spans="1:8">
      <c r="A7" s="117" t="s">
        <v>265</v>
      </c>
      <c r="B7" s="116" t="s">
        <v>117</v>
      </c>
      <c r="C7" s="84" t="s">
        <v>244</v>
      </c>
      <c r="D7" s="118" t="s">
        <v>253</v>
      </c>
    </row>
    <row r="8" spans="1:8">
      <c r="A8" s="117" t="s">
        <v>266</v>
      </c>
      <c r="B8" s="88" t="s">
        <v>118</v>
      </c>
      <c r="C8" s="86" t="s">
        <v>245</v>
      </c>
      <c r="D8" s="119" t="s">
        <v>255</v>
      </c>
    </row>
    <row r="9" spans="1:8">
      <c r="A9" s="117" t="s">
        <v>267</v>
      </c>
      <c r="B9" s="116" t="s">
        <v>119</v>
      </c>
      <c r="C9" s="84" t="s">
        <v>245</v>
      </c>
      <c r="D9" s="118" t="s">
        <v>255</v>
      </c>
    </row>
    <row r="10" spans="1:8">
      <c r="A10" s="117" t="s">
        <v>268</v>
      </c>
      <c r="B10" s="88" t="s">
        <v>120</v>
      </c>
      <c r="C10" s="86" t="s">
        <v>244</v>
      </c>
      <c r="D10" s="119" t="s">
        <v>257</v>
      </c>
    </row>
    <row r="11" spans="1:8">
      <c r="A11" s="117" t="s">
        <v>269</v>
      </c>
      <c r="B11" s="116" t="s">
        <v>121</v>
      </c>
      <c r="C11" s="84" t="s">
        <v>244</v>
      </c>
      <c r="D11" s="118" t="s">
        <v>257</v>
      </c>
    </row>
    <row r="12" spans="1:8">
      <c r="A12" s="117" t="s">
        <v>270</v>
      </c>
      <c r="B12" s="88" t="s">
        <v>122</v>
      </c>
      <c r="C12" s="86" t="s">
        <v>246</v>
      </c>
      <c r="D12" s="119" t="s">
        <v>253</v>
      </c>
    </row>
    <row r="13" spans="1:8">
      <c r="A13" s="117" t="s">
        <v>271</v>
      </c>
      <c r="B13" s="116" t="s">
        <v>127</v>
      </c>
      <c r="C13" s="84" t="s">
        <v>246</v>
      </c>
      <c r="D13" s="118" t="s">
        <v>255</v>
      </c>
    </row>
    <row r="14" spans="1:8">
      <c r="A14" s="117" t="s">
        <v>272</v>
      </c>
      <c r="B14" s="88" t="s">
        <v>128</v>
      </c>
      <c r="C14" s="86" t="s">
        <v>246</v>
      </c>
      <c r="D14" s="119" t="s">
        <v>253</v>
      </c>
    </row>
    <row r="15" spans="1:8">
      <c r="A15" s="117" t="s">
        <v>273</v>
      </c>
      <c r="B15" s="116" t="s">
        <v>123</v>
      </c>
      <c r="C15" s="84" t="s">
        <v>244</v>
      </c>
      <c r="D15" s="118" t="s">
        <v>255</v>
      </c>
    </row>
    <row r="16" spans="1:8">
      <c r="A16" s="117" t="s">
        <v>274</v>
      </c>
      <c r="B16" s="88" t="s">
        <v>129</v>
      </c>
      <c r="C16" s="86" t="s">
        <v>245</v>
      </c>
      <c r="D16" s="119" t="s">
        <v>255</v>
      </c>
    </row>
    <row r="17" spans="1:4">
      <c r="A17" s="117" t="s">
        <v>275</v>
      </c>
      <c r="B17" s="116" t="s">
        <v>124</v>
      </c>
      <c r="C17" s="84" t="s">
        <v>244</v>
      </c>
      <c r="D17" s="118" t="s">
        <v>255</v>
      </c>
    </row>
    <row r="18" spans="1:4">
      <c r="A18" s="117" t="s">
        <v>276</v>
      </c>
      <c r="B18" s="88" t="s">
        <v>130</v>
      </c>
      <c r="C18" s="86" t="s">
        <v>246</v>
      </c>
      <c r="D18" s="119" t="s">
        <v>255</v>
      </c>
    </row>
    <row r="19" spans="1:4">
      <c r="A19" s="117" t="s">
        <v>277</v>
      </c>
      <c r="B19" s="116" t="s">
        <v>131</v>
      </c>
      <c r="C19" s="84" t="s">
        <v>246</v>
      </c>
      <c r="D19" s="118" t="s">
        <v>253</v>
      </c>
    </row>
    <row r="20" spans="1:4">
      <c r="A20" s="117" t="s">
        <v>278</v>
      </c>
      <c r="B20" s="88" t="s">
        <v>125</v>
      </c>
      <c r="C20" s="86" t="s">
        <v>244</v>
      </c>
      <c r="D20" s="119" t="s">
        <v>253</v>
      </c>
    </row>
    <row r="21" spans="1:4">
      <c r="A21" s="117" t="s">
        <v>279</v>
      </c>
      <c r="B21" s="116" t="s">
        <v>132</v>
      </c>
      <c r="C21" s="84" t="s">
        <v>245</v>
      </c>
      <c r="D21" s="118" t="s">
        <v>253</v>
      </c>
    </row>
    <row r="22" spans="1:4">
      <c r="A22" s="117" t="s">
        <v>280</v>
      </c>
      <c r="B22" s="88" t="s">
        <v>133</v>
      </c>
      <c r="C22" s="86" t="s">
        <v>244</v>
      </c>
      <c r="D22" s="119" t="s">
        <v>253</v>
      </c>
    </row>
    <row r="23" spans="1:4">
      <c r="A23" s="117" t="s">
        <v>281</v>
      </c>
      <c r="B23" s="116" t="s">
        <v>126</v>
      </c>
      <c r="C23" s="84" t="s">
        <v>246</v>
      </c>
      <c r="D23" s="118" t="s">
        <v>253</v>
      </c>
    </row>
    <row r="24" spans="1:4">
      <c r="A24" s="117" t="s">
        <v>282</v>
      </c>
      <c r="B24" s="116" t="s">
        <v>188</v>
      </c>
      <c r="C24" s="86" t="s">
        <v>244</v>
      </c>
      <c r="D24" s="119" t="s">
        <v>255</v>
      </c>
    </row>
    <row r="25" spans="1:4">
      <c r="A25" s="117" t="s">
        <v>283</v>
      </c>
      <c r="B25" s="88" t="s">
        <v>189</v>
      </c>
      <c r="C25" s="84" t="s">
        <v>246</v>
      </c>
      <c r="D25" s="118" t="s">
        <v>255</v>
      </c>
    </row>
    <row r="26" spans="1:4">
      <c r="A26" s="117" t="s">
        <v>284</v>
      </c>
      <c r="B26" s="116" t="s">
        <v>190</v>
      </c>
      <c r="C26" s="86" t="s">
        <v>245</v>
      </c>
      <c r="D26" s="119" t="s">
        <v>257</v>
      </c>
    </row>
    <row r="27" spans="1:4">
      <c r="A27" s="117" t="s">
        <v>285</v>
      </c>
      <c r="B27" s="88" t="s">
        <v>191</v>
      </c>
      <c r="C27" s="84" t="s">
        <v>244</v>
      </c>
      <c r="D27" s="118" t="s">
        <v>257</v>
      </c>
    </row>
    <row r="28" spans="1:4">
      <c r="A28" s="117" t="s">
        <v>286</v>
      </c>
      <c r="B28" s="116" t="s">
        <v>192</v>
      </c>
      <c r="C28" s="86" t="s">
        <v>245</v>
      </c>
      <c r="D28" s="119" t="s">
        <v>257</v>
      </c>
    </row>
    <row r="29" spans="1:4">
      <c r="A29" s="117" t="s">
        <v>287</v>
      </c>
      <c r="B29" s="88" t="s">
        <v>193</v>
      </c>
      <c r="C29" s="84" t="s">
        <v>245</v>
      </c>
      <c r="D29" s="118" t="s">
        <v>257</v>
      </c>
    </row>
    <row r="30" spans="1:4">
      <c r="A30" s="117" t="s">
        <v>288</v>
      </c>
      <c r="B30" s="116" t="s">
        <v>194</v>
      </c>
      <c r="C30" s="86" t="s">
        <v>246</v>
      </c>
      <c r="D30" s="119" t="s">
        <v>253</v>
      </c>
    </row>
    <row r="31" spans="1:4">
      <c r="A31" s="117" t="s">
        <v>289</v>
      </c>
      <c r="B31" s="88" t="s">
        <v>195</v>
      </c>
      <c r="C31" s="84" t="s">
        <v>246</v>
      </c>
      <c r="D31" s="118" t="s">
        <v>255</v>
      </c>
    </row>
    <row r="32" spans="1:4">
      <c r="A32" s="117" t="s">
        <v>290</v>
      </c>
      <c r="B32" s="116" t="s">
        <v>196</v>
      </c>
      <c r="C32" s="86" t="s">
        <v>246</v>
      </c>
      <c r="D32" s="119" t="s">
        <v>253</v>
      </c>
    </row>
    <row r="33" spans="1:4">
      <c r="A33" s="117" t="s">
        <v>291</v>
      </c>
      <c r="B33" s="88" t="s">
        <v>197</v>
      </c>
      <c r="C33" s="84" t="s">
        <v>246</v>
      </c>
      <c r="D33" s="118" t="s">
        <v>257</v>
      </c>
    </row>
    <row r="34" spans="1:4">
      <c r="A34" s="117" t="s">
        <v>292</v>
      </c>
      <c r="B34" s="116" t="s">
        <v>198</v>
      </c>
      <c r="C34" s="86" t="s">
        <v>244</v>
      </c>
      <c r="D34" s="119" t="s">
        <v>255</v>
      </c>
    </row>
    <row r="35" spans="1:4">
      <c r="A35" s="117" t="s">
        <v>293</v>
      </c>
      <c r="B35" s="88" t="s">
        <v>199</v>
      </c>
      <c r="C35" s="84" t="s">
        <v>245</v>
      </c>
      <c r="D35" s="118" t="s">
        <v>257</v>
      </c>
    </row>
    <row r="36" spans="1:4">
      <c r="A36" s="117" t="s">
        <v>294</v>
      </c>
      <c r="B36" s="116" t="s">
        <v>200</v>
      </c>
      <c r="C36" s="86" t="s">
        <v>245</v>
      </c>
      <c r="D36" s="119" t="s">
        <v>255</v>
      </c>
    </row>
    <row r="37" spans="1:4">
      <c r="A37" s="117" t="s">
        <v>295</v>
      </c>
      <c r="B37" s="88" t="s">
        <v>201</v>
      </c>
      <c r="C37" s="84" t="s">
        <v>244</v>
      </c>
      <c r="D37" s="118" t="s">
        <v>257</v>
      </c>
    </row>
    <row r="38" spans="1:4">
      <c r="A38" s="117" t="s">
        <v>296</v>
      </c>
      <c r="B38" s="116" t="s">
        <v>202</v>
      </c>
      <c r="C38" s="86" t="s">
        <v>246</v>
      </c>
      <c r="D38" s="119" t="s">
        <v>257</v>
      </c>
    </row>
    <row r="39" spans="1:4">
      <c r="A39" s="117" t="s">
        <v>297</v>
      </c>
      <c r="B39" s="88" t="s">
        <v>203</v>
      </c>
      <c r="C39" s="84" t="s">
        <v>246</v>
      </c>
      <c r="D39" s="118" t="s">
        <v>257</v>
      </c>
    </row>
    <row r="40" spans="1:4">
      <c r="A40" s="117" t="s">
        <v>298</v>
      </c>
      <c r="B40" s="116" t="s">
        <v>204</v>
      </c>
      <c r="C40" s="86" t="s">
        <v>244</v>
      </c>
      <c r="D40" s="119" t="s">
        <v>253</v>
      </c>
    </row>
    <row r="41" spans="1:4">
      <c r="A41" s="117" t="s">
        <v>299</v>
      </c>
      <c r="B41" s="116" t="s">
        <v>210</v>
      </c>
      <c r="C41" s="84" t="s">
        <v>244</v>
      </c>
      <c r="D41" s="118" t="s">
        <v>253</v>
      </c>
    </row>
    <row r="42" spans="1:4">
      <c r="A42" s="117" t="s">
        <v>300</v>
      </c>
      <c r="B42" s="88" t="s">
        <v>211</v>
      </c>
      <c r="C42" s="86" t="s">
        <v>246</v>
      </c>
      <c r="D42" s="119" t="s">
        <v>255</v>
      </c>
    </row>
    <row r="43" spans="1:4">
      <c r="A43" s="117" t="s">
        <v>301</v>
      </c>
      <c r="B43" s="116" t="s">
        <v>212</v>
      </c>
      <c r="C43" s="84" t="s">
        <v>245</v>
      </c>
      <c r="D43" s="118" t="s">
        <v>253</v>
      </c>
    </row>
    <row r="44" spans="1:4">
      <c r="A44" s="117" t="s">
        <v>302</v>
      </c>
      <c r="B44" s="88" t="s">
        <v>213</v>
      </c>
      <c r="C44" s="86" t="s">
        <v>245</v>
      </c>
      <c r="D44" s="119" t="s">
        <v>257</v>
      </c>
    </row>
    <row r="45" spans="1:4">
      <c r="A45" s="117" t="s">
        <v>303</v>
      </c>
      <c r="B45" s="116" t="s">
        <v>214</v>
      </c>
      <c r="C45" s="84" t="s">
        <v>245</v>
      </c>
      <c r="D45" s="118" t="s">
        <v>255</v>
      </c>
    </row>
    <row r="46" spans="1:4">
      <c r="A46" s="117" t="s">
        <v>304</v>
      </c>
      <c r="B46" s="88" t="s">
        <v>215</v>
      </c>
      <c r="C46" s="86" t="s">
        <v>244</v>
      </c>
      <c r="D46" s="119" t="s">
        <v>253</v>
      </c>
    </row>
    <row r="47" spans="1:4">
      <c r="A47" s="117" t="s">
        <v>305</v>
      </c>
      <c r="B47" s="116" t="s">
        <v>216</v>
      </c>
      <c r="C47" s="84" t="s">
        <v>244</v>
      </c>
      <c r="D47" s="118" t="s">
        <v>257</v>
      </c>
    </row>
    <row r="48" spans="1:4">
      <c r="A48" s="117" t="s">
        <v>306</v>
      </c>
      <c r="B48" s="88" t="s">
        <v>217</v>
      </c>
      <c r="C48" s="86" t="s">
        <v>244</v>
      </c>
      <c r="D48" s="119" t="s">
        <v>257</v>
      </c>
    </row>
    <row r="49" spans="1:4">
      <c r="A49" s="117" t="s">
        <v>307</v>
      </c>
      <c r="B49" s="116" t="s">
        <v>218</v>
      </c>
      <c r="C49" s="84" t="s">
        <v>246</v>
      </c>
      <c r="D49" s="118" t="s">
        <v>257</v>
      </c>
    </row>
    <row r="50" spans="1:4">
      <c r="A50" s="117" t="s">
        <v>308</v>
      </c>
      <c r="B50" s="88" t="s">
        <v>219</v>
      </c>
      <c r="C50" s="86" t="s">
        <v>244</v>
      </c>
      <c r="D50" s="119" t="s">
        <v>257</v>
      </c>
    </row>
    <row r="51" spans="1:4">
      <c r="A51" s="117" t="s">
        <v>309</v>
      </c>
      <c r="B51" s="116" t="s">
        <v>220</v>
      </c>
      <c r="C51" s="84" t="s">
        <v>244</v>
      </c>
      <c r="D51" s="118" t="s">
        <v>253</v>
      </c>
    </row>
    <row r="52" spans="1:4">
      <c r="A52" s="117" t="s">
        <v>310</v>
      </c>
      <c r="B52" s="88" t="s">
        <v>221</v>
      </c>
      <c r="C52" s="86" t="s">
        <v>246</v>
      </c>
      <c r="D52" s="119" t="s">
        <v>253</v>
      </c>
    </row>
    <row r="53" spans="1:4">
      <c r="A53" s="117" t="s">
        <v>311</v>
      </c>
      <c r="B53" s="116" t="s">
        <v>222</v>
      </c>
      <c r="C53" s="84" t="s">
        <v>245</v>
      </c>
      <c r="D53" s="118" t="s">
        <v>253</v>
      </c>
    </row>
    <row r="54" spans="1:4">
      <c r="A54" s="117" t="s">
        <v>312</v>
      </c>
      <c r="B54" s="88" t="s">
        <v>223</v>
      </c>
      <c r="C54" s="86" t="s">
        <v>246</v>
      </c>
      <c r="D54" s="119" t="s">
        <v>253</v>
      </c>
    </row>
    <row r="55" spans="1:4">
      <c r="A55" s="117" t="s">
        <v>313</v>
      </c>
      <c r="B55" s="116" t="s">
        <v>224</v>
      </c>
      <c r="C55" s="84" t="s">
        <v>245</v>
      </c>
      <c r="D55" s="118" t="s">
        <v>255</v>
      </c>
    </row>
    <row r="56" spans="1:4">
      <c r="A56" s="117" t="s">
        <v>314</v>
      </c>
      <c r="B56" s="88" t="s">
        <v>225</v>
      </c>
      <c r="C56" s="86" t="s">
        <v>244</v>
      </c>
      <c r="D56" s="119" t="s">
        <v>255</v>
      </c>
    </row>
    <row r="57" spans="1:4">
      <c r="A57" s="117" t="s">
        <v>315</v>
      </c>
      <c r="B57" s="116" t="s">
        <v>226</v>
      </c>
      <c r="C57" s="84" t="s">
        <v>246</v>
      </c>
      <c r="D57" s="118" t="s">
        <v>255</v>
      </c>
    </row>
    <row r="58" spans="1:4">
      <c r="A58" s="117" t="s">
        <v>316</v>
      </c>
      <c r="B58" s="88" t="s">
        <v>227</v>
      </c>
      <c r="C58" s="86" t="s">
        <v>245</v>
      </c>
      <c r="D58" s="119" t="s">
        <v>255</v>
      </c>
    </row>
    <row r="59" spans="1:4">
      <c r="A59" s="117" t="s">
        <v>317</v>
      </c>
      <c r="B59" s="116" t="s">
        <v>228</v>
      </c>
      <c r="C59" s="84" t="s">
        <v>244</v>
      </c>
      <c r="D59" s="118" t="s">
        <v>255</v>
      </c>
    </row>
    <row r="60" spans="1:4">
      <c r="A60" s="117" t="s">
        <v>318</v>
      </c>
      <c r="B60" s="88" t="s">
        <v>229</v>
      </c>
      <c r="C60" s="86" t="s">
        <v>244</v>
      </c>
      <c r="D60" s="119" t="s">
        <v>255</v>
      </c>
    </row>
    <row r="61" spans="1:4">
      <c r="A61" s="117" t="s">
        <v>319</v>
      </c>
      <c r="B61" s="116" t="s">
        <v>230</v>
      </c>
      <c r="C61" s="84" t="s">
        <v>245</v>
      </c>
      <c r="D61" s="118" t="s">
        <v>253</v>
      </c>
    </row>
    <row r="62" spans="1:4">
      <c r="A62" s="117" t="s">
        <v>320</v>
      </c>
      <c r="B62" s="88" t="s">
        <v>231</v>
      </c>
      <c r="C62" s="86" t="s">
        <v>244</v>
      </c>
      <c r="D62" s="119" t="s">
        <v>255</v>
      </c>
    </row>
    <row r="63" spans="1:4">
      <c r="A63" s="117" t="s">
        <v>321</v>
      </c>
      <c r="B63" s="116" t="s">
        <v>232</v>
      </c>
      <c r="C63" s="84" t="s">
        <v>246</v>
      </c>
      <c r="D63" s="118" t="s">
        <v>253</v>
      </c>
    </row>
    <row r="64" spans="1:4">
      <c r="A64" s="117" t="s">
        <v>322</v>
      </c>
      <c r="B64" s="88" t="s">
        <v>233</v>
      </c>
      <c r="C64" s="86" t="s">
        <v>245</v>
      </c>
      <c r="D64" s="119" t="s">
        <v>257</v>
      </c>
    </row>
    <row r="65" spans="1:4">
      <c r="A65" s="117" t="s">
        <v>323</v>
      </c>
      <c r="B65" s="116" t="s">
        <v>234</v>
      </c>
      <c r="C65" s="84" t="s">
        <v>244</v>
      </c>
      <c r="D65" s="118" t="s">
        <v>255</v>
      </c>
    </row>
    <row r="66" spans="1:4">
      <c r="A66" s="117" t="s">
        <v>324</v>
      </c>
      <c r="B66" s="88" t="s">
        <v>235</v>
      </c>
      <c r="C66" s="86" t="s">
        <v>246</v>
      </c>
      <c r="D66" s="119" t="s">
        <v>257</v>
      </c>
    </row>
    <row r="67" spans="1:4">
      <c r="A67" s="117" t="s">
        <v>325</v>
      </c>
      <c r="B67" s="116" t="s">
        <v>236</v>
      </c>
      <c r="C67" s="84" t="s">
        <v>246</v>
      </c>
      <c r="D67" s="118" t="s">
        <v>253</v>
      </c>
    </row>
    <row r="68" spans="1:4">
      <c r="A68" s="123" t="s">
        <v>326</v>
      </c>
      <c r="B68" s="124" t="s">
        <v>237</v>
      </c>
      <c r="C68" s="125" t="s">
        <v>246</v>
      </c>
      <c r="D68" s="126" t="s">
        <v>255</v>
      </c>
    </row>
  </sheetData>
  <mergeCells count="1">
    <mergeCell ref="A1:H3"/>
  </mergeCells>
  <phoneticPr fontId="3" type="noConversion"/>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72F49-A396-46AD-85EF-855CD009C4F8}">
  <dimension ref="A6:M70"/>
  <sheetViews>
    <sheetView zoomScale="70" zoomScaleNormal="70" workbookViewId="0">
      <selection activeCell="C1" sqref="C1"/>
    </sheetView>
  </sheetViews>
  <sheetFormatPr defaultRowHeight="14"/>
  <cols>
    <col min="1" max="1" width="19.58203125" customWidth="1"/>
    <col min="2" max="2" width="16.9140625" customWidth="1"/>
    <col min="3" max="3" width="19.33203125" customWidth="1"/>
    <col min="4" max="4" width="39.4140625" customWidth="1"/>
    <col min="5" max="5" width="10.83203125" customWidth="1"/>
    <col min="8" max="8" width="11.9140625" customWidth="1"/>
    <col min="9" max="9" width="11.33203125" customWidth="1"/>
    <col min="11" max="11" width="12" customWidth="1"/>
    <col min="12" max="12" width="20" customWidth="1"/>
    <col min="13" max="13" width="20.08203125" customWidth="1"/>
  </cols>
  <sheetData>
    <row r="6" spans="1:13">
      <c r="A6" s="109" t="s">
        <v>50</v>
      </c>
      <c r="B6" s="110" t="s">
        <v>151</v>
      </c>
      <c r="C6" s="110" t="s">
        <v>150</v>
      </c>
      <c r="D6" s="110" t="s">
        <v>149</v>
      </c>
      <c r="E6" s="110" t="s">
        <v>243</v>
      </c>
      <c r="F6" s="110" t="s">
        <v>251</v>
      </c>
      <c r="G6" s="110" t="s">
        <v>252</v>
      </c>
      <c r="H6" s="110" t="s">
        <v>148</v>
      </c>
      <c r="I6" s="110" t="s">
        <v>153</v>
      </c>
      <c r="J6" s="110" t="s">
        <v>154</v>
      </c>
      <c r="K6" s="110" t="s">
        <v>155</v>
      </c>
      <c r="L6" s="110" t="s">
        <v>18</v>
      </c>
      <c r="M6" s="111" t="s">
        <v>156</v>
      </c>
    </row>
    <row r="7" spans="1:13">
      <c r="A7" s="30" t="s">
        <v>51</v>
      </c>
      <c r="B7" s="3" t="s">
        <v>115</v>
      </c>
      <c r="C7" s="19">
        <f>DATE(2018,1,30)</f>
        <v>43130</v>
      </c>
      <c r="D7" s="10" t="str">
        <f>VLOOKUP(A7,Detail_Produk[],2,0)</f>
        <v>HONDA All New Brio Satya S MT</v>
      </c>
      <c r="E7" s="17" t="s">
        <v>244</v>
      </c>
      <c r="F7" s="3" t="s">
        <v>253</v>
      </c>
      <c r="G7" s="3" t="s">
        <v>254</v>
      </c>
      <c r="H7" s="3" t="str">
        <f>VLOOKUP(A7,Detail_Produk[],5,0)</f>
        <v>Brio</v>
      </c>
      <c r="I7" s="3">
        <v>1</v>
      </c>
      <c r="J7" s="3">
        <v>15</v>
      </c>
      <c r="K7" s="3">
        <v>14</v>
      </c>
      <c r="L7" s="6">
        <f>VLOOKUP(A7,Detail_Produk[],3,0)</f>
        <v>140000000</v>
      </c>
      <c r="M7" s="61">
        <f>L7*I7</f>
        <v>140000000</v>
      </c>
    </row>
    <row r="8" spans="1:13">
      <c r="A8" s="53" t="s">
        <v>52</v>
      </c>
      <c r="B8" s="3" t="s">
        <v>116</v>
      </c>
      <c r="C8" s="19">
        <f>DATE(2018,1,12)</f>
        <v>43112</v>
      </c>
      <c r="D8" s="3" t="str">
        <f>VLOOKUP(A8,Detail_Produk[],2,0)</f>
        <v>HONDA All New Brio Satya E MT</v>
      </c>
      <c r="E8" s="17" t="s">
        <v>245</v>
      </c>
      <c r="F8" s="3" t="s">
        <v>253</v>
      </c>
      <c r="G8" s="3" t="s">
        <v>254</v>
      </c>
      <c r="H8" s="3" t="str">
        <f>VLOOKUP(A8,Detail_Produk[],5,0)</f>
        <v>Brio</v>
      </c>
      <c r="I8" s="3">
        <v>1</v>
      </c>
      <c r="J8" s="3">
        <v>15</v>
      </c>
      <c r="K8" s="3">
        <v>14</v>
      </c>
      <c r="L8" s="6">
        <f>VLOOKUP(A8,Detail_Produk[],3,0)</f>
        <v>148500000</v>
      </c>
      <c r="M8" s="61">
        <f t="shared" ref="M8:M70" si="0">L8*I8</f>
        <v>148500000</v>
      </c>
    </row>
    <row r="9" spans="1:13">
      <c r="A9" s="53" t="s">
        <v>53</v>
      </c>
      <c r="B9" s="3" t="s">
        <v>117</v>
      </c>
      <c r="C9" s="19">
        <v>43840</v>
      </c>
      <c r="D9" s="3" t="str">
        <f>VLOOKUP(A9,Detail_Produk[],2,0)</f>
        <v>HONDA All New Brio Satya E CVT</v>
      </c>
      <c r="E9" s="17" t="s">
        <v>244</v>
      </c>
      <c r="F9" s="3" t="s">
        <v>253</v>
      </c>
      <c r="G9" s="3" t="s">
        <v>254</v>
      </c>
      <c r="H9" s="3" t="str">
        <f>VLOOKUP(A9,Detail_Produk[],5,0)</f>
        <v>Brio</v>
      </c>
      <c r="I9" s="3">
        <v>1</v>
      </c>
      <c r="J9" s="3">
        <v>15</v>
      </c>
      <c r="K9" s="3">
        <v>14</v>
      </c>
      <c r="L9" s="6">
        <f>VLOOKUP(A9,Detail_Produk[],3,0)</f>
        <v>163500000</v>
      </c>
      <c r="M9" s="61">
        <f t="shared" si="0"/>
        <v>163500000</v>
      </c>
    </row>
    <row r="10" spans="1:13">
      <c r="A10" s="53" t="s">
        <v>56</v>
      </c>
      <c r="B10" s="3" t="s">
        <v>118</v>
      </c>
      <c r="C10" s="19">
        <v>43876</v>
      </c>
      <c r="D10" s="3" t="str">
        <f>VLOOKUP(A10,Detail_Produk[],2,0)</f>
        <v>HONDA Mobilio S MT</v>
      </c>
      <c r="E10" s="17" t="s">
        <v>245</v>
      </c>
      <c r="F10" s="3" t="s">
        <v>255</v>
      </c>
      <c r="G10" s="3" t="s">
        <v>256</v>
      </c>
      <c r="H10" s="3" t="str">
        <f>VLOOKUP(A10,Detail_Produk[],5,0)</f>
        <v>Mobilio</v>
      </c>
      <c r="I10" s="3">
        <v>1</v>
      </c>
      <c r="J10" s="3">
        <v>10</v>
      </c>
      <c r="K10" s="3">
        <v>9</v>
      </c>
      <c r="L10" s="6">
        <f>VLOOKUP(A10,Detail_Produk[],3,0)</f>
        <v>195500000</v>
      </c>
      <c r="M10" s="61">
        <f t="shared" si="0"/>
        <v>195500000</v>
      </c>
    </row>
    <row r="11" spans="1:13">
      <c r="A11" s="53" t="s">
        <v>57</v>
      </c>
      <c r="B11" s="3" t="s">
        <v>119</v>
      </c>
      <c r="C11" s="19">
        <v>43132</v>
      </c>
      <c r="D11" s="3" t="str">
        <f>VLOOKUP(A11,Detail_Produk[],2,0)</f>
        <v>HONDA Mobilio E MT</v>
      </c>
      <c r="E11" s="17" t="s">
        <v>245</v>
      </c>
      <c r="F11" s="3" t="s">
        <v>255</v>
      </c>
      <c r="G11" s="3" t="s">
        <v>256</v>
      </c>
      <c r="H11" s="3" t="str">
        <f>VLOOKUP(A11,Detail_Produk[],5,0)</f>
        <v>Mobilio</v>
      </c>
      <c r="I11" s="3">
        <v>1</v>
      </c>
      <c r="J11" s="3">
        <v>10</v>
      </c>
      <c r="K11" s="3">
        <v>9</v>
      </c>
      <c r="L11" s="6">
        <f>VLOOKUP(A11,Detail_Produk[],3,0)</f>
        <v>216000000</v>
      </c>
      <c r="M11" s="61">
        <f t="shared" si="0"/>
        <v>216000000</v>
      </c>
    </row>
    <row r="12" spans="1:13">
      <c r="A12" s="53" t="s">
        <v>64</v>
      </c>
      <c r="B12" s="3" t="s">
        <v>120</v>
      </c>
      <c r="C12" s="19">
        <f>DATE(2018,3,5)</f>
        <v>43164</v>
      </c>
      <c r="D12" s="3" t="str">
        <f>VLOOKUP(A12,Detail_Produk[],2,0)</f>
        <v>HONDA BRV  S MT</v>
      </c>
      <c r="E12" s="17" t="s">
        <v>244</v>
      </c>
      <c r="F12" s="3" t="s">
        <v>257</v>
      </c>
      <c r="G12" s="3" t="s">
        <v>258</v>
      </c>
      <c r="H12" s="3" t="str">
        <f>VLOOKUP(A12,Detail_Produk[],5,0)</f>
        <v>BRV</v>
      </c>
      <c r="I12" s="3">
        <v>1</v>
      </c>
      <c r="J12" s="3">
        <v>5</v>
      </c>
      <c r="K12" s="3">
        <v>4</v>
      </c>
      <c r="L12" s="6">
        <f>VLOOKUP(A12,Detail_Produk[],3,0)</f>
        <v>239500000</v>
      </c>
      <c r="M12" s="61">
        <f t="shared" si="0"/>
        <v>239500000</v>
      </c>
    </row>
    <row r="13" spans="1:13">
      <c r="A13" s="53" t="s">
        <v>65</v>
      </c>
      <c r="B13" s="3" t="s">
        <v>121</v>
      </c>
      <c r="C13" s="19">
        <v>43192</v>
      </c>
      <c r="D13" s="3" t="str">
        <f>VLOOKUP(A13,Detail_Produk[],2,0)</f>
        <v>HONDA BRV E MT</v>
      </c>
      <c r="E13" s="17" t="s">
        <v>244</v>
      </c>
      <c r="F13" s="3" t="s">
        <v>257</v>
      </c>
      <c r="G13" s="3" t="s">
        <v>258</v>
      </c>
      <c r="H13" s="3" t="str">
        <f>VLOOKUP(A13,Detail_Produk[],5,0)</f>
        <v>BRV</v>
      </c>
      <c r="I13" s="3">
        <v>1</v>
      </c>
      <c r="J13" s="3">
        <v>5</v>
      </c>
      <c r="K13" s="3">
        <v>4</v>
      </c>
      <c r="L13" s="6">
        <f>VLOOKUP(A13,Detail_Produk[],3,0)</f>
        <v>250500000</v>
      </c>
      <c r="M13" s="61">
        <f t="shared" si="0"/>
        <v>250500000</v>
      </c>
    </row>
    <row r="14" spans="1:13">
      <c r="A14" s="53" t="s">
        <v>66</v>
      </c>
      <c r="B14" s="3" t="s">
        <v>122</v>
      </c>
      <c r="C14" s="19">
        <v>43200</v>
      </c>
      <c r="D14" s="3" t="str">
        <f>VLOOKUP(A14,Detail_Produk[],2,0)</f>
        <v>HONDA BRV E CVT</v>
      </c>
      <c r="E14" s="17" t="s">
        <v>246</v>
      </c>
      <c r="F14" s="3" t="s">
        <v>253</v>
      </c>
      <c r="G14" s="3" t="s">
        <v>254</v>
      </c>
      <c r="H14" s="3" t="str">
        <f>VLOOKUP(A14,Detail_Produk[],5,0)</f>
        <v>BRV</v>
      </c>
      <c r="I14" s="3">
        <v>1</v>
      </c>
      <c r="J14" s="3">
        <v>5</v>
      </c>
      <c r="K14" s="3">
        <v>4</v>
      </c>
      <c r="L14" s="6">
        <f>VLOOKUP(A14,Detail_Produk[],3,0)</f>
        <v>260500000</v>
      </c>
      <c r="M14" s="61">
        <f t="shared" si="0"/>
        <v>260500000</v>
      </c>
    </row>
    <row r="15" spans="1:13">
      <c r="A15" s="53" t="s">
        <v>78</v>
      </c>
      <c r="B15" s="3" t="s">
        <v>127</v>
      </c>
      <c r="C15" s="19">
        <v>43231</v>
      </c>
      <c r="D15" s="3" t="str">
        <f>VLOOKUP(A15,Detail_Produk[],2,0)</f>
        <v>HONDA NEW HRV 1.8 Prestige CVT</v>
      </c>
      <c r="E15" s="17" t="s">
        <v>246</v>
      </c>
      <c r="F15" s="3" t="s">
        <v>255</v>
      </c>
      <c r="G15" s="3" t="s">
        <v>256</v>
      </c>
      <c r="H15" s="3" t="str">
        <f>VLOOKUP(A15,Detail_Produk[],5,0)</f>
        <v>HRV</v>
      </c>
      <c r="I15" s="3">
        <v>1</v>
      </c>
      <c r="J15" s="3">
        <v>4</v>
      </c>
      <c r="K15" s="3">
        <v>3</v>
      </c>
      <c r="L15" s="6">
        <f>VLOOKUP(A15,Detail_Produk[],3,0)</f>
        <v>401500000</v>
      </c>
      <c r="M15" s="61">
        <f t="shared" si="0"/>
        <v>401500000</v>
      </c>
    </row>
    <row r="16" spans="1:13">
      <c r="A16" s="53" t="s">
        <v>79</v>
      </c>
      <c r="B16" s="3" t="s">
        <v>128</v>
      </c>
      <c r="C16" s="19">
        <v>43229</v>
      </c>
      <c r="D16" s="3" t="str">
        <f>VLOOKUP(A16,Detail_Produk[],2,0)</f>
        <v>HONDA NEW HRV 1.8 Prestige CVT 2Tone CVT</v>
      </c>
      <c r="E16" s="17" t="s">
        <v>246</v>
      </c>
      <c r="F16" s="3" t="s">
        <v>253</v>
      </c>
      <c r="G16" s="3" t="s">
        <v>254</v>
      </c>
      <c r="H16" s="3" t="str">
        <f>VLOOKUP(A16,Detail_Produk[],5,0)</f>
        <v>HRV</v>
      </c>
      <c r="I16" s="3">
        <v>1</v>
      </c>
      <c r="J16" s="3">
        <v>4</v>
      </c>
      <c r="K16" s="3">
        <v>3</v>
      </c>
      <c r="L16" s="6">
        <f>VLOOKUP(A16,Detail_Produk[],3,0)</f>
        <v>403000000</v>
      </c>
      <c r="M16" s="61">
        <f t="shared" si="0"/>
        <v>403000000</v>
      </c>
    </row>
    <row r="17" spans="1:13">
      <c r="A17" s="53" t="s">
        <v>68</v>
      </c>
      <c r="B17" s="3" t="s">
        <v>123</v>
      </c>
      <c r="C17" s="19">
        <v>43261</v>
      </c>
      <c r="D17" s="3" t="str">
        <f>VLOOKUP(A17,Detail_Produk[],2,0)</f>
        <v>HONDA Jazz S MT</v>
      </c>
      <c r="E17" s="17" t="s">
        <v>244</v>
      </c>
      <c r="F17" s="3" t="s">
        <v>255</v>
      </c>
      <c r="G17" s="3" t="s">
        <v>256</v>
      </c>
      <c r="H17" s="3" t="str">
        <f>VLOOKUP(A17,Detail_Produk[],5,0)</f>
        <v>Jazz</v>
      </c>
      <c r="I17" s="3">
        <v>1</v>
      </c>
      <c r="J17" s="3">
        <v>8</v>
      </c>
      <c r="K17" s="3">
        <v>7</v>
      </c>
      <c r="L17" s="6">
        <f>VLOOKUP(A17,Detail_Produk[],3,0)</f>
        <v>240500000</v>
      </c>
      <c r="M17" s="61">
        <f t="shared" si="0"/>
        <v>240500000</v>
      </c>
    </row>
    <row r="18" spans="1:13">
      <c r="A18" s="53" t="s">
        <v>80</v>
      </c>
      <c r="B18" s="3" t="s">
        <v>129</v>
      </c>
      <c r="C18" s="19">
        <v>43293</v>
      </c>
      <c r="D18" s="3" t="str">
        <f>VLOOKUP(A18,Detail_Produk[],2,0)</f>
        <v>HONDA NEW CRV 2.0L CVT</v>
      </c>
      <c r="E18" s="17" t="s">
        <v>245</v>
      </c>
      <c r="F18" s="3" t="s">
        <v>255</v>
      </c>
      <c r="G18" s="3" t="s">
        <v>256</v>
      </c>
      <c r="H18" s="3" t="str">
        <f>VLOOKUP(A18,Detail_Produk[],5,0)</f>
        <v>CRV</v>
      </c>
      <c r="I18" s="3">
        <v>1</v>
      </c>
      <c r="J18" s="3">
        <v>10</v>
      </c>
      <c r="K18" s="3">
        <v>9</v>
      </c>
      <c r="L18" s="6">
        <f>VLOOKUP(A18,Detail_Produk[],3,0)</f>
        <v>446500000</v>
      </c>
      <c r="M18" s="61">
        <f t="shared" si="0"/>
        <v>446500000</v>
      </c>
    </row>
    <row r="19" spans="1:13">
      <c r="A19" s="53" t="s">
        <v>73</v>
      </c>
      <c r="B19" s="3" t="s">
        <v>124</v>
      </c>
      <c r="C19" s="19">
        <v>43318</v>
      </c>
      <c r="D19" s="3" t="str">
        <f>VLOOKUP(A19,Detail_Produk[],2,0)</f>
        <v>HONDA Jazz RS 2tone</v>
      </c>
      <c r="E19" s="17" t="s">
        <v>244</v>
      </c>
      <c r="F19" s="3" t="s">
        <v>255</v>
      </c>
      <c r="G19" s="3" t="s">
        <v>256</v>
      </c>
      <c r="H19" s="3" t="str">
        <f>VLOOKUP(A19,Detail_Produk[],5,0)</f>
        <v>Jazz</v>
      </c>
      <c r="I19" s="3">
        <v>1</v>
      </c>
      <c r="J19" s="3">
        <v>8</v>
      </c>
      <c r="K19" s="3">
        <v>7</v>
      </c>
      <c r="L19" s="6">
        <f>VLOOKUP(A19,Detail_Produk[],3,0)</f>
        <v>282500000</v>
      </c>
      <c r="M19" s="61">
        <f t="shared" si="0"/>
        <v>282500000</v>
      </c>
    </row>
    <row r="20" spans="1:13">
      <c r="A20" s="53" t="s">
        <v>81</v>
      </c>
      <c r="B20" s="3" t="s">
        <v>130</v>
      </c>
      <c r="C20" s="19">
        <v>43318</v>
      </c>
      <c r="D20" s="3" t="str">
        <f>VLOOKUP(A20,Detail_Produk[],2,0)</f>
        <v>HONDA NEW CRV 1.5L Turbo CVT</v>
      </c>
      <c r="E20" s="17" t="s">
        <v>246</v>
      </c>
      <c r="F20" s="3" t="s">
        <v>255</v>
      </c>
      <c r="G20" s="3" t="s">
        <v>256</v>
      </c>
      <c r="H20" s="3" t="str">
        <f>VLOOKUP(A20,Detail_Produk[],5,0)</f>
        <v>CRV</v>
      </c>
      <c r="I20" s="3">
        <v>1</v>
      </c>
      <c r="J20" s="3">
        <v>10</v>
      </c>
      <c r="K20" s="3">
        <v>9</v>
      </c>
      <c r="L20" s="6">
        <f>VLOOKUP(A20,Detail_Produk[],3,0)</f>
        <v>480500000</v>
      </c>
      <c r="M20" s="61">
        <f t="shared" si="0"/>
        <v>480500000</v>
      </c>
    </row>
    <row r="21" spans="1:13">
      <c r="A21" s="53" t="s">
        <v>83</v>
      </c>
      <c r="B21" s="3" t="s">
        <v>131</v>
      </c>
      <c r="C21" s="19">
        <v>43363</v>
      </c>
      <c r="D21" s="3" t="str">
        <f>VLOOKUP(A21,Detail_Produk[],2,0)</f>
        <v>HONDA CITY E MT</v>
      </c>
      <c r="E21" s="17" t="s">
        <v>246</v>
      </c>
      <c r="F21" s="3" t="s">
        <v>253</v>
      </c>
      <c r="G21" s="3" t="s">
        <v>254</v>
      </c>
      <c r="H21" s="3" t="str">
        <f>VLOOKUP(A21,Detail_Produk[],5,0)</f>
        <v>Hcity</v>
      </c>
      <c r="I21" s="3">
        <v>1</v>
      </c>
      <c r="J21" s="3">
        <v>7</v>
      </c>
      <c r="K21" s="3">
        <v>6</v>
      </c>
      <c r="L21" s="6">
        <f>VLOOKUP(A21,Detail_Produk[],3,0)</f>
        <v>324500000</v>
      </c>
      <c r="M21" s="61">
        <f t="shared" si="0"/>
        <v>324500000</v>
      </c>
    </row>
    <row r="22" spans="1:13">
      <c r="A22" s="53" t="s">
        <v>76</v>
      </c>
      <c r="B22" s="3" t="s">
        <v>125</v>
      </c>
      <c r="C22" s="19">
        <v>43376</v>
      </c>
      <c r="D22" s="3" t="str">
        <f>VLOOKUP(A22,Detail_Produk[],2,0)</f>
        <v>HONDA NEW HRV 1.5 E CVT</v>
      </c>
      <c r="E22" s="17" t="s">
        <v>244</v>
      </c>
      <c r="F22" s="3" t="s">
        <v>253</v>
      </c>
      <c r="G22" s="3" t="s">
        <v>254</v>
      </c>
      <c r="H22" s="3" t="str">
        <f>VLOOKUP(A22,Detail_Produk[],5,0)</f>
        <v>HRV</v>
      </c>
      <c r="I22" s="3">
        <v>1</v>
      </c>
      <c r="J22" s="3">
        <v>4</v>
      </c>
      <c r="K22" s="3">
        <v>3</v>
      </c>
      <c r="L22" s="6">
        <f>VLOOKUP(A22,Detail_Produk[],3,0)</f>
        <v>319000000</v>
      </c>
      <c r="M22" s="61">
        <f t="shared" si="0"/>
        <v>319000000</v>
      </c>
    </row>
    <row r="23" spans="1:13">
      <c r="A23" s="53" t="s">
        <v>84</v>
      </c>
      <c r="B23" s="3" t="s">
        <v>132</v>
      </c>
      <c r="C23" s="19">
        <v>43407</v>
      </c>
      <c r="D23" s="3" t="str">
        <f>VLOOKUP(A23,Detail_Produk[],2,0)</f>
        <v>HONDA CITY ECVT</v>
      </c>
      <c r="E23" s="17" t="s">
        <v>245</v>
      </c>
      <c r="F23" s="3" t="s">
        <v>253</v>
      </c>
      <c r="G23" s="3" t="s">
        <v>254</v>
      </c>
      <c r="H23" s="3" t="str">
        <f>VLOOKUP(A23,Detail_Produk[],5,0)</f>
        <v>Hcity</v>
      </c>
      <c r="I23" s="3">
        <v>1</v>
      </c>
      <c r="J23" s="3">
        <v>7</v>
      </c>
      <c r="K23" s="3">
        <v>6</v>
      </c>
      <c r="L23" s="6">
        <f>VLOOKUP(A23,Detail_Produk[],3,0)</f>
        <v>334500000</v>
      </c>
      <c r="M23" s="61">
        <f t="shared" si="0"/>
        <v>334500000</v>
      </c>
    </row>
    <row r="24" spans="1:13">
      <c r="A24" s="53" t="s">
        <v>85</v>
      </c>
      <c r="B24" s="3" t="s">
        <v>133</v>
      </c>
      <c r="C24" s="19">
        <v>43424</v>
      </c>
      <c r="D24" s="3" t="str">
        <f>VLOOKUP(A24,Detail_Produk[],2,0)</f>
        <v>HONDA Civic E MT</v>
      </c>
      <c r="E24" s="17" t="s">
        <v>244</v>
      </c>
      <c r="F24" s="3" t="s">
        <v>253</v>
      </c>
      <c r="G24" s="3" t="s">
        <v>254</v>
      </c>
      <c r="H24" s="3" t="str">
        <f>VLOOKUP(A24,Detail_Produk[],5,0)</f>
        <v>Civic</v>
      </c>
      <c r="I24" s="3">
        <v>1</v>
      </c>
      <c r="J24" s="3">
        <v>10</v>
      </c>
      <c r="K24" s="3">
        <v>9</v>
      </c>
      <c r="L24" s="6">
        <f>VLOOKUP(A24,Detail_Produk[],3,0)</f>
        <v>416500000</v>
      </c>
      <c r="M24" s="61">
        <f t="shared" si="0"/>
        <v>416500000</v>
      </c>
    </row>
    <row r="25" spans="1:13">
      <c r="A25" s="53" t="s">
        <v>77</v>
      </c>
      <c r="B25" s="3" t="s">
        <v>126</v>
      </c>
      <c r="C25" s="19">
        <v>43439</v>
      </c>
      <c r="D25" s="3" t="str">
        <f>VLOOKUP(A25,Detail_Produk[],2,0)</f>
        <v>HONDA NEW HRV 1.5 E CVT SE</v>
      </c>
      <c r="E25" s="17" t="s">
        <v>246</v>
      </c>
      <c r="F25" s="3" t="s">
        <v>253</v>
      </c>
      <c r="G25" s="3" t="s">
        <v>254</v>
      </c>
      <c r="H25" s="3" t="str">
        <f>VLOOKUP(A25,Detail_Produk[],5,0)</f>
        <v>HRV</v>
      </c>
      <c r="I25" s="3">
        <v>1</v>
      </c>
      <c r="J25" s="3">
        <v>4</v>
      </c>
      <c r="K25" s="3">
        <v>3</v>
      </c>
      <c r="L25" s="6">
        <f>VLOOKUP(A25,Detail_Produk[],3,0)</f>
        <v>336000000</v>
      </c>
      <c r="M25" s="61">
        <f t="shared" si="0"/>
        <v>336000000</v>
      </c>
    </row>
    <row r="26" spans="1:13">
      <c r="A26" s="53" t="str">
        <f>INDEX(Detail_Produk[ID Product],MATCH(D26,Detail_Produk[Type],0))</f>
        <v>HB-0101200204</v>
      </c>
      <c r="B26" s="3" t="s">
        <v>188</v>
      </c>
      <c r="C26" s="19">
        <f>DATE(2019,1,21)</f>
        <v>43486</v>
      </c>
      <c r="D26" s="10" t="s">
        <v>7</v>
      </c>
      <c r="E26" s="17" t="s">
        <v>244</v>
      </c>
      <c r="F26" s="3" t="s">
        <v>255</v>
      </c>
      <c r="G26" s="3" t="s">
        <v>256</v>
      </c>
      <c r="H26" s="3" t="str">
        <f>VLOOKUP(A26,Detail_Produk[],5,0)</f>
        <v>Brio</v>
      </c>
      <c r="I26" s="3">
        <v>1</v>
      </c>
      <c r="J26" s="3">
        <v>15</v>
      </c>
      <c r="K26" s="3">
        <v>14</v>
      </c>
      <c r="L26" s="6">
        <f>VLOOKUP(A26,Detail_Produk[],3,0)</f>
        <v>176000000</v>
      </c>
      <c r="M26" s="61">
        <f t="shared" si="0"/>
        <v>176000000</v>
      </c>
    </row>
    <row r="27" spans="1:13">
      <c r="A27" s="53" t="str">
        <f>INDEX(Detail_Produk[ID Product],MATCH(D27,Detail_Produk[Type],0))</f>
        <v>HB-0101200205</v>
      </c>
      <c r="B27" s="3" t="s">
        <v>189</v>
      </c>
      <c r="C27" s="19">
        <f>DATE(2019,2,8)</f>
        <v>43504</v>
      </c>
      <c r="D27" s="10" t="s">
        <v>8</v>
      </c>
      <c r="E27" s="17" t="s">
        <v>246</v>
      </c>
      <c r="F27" s="3" t="s">
        <v>255</v>
      </c>
      <c r="G27" s="3" t="s">
        <v>256</v>
      </c>
      <c r="H27" s="3" t="str">
        <f>VLOOKUP(A27,Detail_Produk[],5,0)</f>
        <v>Brio</v>
      </c>
      <c r="I27" s="3">
        <v>1</v>
      </c>
      <c r="J27" s="3">
        <v>15</v>
      </c>
      <c r="K27" s="3">
        <v>14</v>
      </c>
      <c r="L27" s="6">
        <f>VLOOKUP(A27,Detail_Produk[],3,0)</f>
        <v>191000000</v>
      </c>
      <c r="M27" s="61">
        <f t="shared" si="0"/>
        <v>191000000</v>
      </c>
    </row>
    <row r="28" spans="1:13">
      <c r="A28" s="53" t="str">
        <f>INDEX(Detail_Produk[ID Product],MATCH(D28,Detail_Produk[Type],0))</f>
        <v>HM-0202200201</v>
      </c>
      <c r="B28" s="3" t="s">
        <v>190</v>
      </c>
      <c r="C28" s="19">
        <f>DATE(2019,2,14)</f>
        <v>43510</v>
      </c>
      <c r="D28" s="10" t="s">
        <v>10</v>
      </c>
      <c r="E28" s="17" t="s">
        <v>245</v>
      </c>
      <c r="F28" s="3" t="s">
        <v>257</v>
      </c>
      <c r="G28" s="3" t="s">
        <v>258</v>
      </c>
      <c r="H28" s="3" t="str">
        <f>VLOOKUP(A28,Detail_Produk[],5,0)</f>
        <v>Mobilio</v>
      </c>
      <c r="I28" s="3">
        <v>1</v>
      </c>
      <c r="J28" s="3">
        <v>10</v>
      </c>
      <c r="K28" s="3">
        <v>9</v>
      </c>
      <c r="L28" s="6">
        <f>VLOOKUP(A28,Detail_Produk[],3,0)</f>
        <v>195500000</v>
      </c>
      <c r="M28" s="61">
        <f t="shared" si="0"/>
        <v>195500000</v>
      </c>
    </row>
    <row r="29" spans="1:13">
      <c r="A29" s="53" t="str">
        <f>INDEX(Detail_Produk[ID Product],MATCH(D29,Detail_Produk[Type],0))</f>
        <v>HM-0202200202</v>
      </c>
      <c r="B29" s="3" t="s">
        <v>191</v>
      </c>
      <c r="C29" s="19">
        <f>DATE(2019,3,12)</f>
        <v>43536</v>
      </c>
      <c r="D29" s="10" t="s">
        <v>11</v>
      </c>
      <c r="E29" s="17" t="s">
        <v>244</v>
      </c>
      <c r="F29" s="3" t="s">
        <v>257</v>
      </c>
      <c r="G29" s="3" t="s">
        <v>258</v>
      </c>
      <c r="H29" s="3" t="str">
        <f>VLOOKUP(A29,Detail_Produk[],5,0)</f>
        <v>Mobilio</v>
      </c>
      <c r="I29" s="3">
        <v>1</v>
      </c>
      <c r="J29" s="3">
        <v>10</v>
      </c>
      <c r="K29" s="3">
        <v>9</v>
      </c>
      <c r="L29" s="6">
        <f>VLOOKUP(A29,Detail_Produk[],3,0)</f>
        <v>216000000</v>
      </c>
      <c r="M29" s="61">
        <f t="shared" si="0"/>
        <v>216000000</v>
      </c>
    </row>
    <row r="30" spans="1:13">
      <c r="A30" s="53" t="str">
        <f>INDEX(Detail_Produk[ID Product],MATCH(D30,Detail_Produk[Type],0))</f>
        <v>HBRV-0303200203</v>
      </c>
      <c r="B30" s="3" t="s">
        <v>192</v>
      </c>
      <c r="C30" s="19">
        <f>DATE(2019,3,22)</f>
        <v>43546</v>
      </c>
      <c r="D30" s="10" t="s">
        <v>22</v>
      </c>
      <c r="E30" s="17" t="s">
        <v>245</v>
      </c>
      <c r="F30" s="3" t="s">
        <v>257</v>
      </c>
      <c r="G30" s="3" t="s">
        <v>258</v>
      </c>
      <c r="H30" s="3" t="str">
        <f>VLOOKUP(A30,Detail_Produk[],5,0)</f>
        <v>BRV</v>
      </c>
      <c r="I30" s="3">
        <v>1</v>
      </c>
      <c r="J30" s="3">
        <v>5</v>
      </c>
      <c r="K30" s="3">
        <v>4</v>
      </c>
      <c r="L30" s="6">
        <f>VLOOKUP(A30,Detail_Produk[],3,0)</f>
        <v>260500000</v>
      </c>
      <c r="M30" s="61">
        <f t="shared" si="0"/>
        <v>260500000</v>
      </c>
    </row>
    <row r="31" spans="1:13">
      <c r="A31" s="53" t="str">
        <f>INDEX(Detail_Produk[ID Product],MATCH(D31,Detail_Produk[Type],0))</f>
        <v>HBRV-0303200204</v>
      </c>
      <c r="B31" s="3" t="s">
        <v>193</v>
      </c>
      <c r="C31" s="19">
        <f>DATE(2019,3,29)</f>
        <v>43553</v>
      </c>
      <c r="D31" s="10" t="s">
        <v>23</v>
      </c>
      <c r="E31" s="17" t="s">
        <v>245</v>
      </c>
      <c r="F31" s="3" t="s">
        <v>257</v>
      </c>
      <c r="G31" s="3" t="s">
        <v>258</v>
      </c>
      <c r="H31" s="3" t="str">
        <f>VLOOKUP(A31,Detail_Produk[],5,0)</f>
        <v>BRV</v>
      </c>
      <c r="I31" s="3">
        <v>1</v>
      </c>
      <c r="J31" s="3">
        <v>5</v>
      </c>
      <c r="K31" s="3">
        <v>4</v>
      </c>
      <c r="L31" s="6">
        <f>VLOOKUP(A31,Detail_Produk[],3,0)</f>
        <v>275500000</v>
      </c>
      <c r="M31" s="61">
        <f t="shared" si="0"/>
        <v>275500000</v>
      </c>
    </row>
    <row r="32" spans="1:13">
      <c r="A32" s="53" t="str">
        <f>INDEX(Detail_Produk[ID Product],MATCH(D32,Detail_Produk[Type],0))</f>
        <v>HJ-0404202201</v>
      </c>
      <c r="B32" s="3" t="s">
        <v>194</v>
      </c>
      <c r="C32" s="19">
        <f>DATE(2019,5,9)</f>
        <v>43594</v>
      </c>
      <c r="D32" s="10" t="s">
        <v>25</v>
      </c>
      <c r="E32" s="17" t="s">
        <v>246</v>
      </c>
      <c r="F32" s="3" t="s">
        <v>253</v>
      </c>
      <c r="G32" s="3" t="s">
        <v>254</v>
      </c>
      <c r="H32" s="3" t="str">
        <f>VLOOKUP(A32,Detail_Produk[],5,0)</f>
        <v>Jazz</v>
      </c>
      <c r="I32" s="3">
        <v>1</v>
      </c>
      <c r="J32" s="3">
        <v>8</v>
      </c>
      <c r="K32" s="3">
        <v>7</v>
      </c>
      <c r="L32" s="6">
        <f>VLOOKUP(A32,Detail_Produk[],3,0)</f>
        <v>240500000</v>
      </c>
      <c r="M32" s="61">
        <f t="shared" si="0"/>
        <v>240500000</v>
      </c>
    </row>
    <row r="33" spans="1:13">
      <c r="A33" s="53" t="str">
        <f>INDEX(Detail_Produk[ID Product],MATCH(D33,Detail_Produk[Type],0))</f>
        <v>HJ-0404202202</v>
      </c>
      <c r="B33" s="3" t="s">
        <v>195</v>
      </c>
      <c r="C33" s="19">
        <f>DATE(2019,5,30)</f>
        <v>43615</v>
      </c>
      <c r="D33" s="10" t="s">
        <v>26</v>
      </c>
      <c r="E33" s="17" t="s">
        <v>246</v>
      </c>
      <c r="F33" s="3" t="s">
        <v>255</v>
      </c>
      <c r="G33" s="3" t="s">
        <v>256</v>
      </c>
      <c r="H33" s="3" t="str">
        <f>VLOOKUP(A33,Detail_Produk[],5,0)</f>
        <v>Jazz</v>
      </c>
      <c r="I33" s="3">
        <v>1</v>
      </c>
      <c r="J33" s="3">
        <v>8</v>
      </c>
      <c r="K33" s="3">
        <v>7</v>
      </c>
      <c r="L33" s="6">
        <f>VLOOKUP(A33,Detail_Produk[],3,0)</f>
        <v>271000000</v>
      </c>
      <c r="M33" s="61">
        <f t="shared" si="0"/>
        <v>271000000</v>
      </c>
    </row>
    <row r="34" spans="1:13">
      <c r="A34" s="53" t="str">
        <f>INDEX(Detail_Produk[ID Product],MATCH(D34,Detail_Produk[Type],0))</f>
        <v>HRV-209819805</v>
      </c>
      <c r="B34" s="3" t="s">
        <v>196</v>
      </c>
      <c r="C34" s="19">
        <f>DATE(2019,6,17)</f>
        <v>43633</v>
      </c>
      <c r="D34" s="10" t="s">
        <v>36</v>
      </c>
      <c r="E34" s="17" t="s">
        <v>246</v>
      </c>
      <c r="F34" s="3" t="s">
        <v>253</v>
      </c>
      <c r="G34" s="3" t="s">
        <v>254</v>
      </c>
      <c r="H34" s="3" t="str">
        <f>VLOOKUP(A34,Detail_Produk[],5,0)</f>
        <v>HRV</v>
      </c>
      <c r="I34" s="3">
        <v>1</v>
      </c>
      <c r="J34" s="3">
        <v>4</v>
      </c>
      <c r="K34" s="3">
        <v>3</v>
      </c>
      <c r="L34" s="6">
        <f>VLOOKUP(A34,Detail_Produk[],3,0)</f>
        <v>401500000</v>
      </c>
      <c r="M34" s="61">
        <f t="shared" si="0"/>
        <v>401500000</v>
      </c>
    </row>
    <row r="35" spans="1:13">
      <c r="A35" s="53" t="str">
        <f>INDEX(Detail_Produk[ID Product],MATCH(D35,Detail_Produk[Type],0))</f>
        <v>HRV-209819806</v>
      </c>
      <c r="B35" s="3" t="s">
        <v>197</v>
      </c>
      <c r="C35" s="19">
        <f>DATE(2019,7,23)</f>
        <v>43669</v>
      </c>
      <c r="D35" s="10" t="s">
        <v>37</v>
      </c>
      <c r="E35" s="17" t="s">
        <v>246</v>
      </c>
      <c r="F35" s="3" t="s">
        <v>257</v>
      </c>
      <c r="G35" s="3" t="s">
        <v>258</v>
      </c>
      <c r="H35" s="3" t="str">
        <f>VLOOKUP(A35,Detail_Produk[],5,0)</f>
        <v>HRV</v>
      </c>
      <c r="I35" s="3">
        <v>1</v>
      </c>
      <c r="J35" s="3">
        <v>4</v>
      </c>
      <c r="K35" s="3">
        <v>3</v>
      </c>
      <c r="L35" s="6">
        <f>VLOOKUP(A35,Detail_Produk[],3,0)</f>
        <v>403000000</v>
      </c>
      <c r="M35" s="61">
        <f t="shared" si="0"/>
        <v>403000000</v>
      </c>
    </row>
    <row r="36" spans="1:13">
      <c r="A36" s="53" t="str">
        <f>INDEX(Detail_Produk[ID Product],MATCH(D36,Detail_Produk[Type],0))</f>
        <v>HCRV-98765001</v>
      </c>
      <c r="B36" s="3" t="s">
        <v>198</v>
      </c>
      <c r="C36" s="19">
        <f>DATE(2019,8,17)</f>
        <v>43694</v>
      </c>
      <c r="D36" s="10" t="s">
        <v>47</v>
      </c>
      <c r="E36" s="17" t="s">
        <v>244</v>
      </c>
      <c r="F36" s="3" t="s">
        <v>255</v>
      </c>
      <c r="G36" s="3" t="s">
        <v>256</v>
      </c>
      <c r="H36" s="3" t="str">
        <f>VLOOKUP(A36,Detail_Produk[],5,0)</f>
        <v>CRV</v>
      </c>
      <c r="I36" s="3">
        <v>1</v>
      </c>
      <c r="J36" s="3">
        <v>10</v>
      </c>
      <c r="K36" s="3">
        <v>9</v>
      </c>
      <c r="L36" s="6">
        <f>VLOOKUP(A36,Detail_Produk[],3,0)</f>
        <v>446500000</v>
      </c>
      <c r="M36" s="61">
        <f t="shared" si="0"/>
        <v>446500000</v>
      </c>
    </row>
    <row r="37" spans="1:13">
      <c r="A37" s="53" t="str">
        <f>INDEX(Detail_Produk[ID Product],MATCH(D37,Detail_Produk[Type],0))</f>
        <v>HCRV-98765002</v>
      </c>
      <c r="B37" s="3" t="s">
        <v>199</v>
      </c>
      <c r="C37" s="19">
        <f>DATE(2019,8,24)</f>
        <v>43701</v>
      </c>
      <c r="D37" s="10" t="s">
        <v>48</v>
      </c>
      <c r="E37" s="17" t="s">
        <v>245</v>
      </c>
      <c r="F37" s="3" t="s">
        <v>257</v>
      </c>
      <c r="G37" s="3" t="s">
        <v>258</v>
      </c>
      <c r="H37" s="3" t="str">
        <f>VLOOKUP(A37,Detail_Produk[],5,0)</f>
        <v>CRV</v>
      </c>
      <c r="I37" s="3">
        <v>1</v>
      </c>
      <c r="J37" s="3">
        <v>10</v>
      </c>
      <c r="K37" s="3">
        <v>9</v>
      </c>
      <c r="L37" s="6">
        <f>VLOOKUP(A37,Detail_Produk[],3,0)</f>
        <v>480500000</v>
      </c>
      <c r="M37" s="61">
        <f t="shared" si="0"/>
        <v>480500000</v>
      </c>
    </row>
    <row r="38" spans="1:13">
      <c r="A38" s="53" t="str">
        <f>INDEX(Detail_Produk[ID Product],MATCH(D38,Detail_Produk[Type],0))</f>
        <v>HCT-081320001</v>
      </c>
      <c r="B38" s="3" t="s">
        <v>200</v>
      </c>
      <c r="C38" s="19">
        <f>DATE(2019,8,29)</f>
        <v>43706</v>
      </c>
      <c r="D38" s="10" t="s">
        <v>39</v>
      </c>
      <c r="E38" s="17" t="s">
        <v>245</v>
      </c>
      <c r="F38" s="3" t="s">
        <v>255</v>
      </c>
      <c r="G38" s="3" t="s">
        <v>256</v>
      </c>
      <c r="H38" s="3" t="str">
        <f>VLOOKUP(A38,Detail_Produk[],5,0)</f>
        <v>Hcity</v>
      </c>
      <c r="I38" s="3">
        <v>1</v>
      </c>
      <c r="J38" s="3">
        <v>7</v>
      </c>
      <c r="K38" s="3">
        <v>6</v>
      </c>
      <c r="L38" s="6">
        <f>VLOOKUP(A38,Detail_Produk[],3,0)</f>
        <v>324500000</v>
      </c>
      <c r="M38" s="61">
        <f t="shared" si="0"/>
        <v>324500000</v>
      </c>
    </row>
    <row r="39" spans="1:13">
      <c r="A39" s="53" t="str">
        <f>INDEX(Detail_Produk[ID Product],MATCH(D39,Detail_Produk[Type],0))</f>
        <v>HCT-081320002</v>
      </c>
      <c r="B39" s="3" t="s">
        <v>201</v>
      </c>
      <c r="C39" s="19">
        <f>DATE(2019,11,11)</f>
        <v>43780</v>
      </c>
      <c r="D39" s="10" t="s">
        <v>40</v>
      </c>
      <c r="E39" s="17" t="s">
        <v>244</v>
      </c>
      <c r="F39" s="3" t="s">
        <v>257</v>
      </c>
      <c r="G39" s="3" t="s">
        <v>258</v>
      </c>
      <c r="H39" s="3" t="str">
        <f>VLOOKUP(A39,Detail_Produk[],5,0)</f>
        <v>Hcity</v>
      </c>
      <c r="I39" s="3">
        <v>1</v>
      </c>
      <c r="J39" s="3">
        <v>7</v>
      </c>
      <c r="K39" s="3">
        <v>6</v>
      </c>
      <c r="L39" s="6">
        <f>VLOOKUP(A39,Detail_Produk[],3,0)</f>
        <v>334500000</v>
      </c>
      <c r="M39" s="61">
        <f t="shared" si="0"/>
        <v>334500000</v>
      </c>
    </row>
    <row r="40" spans="1:13">
      <c r="A40" s="53" t="str">
        <f>INDEX(Detail_Produk[ID Product],MATCH(D40,Detail_Produk[Type],0))</f>
        <v>HCV-3004200301</v>
      </c>
      <c r="B40" s="3" t="s">
        <v>202</v>
      </c>
      <c r="C40" s="19">
        <f>DATE(2019,12,16)</f>
        <v>43815</v>
      </c>
      <c r="D40" s="10" t="s">
        <v>42</v>
      </c>
      <c r="E40" s="17" t="s">
        <v>246</v>
      </c>
      <c r="F40" s="3" t="s">
        <v>257</v>
      </c>
      <c r="G40" s="3" t="s">
        <v>258</v>
      </c>
      <c r="H40" s="3" t="str">
        <f>VLOOKUP(A40,Detail_Produk[],5,0)</f>
        <v>Civic</v>
      </c>
      <c r="I40" s="3">
        <v>1</v>
      </c>
      <c r="J40" s="3">
        <v>10</v>
      </c>
      <c r="K40" s="3">
        <v>9</v>
      </c>
      <c r="L40" s="6">
        <f>VLOOKUP(A40,Detail_Produk[],3,0)</f>
        <v>416500000</v>
      </c>
      <c r="M40" s="61">
        <f t="shared" si="0"/>
        <v>416500000</v>
      </c>
    </row>
    <row r="41" spans="1:13">
      <c r="A41" s="53" t="str">
        <f>INDEX(Detail_Produk[ID Product],MATCH(D41,Detail_Produk[Type],0))</f>
        <v>HCV-3004200302</v>
      </c>
      <c r="B41" s="3" t="s">
        <v>203</v>
      </c>
      <c r="C41" s="19">
        <f>DATE(2019,12,23)</f>
        <v>43822</v>
      </c>
      <c r="D41" s="10" t="s">
        <v>43</v>
      </c>
      <c r="E41" s="17" t="s">
        <v>246</v>
      </c>
      <c r="F41" s="3" t="s">
        <v>257</v>
      </c>
      <c r="G41" s="3" t="s">
        <v>258</v>
      </c>
      <c r="H41" s="3" t="str">
        <f>VLOOKUP(A41,Detail_Produk[],5,0)</f>
        <v>Civic</v>
      </c>
      <c r="I41" s="3">
        <v>1</v>
      </c>
      <c r="J41" s="3">
        <v>10</v>
      </c>
      <c r="K41" s="3">
        <v>9</v>
      </c>
      <c r="L41" s="6">
        <f>VLOOKUP(A41,Detail_Produk[],3,0)</f>
        <v>455500000</v>
      </c>
      <c r="M41" s="61">
        <f t="shared" si="0"/>
        <v>455500000</v>
      </c>
    </row>
    <row r="42" spans="1:13">
      <c r="A42" s="53" t="str">
        <f>INDEX(Detail_Produk[ID Product],MATCH(D42,Detail_Produk[Type],0))</f>
        <v>HCV-3004200303</v>
      </c>
      <c r="B42" s="3" t="s">
        <v>204</v>
      </c>
      <c r="C42" s="19">
        <f>DATE(2019,12,30)</f>
        <v>43829</v>
      </c>
      <c r="D42" s="10" t="s">
        <v>44</v>
      </c>
      <c r="E42" s="17" t="s">
        <v>244</v>
      </c>
      <c r="F42" s="3" t="s">
        <v>253</v>
      </c>
      <c r="G42" s="3" t="s">
        <v>254</v>
      </c>
      <c r="H42" s="3" t="str">
        <f>VLOOKUP(A42,Detail_Produk[],5,0)</f>
        <v>Civic</v>
      </c>
      <c r="I42" s="3">
        <v>1</v>
      </c>
      <c r="J42" s="3">
        <v>10</v>
      </c>
      <c r="K42" s="3">
        <v>9</v>
      </c>
      <c r="L42" s="6">
        <f>VLOOKUP(A42,Detail_Produk[],3,0)</f>
        <v>497500000</v>
      </c>
      <c r="M42" s="61">
        <f t="shared" si="0"/>
        <v>497500000</v>
      </c>
    </row>
    <row r="43" spans="1:13">
      <c r="A43" s="30" t="s">
        <v>52</v>
      </c>
      <c r="B43" s="3" t="s">
        <v>210</v>
      </c>
      <c r="C43" s="19">
        <v>43875</v>
      </c>
      <c r="D43" s="3" t="str">
        <f>VLOOKUP(A43,Detail_Produk[],2,0)</f>
        <v>HONDA All New Brio Satya E MT</v>
      </c>
      <c r="E43" s="17" t="s">
        <v>244</v>
      </c>
      <c r="F43" s="3" t="s">
        <v>253</v>
      </c>
      <c r="G43" s="3" t="s">
        <v>254</v>
      </c>
      <c r="H43" s="3" t="str">
        <f>VLOOKUP(A43,Detail_Produk[],5,0)</f>
        <v>Brio</v>
      </c>
      <c r="I43" s="3">
        <v>1</v>
      </c>
      <c r="J43" s="3">
        <v>14</v>
      </c>
      <c r="K43" s="3">
        <v>13</v>
      </c>
      <c r="L43" s="6">
        <f>VLOOKUP(A43,Detail_Produk[],3,0)</f>
        <v>148500000</v>
      </c>
      <c r="M43" s="61">
        <f t="shared" si="0"/>
        <v>148500000</v>
      </c>
    </row>
    <row r="44" spans="1:13">
      <c r="A44" s="30" t="s">
        <v>55</v>
      </c>
      <c r="B44" s="3" t="s">
        <v>211</v>
      </c>
      <c r="C44" s="19">
        <v>43910</v>
      </c>
      <c r="D44" s="3" t="str">
        <f>VLOOKUP(A44,Detail_Produk[],2,0)</f>
        <v>HONDA All New Brio RS MT</v>
      </c>
      <c r="E44" s="17" t="s">
        <v>246</v>
      </c>
      <c r="F44" s="3" t="s">
        <v>255</v>
      </c>
      <c r="G44" s="3" t="s">
        <v>256</v>
      </c>
      <c r="H44" s="3" t="str">
        <f>VLOOKUP(A44,Detail_Produk[],5,0)</f>
        <v>Brio</v>
      </c>
      <c r="I44" s="3">
        <v>1</v>
      </c>
      <c r="J44" s="3">
        <v>15</v>
      </c>
      <c r="K44" s="3">
        <v>14</v>
      </c>
      <c r="L44" s="6">
        <f>VLOOKUP(A44,Detail_Produk[],3,0)</f>
        <v>191000000</v>
      </c>
      <c r="M44" s="61">
        <f t="shared" si="0"/>
        <v>191000000</v>
      </c>
    </row>
    <row r="45" spans="1:13">
      <c r="A45" s="30" t="s">
        <v>65</v>
      </c>
      <c r="B45" s="3" t="s">
        <v>212</v>
      </c>
      <c r="C45" s="19">
        <v>43919</v>
      </c>
      <c r="D45" s="3" t="str">
        <f>VLOOKUP(A45,Detail_Produk[],2,0)</f>
        <v>HONDA BRV E MT</v>
      </c>
      <c r="E45" s="17" t="s">
        <v>245</v>
      </c>
      <c r="F45" s="3" t="s">
        <v>253</v>
      </c>
      <c r="G45" s="3" t="s">
        <v>254</v>
      </c>
      <c r="H45" s="3" t="str">
        <f>VLOOKUP(A45,Detail_Produk[],5,0)</f>
        <v>BRV</v>
      </c>
      <c r="I45" s="3">
        <v>1</v>
      </c>
      <c r="J45" s="3">
        <v>4</v>
      </c>
      <c r="K45" s="3">
        <v>3</v>
      </c>
      <c r="L45" s="6">
        <f>VLOOKUP(A45,Detail_Produk[],3,0)</f>
        <v>250500000</v>
      </c>
      <c r="M45" s="61">
        <f t="shared" si="0"/>
        <v>250500000</v>
      </c>
    </row>
    <row r="46" spans="1:13">
      <c r="A46" s="30" t="s">
        <v>69</v>
      </c>
      <c r="B46" s="3" t="s">
        <v>213</v>
      </c>
      <c r="C46" s="19">
        <v>43987</v>
      </c>
      <c r="D46" s="3" t="str">
        <f>VLOOKUP(A46,Detail_Produk[],2,0)</f>
        <v>HONDA Jazz S CVT</v>
      </c>
      <c r="E46" s="17" t="s">
        <v>245</v>
      </c>
      <c r="F46" s="3" t="s">
        <v>257</v>
      </c>
      <c r="G46" s="3" t="s">
        <v>258</v>
      </c>
      <c r="H46" s="3" t="str">
        <f>VLOOKUP(A46,Detail_Produk[],5,0)</f>
        <v>Jazz</v>
      </c>
      <c r="I46" s="3">
        <v>1</v>
      </c>
      <c r="J46" s="3">
        <v>8</v>
      </c>
      <c r="K46" s="3">
        <v>7</v>
      </c>
      <c r="L46" s="6">
        <f>VLOOKUP(A46,Detail_Produk[],3,0)</f>
        <v>271000000</v>
      </c>
      <c r="M46" s="61">
        <f t="shared" si="0"/>
        <v>271000000</v>
      </c>
    </row>
    <row r="47" spans="1:13">
      <c r="A47" s="30" t="s">
        <v>76</v>
      </c>
      <c r="B47" s="3" t="s">
        <v>214</v>
      </c>
      <c r="C47" s="19">
        <v>44003</v>
      </c>
      <c r="D47" s="3" t="str">
        <f>VLOOKUP(A47,Detail_Produk[],2,0)</f>
        <v>HONDA NEW HRV 1.5 E CVT</v>
      </c>
      <c r="E47" s="17" t="s">
        <v>245</v>
      </c>
      <c r="F47" s="3" t="s">
        <v>255</v>
      </c>
      <c r="G47" s="3" t="s">
        <v>256</v>
      </c>
      <c r="H47" s="3" t="str">
        <f>VLOOKUP(A47,Detail_Produk[],5,0)</f>
        <v>HRV</v>
      </c>
      <c r="I47" s="3">
        <v>1</v>
      </c>
      <c r="J47" s="3">
        <v>3</v>
      </c>
      <c r="K47" s="3">
        <v>2</v>
      </c>
      <c r="L47" s="6">
        <f>VLOOKUP(A47,Detail_Produk[],3,0)</f>
        <v>319000000</v>
      </c>
      <c r="M47" s="61">
        <f t="shared" si="0"/>
        <v>319000000</v>
      </c>
    </row>
    <row r="48" spans="1:13">
      <c r="A48" s="30" t="s">
        <v>77</v>
      </c>
      <c r="B48" s="3" t="s">
        <v>215</v>
      </c>
      <c r="C48" s="19">
        <v>44027</v>
      </c>
      <c r="D48" s="3" t="str">
        <f>VLOOKUP(A48,Detail_Produk[],2,0)</f>
        <v>HONDA NEW HRV 1.5 E CVT SE</v>
      </c>
      <c r="E48" s="17" t="s">
        <v>244</v>
      </c>
      <c r="F48" s="3" t="s">
        <v>253</v>
      </c>
      <c r="G48" s="3" t="s">
        <v>254</v>
      </c>
      <c r="H48" s="3" t="str">
        <f>VLOOKUP(A48,Detail_Produk[],5,0)</f>
        <v>HRV</v>
      </c>
      <c r="I48" s="3">
        <v>1</v>
      </c>
      <c r="J48" s="3">
        <v>3</v>
      </c>
      <c r="K48" s="3">
        <v>2</v>
      </c>
      <c r="L48" s="6">
        <f>VLOOKUP(A48,Detail_Produk[],3,0)</f>
        <v>336000000</v>
      </c>
      <c r="M48" s="61">
        <f t="shared" si="0"/>
        <v>336000000</v>
      </c>
    </row>
    <row r="49" spans="1:13">
      <c r="A49" s="30" t="s">
        <v>80</v>
      </c>
      <c r="B49" s="3" t="s">
        <v>216</v>
      </c>
      <c r="C49" s="19">
        <v>44034</v>
      </c>
      <c r="D49" s="3" t="str">
        <f>VLOOKUP(A49,Detail_Produk[],2,0)</f>
        <v>HONDA NEW CRV 2.0L CVT</v>
      </c>
      <c r="E49" s="17" t="s">
        <v>244</v>
      </c>
      <c r="F49" s="3" t="s">
        <v>257</v>
      </c>
      <c r="G49" s="3" t="s">
        <v>258</v>
      </c>
      <c r="H49" s="3" t="str">
        <f>VLOOKUP(A49,Detail_Produk[],5,0)</f>
        <v>CRV</v>
      </c>
      <c r="I49" s="3">
        <v>1</v>
      </c>
      <c r="J49" s="3">
        <v>9</v>
      </c>
      <c r="K49" s="3">
        <v>8</v>
      </c>
      <c r="L49" s="6">
        <f>VLOOKUP(A49,Detail_Produk[],3,0)</f>
        <v>446500000</v>
      </c>
      <c r="M49" s="61">
        <f t="shared" si="0"/>
        <v>446500000</v>
      </c>
    </row>
    <row r="50" spans="1:13">
      <c r="A50" s="30" t="s">
        <v>59</v>
      </c>
      <c r="B50" s="3" t="s">
        <v>217</v>
      </c>
      <c r="C50" s="19">
        <v>44068</v>
      </c>
      <c r="D50" s="3" t="str">
        <f>VLOOKUP(A50,Detail_Produk[],2,0)</f>
        <v>HONDA Mobilio E S CVT</v>
      </c>
      <c r="E50" s="17" t="s">
        <v>244</v>
      </c>
      <c r="F50" s="3" t="s">
        <v>257</v>
      </c>
      <c r="G50" s="3" t="s">
        <v>258</v>
      </c>
      <c r="H50" s="3" t="str">
        <f>VLOOKUP(A50,Detail_Produk[],5,0)</f>
        <v>Mobilio</v>
      </c>
      <c r="I50" s="3">
        <v>1</v>
      </c>
      <c r="J50" s="3">
        <v>10</v>
      </c>
      <c r="K50" s="3">
        <v>9</v>
      </c>
      <c r="L50" s="6">
        <f>VLOOKUP(A50,Detail_Produk[],3,0)</f>
        <v>231400000</v>
      </c>
      <c r="M50" s="61">
        <f t="shared" si="0"/>
        <v>231400000</v>
      </c>
    </row>
    <row r="51" spans="1:13">
      <c r="A51" s="30" t="s">
        <v>85</v>
      </c>
      <c r="B51" s="3" t="s">
        <v>218</v>
      </c>
      <c r="C51" s="19">
        <v>44113</v>
      </c>
      <c r="D51" s="3" t="str">
        <f>VLOOKUP(A51,Detail_Produk[],2,0)</f>
        <v>HONDA Civic E MT</v>
      </c>
      <c r="E51" s="17" t="s">
        <v>246</v>
      </c>
      <c r="F51" s="3" t="s">
        <v>257</v>
      </c>
      <c r="G51" s="3" t="s">
        <v>258</v>
      </c>
      <c r="H51" s="3" t="str">
        <f>VLOOKUP(A51,Detail_Produk[],5,0)</f>
        <v>Civic</v>
      </c>
      <c r="I51" s="3">
        <v>1</v>
      </c>
      <c r="J51" s="3">
        <v>9</v>
      </c>
      <c r="K51" s="3">
        <v>8</v>
      </c>
      <c r="L51" s="6">
        <f>VLOOKUP(A51,Detail_Produk[],3,0)</f>
        <v>416500000</v>
      </c>
      <c r="M51" s="61">
        <f t="shared" si="0"/>
        <v>416500000</v>
      </c>
    </row>
    <row r="52" spans="1:13">
      <c r="A52" s="30" t="s">
        <v>87</v>
      </c>
      <c r="B52" s="3" t="s">
        <v>219</v>
      </c>
      <c r="C52" s="19">
        <v>44173</v>
      </c>
      <c r="D52" s="3" t="str">
        <f>VLOOKUP(A52,Detail_Produk[],2,0)</f>
        <v>HONDA Civic HATCHBACK S CVT</v>
      </c>
      <c r="E52" s="17" t="s">
        <v>244</v>
      </c>
      <c r="F52" s="3" t="s">
        <v>257</v>
      </c>
      <c r="G52" s="3" t="s">
        <v>258</v>
      </c>
      <c r="H52" s="3" t="str">
        <f>VLOOKUP(A52,Detail_Produk[],5,0)</f>
        <v>Civic</v>
      </c>
      <c r="I52" s="3">
        <v>1</v>
      </c>
      <c r="J52" s="3">
        <v>10</v>
      </c>
      <c r="K52" s="3">
        <v>9</v>
      </c>
      <c r="L52" s="6">
        <f>VLOOKUP(A52,Detail_Produk[],3,0)</f>
        <v>497500000</v>
      </c>
      <c r="M52" s="61">
        <f t="shared" si="0"/>
        <v>497500000</v>
      </c>
    </row>
    <row r="53" spans="1:13">
      <c r="A53" s="30" t="s">
        <v>53</v>
      </c>
      <c r="B53" s="3" t="s">
        <v>220</v>
      </c>
      <c r="C53" s="19">
        <v>44201</v>
      </c>
      <c r="D53" s="3" t="str">
        <f>VLOOKUP(A53,Detail_Produk[],2,0)</f>
        <v>HONDA All New Brio Satya E CVT</v>
      </c>
      <c r="E53" s="17" t="s">
        <v>244</v>
      </c>
      <c r="F53" s="3" t="s">
        <v>253</v>
      </c>
      <c r="G53" s="3" t="s">
        <v>254</v>
      </c>
      <c r="H53" s="3" t="str">
        <f>VLOOKUP(A53,Detail_Produk[],5,0)</f>
        <v>Brio</v>
      </c>
      <c r="I53" s="3">
        <v>1</v>
      </c>
      <c r="J53" s="3">
        <v>14</v>
      </c>
      <c r="K53" s="3">
        <v>13</v>
      </c>
      <c r="L53" s="6">
        <f>VLOOKUP(A53,Detail_Produk[],3,0)</f>
        <v>163500000</v>
      </c>
      <c r="M53" s="61">
        <f t="shared" si="0"/>
        <v>163500000</v>
      </c>
    </row>
    <row r="54" spans="1:13">
      <c r="A54" s="30" t="s">
        <v>54</v>
      </c>
      <c r="B54" s="3" t="s">
        <v>221</v>
      </c>
      <c r="C54" s="19">
        <v>44221</v>
      </c>
      <c r="D54" s="3" t="str">
        <f>VLOOKUP(A54,Detail_Produk[],2,0)</f>
        <v>HONDA All New Brio RS CVT</v>
      </c>
      <c r="E54" s="17" t="s">
        <v>246</v>
      </c>
      <c r="F54" s="3" t="s">
        <v>253</v>
      </c>
      <c r="G54" s="3" t="s">
        <v>254</v>
      </c>
      <c r="H54" s="3" t="str">
        <f>VLOOKUP(A54,Detail_Produk[],5,0)</f>
        <v>Brio</v>
      </c>
      <c r="I54" s="3">
        <v>1</v>
      </c>
      <c r="J54" s="3">
        <v>14</v>
      </c>
      <c r="K54" s="3">
        <v>13</v>
      </c>
      <c r="L54" s="6">
        <f>VLOOKUP(A54,Detail_Produk[],3,0)</f>
        <v>176000000</v>
      </c>
      <c r="M54" s="61">
        <f t="shared" si="0"/>
        <v>176000000</v>
      </c>
    </row>
    <row r="55" spans="1:13">
      <c r="A55" s="30" t="s">
        <v>56</v>
      </c>
      <c r="B55" s="3" t="s">
        <v>222</v>
      </c>
      <c r="C55" s="19">
        <v>44226</v>
      </c>
      <c r="D55" s="3" t="str">
        <f>VLOOKUP(A55,Detail_Produk[],2,0)</f>
        <v>HONDA Mobilio S MT</v>
      </c>
      <c r="E55" s="17" t="s">
        <v>245</v>
      </c>
      <c r="F55" s="3" t="s">
        <v>253</v>
      </c>
      <c r="G55" s="3" t="s">
        <v>254</v>
      </c>
      <c r="H55" s="3" t="str">
        <f>VLOOKUP(A55,Detail_Produk[],5,0)</f>
        <v>Mobilio</v>
      </c>
      <c r="I55" s="3">
        <v>1</v>
      </c>
      <c r="J55" s="3">
        <v>8</v>
      </c>
      <c r="K55" s="3">
        <v>7</v>
      </c>
      <c r="L55" s="6">
        <f>VLOOKUP(A55,Detail_Produk[],3,0)</f>
        <v>195500000</v>
      </c>
      <c r="M55" s="61">
        <f t="shared" si="0"/>
        <v>195500000</v>
      </c>
    </row>
    <row r="56" spans="1:13">
      <c r="A56" s="30" t="s">
        <v>88</v>
      </c>
      <c r="B56" s="3" t="s">
        <v>223</v>
      </c>
      <c r="C56" s="19">
        <v>44258</v>
      </c>
      <c r="D56" s="3" t="str">
        <f>VLOOKUP(A56,Detail_Produk[],2,0)</f>
        <v>HONDA Civic HATCHBACK E CVT</v>
      </c>
      <c r="E56" s="17" t="s">
        <v>246</v>
      </c>
      <c r="F56" s="3" t="s">
        <v>253</v>
      </c>
      <c r="G56" s="3" t="s">
        <v>254</v>
      </c>
      <c r="H56" s="3" t="str">
        <f>VLOOKUP(A56,Detail_Produk[],5,0)</f>
        <v>Civic</v>
      </c>
      <c r="I56" s="3">
        <v>1</v>
      </c>
      <c r="J56" s="3">
        <v>10</v>
      </c>
      <c r="K56" s="3">
        <v>9</v>
      </c>
      <c r="L56" s="6">
        <f>VLOOKUP(A56,Detail_Produk[],3,0)</f>
        <v>500500000</v>
      </c>
      <c r="M56" s="61">
        <f t="shared" si="0"/>
        <v>500500000</v>
      </c>
    </row>
    <row r="57" spans="1:13">
      <c r="A57" s="30" t="s">
        <v>84</v>
      </c>
      <c r="B57" s="3" t="s">
        <v>224</v>
      </c>
      <c r="C57" s="19">
        <v>44290</v>
      </c>
      <c r="D57" s="3" t="str">
        <f>VLOOKUP(A57,Detail_Produk[],2,0)</f>
        <v>HONDA CITY ECVT</v>
      </c>
      <c r="E57" s="17" t="s">
        <v>245</v>
      </c>
      <c r="F57" s="3" t="s">
        <v>255</v>
      </c>
      <c r="G57" s="3" t="s">
        <v>256</v>
      </c>
      <c r="H57" s="3" t="str">
        <f>VLOOKUP(A57,Detail_Produk[],5,0)</f>
        <v>Hcity</v>
      </c>
      <c r="I57" s="3">
        <v>1</v>
      </c>
      <c r="J57" s="3">
        <v>5</v>
      </c>
      <c r="K57" s="3">
        <v>4</v>
      </c>
      <c r="L57" s="6">
        <f>VLOOKUP(A57,Detail_Produk[],3,0)</f>
        <v>334500000</v>
      </c>
      <c r="M57" s="61">
        <f t="shared" si="0"/>
        <v>334500000</v>
      </c>
    </row>
    <row r="58" spans="1:13">
      <c r="A58" s="30" t="s">
        <v>64</v>
      </c>
      <c r="B58" s="3" t="s">
        <v>225</v>
      </c>
      <c r="C58" s="19">
        <v>44304</v>
      </c>
      <c r="D58" s="3" t="str">
        <f>VLOOKUP(A58,Detail_Produk[],2,0)</f>
        <v>HONDA BRV  S MT</v>
      </c>
      <c r="E58" s="17" t="s">
        <v>244</v>
      </c>
      <c r="F58" s="3" t="s">
        <v>255</v>
      </c>
      <c r="G58" s="3" t="s">
        <v>256</v>
      </c>
      <c r="H58" s="3" t="str">
        <f>VLOOKUP(A58,Detail_Produk[],5,0)</f>
        <v>BRV</v>
      </c>
      <c r="I58" s="3">
        <v>1</v>
      </c>
      <c r="J58" s="3">
        <v>4</v>
      </c>
      <c r="K58" s="3">
        <v>3</v>
      </c>
      <c r="L58" s="6">
        <f>VLOOKUP(A58,Detail_Produk[],3,0)</f>
        <v>239500000</v>
      </c>
      <c r="M58" s="61">
        <f t="shared" si="0"/>
        <v>239500000</v>
      </c>
    </row>
    <row r="59" spans="1:13">
      <c r="A59" s="30" t="s">
        <v>71</v>
      </c>
      <c r="B59" s="3" t="s">
        <v>226</v>
      </c>
      <c r="C59" s="19">
        <v>44353</v>
      </c>
      <c r="D59" s="3" t="str">
        <f>VLOOKUP(A59,Detail_Produk[],2,0)</f>
        <v>HONDA Jazz M/T RS 2Tone</v>
      </c>
      <c r="E59" s="17" t="s">
        <v>246</v>
      </c>
      <c r="F59" s="3" t="s">
        <v>255</v>
      </c>
      <c r="G59" s="3" t="s">
        <v>256</v>
      </c>
      <c r="H59" s="3" t="str">
        <f>VLOOKUP(A59,Detail_Produk[],5,0)</f>
        <v>Jazz</v>
      </c>
      <c r="I59" s="3">
        <v>1</v>
      </c>
      <c r="J59" s="3">
        <v>7</v>
      </c>
      <c r="K59" s="3">
        <v>6</v>
      </c>
      <c r="L59" s="6">
        <f>VLOOKUP(A59,Detail_Produk[],3,0)</f>
        <v>275000000</v>
      </c>
      <c r="M59" s="61">
        <f t="shared" si="0"/>
        <v>275000000</v>
      </c>
    </row>
    <row r="60" spans="1:13">
      <c r="A60" s="30" t="s">
        <v>89</v>
      </c>
      <c r="B60" s="3" t="s">
        <v>227</v>
      </c>
      <c r="C60" s="19">
        <v>44376</v>
      </c>
      <c r="D60" s="3" t="str">
        <f>VLOOKUP(A60,Detail_Produk[],2,0)</f>
        <v>HONDA Civic 1.5L Turbo AT</v>
      </c>
      <c r="E60" s="17" t="s">
        <v>245</v>
      </c>
      <c r="F60" s="3" t="s">
        <v>255</v>
      </c>
      <c r="G60" s="3" t="s">
        <v>256</v>
      </c>
      <c r="H60" s="3" t="str">
        <f>VLOOKUP(A60,Detail_Produk[],5,0)</f>
        <v>Civic</v>
      </c>
      <c r="I60" s="3">
        <v>1</v>
      </c>
      <c r="J60" s="3">
        <v>10</v>
      </c>
      <c r="K60" s="3">
        <v>9</v>
      </c>
      <c r="L60" s="6">
        <f>VLOOKUP(A60,Detail_Produk[],3,0)</f>
        <v>1034500000</v>
      </c>
      <c r="M60" s="61">
        <f t="shared" si="0"/>
        <v>1034500000</v>
      </c>
    </row>
    <row r="61" spans="1:13">
      <c r="A61" s="30" t="s">
        <v>68</v>
      </c>
      <c r="B61" s="3" t="s">
        <v>228</v>
      </c>
      <c r="C61" s="19">
        <v>44399</v>
      </c>
      <c r="D61" s="3" t="str">
        <f>VLOOKUP(A61,Detail_Produk[],2,0)</f>
        <v>HONDA Jazz S MT</v>
      </c>
      <c r="E61" s="17" t="s">
        <v>244</v>
      </c>
      <c r="F61" s="3" t="s">
        <v>255</v>
      </c>
      <c r="G61" s="3" t="s">
        <v>256</v>
      </c>
      <c r="H61" s="3" t="str">
        <f>VLOOKUP(A61,Detail_Produk[],5,0)</f>
        <v>Jazz</v>
      </c>
      <c r="I61" s="3">
        <v>1</v>
      </c>
      <c r="J61" s="3">
        <v>6</v>
      </c>
      <c r="K61" s="3">
        <v>5</v>
      </c>
      <c r="L61" s="6">
        <f>VLOOKUP(A61,Detail_Produk[],3,0)</f>
        <v>240500000</v>
      </c>
      <c r="M61" s="61">
        <f t="shared" si="0"/>
        <v>240500000</v>
      </c>
    </row>
    <row r="62" spans="1:13">
      <c r="A62" s="30" t="s">
        <v>62</v>
      </c>
      <c r="B62" s="3" t="s">
        <v>229</v>
      </c>
      <c r="C62" s="19">
        <v>44402</v>
      </c>
      <c r="D62" s="3" t="str">
        <f>VLOOKUP(A62,Detail_Produk[],2,0)</f>
        <v>HONDA Mobilio RT MT (2tone)</v>
      </c>
      <c r="E62" s="17" t="s">
        <v>244</v>
      </c>
      <c r="F62" s="3" t="s">
        <v>255</v>
      </c>
      <c r="G62" s="3" t="s">
        <v>256</v>
      </c>
      <c r="H62" s="3" t="str">
        <f>VLOOKUP(A62,Detail_Produk[],5,0)</f>
        <v>Mobilio</v>
      </c>
      <c r="I62" s="3">
        <v>1</v>
      </c>
      <c r="J62" s="3">
        <v>10</v>
      </c>
      <c r="K62" s="3">
        <v>9</v>
      </c>
      <c r="L62" s="6">
        <f>VLOOKUP(A62,Detail_Produk[],3,0)</f>
        <v>239000000</v>
      </c>
      <c r="M62" s="61">
        <f t="shared" si="0"/>
        <v>239000000</v>
      </c>
    </row>
    <row r="63" spans="1:13">
      <c r="A63" s="30" t="s">
        <v>74</v>
      </c>
      <c r="B63" s="3" t="s">
        <v>230</v>
      </c>
      <c r="C63" s="19">
        <v>44438</v>
      </c>
      <c r="D63" s="3" t="str">
        <f>VLOOKUP(A63,Detail_Produk[],2,0)</f>
        <v>HONDA NEW HRV 1.5 S MT</v>
      </c>
      <c r="E63" s="17" t="s">
        <v>245</v>
      </c>
      <c r="F63" s="3" t="s">
        <v>253</v>
      </c>
      <c r="G63" s="3" t="s">
        <v>254</v>
      </c>
      <c r="H63" s="3" t="str">
        <f>VLOOKUP(A63,Detail_Produk[],5,0)</f>
        <v>HRV</v>
      </c>
      <c r="I63" s="3">
        <v>1</v>
      </c>
      <c r="J63" s="3">
        <v>4</v>
      </c>
      <c r="K63" s="3">
        <v>3</v>
      </c>
      <c r="L63" s="6">
        <f>VLOOKUP(A63,Detail_Produk[],3,0)</f>
        <v>286000000</v>
      </c>
      <c r="M63" s="61">
        <f t="shared" si="0"/>
        <v>286000000</v>
      </c>
    </row>
    <row r="64" spans="1:13">
      <c r="A64" s="30" t="s">
        <v>76</v>
      </c>
      <c r="B64" s="3" t="s">
        <v>231</v>
      </c>
      <c r="C64" s="19">
        <v>44441</v>
      </c>
      <c r="D64" s="3" t="str">
        <f>VLOOKUP(A64,Detail_Produk[],2,0)</f>
        <v>HONDA NEW HRV 1.5 E CVT</v>
      </c>
      <c r="E64" s="17" t="s">
        <v>244</v>
      </c>
      <c r="F64" s="3" t="s">
        <v>255</v>
      </c>
      <c r="G64" s="3" t="s">
        <v>256</v>
      </c>
      <c r="H64" s="3" t="str">
        <f>VLOOKUP(A64,Detail_Produk[],5,0)</f>
        <v>HRV</v>
      </c>
      <c r="I64" s="3">
        <v>1</v>
      </c>
      <c r="J64" s="3">
        <v>2</v>
      </c>
      <c r="K64" s="3">
        <v>2</v>
      </c>
      <c r="L64" s="6">
        <f>VLOOKUP(A64,Detail_Produk[],3,0)</f>
        <v>319000000</v>
      </c>
      <c r="M64" s="61">
        <f t="shared" si="0"/>
        <v>319000000</v>
      </c>
    </row>
    <row r="65" spans="1:13">
      <c r="A65" s="30" t="s">
        <v>86</v>
      </c>
      <c r="B65" s="3" t="s">
        <v>232</v>
      </c>
      <c r="C65" s="19">
        <v>44451</v>
      </c>
      <c r="D65" s="3" t="str">
        <f>VLOOKUP(A65,Detail_Produk[],2,0)</f>
        <v>HONDA Civic E CVT</v>
      </c>
      <c r="E65" s="17" t="s">
        <v>246</v>
      </c>
      <c r="F65" s="3" t="s">
        <v>253</v>
      </c>
      <c r="G65" s="3" t="s">
        <v>254</v>
      </c>
      <c r="H65" s="3" t="str">
        <f>VLOOKUP(A65,Detail_Produk[],5,0)</f>
        <v>Civic</v>
      </c>
      <c r="I65" s="3">
        <v>1</v>
      </c>
      <c r="J65" s="3">
        <v>9</v>
      </c>
      <c r="K65" s="3">
        <v>8</v>
      </c>
      <c r="L65" s="6">
        <f>VLOOKUP(A65,Detail_Produk[],3,0)</f>
        <v>455500000</v>
      </c>
      <c r="M65" s="61">
        <f t="shared" si="0"/>
        <v>455500000</v>
      </c>
    </row>
    <row r="66" spans="1:13">
      <c r="A66" s="30" t="s">
        <v>81</v>
      </c>
      <c r="B66" s="3" t="s">
        <v>233</v>
      </c>
      <c r="C66" s="19">
        <v>44456</v>
      </c>
      <c r="D66" s="3" t="str">
        <f>VLOOKUP(A66,Detail_Produk[],2,0)</f>
        <v>HONDA NEW CRV 1.5L Turbo CVT</v>
      </c>
      <c r="E66" s="17" t="s">
        <v>245</v>
      </c>
      <c r="F66" s="3" t="s">
        <v>257</v>
      </c>
      <c r="G66" s="3" t="s">
        <v>258</v>
      </c>
      <c r="H66" s="3" t="str">
        <f>VLOOKUP(A66,Detail_Produk[],5,0)</f>
        <v>CRV</v>
      </c>
      <c r="I66" s="3">
        <v>1</v>
      </c>
      <c r="J66" s="3">
        <v>8</v>
      </c>
      <c r="K66" s="3">
        <v>7</v>
      </c>
      <c r="L66" s="6">
        <f>VLOOKUP(A66,Detail_Produk[],3,0)</f>
        <v>480500000</v>
      </c>
      <c r="M66" s="61">
        <f t="shared" si="0"/>
        <v>480500000</v>
      </c>
    </row>
    <row r="67" spans="1:13">
      <c r="A67" s="30" t="s">
        <v>76</v>
      </c>
      <c r="B67" s="3" t="s">
        <v>234</v>
      </c>
      <c r="C67" s="19">
        <v>44503</v>
      </c>
      <c r="D67" s="3" t="str">
        <f>VLOOKUP(A67,Detail_Produk[],2,0)</f>
        <v>HONDA NEW HRV 1.5 E CVT</v>
      </c>
      <c r="E67" s="17" t="s">
        <v>244</v>
      </c>
      <c r="F67" s="3" t="s">
        <v>255</v>
      </c>
      <c r="G67" s="3" t="s">
        <v>256</v>
      </c>
      <c r="H67" s="3" t="str">
        <f>VLOOKUP(A67,Detail_Produk[],5,0)</f>
        <v>HRV</v>
      </c>
      <c r="I67" s="3">
        <v>1</v>
      </c>
      <c r="J67" s="3">
        <v>1</v>
      </c>
      <c r="K67" s="3">
        <v>0</v>
      </c>
      <c r="L67" s="6">
        <f>VLOOKUP(A67,Detail_Produk[],3,0)</f>
        <v>319000000</v>
      </c>
      <c r="M67" s="61">
        <f t="shared" si="0"/>
        <v>319000000</v>
      </c>
    </row>
    <row r="68" spans="1:13">
      <c r="A68" s="30" t="s">
        <v>72</v>
      </c>
      <c r="B68" s="3" t="s">
        <v>235</v>
      </c>
      <c r="C68" s="19">
        <v>44519</v>
      </c>
      <c r="D68" s="3" t="str">
        <f>VLOOKUP(A68,Detail_Produk[],2,0)</f>
        <v>HONDA Jazz RS CVT</v>
      </c>
      <c r="E68" s="17" t="s">
        <v>246</v>
      </c>
      <c r="F68" s="3" t="s">
        <v>257</v>
      </c>
      <c r="G68" s="3" t="s">
        <v>258</v>
      </c>
      <c r="H68" s="3" t="str">
        <f>VLOOKUP(A68,Detail_Produk[],5,0)</f>
        <v>Jazz</v>
      </c>
      <c r="I68" s="3">
        <v>1</v>
      </c>
      <c r="J68" s="3">
        <v>8</v>
      </c>
      <c r="K68" s="3">
        <v>7</v>
      </c>
      <c r="L68" s="6">
        <f>VLOOKUP(A68,Detail_Produk[],3,0)</f>
        <v>281000000</v>
      </c>
      <c r="M68" s="61">
        <f t="shared" si="0"/>
        <v>281000000</v>
      </c>
    </row>
    <row r="69" spans="1:13">
      <c r="A69" s="30" t="s">
        <v>53</v>
      </c>
      <c r="B69" s="3" t="s">
        <v>236</v>
      </c>
      <c r="C69" s="19">
        <v>44540</v>
      </c>
      <c r="D69" s="3" t="str">
        <f>VLOOKUP(A69,Detail_Produk[],2,0)</f>
        <v>HONDA All New Brio Satya E CVT</v>
      </c>
      <c r="E69" s="17" t="s">
        <v>246</v>
      </c>
      <c r="F69" s="3" t="s">
        <v>253</v>
      </c>
      <c r="G69" s="3" t="s">
        <v>254</v>
      </c>
      <c r="H69" s="3" t="str">
        <f>VLOOKUP(A69,Detail_Produk[],5,0)</f>
        <v>Brio</v>
      </c>
      <c r="I69" s="3">
        <v>1</v>
      </c>
      <c r="J69" s="3">
        <v>13</v>
      </c>
      <c r="K69" s="3">
        <v>12</v>
      </c>
      <c r="L69" s="6">
        <f>VLOOKUP(A69,Detail_Produk[],3,0)</f>
        <v>163500000</v>
      </c>
      <c r="M69" s="61">
        <f t="shared" si="0"/>
        <v>163500000</v>
      </c>
    </row>
    <row r="70" spans="1:13">
      <c r="A70" s="36" t="s">
        <v>60</v>
      </c>
      <c r="B70" s="55" t="s">
        <v>237</v>
      </c>
      <c r="C70" s="56">
        <v>44552</v>
      </c>
      <c r="D70" s="55" t="str">
        <f>VLOOKUP(A70,Detail_Produk[],2,0)</f>
        <v>HONDA Mobilio RS MT</v>
      </c>
      <c r="E70" s="39" t="s">
        <v>246</v>
      </c>
      <c r="F70" s="55" t="s">
        <v>255</v>
      </c>
      <c r="G70" s="55" t="s">
        <v>256</v>
      </c>
      <c r="H70" s="55" t="str">
        <f>VLOOKUP(A70,Detail_Produk[],5,0)</f>
        <v>Mobilio</v>
      </c>
      <c r="I70" s="55">
        <v>1</v>
      </c>
      <c r="J70" s="55">
        <v>10</v>
      </c>
      <c r="K70" s="55">
        <v>9</v>
      </c>
      <c r="L70" s="64">
        <f>VLOOKUP(A70,Detail_Produk[],3,0)</f>
        <v>237500000</v>
      </c>
      <c r="M70" s="65">
        <f t="shared" si="0"/>
        <v>237500000</v>
      </c>
    </row>
  </sheetData>
  <pageMargins left="0.7" right="0.7" top="0.75" bottom="0.75" header="0.3" footer="0.3"/>
  <ignoredErrors>
    <ignoredError sqref="D26:D42" calculatedColumn="1"/>
  </ignoredErrors>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68A17-B3EC-401B-B251-59FCE7F2ACD2}">
  <dimension ref="A1:J101"/>
  <sheetViews>
    <sheetView workbookViewId="0">
      <selection activeCell="A81" sqref="A81"/>
    </sheetView>
  </sheetViews>
  <sheetFormatPr defaultRowHeight="14"/>
  <cols>
    <col min="1" max="1" width="11.75" bestFit="1" customWidth="1"/>
    <col min="2" max="2" width="15.08203125" bestFit="1" customWidth="1"/>
    <col min="3" max="4" width="4.4140625" bestFit="1" customWidth="1"/>
    <col min="5" max="5" width="10.08203125" bestFit="1" customWidth="1"/>
    <col min="6" max="6" width="4.4140625" bestFit="1" customWidth="1"/>
    <col min="7" max="7" width="6.4140625" bestFit="1" customWidth="1"/>
    <col min="8" max="8" width="10.08203125" bestFit="1" customWidth="1"/>
    <col min="9" max="9" width="10.1640625" bestFit="1" customWidth="1"/>
    <col min="10" max="10" width="10.08203125" bestFit="1" customWidth="1"/>
    <col min="11" max="11" width="10.83203125" bestFit="1" customWidth="1"/>
    <col min="12" max="12" width="16.1640625" bestFit="1" customWidth="1"/>
    <col min="13" max="13" width="10.83203125" bestFit="1" customWidth="1"/>
    <col min="14" max="14" width="16.1640625" bestFit="1" customWidth="1"/>
    <col min="15" max="15" width="10.83203125" bestFit="1" customWidth="1"/>
    <col min="16" max="16" width="16.1640625" bestFit="1" customWidth="1"/>
    <col min="17" max="17" width="10.83203125" bestFit="1" customWidth="1"/>
    <col min="18" max="18" width="20.6640625" bestFit="1" customWidth="1"/>
    <col min="19" max="19" width="15.33203125" bestFit="1" customWidth="1"/>
    <col min="20" max="20" width="6.83203125" bestFit="1" customWidth="1"/>
    <col min="21" max="21" width="7.33203125" bestFit="1" customWidth="1"/>
    <col min="22" max="22" width="4.58203125" bestFit="1" customWidth="1"/>
    <col min="23" max="23" width="7.33203125" bestFit="1" customWidth="1"/>
    <col min="24" max="24" width="4.58203125" bestFit="1" customWidth="1"/>
    <col min="25" max="25" width="7.33203125" bestFit="1" customWidth="1"/>
    <col min="26" max="27" width="10.08203125" bestFit="1" customWidth="1"/>
    <col min="28" max="30" width="14.4140625" bestFit="1" customWidth="1"/>
    <col min="31" max="33" width="15.33203125" bestFit="1" customWidth="1"/>
  </cols>
  <sheetData>
    <row r="1" spans="1:2">
      <c r="A1" s="11" t="s">
        <v>108</v>
      </c>
      <c r="B1" t="s">
        <v>248</v>
      </c>
    </row>
    <row r="2" spans="1:2">
      <c r="A2" s="12" t="s">
        <v>134</v>
      </c>
      <c r="B2" s="20">
        <v>5586000000</v>
      </c>
    </row>
    <row r="3" spans="1:2">
      <c r="A3" s="12" t="s">
        <v>109</v>
      </c>
      <c r="B3" s="20">
        <v>5586000000</v>
      </c>
    </row>
    <row r="11" spans="1:2">
      <c r="A11" s="11" t="s">
        <v>108</v>
      </c>
      <c r="B11" t="s">
        <v>247</v>
      </c>
    </row>
    <row r="12" spans="1:2">
      <c r="A12" s="12" t="s">
        <v>134</v>
      </c>
      <c r="B12" s="174">
        <v>17</v>
      </c>
    </row>
    <row r="13" spans="1:2">
      <c r="A13" s="12" t="s">
        <v>109</v>
      </c>
      <c r="B13" s="174">
        <v>17</v>
      </c>
    </row>
    <row r="24" spans="1:3">
      <c r="A24" s="97"/>
      <c r="B24" s="98"/>
      <c r="C24" s="99"/>
    </row>
    <row r="25" spans="1:3">
      <c r="A25" s="100"/>
      <c r="B25" s="101"/>
      <c r="C25" s="102"/>
    </row>
    <row r="26" spans="1:3">
      <c r="A26" s="100"/>
      <c r="B26" s="101"/>
      <c r="C26" s="102"/>
    </row>
    <row r="27" spans="1:3">
      <c r="A27" s="100"/>
      <c r="B27" s="101"/>
      <c r="C27" s="102"/>
    </row>
    <row r="28" spans="1:3">
      <c r="A28" s="100"/>
      <c r="B28" s="101"/>
      <c r="C28" s="102"/>
    </row>
    <row r="29" spans="1:3">
      <c r="A29" s="100"/>
      <c r="B29" s="101"/>
      <c r="C29" s="102"/>
    </row>
    <row r="30" spans="1:3">
      <c r="A30" s="100"/>
      <c r="B30" s="101"/>
      <c r="C30" s="102"/>
    </row>
    <row r="31" spans="1:3">
      <c r="A31" s="100"/>
      <c r="B31" s="101"/>
      <c r="C31" s="102"/>
    </row>
    <row r="32" spans="1:3">
      <c r="A32" s="100"/>
      <c r="B32" s="101"/>
      <c r="C32" s="102"/>
    </row>
    <row r="33" spans="1:10">
      <c r="A33" s="100"/>
      <c r="B33" s="101"/>
      <c r="C33" s="102"/>
    </row>
    <row r="34" spans="1:10">
      <c r="A34" s="100"/>
      <c r="B34" s="101"/>
      <c r="C34" s="102"/>
    </row>
    <row r="35" spans="1:10">
      <c r="A35" s="100"/>
      <c r="B35" s="101"/>
      <c r="C35" s="102"/>
    </row>
    <row r="36" spans="1:10">
      <c r="A36" s="100"/>
      <c r="B36" s="101"/>
      <c r="C36" s="102"/>
    </row>
    <row r="37" spans="1:10">
      <c r="A37" s="100"/>
      <c r="B37" s="101"/>
      <c r="C37" s="102"/>
    </row>
    <row r="38" spans="1:10">
      <c r="A38" s="100"/>
      <c r="B38" s="101"/>
      <c r="C38" s="102"/>
    </row>
    <row r="39" spans="1:10">
      <c r="A39" s="100"/>
      <c r="B39" s="101"/>
      <c r="C39" s="102"/>
    </row>
    <row r="40" spans="1:10">
      <c r="A40" s="100"/>
      <c r="B40" s="101"/>
      <c r="C40" s="102"/>
    </row>
    <row r="41" spans="1:10">
      <c r="A41" s="103"/>
      <c r="B41" s="104"/>
      <c r="C41" s="105"/>
    </row>
    <row r="47" spans="1:10">
      <c r="B47" s="11" t="s">
        <v>249</v>
      </c>
    </row>
    <row r="48" spans="1:10">
      <c r="B48" t="s">
        <v>97</v>
      </c>
      <c r="C48" t="s">
        <v>99</v>
      </c>
      <c r="D48" t="s">
        <v>101</v>
      </c>
      <c r="E48" t="s">
        <v>103</v>
      </c>
      <c r="F48" t="s">
        <v>105</v>
      </c>
      <c r="G48" t="s">
        <v>102</v>
      </c>
      <c r="H48" t="s">
        <v>100</v>
      </c>
      <c r="I48" t="s">
        <v>98</v>
      </c>
      <c r="J48" t="s">
        <v>109</v>
      </c>
    </row>
    <row r="49" spans="1:10">
      <c r="A49" t="s">
        <v>250</v>
      </c>
      <c r="B49">
        <v>75</v>
      </c>
      <c r="C49">
        <v>20</v>
      </c>
      <c r="D49">
        <v>50</v>
      </c>
      <c r="E49">
        <v>30</v>
      </c>
      <c r="F49">
        <v>14</v>
      </c>
      <c r="G49">
        <v>24</v>
      </c>
      <c r="H49">
        <v>48</v>
      </c>
      <c r="I49">
        <v>80</v>
      </c>
      <c r="J49">
        <v>341</v>
      </c>
    </row>
    <row r="59" spans="1:10">
      <c r="A59" s="97"/>
      <c r="B59" s="98"/>
      <c r="C59" s="99"/>
    </row>
    <row r="60" spans="1:10">
      <c r="A60" s="100"/>
      <c r="B60" s="101"/>
      <c r="C60" s="102"/>
    </row>
    <row r="61" spans="1:10">
      <c r="A61" s="100"/>
      <c r="B61" s="101"/>
      <c r="C61" s="102"/>
    </row>
    <row r="62" spans="1:10">
      <c r="A62" s="100"/>
      <c r="B62" s="101"/>
      <c r="C62" s="102"/>
    </row>
    <row r="63" spans="1:10">
      <c r="A63" s="100"/>
      <c r="B63" s="101"/>
      <c r="C63" s="102"/>
    </row>
    <row r="64" spans="1:10">
      <c r="A64" s="100"/>
      <c r="B64" s="101"/>
      <c r="C64" s="102"/>
    </row>
    <row r="65" spans="1:3">
      <c r="A65" s="100"/>
      <c r="B65" s="101"/>
      <c r="C65" s="102"/>
    </row>
    <row r="66" spans="1:3">
      <c r="A66" s="100"/>
      <c r="B66" s="101"/>
      <c r="C66" s="102"/>
    </row>
    <row r="67" spans="1:3">
      <c r="A67" s="100"/>
      <c r="B67" s="101"/>
      <c r="C67" s="102"/>
    </row>
    <row r="68" spans="1:3">
      <c r="A68" s="100"/>
      <c r="B68" s="101"/>
      <c r="C68" s="102"/>
    </row>
    <row r="69" spans="1:3">
      <c r="A69" s="100"/>
      <c r="B69" s="101"/>
      <c r="C69" s="102"/>
    </row>
    <row r="70" spans="1:3">
      <c r="A70" s="100"/>
      <c r="B70" s="101"/>
      <c r="C70" s="102"/>
    </row>
    <row r="71" spans="1:3">
      <c r="A71" s="100"/>
      <c r="B71" s="101"/>
      <c r="C71" s="102"/>
    </row>
    <row r="72" spans="1:3">
      <c r="A72" s="100"/>
      <c r="B72" s="101"/>
      <c r="C72" s="102"/>
    </row>
    <row r="73" spans="1:3">
      <c r="A73" s="100"/>
      <c r="B73" s="101"/>
      <c r="C73" s="102"/>
    </row>
    <row r="74" spans="1:3">
      <c r="A74" s="100"/>
      <c r="B74" s="101"/>
      <c r="C74" s="102"/>
    </row>
    <row r="75" spans="1:3">
      <c r="A75" s="100"/>
      <c r="B75" s="101"/>
      <c r="C75" s="102"/>
    </row>
    <row r="76" spans="1:3">
      <c r="A76" s="103"/>
      <c r="B76" s="104"/>
      <c r="C76" s="105"/>
    </row>
    <row r="80" spans="1:3">
      <c r="A80" s="11" t="s">
        <v>108</v>
      </c>
      <c r="B80" t="s">
        <v>247</v>
      </c>
    </row>
    <row r="81" spans="1:2">
      <c r="A81" s="12" t="s">
        <v>253</v>
      </c>
      <c r="B81">
        <v>23</v>
      </c>
    </row>
    <row r="82" spans="1:2">
      <c r="A82" s="12" t="s">
        <v>255</v>
      </c>
      <c r="B82">
        <v>23</v>
      </c>
    </row>
    <row r="83" spans="1:2">
      <c r="A83" s="12" t="s">
        <v>257</v>
      </c>
      <c r="B83">
        <v>18</v>
      </c>
    </row>
    <row r="84" spans="1:2">
      <c r="A84" s="12" t="s">
        <v>109</v>
      </c>
      <c r="B84">
        <v>64</v>
      </c>
    </row>
    <row r="97" spans="1:2">
      <c r="A97" s="11" t="s">
        <v>108</v>
      </c>
      <c r="B97" t="s">
        <v>247</v>
      </c>
    </row>
    <row r="98" spans="1:2">
      <c r="A98" s="12" t="s">
        <v>254</v>
      </c>
      <c r="B98">
        <v>23</v>
      </c>
    </row>
    <row r="99" spans="1:2">
      <c r="A99" s="12" t="s">
        <v>256</v>
      </c>
      <c r="B99">
        <v>23</v>
      </c>
    </row>
    <row r="100" spans="1:2">
      <c r="A100" s="12" t="s">
        <v>258</v>
      </c>
      <c r="B100">
        <v>18</v>
      </c>
    </row>
    <row r="101" spans="1:2">
      <c r="A101" s="12" t="s">
        <v>109</v>
      </c>
      <c r="B101">
        <v>64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 T a b l e 5 < / K e y > < V a l u e   x m l n s : a = " h t t p : / / s c h e m a s . d a t a c o n t r a c t . o r g / 2 0 0 4 / 0 7 / M i c r o s o f t . A n a l y s i s S e r v i c e s . C o m m o n " > < a : H a s F o c u s > t r u e < / a : H a s F o c u s > < a : S i z e A t D p i 9 6 > 1 4 3 < / a : S i z e A t D p i 9 6 > < a : V i s i b l e > t r u e < / a : V i s i b l e > < / V a l u e > < / K e y V a l u e O f s t r i n g S a n d b o x E d i t o r . M e a s u r e G r i d S t a t e S c d E 3 5 R y > < K e y V a l u e O f s t r i n g S a n d b o x E d i t o r . M e a s u r e G r i d S t a t e S c d E 3 5 R y > < K e y > T a b l e 1 5 < / K e y > < V a l u e   x m l n s : a = " h t t p : / / s c h e m a s . d a t a c o n t r a c t . o r g / 2 0 0 4 / 0 7 / M i c r o s o f t . A n a l y s i s S e r v i c e s . C o m m o n " > < a : H a s F o c u s > t r u e < / a : H a s F o c u s > < a : S i z e A t D p i 9 6 > 1 2 5 < / a : S i z e A t D p i 9 6 > < a : V i s i b l e > t r u e < / a : V i s i b l e > < / V a l u e > < / K e y V a l u e O f s t r i n g S a n d b o x E d i t o r . M e a s u r e G r i d S t a t e S c d E 3 5 R y > < K e y V a l u e O f s t r i n g S a n d b o x E d i t o r . M e a s u r e G r i d S t a t e S c d E 3 5 R y > < K e y > T a b l e 1 7 < / 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0.xml>��< ? x m l   v e r s i o n = " 1 . 0 "   e n c o d i n g = " U T F - 1 6 " ? > < G e m i n i   x m l n s = " h t t p : / / g e m i n i / p i v o t c u s t o m i z a t i o n / T a b l e X M L _ T a b l e 1 5 " > < C u s t o m C o n t e n t > < ! [ C D A T A [ < T a b l e W i d g e t G r i d S e r i a l i z a t i o n   x m l n s : x s d = " h t t p : / / w w w . w 3 . o r g / 2 0 0 1 / X M L S c h e m a "   x m l n s : x s i = " h t t p : / / w w w . w 3 . o r g / 2 0 0 1 / X M L S c h e m a - i n s t a n c e " > < C o l u m n S u g g e s t e d T y p e   / > < C o l u m n F o r m a t   / > < C o l u m n A c c u r a c y   / > < C o l u m n C u r r e n c y S y m b o l   / > < C o l u m n P o s i t i v e P a t t e r n   / > < C o l u m n N e g a t i v e P a t t e r n   / > < C o l u m n W i d t h s > < i t e m > < k e y > < s t r i n g > I D - C U S T O M E R < / s t r i n g > < / k e y > < v a l u e > < i n t > 1 7 9 < / i n t > < / v a l u e > < / i t e m > < i t e m > < k e y > < s t r i n g > N A M A < / s t r i n g > < / k e y > < v a l u e > < i n t > 1 0 8 < / i n t > < / v a l u e > < / i t e m > < i t e m > < k e y > < s t r i n g > A L A M A T < / s t r i n g > < / k e y > < v a l u e > < i n t > 1 2 5 < / i n t > < / v a l u e > < / i t e m > < i t e m > < k e y > < s t r i n g > B R A N C H < / s t r i n g > < / k e y > < v a l u e > < i n t > 1 2 6 < / i n t > < / v a l u e > < / i t e m > < / C o l u m n W i d t h s > < C o l u m n D i s p l a y I n d e x > < i t e m > < k e y > < s t r i n g > I D - C U S T O M E R < / s t r i n g > < / k e y > < v a l u e > < i n t > 0 < / i n t > < / v a l u e > < / i t e m > < i t e m > < k e y > < s t r i n g > N A M A < / s t r i n g > < / k e y > < v a l u e > < i n t > 1 < / i n t > < / v a l u e > < / i t e m > < i t e m > < k e y > < s t r i n g > A L A M A T < / s t r i n g > < / k e y > < v a l u e > < i n t > 2 < / i n t > < / v a l u e > < / i t e m > < i t e m > < k e y > < s t r i n g > B R A N C H < / 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 C o l u m n s \ I D - C U S T O M E R < / K e y > < / a : K e y > < a : V a l u e   i : t y p e = " T a b l e W i d g e t B a s e V i e w S t a t e " / > < / a : K e y V a l u e O f D i a g r a m O b j e c t K e y a n y T y p e z b w N T n L X > < a : K e y V a l u e O f D i a g r a m O b j e c t K e y a n y T y p e z b w N T n L X > < a : K e y > < K e y > C o l u m n s \ N A M A < / K e y > < / a : K e y > < a : V a l u e   i : t y p e = " T a b l e W i d g e t B a s e V i e w S t a t e " / > < / a : K e y V a l u e O f D i a g r a m O b j e c t K e y a n y T y p e z b w N T n L X > < a : K e y V a l u e O f D i a g r a m O b j e c t K e y a n y T y p e z b w N T n L X > < a : K e y > < K e y > C o l u m n s \ A L A M A T < / 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  P R O D U C T < / 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 C o l u m n s \ T R A N S A C T I O N   D A T E < / K e y > < / a : K e y > < a : V a l u e   i : t y p e = " T a b l e W i d g e t B a s e V i e w S t a t e " / > < / a : K e y V a l u e O f D i a g r a m O b j e c t K e y a n y T y p e z b w N T n L X > < a : K e y V a l u e O f D i a g r a m O b j e c t K e y a n y T y p e z b w N T n L X > < a : K e y > < K e y > C o l u m n s \ I T E M 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 C o l u m n s \ S T O C K < / K e y > < / a : K e y > < a : V a l u e   i : t y p e = " T a b l e W i d g e t B a s e V i e w S t a t e " / > < / a : K e y V a l u e O f D i a g r a m O b j e c t K e y a n y T y p e z b w N T n L X > < a : K e y V a l u e O f D i a g r a m O b j e c t K e y a n y T y p e z b w N T n L X > < a : K e y > < K e y > C o l u m n s \ S T O C K   L E F T < / 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 C o l u m n s \ T O T A L 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 C o l u m n s \ I D - P R O D U C T < / K e y > < / a : K e y > < a : V a l u e   i : t y p e = " T a b l e W i d g e t B a s e V i e w S t a t e " / > < / a : K e y V a l u e O f D i a g r a m O b j e c t K e y a n y T y p e z b w N T n L X > < a : K e y V a l u e O f D i a g r a m O b j e c t K e y a n y T y p e z b w N T n L X > < a : K e y > < K e y > C o l u m n s \ N A M A < / K e y > < / a : K e y > < a : V a l u e   i : t y p e = " T a b l e W i d g e t B a s e V i e w S t a t e " / > < / a : K e y V a l u e O f D i a g r a m O b j e c t K e y a n y T y p e z b w N T n L X > < a : K e y V a l u e O f D i a g r a m O b j e c t K e y a n y T y p e z b w N T n L X > < a : K e y > < K e y > C o l u m n s \ T A N G G A L < / 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 C o l u m n s \ J E N I S 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 C o l u m n s \ S T O C K < / K e y > < / a : K e y > < a : V a l u e   i : t y p e = " T a b l e W i d g e t B a s e V i e w S t a t e " / > < / a : K e y V a l u e O f D i a g r a m O b j e c t K e y a n y T y p e z b w N T n L X > < a : K e y V a l u e O f D i a g r a m O b j e c t K e y a n y T y p e z b w N T n L X > < a : K e y > < K e y > C o l u m n s \ S T O C K   L E F T < / 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 C o l u m n s \ T O T A L 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 D E T A I L   P R O D U K 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 D E T A I L   P R O D U K 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  P r o d u c t < / 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 C o l u m n s \ S t o k < / 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S a n d b o x N o n E m p t y " > < C u s t o m C o n t e n t > < ! [ C D A T A [ 1 ] ] > < / 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P o w e r P i v o t V e r s i o n " > < C u s t o m C o n t e n t > < ! [ C D A T A [ 2 0 1 5 . 1 3 0 . 1 6 0 5 . 4 0 6 ] ] > < / C u s t o m C o n t e n t > < / G e m i n i > 
</file>

<file path=customXml/item15.xml>��< ? x m l   v e r s i o n = " 1 . 0 "   e n c o d i n g = " U T F - 1 6 " ? > < G e m i n i   x m l n s = " h t t p : / / g e m i n i / p i v o t c u s t o m i z a t i o n / T a b l e O r d e r " > < C u s t o m C o n t e n t > < ! [ C D A T A [ T a b l e 5 , T a b l e 1 5 , T a b l e 1 7 ] ] > < / C u s t o m C o n t e n t > < / G e m i n i > 
</file>

<file path=customXml/item16.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 I D   P r o d u c t < / s t r i n g > < / k e y > < v a l u e > < i n t > 1 4 5 < / i n t > < / v a l u e > < / i t e m > < i t e m > < k e y > < s t r i n g > T y p e < / s t r i n g > < / k e y > < v a l u e > < i n t > 9 2 < / i n t > < / v a l u e > < / i t e m > < i t e m > < k e y > < s t r i n g > P r i c e < / s t r i n g > < / k e y > < v a l u e > < i n t > 9 3 < / i n t > < / v a l u e > < / i t e m > < i t e m > < k e y > < s t r i n g > S t o k < / s t r i n g > < / k e y > < v a l u e > < i n t > 8 8 < / i n t > < / v a l u e > < / i t e m > < i t e m > < k e y > < s t r i n g > C a t e g o r y < / s t r i n g > < / k e y > < v a l u e > < i n t > 1 3 0 < / i n t > < / v a l u e > < / i t e m > < i t e m > < k e y > < s t r i n g > Y e a r < / s t r i n g > < / k e y > < v a l u e > < i n t > 8 8 < / i n t > < / v a l u e > < / i t e m > < / C o l u m n W i d t h s > < C o l u m n D i s p l a y I n d e x > < i t e m > < k e y > < s t r i n g > I D   P r o d u c t < / s t r i n g > < / k e y > < v a l u e > < i n t > 0 < / i n t > < / v a l u e > < / i t e m > < i t e m > < k e y > < s t r i n g > T y p e < / s t r i n g > < / k e y > < v a l u e > < i n t > 1 < / i n t > < / v a l u e > < / i t e m > < i t e m > < k e y > < s t r i n g > P r i c e < / s t r i n g > < / k e y > < v a l u e > < i n t > 2 < / i n t > < / v a l u e > < / i t e m > < i t e m > < k e y > < s t r i n g > S t o k < / s t r i n g > < / k e y > < v a l u e > < i n t > 3 < / i n t > < / v a l u e > < / i t e m > < i t e m > < k e y > < s t r i n g > C a t e g o r y < / s t r i n g > < / k e y > < v a l u e > < i n t > 4 < / i n t > < / v a l u e > < / i t e m > < i t e m > < k e y > < s t r i n g > Y e a r < / s t r i n g > < / k e y > < v a l u e > < i n t > 5 < / 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T a b l e 1 7 " > < C u s t o m C o n t e n t > < ! [ C D A T A [ < T a b l e W i d g e t G r i d S e r i a l i z a t i o n   x m l n s : x s d = " h t t p : / / w w w . w 3 . o r g / 2 0 0 1 / X M L S c h e m a "   x m l n s : x s i = " h t t p : / / w w w . w 3 . o r g / 2 0 0 1 / X M L S c h e m a - i n s t a n c e " > < C o l u m n S u g g e s t e d T y p e   / > < C o l u m n F o r m a t   / > < C o l u m n A c c u r a c y   / > < C o l u m n C u r r e n c y S y m b o l   / > < C o l u m n P o s i t i v e P a t t e r n   / > < C o l u m n N e g a t i v e P a t t e r n   / > < C o l u m n W i d t h s > < i t e m > < k e y > < s t r i n g > I D - P R O D U C T < / s t r i n g > < / k e y > < v a l u e > < i n t > 1 6 5 < / i n t > < / v a l u e > < / i t e m > < i t e m > < k e y > < s t r i n g > N A M A < / s t r i n g > < / k e y > < v a l u e > < i n t > 1 0 8 < / i n t > < / v a l u e > < / i t e m > < i t e m > < k e y > < s t r i n g > T A N G G A L < / s t r i n g > < / k e y > < v a l u e > < i n t > 1 3 5 < / i n t > < / v a l u e > < / i t e m > < i t e m > < k e y > < s t r i n g > T Y P E < / s t r i n g > < / k e y > < v a l u e > < i n t > 9 3 < / i n t > < / v a l u e > < / i t e m > < i t e m > < k e y > < s t r i n g > J E N I S < / s t r i n g > < / k e y > < v a l u e > < i n t > 9 7 < / i n t > < / v a l u e > < / i t e m > < i t e m > < k e y > < s t r i n g > Q U A N T I T Y < / s t r i n g > < / k e y > < v a l u e > < i n t > 1 4 4 < / i n t > < / v a l u e > < / i t e m > < i t e m > < k e y > < s t r i n g > S T O C K < / s t r i n g > < / k e y > < v a l u e > < i n t > 1 0 7 < / i n t > < / v a l u e > < / i t e m > < i t e m > < k e y > < s t r i n g > S T O C K   L E F T < / s t r i n g > < / k e y > < v a l u e > < i n t > 1 5 3 < / i n t > < / v a l u e > < / i t e m > < i t e m > < k e y > < s t r i n g > P R I C E < / s t r i n g > < / k e y > < v a l u e > < i n t > 1 0 1 < / i n t > < / v a l u e > < / i t e m > < i t e m > < k e y > < s t r i n g > T O T A L   P R I C E < / s t r i n g > < / k e y > < v a l u e > < i n t > 1 6 1 < / i n t > < / v a l u e > < / i t e m > < / C o l u m n W i d t h s > < C o l u m n D i s p l a y I n d e x > < i t e m > < k e y > < s t r i n g > I D - P R O D U C T < / s t r i n g > < / k e y > < v a l u e > < i n t > 0 < / i n t > < / v a l u e > < / i t e m > < i t e m > < k e y > < s t r i n g > N A M A < / s t r i n g > < / k e y > < v a l u e > < i n t > 1 < / i n t > < / v a l u e > < / i t e m > < i t e m > < k e y > < s t r i n g > T A N G G A L < / s t r i n g > < / k e y > < v a l u e > < i n t > 2 < / i n t > < / v a l u e > < / i t e m > < i t e m > < k e y > < s t r i n g > T Y P E < / s t r i n g > < / k e y > < v a l u e > < i n t > 3 < / i n t > < / v a l u e > < / i t e m > < i t e m > < k e y > < s t r i n g > J E N I S < / s t r i n g > < / k e y > < v a l u e > < i n t > 4 < / i n t > < / v a l u e > < / i t e m > < i t e m > < k e y > < s t r i n g > Q U A N T I T Y < / s t r i n g > < / k e y > < v a l u e > < i n t > 5 < / i n t > < / v a l u e > < / i t e m > < i t e m > < k e y > < s t r i n g > S T O C K < / s t r i n g > < / k e y > < v a l u e > < i n t > 6 < / i n t > < / v a l u e > < / i t e m > < i t e m > < k e y > < s t r i n g > S T O C K   L E F T < / s t r i n g > < / k e y > < v a l u e > < i n t > 7 < / i n t > < / v a l u e > < / i t e m > < i t e m > < k e y > < s t r i n g > P R I C E < / s t r i n g > < / k e y > < v a l u e > < i n t > 8 < / i n t > < / v a l u e > < / i t e m > < i t e m > < k e y > < s t r i n g > T O T A L   P R I C E < / s t r i n g > < / k e y > < v a l u e > < i n t > 9 < / 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H i d d e n " > < C u s t o m C o n t e n t > < ! [ C D A T A [ T r u 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I s S a n d b o x E m b e d d e d " > < C u s t o m C o n t e n t > < ! [ C D A T A [ y e s ] ] > < / C u s t o m C o n t e n t > < / G e m i n i > 
</file>

<file path=customXml/item4.xml>��< ? x m l   v e r s i o n = " 1 . 0 "   e n c o d i n g = " U T F - 1 6 " ? > < G e m i n i   x m l n s = " h t t p : / / g e m i n i / p i v o t c u s t o m i z a t i o n / L i n k e d T a b l e U p d a t e M o d e " > < 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 2 0 2 2 - 0 1 - 1 5 T 1 6 : 0 0 : 4 3 . 2 6 8 6 9 7 6 + 0 7 : 0 0 < / L a s t P r o c e s s e d T i m e > < / D a t a M o d e l i n g S a n d b o x . S e r i a l i z e d S a n d b o x E r r o r C a c h e > ] ] > < / C u s t o m C o n t e n t > < / G e m i n i > 
</file>

<file path=customXml/item6.xml>��< ? x m l   v e r s i o n = " 1 . 0 "   e n c o d i n g = " U T F - 1 6 " ? > < G e m i n i   x m l n s = " h t t p : / / g e m i n i / p i v o t c u s t o m i z a t i o n / M a n u a l C a l c M o d e " > < C u s t o m C o n t e n t > < ! [ C D A T A [ F a l s 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  P R O D U C T < / K e y > < / D i a g r a m O b j e c t K e y > < D i a g r a m O b j e c t K e y > < K e y > C o l u m n s \ C U S T O M E R   N A M E < / K e y > < / D i a g r a m O b j e c t K e y > < D i a g r a m O b j e c t K e y > < K e y > C o l u m n s \ T R A N S A C T I O N   D A T E < / K e y > < / D i a g r a m O b j e c t K e y > < D i a g r a m O b j e c t K e y > < K e y > C o l u m n s \ I T E M   N A M E < / K e y > < / D i a g r a m O b j e c t K e y > < D i a g r a m O b j e c t K e y > < K e y > C o l u m n s \ C A T E G O R Y < / K e y > < / D i a g r a m O b j e c t K e y > < D i a g r a m O b j e c t K e y > < K e y > C o l u m n s \ Q U A N T I T Y < / K e y > < / D i a g r a m O b j e c t K e y > < D i a g r a m O b j e c t K e y > < K e y > C o l u m n s \ S T O C K < / K e y > < / D i a g r a m O b j e c t K e y > < D i a g r a m O b j e c t K e y > < K e y > C o l u m n s \ S T O C K   L E F T < / K e y > < / D i a g r a m O b j e c t K e y > < D i a g r a m O b j e c t K e y > < K e y > C o l u m n s \ P R I C E < / K e y > < / D i a g r a m O b j e c t K e y > < D i a g r a m O b j e c t K e y > < K e y > C o l u m n s \ T O T A L   P R I C E 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  P R O D U C T < / 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 C o l u m n s \ T R A N S A C T I O N   D A T E < / K e y > < / a : K e y > < a : V a l u e   i : t y p e = " M e a s u r e G r i d N o d e V i e w S t a t e " > < C o l u m n > 2 < / C o l u m n > < L a y e d O u t > t r u e < / L a y e d O u t > < / a : V a l u e > < / a : K e y V a l u e O f D i a g r a m O b j e c t K e y a n y T y p e z b w N T n L X > < a : K e y V a l u e O f D i a g r a m O b j e c t K e y a n y T y p e z b w N T n L X > < a : K e y > < K e y > C o l u m n s \ I T E M   N A M E < / 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 C o l u m n s \ Q U A N T I T Y < / K e y > < / a : K e y > < a : V a l u e   i : t y p e = " M e a s u r e G r i d N o d e V i e w S t a t e " > < C o l u m n > 5 < / C o l u m n > < L a y e d O u t > t r u e < / L a y e d O u t > < / a : V a l u e > < / a : K e y V a l u e O f D i a g r a m O b j e c t K e y a n y T y p e z b w N T n L X > < a : K e y V a l u e O f D i a g r a m O b j e c t K e y a n y T y p e z b w N T n L X > < a : K e y > < K e y > C o l u m n s \ S T O C K < / K e y > < / a : K e y > < a : V a l u e   i : t y p e = " M e a s u r e G r i d N o d e V i e w S t a t e " > < C o l u m n > 6 < / C o l u m n > < L a y e d O u t > t r u e < / L a y e d O u t > < / a : V a l u e > < / a : K e y V a l u e O f D i a g r a m O b j e c t K e y a n y T y p e z b w N T n L X > < a : K e y V a l u e O f D i a g r a m O b j e c t K e y a n y T y p e z b w N T n L X > < a : K e y > < K e y > C o l u m n s \ S T O C K   L E F T < / 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 C o l u m n s \ T O T A L   P R I C E < / K e y > < / a : K e y > < a : V a l u e   i : t y p e = " M e a s u r e G r i d N o d e V i e w S t a t e " > < C o l u m n > 9 < / C o l u m n > < L a y e d O u t > t r u e < / L a y e d O u t > < / a : V a l u e > < / a : K e y V a l u e O f D i a g r a m O b j e c t K e y a n y T y p e z b w N T n L X > < / V i e w S t a t e s > < / D i a g r a m M a n a g e r . S e r i a l i z a b l e D i a g r a m > < D i a g r a m M a n a g e r . S e r i a l i z a b l e D i a g r a m > < A d a p t e r   i : t y p e = " M e a s u r e D i a g r a m S a n d b o x A d a p t e r " > < T a b l e N a m e > T R A N S A C T I O N 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 C o l u m n s \ I D - P R O D U C T < / K e y > < / D i a g r a m O b j e c t K e y > < D i a g r a m O b j e c t K e y > < K e y > C o l u m n s \ N A M A < / K e y > < / D i a g r a m O b j e c t K e y > < D i a g r a m O b j e c t K e y > < K e y > C o l u m n s \ T A N G G A L < / K e y > < / D i a g r a m O b j e c t K e y > < D i a g r a m O b j e c t K e y > < K e y > C o l u m n s \ T Y P E < / K e y > < / D i a g r a m O b j e c t K e y > < D i a g r a m O b j e c t K e y > < K e y > C o l u m n s \ J E N I S < / K e y > < / D i a g r a m O b j e c t K e y > < D i a g r a m O b j e c t K e y > < K e y > C o l u m n s \ Q U A N T I T Y < / K e y > < / D i a g r a m O b j e c t K e y > < D i a g r a m O b j e c t K e y > < K e y > C o l u m n s \ S T O C K < / K e y > < / D i a g r a m O b j e c t K e y > < D i a g r a m O b j e c t K e y > < K e y > C o l u m n s \ S T O C K   L E F T < / K e y > < / D i a g r a m O b j e c t K e y > < D i a g r a m O b j e c t K e y > < K e y > C o l u m n s \ P R I C E < / K e y > < / D i a g r a m O b j e c t K e y > < D i a g r a m O b j e c t K e y > < K e y > C o l u m n s \ T O T A L   P R I C E 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 C o l u m n s \ I D - P R O D U C T < / K e y > < / a : K e y > < a : V a l u e   i : t y p e = " M e a s u r e G r i d N o d e V i e w S t a t e " > < L a y e d O u t > t r u e < / L a y e d O u t > < / a : V a l u e > < / a : K e y V a l u e O f D i a g r a m O b j e c t K e y a n y T y p e z b w N T n L X > < a : K e y V a l u e O f D i a g r a m O b j e c t K e y a n y T y p e z b w N T n L X > < a : K e y > < K e y > C o l u m n s \ N A M A < / K e y > < / a : K e y > < a : V a l u e   i : t y p e = " M e a s u r e G r i d N o d e V i e w S t a t e " > < C o l u m n > 1 < / C o l u m n > < L a y e d O u t > t r u e < / L a y e d O u t > < / a : V a l u e > < / a : K e y V a l u e O f D i a g r a m O b j e c t K e y a n y T y p e z b w N T n L X > < a : K e y V a l u e O f D i a g r a m O b j e c t K e y a n y T y p e z b w N T n L X > < a : K e y > < K e y > C o l u m n s \ T A N G G A L < / K e y > < / a : K e y > < a : V a l u e   i : t y p e = " M e a s u r e G r i d N o d e V i e w S t a t e " > < C o l u m n > 2 < / C o l u m n > < L a y e d O u t > t r u e < / L a y e d O u t > < / a : V a l u e > < / a : K e y V a l u e O f D i a g r a m O b j e c t K e y a n y T y p e z b w N T n L X > < a : K e y V a l u e O f D i a g r a m O b j e c t K e y a n y T y p e z b w N T n L X > < a : K e y > < K e y > C o l u m n s \ T Y P E < / K e y > < / a : K e y > < a : V a l u e   i : t y p e = " M e a s u r e G r i d N o d e V i e w S t a t e " > < C o l u m n > 3 < / C o l u m n > < L a y e d O u t > t r u e < / L a y e d O u t > < / a : V a l u e > < / a : K e y V a l u e O f D i a g r a m O b j e c t K e y a n y T y p e z b w N T n L X > < a : K e y V a l u e O f D i a g r a m O b j e c t K e y a n y T y p e z b w N T n L X > < a : K e y > < K e y > C o l u m n s \ J E N I S < / K e y > < / a : K e y > < a : V a l u e   i : t y p e = " M e a s u r e G r i d N o d e V i e w S t a t e " > < C o l u m n > 4 < / C o l u m n > < L a y e d O u t > t r u e < / L a y e d O u t > < / a : V a l u e > < / a : K e y V a l u e O f D i a g r a m O b j e c t K e y a n y T y p e z b w N T n L X > < a : K e y V a l u e O f D i a g r a m O b j e c t K e y a n y T y p e z b w N T n L X > < a : K e y > < K e y > C o l u m n s \ Q U A N T I T Y < / K e y > < / a : K e y > < a : V a l u e   i : t y p e = " M e a s u r e G r i d N o d e V i e w S t a t e " > < C o l u m n > 5 < / C o l u m n > < L a y e d O u t > t r u e < / L a y e d O u t > < / a : V a l u e > < / a : K e y V a l u e O f D i a g r a m O b j e c t K e y a n y T y p e z b w N T n L X > < a : K e y V a l u e O f D i a g r a m O b j e c t K e y a n y T y p e z b w N T n L X > < a : K e y > < K e y > C o l u m n s \ S T O C K < / K e y > < / a : K e y > < a : V a l u e   i : t y p e = " M e a s u r e G r i d N o d e V i e w S t a t e " > < C o l u m n > 6 < / C o l u m n > < L a y e d O u t > t r u e < / L a y e d O u t > < / a : V a l u e > < / a : K e y V a l u e O f D i a g r a m O b j e c t K e y a n y T y p e z b w N T n L X > < a : K e y V a l u e O f D i a g r a m O b j e c t K e y a n y T y p e z b w N T n L X > < a : K e y > < K e y > C o l u m n s \ S T O C K   L E F T < / 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 C o l u m n s \ T O T A L   P R I C E < / K e y > < / a : K e y > < a : V a l u e   i : t y p e = " M e a s u r e G r i d N o d e V i e w S t a t e " > < C o l u m n > 9 < / 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 C o l u m n s \ I D - C U S T O M E R < / K e y > < / D i a g r a m O b j e c t K e y > < D i a g r a m O b j e c t K e y > < K e y > C o l u m n s \ N A M A < / K e y > < / D i a g r a m O b j e c t K e y > < D i a g r a m O b j e c t K e y > < K e y > C o l u m n s \ A L A M A T < / K e y > < / D i a g r a m O b j e c t K e y > < D i a g r a m O b j e c t K e y > < K e y > C o l u m n s \ B R A N C H 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 C o l u m n s \ I D - C U S T O M E R < / K e y > < / a : K e y > < a : V a l u e   i : t y p e = " M e a s u r e G r i d N o d e V i e w S t a t e " > < L a y e d O u t > t r u e < / L a y e d O u t > < / a : V a l u e > < / a : K e y V a l u e O f D i a g r a m O b j e c t K e y a n y T y p e z b w N T n L X > < a : K e y V a l u e O f D i a g r a m O b j e c t K e y a n y T y p e z b w N T n L X > < a : K e y > < K e y > C o l u m n s \ N A M A < / K e y > < / a : K e y > < a : V a l u e   i : t y p e = " M e a s u r e G r i d N o d e V i e w S t a t e " > < C o l u m n > 1 < / C o l u m n > < L a y e d O u t > t r u e < / L a y e d O u t > < / a : V a l u e > < / a : K e y V a l u e O f D i a g r a m O b j e c t K e y a n y T y p e z b w N T n L X > < a : K e y V a l u e O f D i a g r a m O b j e c t K e y a n y T y p e z b w N T n L X > < a : K e y > < K e y > C o l u m n s \ A L A M A T < / K e y > < / a : K e y > < a : V a l u e   i : t y p e = " M e a s u r e G r i d N o d e V i e w S t a t e " > < C o l u m n > 2 < / C o l u m n > < L a y e d O u t > t r u e < / L a y e d O u t > < / a : V a l u e > < / a : K e y V a l u e O f D i a g r a m O b j e c t K e y a n y T y p e z b w N T n L X > < a : K e y V a l u e O f D i a g r a m O b j e c t K e y a n y T y p e z b w N T n L X > < a : K e y > < K e y > C o l u m n s \ B R A N C H < / K e y > < / a : K e y > < a : V a l u e   i : t y p e = " M e a s u r e G r i d N o d e V i e w S t a t e " > < C o l u m n > 3 < / C o l u m n > < L a y e d O u t > t r u e < / L a y e d O u t > < / a : V a l u e > < / a : K e y V a l u e O f D i a g r a m O b j e c t K e y a n y T y p e z b w N T n L X > < / V i e w S t a t e s > < / D i a g r a m M a n a g e r . S e r i a l i z a b l e D i a g r a m > < D i a g r a m M a n a g e r . S e r i a l i z a b l e D i a g r a m > < A d a p t e r   i : t y p e = " M e a s u r e D i a g r a m S a n d b o x A d a p t e r " > < T a b l e N a m e > D E T A I L   P R O D U K 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 D E T A I L   P R O D U K 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  P r o d u c t < / K e y > < / D i a g r a m O b j e c t K e y > < D i a g r a m O b j e c t K e y > < K e y > C o l u m n s \ T y p e < / K e y > < / D i a g r a m O b j e c t K e y > < D i a g r a m O b j e c t K e y > < K e y > C o l u m n s \ P r i c e < / K e y > < / D i a g r a m O b j e c t K e y > < D i a g r a m O b j e c t K e y > < K e y > C o l u m n s \ S t o k < / K e y > < / D i a g r a m O b j e c t K e y > < D i a g r a m O b j e c t K e y > < K e y > C o l u m n s \ C a t e g o r y < / 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  P r o d u c t < / K e y > < / a : K e y > < a : V a l u e   i : t y p e = " M e a s u r e G r i d N o d e V i e w S t a t e " > < L a y e d O u t > t r u e < / L a y e d O u t > < / a : V a l u e > < / a : K e y V a l u e O f D i a g r a m O b j e c t K e y a n y T y p e z b w N T n L X > < a : K e y V a l u e O f D i a g r a m O b j e c t K e y a n y T y p e z b w N T n L X > < a : K e y > < K e y > C o l u m n s \ T y p e < / K e y > < / a : K e y > < a : V a l u e   i : t y p e = " M e a s u r e G r i d N o d e V i e w S t a t e " > < C o l u m n > 1 < / C o l u m n > < L a y e d O u t > t r u e < / L a y e d O u t > < / a : V a l u e > < / a : K e y V a l u e O f D i a g r a m O b j e c t K e y a n y T y p e z b w N T n L X > < a : K e y V a l u e O f D i a g r a m O b j e c t K e y a n y T y p e z b w N T n L X > < a : K e y > < K e y > C o l u m n s \ P r i c e < / K e y > < / a : K e y > < a : V a l u e   i : t y p e = " M e a s u r e G r i d N o d e V i e w S t a t e " > < C o l u m n > 2 < / C o l u m n > < L a y e d O u t > t r u e < / L a y e d O u t > < / a : V a l u e > < / a : K e y V a l u e O f D i a g r a m O b j e c t K e y a n y T y p e z b w N T n L X > < a : K e y V a l u e O f D i a g r a m O b j e c t K e y a n y T y p e z b w N T n L X > < a : K e y > < K e y > C o l u m n s \ S t o k < / 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 C o l u m n s \ Y e a r < / 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 T a g s \ T a b l e s \ & l t ; T a b l e s \ D E T A I L   P R O D U K & g t ; < / K e y > < / D i a g r a m O b j e c t K e y > < D i a g r a m O b j e c t K e y > < K e y > D y n a m i c   T a g s \ T a b l e s \ & l t ; T a b l e s \ C U S T O M E R & g t ; < / K e y > < / D i a g r a m O b j e c t K e y > < D i a g r a m O b j e c t K e y > < K e y > D y n a m i c   T a g s \ T a b l e s \ & l t ; T a b l e s \ T R A N S A C T I O N & g t ; < / K e y > < / D i a g r a m O b j e c t K e y > < D i a g r a m O b j e c t K e y > < K e y > T a b l e s \ D E T A I L   P R O D U K < / K e y > < / D i a g r a m O b j e c t K e y > < D i a g r a m O b j e c t K e y > < K e y > T a b l e s \ D E T A I L   P R O D U K \ C o l u m n s \ I D   P r o d u c t < / K e y > < / D i a g r a m O b j e c t K e y > < D i a g r a m O b j e c t K e y > < K e y > T a b l e s \ D E T A I L   P R O D U K \ C o l u m n s \ T y p e < / K e y > < / D i a g r a m O b j e c t K e y > < D i a g r a m O b j e c t K e y > < K e y > T a b l e s \ D E T A I L   P R O D U K \ C o l u m n s \ P r i c e < / K e y > < / D i a g r a m O b j e c t K e y > < D i a g r a m O b j e c t K e y > < K e y > T a b l e s \ D E T A I L   P R O D U K \ C o l u m n s \ S t o k < / K e y > < / D i a g r a m O b j e c t K e y > < D i a g r a m O b j e c t K e y > < K e y > T a b l e s \ D E T A I L   P R O D U K \ C o l u m n s \ C a t e g o r y < / K e y > < / D i a g r a m O b j e c t K e y > < D i a g r a m O b j e c t K e y > < K e y > T a b l e s \ D E T A I L   P R O D U K \ C o l u m n s \ Y e a r < / K e y > < / D i a g r a m O b j e c t K e y > < D i a g r a m O b j e c t K e y > < K e y > T a b l e s \ C U S T O M E R < / K e y > < / D i a g r a m O b j e c t K e y > < D i a g r a m O b j e c t K e y > < K e y > T a b l e s \ C U S T O M E R \ C o l u m n s \ I D - C U S T O M E R < / K e y > < / D i a g r a m O b j e c t K e y > < D i a g r a m O b j e c t K e y > < K e y > T a b l e s \ C U S T O M E R \ C o l u m n s \ N A M A < / K e y > < / D i a g r a m O b j e c t K e y > < D i a g r a m O b j e c t K e y > < K e y > T a b l e s \ C U S T O M E R \ C o l u m n s \ A L A M A T < / K e y > < / D i a g r a m O b j e c t K e y > < D i a g r a m O b j e c t K e y > < K e y > T a b l e s \ C U S T O M E R \ C o l u m n s \ B R A N C H < / K e y > < / D i a g r a m O b j e c t K e y > < D i a g r a m O b j e c t K e y > < K e y > T a b l e s \ T R A N S A C T I O N < / K e y > < / D i a g r a m O b j e c t K e y > < D i a g r a m O b j e c t K e y > < K e y > T a b l e s \ T R A N S A C T I O N \ C o l u m n s \ I D - P R O D U C T < / K e y > < / D i a g r a m O b j e c t K e y > < D i a g r a m O b j e c t K e y > < K e y > T a b l e s \ T R A N S A C T I O N \ C o l u m n s \ N A M A < / K e y > < / D i a g r a m O b j e c t K e y > < D i a g r a m O b j e c t K e y > < K e y > T a b l e s \ T R A N S A C T I O N \ C o l u m n s \ T A N G G A L < / K e y > < / D i a g r a m O b j e c t K e y > < D i a g r a m O b j e c t K e y > < K e y > T a b l e s \ T R A N S A C T I O N \ C o l u m n s \ T Y P E < / K e y > < / D i a g r a m O b j e c t K e y > < D i a g r a m O b j e c t K e y > < K e y > T a b l e s \ T R A N S A C T I O N \ C o l u m n s \ J E N I S < / K e y > < / D i a g r a m O b j e c t K e y > < D i a g r a m O b j e c t K e y > < K e y > T a b l e s \ T R A N S A C T I O N \ C o l u m n s \ Q U A N T I T Y < / K e y > < / D i a g r a m O b j e c t K e y > < D i a g r a m O b j e c t K e y > < K e y > T a b l e s \ T R A N S A C T I O N \ C o l u m n s \ S T O C K < / K e y > < / D i a g r a m O b j e c t K e y > < D i a g r a m O b j e c t K e y > < K e y > T a b l e s \ T R A N S A C T I O N \ C o l u m n s \ S T O C K   L E F T < / K e y > < / D i a g r a m O b j e c t K e y > < D i a g r a m O b j e c t K e y > < K e y > T a b l e s \ T R A N S A C T I O N \ C o l u m n s \ P R I C E < / K e y > < / D i a g r a m O b j e c t K e y > < D i a g r a m O b j e c t K e y > < K e y > T a b l e s \ T R A N S A C T I O N \ C o l u m n s \ T O T A L   P R I C E < / K e y > < / D i a g r a m O b j e c t K e y > < D i a g r a m O b j e c t K e y > < K e y > T a b l e s \ T R A N S A C T I O N \ M e a s u r e s \ S u m   o f   T O T A L   P R I C E < / K e y > < / D i a g r a m O b j e c t K e y > < D i a g r a m O b j e c t K e y > < K e y > T a b l e s \ T R A N S A C T I O N \ S u m   o f   T O T A L   P R I C E \ A d d i t i o n a l   I n f o \ I m p l i c i t   M e a s u r e < / K e y > < / D i a g r a m O b j e c t K e y > < D i a g r a m O b j e c t K e y > < K e y > R e l a t i o n s h i p s \ & l t ; T a b l e s \ C U S T O M E R \ C o l u m n s \ N A M A & g t ; - & l t ; T a b l e s \ T R A N S A C T I O N \ C o l u m n s \ N A M A & g t ; < / K e y > < / D i a g r a m O b j e c t K e y > < D i a g r a m O b j e c t K e y > < K e y > R e l a t i o n s h i p s \ & l t ; T a b l e s \ C U S T O M E R \ C o l u m n s \ N A M A & g t ; - & l t ; T a b l e s \ T R A N S A C T I O N \ C o l u m n s \ N A M A & g t ; \ F K < / K e y > < / D i a g r a m O b j e c t K e y > < D i a g r a m O b j e c t K e y > < K e y > R e l a t i o n s h i p s \ & l t ; T a b l e s \ C U S T O M E R \ C o l u m n s \ N A M A & g t ; - & l t ; T a b l e s \ T R A N S A C T I O N \ C o l u m n s \ N A M A & g t ; \ P K < / K e y > < / D i a g r a m O b j e c t K e y > < D i a g r a m O b j e c t K e y > < K e y > R e l a t i o n s h i p s \ & l t ; T a b l e s \ C U S T O M E R \ C o l u m n s \ N A M A & g t ; - & l t ; T a b l e s \ T R A N S A C T I O N \ C o l u m n s \ N A M A & g t ; \ C r o s s F i l t e r < / K e y > < / D i a g r a m O b j e c t K e y > < D i a g r a m O b j e c t K e y > < K e y > R e l a t i o n s h i p s \ & l t ; T a b l e s \ T R A N S A C T I O N \ C o l u m n s \ I D - P R O D U C T & g t ; - & l t ; T a b l e s \ D E T A I L   P R O D U K \ C o l u m n s \ I D   P r o d u c t & g t ; < / K e y > < / D i a g r a m O b j e c t K e y > < D i a g r a m O b j e c t K e y > < K e y > R e l a t i o n s h i p s \ & l t ; T a b l e s \ T R A N S A C T I O N \ C o l u m n s \ I D - P R O D U C T & g t ; - & l t ; T a b l e s \ D E T A I L   P R O D U K \ C o l u m n s \ I D   P r o d u c t & g t ; \ F K < / K e y > < / D i a g r a m O b j e c t K e y > < D i a g r a m O b j e c t K e y > < K e y > R e l a t i o n s h i p s \ & l t ; T a b l e s \ T R A N S A C T I O N \ C o l u m n s \ I D - P R O D U C T & g t ; - & l t ; T a b l e s \ D E T A I L   P R O D U K \ C o l u m n s \ I D   P r o d u c t & g t ; \ P K < / K e y > < / D i a g r a m O b j e c t K e y > < D i a g r a m O b j e c t K e y > < K e y > R e l a t i o n s h i p s \ & l t ; T a b l e s \ T R A N S A C T I O N \ C o l u m n s \ I D - P R O D U C T & g t ; - & l t ; T a b l e s \ D E T A I L   P R O D U K \ C o l u m n s \ I D   P r o d u c t & g t ; \ C r o s s F i l t e r < / K e y > < / D i a g r a m O b j e c t K e y > < / A l l K e y s > < S e l e c t e d K e y s > < D i a g r a m O b j e c t K e y > < K e y > T a b l e s \ C U S T O M E R 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 T a g s \ T a b l e s \ & l t ; T a b l e s \ D E T A I L   P R O D U K & g t ; 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 T a g s \ T a b l e s \ & l t ; T a b l e s \ T R A N S A C T I O N & g t ; < / K e y > < / a : K e y > < a : V a l u e   i : t y p e = " D i a g r a m D i s p l a y T a g V i e w S t a t e " > < I s N o t F i l t e r e d O u t > t r u e < / I s N o t F i l t e r e d O u t > < / a : V a l u e > < / a : K e y V a l u e O f D i a g r a m O b j e c t K e y a n y T y p e z b w N T n L X > < a : K e y V a l u e O f D i a g r a m O b j e c t K e y a n y T y p e z b w N T n L X > < a : K e y > < K e y > T a b l e s \ D E T A I L   P R O D U K < / K e y > < / a : K e y > < a : V a l u e   i : t y p e = " D i a g r a m D i s p l a y N o d e V i e w S t a t e " > < H e i g h t > 1 8 8 . 6 6 6 6 6 6 6 6 6 6 6 6 6 6 < / H e i g h t > < I s E x p a n d e d > t r u e < / I s E x p a n d e d > < L a y e d O u t > t r u e < / L a y e d O u t > < W i d t h > 2 0 0 < / W i d t h > < / a : V a l u e > < / a : K e y V a l u e O f D i a g r a m O b j e c t K e y a n y T y p e z b w N T n L X > < a : K e y V a l u e O f D i a g r a m O b j e c t K e y a n y T y p e z b w N T n L X > < a : K e y > < K e y > T a b l e s \ D E T A I L   P R O D U K \ C o l u m n s \ I D   P r o d u c t < / K e y > < / a : K e y > < a : V a l u e   i : t y p e = " D i a g r a m D i s p l a y N o d e V i e w S t a t e " > < H e i g h t > 1 5 0 < / H e i g h t > < I s E x p a n d e d > t r u e < / I s E x p a n d e d > < W i d t h > 2 0 0 < / W i d t h > < / a : V a l u e > < / a : K e y V a l u e O f D i a g r a m O b j e c t K e y a n y T y p e z b w N T n L X > < a : K e y V a l u e O f D i a g r a m O b j e c t K e y a n y T y p e z b w N T n L X > < a : K e y > < K e y > T a b l e s \ D E T A I L   P R O D U K \ C o l u m n s \ T y p e < / K e y > < / a : K e y > < a : V a l u e   i : t y p e = " D i a g r a m D i s p l a y N o d e V i e w S t a t e " > < H e i g h t > 1 5 0 < / H e i g h t > < I s E x p a n d e d > t r u e < / I s E x p a n d e d > < W i d t h > 2 0 0 < / W i d t h > < / a : V a l u e > < / a : K e y V a l u e O f D i a g r a m O b j e c t K e y a n y T y p e z b w N T n L X > < a : K e y V a l u e O f D i a g r a m O b j e c t K e y a n y T y p e z b w N T n L X > < a : K e y > < K e y > T a b l e s \ D E T A I L   P R O D U K \ C o l u m n s \ P r i c e < / K e y > < / a : K e y > < a : V a l u e   i : t y p e = " D i a g r a m D i s p l a y N o d e V i e w S t a t e " > < H e i g h t > 1 5 0 < / H e i g h t > < I s E x p a n d e d > t r u e < / I s E x p a n d e d > < W i d t h > 2 0 0 < / W i d t h > < / a : V a l u e > < / a : K e y V a l u e O f D i a g r a m O b j e c t K e y a n y T y p e z b w N T n L X > < a : K e y V a l u e O f D i a g r a m O b j e c t K e y a n y T y p e z b w N T n L X > < a : K e y > < K e y > T a b l e s \ D E T A I L   P R O D U K \ C o l u m n s \ S t o k < / K e y > < / a : K e y > < a : V a l u e   i : t y p e = " D i a g r a m D i s p l a y N o d e V i e w S t a t e " > < H e i g h t > 1 5 0 < / H e i g h t > < I s E x p a n d e d > t r u e < / I s E x p a n d e d > < W i d t h > 2 0 0 < / W i d t h > < / a : V a l u e > < / a : K e y V a l u e O f D i a g r a m O b j e c t K e y a n y T y p e z b w N T n L X > < a : K e y V a l u e O f D i a g r a m O b j e c t K e y a n y T y p e z b w N T n L X > < a : K e y > < K e y > T a b l e s \ D E T A I L   P R O D U K \ C o l u m n s \ C a t e g o r y < / K e y > < / a : K e y > < a : V a l u e   i : t y p e = " D i a g r a m D i s p l a y N o d e V i e w S t a t e " > < H e i g h t > 1 5 0 < / H e i g h t > < I s E x p a n d e d > t r u e < / I s E x p a n d e d > < W i d t h > 2 0 0 < / W i d t h > < / a : V a l u e > < / a : K e y V a l u e O f D i a g r a m O b j e c t K e y a n y T y p e z b w N T n L X > < a : K e y V a l u e O f D i a g r a m O b j e c t K e y a n y T y p e z b w N T n L X > < a : K e y > < K e y > T a b l e s \ D E T A I L   P R O D U K \ C o l u m n s \ Y e a r < / K e y > < / a : K e y > < a : V a l u e   i : t y p e = " D i a g r a m D i s p l a y N o d e V i e w S t a t e " > < H e i g h t > 1 5 0 < / H e i g h t > < I s E x p a n d e d > t r u e < / I s E x p a n d e d > < W i d t h > 2 0 0 < / W i d t h > < / a : V a l u e > < / a : K e y V a l u e O f D i a g r a m O b j e c t K e y a n y T y p e z b w N T n L X > < a : K e y V a l u e O f D i a g r a m O b j e c t K e y a n y T y p e z b w N T n L X > < a : K e y > < K e y > T a b l e s \ C U S T O M E R < / K e y > < / a : K e y > < a : V a l u e   i : t y p e = " D i a g r a m D i s p l a y N o d e V i e w S t a t e " > < H e i g h t > 1 5 0 < / H e i g h t > < I s E x p a n d e d > t r u e < / I s E x p a n d e d > < L a y e d O u t > t r u e < / L a y e d O u t > < L e f t > 6 8 5 . 1 4 0 9 5 4 4 6 8 6 6 5 < / L e f t > < T a b I n d e x > 2 < / T a b I n d e x > < T o p > 3 3 . 3 3 3 3 3 3 3 3 3 3 3 3 2 8 6 < / T o p > < W i d t h > 2 0 0 < / W i d t h > < / a : V a l u e > < / a : K e y V a l u e O f D i a g r a m O b j e c t K e y a n y T y p e z b w N T n L X > < a : K e y V a l u e O f D i a g r a m O b j e c t K e y a n y T y p e z b w N T n L X > < a : K e y > < K e y > T a b l e s \ C U S T O M E R \ C o l u m n s \ I D - C U S T O M E R < / K e y > < / a : K e y > < a : V a l u e   i : t y p e = " D i a g r a m D i s p l a y N o d e V i e w S t a t e " > < H e i g h t > 1 5 0 < / H e i g h t > < I s E x p a n d e d > t r u e < / I s E x p a n d e d > < W i d t h > 2 0 0 < / W i d t h > < / a : V a l u e > < / a : K e y V a l u e O f D i a g r a m O b j e c t K e y a n y T y p e z b w N T n L X > < a : K e y V a l u e O f D i a g r a m O b j e c t K e y a n y T y p e z b w N T n L X > < a : K e y > < K e y > T a b l e s \ C U S T O M E R \ C o l u m n s \ N A M A < / K e y > < / a : K e y > < a : V a l u e   i : t y p e = " D i a g r a m D i s p l a y N o d e V i e w S t a t e " > < H e i g h t > 1 5 0 < / H e i g h t > < I s E x p a n d e d > t r u e < / I s E x p a n d e d > < W i d t h > 2 0 0 < / W i d t h > < / a : V a l u e > < / a : K e y V a l u e O f D i a g r a m O b j e c t K e y a n y T y p e z b w N T n L X > < a : K e y V a l u e O f D i a g r a m O b j e c t K e y a n y T y p e z b w N T n L X > < a : K e y > < K e y > T a b l e s \ C U S T O M E R \ C o l u m n s \ A L A M A T < / K e y > < / a : K e y > < a : V a l u e   i : t y p e = " D i a g r a m D i s p l a y N o d e V i e w S t a t e " > < H e i g h t > 1 5 0 < / H e i g h t > < I s E x p a n d e d > t r u e < / I s E x p a n d e d > < W i d t h > 2 0 0 < / W i d t h > < / a : V a l u e > < / a : K e y V a l u e O f D i a g r a m O b j e c t K e y a n y T y p e z b w N T n L X > < a : K e y V a l u e O f D i a g r a m O b j e c t K e y a n y T y p e z b w N T n L X > < a : K e y > < K e y > T a b l e s \ C U S T O M E R \ C o l u m n s \ B R A N C H < / K e y > < / a : K e y > < a : V a l u e   i : t y p e = " D i a g r a m D i s p l a y N o d e V i e w S t a t e " > < H e i g h t > 1 5 0 < / H e i g h t > < I s E x p a n d e d > t r u e < / I s E x p a n d e d > < W i d t h > 2 0 0 < / W i d t h > < / a : V a l u e > < / a : K e y V a l u e O f D i a g r a m O b j e c t K e y a n y T y p e z b w N T n L X > < a : K e y V a l u e O f D i a g r a m O b j e c t K e y a n y T y p e z b w N T n L X > < a : K e y > < K e y > T a b l e s \ T R A N S A C T I O N < / K e y > < / a : K e y > < a : V a l u e   i : t y p e = " D i a g r a m D i s p l a y N o d e V i e w S t a t e " > < H e i g h t > 2 1 3 . 9 9 9 9 9 9 9 9 9 9 9 9 9 7 < / H e i g h t > < I s E x p a n d e d > t r u e < / I s E x p a n d e d > < L a y e d O u t > t r u e < / L a y e d O u t > < L e f t > 3 3 5 . 9 0 3 8 1 0 5 6 7 6 6 5 8 < / L e f t > < T a b I n d e x > 1 < / T a b I n d e x > < T o p > 9 . 3 3 7 8 6 6 5 4 1 3 4 0 8 4 4 2 < / T o p > < W i d t h > 2 0 0 < / W i d t h > < / a : V a l u e > < / a : K e y V a l u e O f D i a g r a m O b j e c t K e y a n y T y p e z b w N T n L X > < a : K e y V a l u e O f D i a g r a m O b j e c t K e y a n y T y p e z b w N T n L X > < a : K e y > < K e y > T a b l e s \ T R A N S A C T I O N \ C o l u m n s \ I D - P R O D U C T < / K e y > < / a : K e y > < a : V a l u e   i : t y p e = " D i a g r a m D i s p l a y N o d e V i e w S t a t e " > < H e i g h t > 1 5 0 < / H e i g h t > < I s E x p a n d e d > t r u e < / I s E x p a n d e d > < W i d t h > 2 0 0 < / W i d t h > < / a : V a l u e > < / a : K e y V a l u e O f D i a g r a m O b j e c t K e y a n y T y p e z b w N T n L X > < a : K e y V a l u e O f D i a g r a m O b j e c t K e y a n y T y p e z b w N T n L X > < a : K e y > < K e y > T a b l e s \ T R A N S A C T I O N \ C o l u m n s \ N A M A < / K e y > < / a : K e y > < a : V a l u e   i : t y p e = " D i a g r a m D i s p l a y N o d e V i e w S t a t e " > < H e i g h t > 1 5 0 < / H e i g h t > < I s E x p a n d e d > t r u e < / I s E x p a n d e d > < W i d t h > 2 0 0 < / W i d t h > < / a : V a l u e > < / a : K e y V a l u e O f D i a g r a m O b j e c t K e y a n y T y p e z b w N T n L X > < a : K e y V a l u e O f D i a g r a m O b j e c t K e y a n y T y p e z b w N T n L X > < a : K e y > < K e y > T a b l e s \ T R A N S A C T I O N \ C o l u m n s \ T A N G G A L < / K e y > < / a : K e y > < a : V a l u e   i : t y p e = " D i a g r a m D i s p l a y N o d e V i e w S t a t e " > < H e i g h t > 1 5 0 < / H e i g h t > < I s E x p a n d e d > t r u e < / I s E x p a n d e d > < W i d t h > 2 0 0 < / W i d t h > < / a : V a l u e > < / a : K e y V a l u e O f D i a g r a m O b j e c t K e y a n y T y p e z b w N T n L X > < a : K e y V a l u e O f D i a g r a m O b j e c t K e y a n y T y p e z b w N T n L X > < a : K e y > < K e y > T a b l e s \ T R A N S A C T I O N \ C o l u m n s \ T Y P E < / K e y > < / a : K e y > < a : V a l u e   i : t y p e = " D i a g r a m D i s p l a y N o d e V i e w S t a t e " > < H e i g h t > 1 5 0 < / H e i g h t > < I s E x p a n d e d > t r u e < / I s E x p a n d e d > < W i d t h > 2 0 0 < / W i d t h > < / a : V a l u e > < / a : K e y V a l u e O f D i a g r a m O b j e c t K e y a n y T y p e z b w N T n L X > < a : K e y V a l u e O f D i a g r a m O b j e c t K e y a n y T y p e z b w N T n L X > < a : K e y > < K e y > T a b l e s \ T R A N S A C T I O N \ C o l u m n s \ J E N I S < / K e y > < / a : K e y > < a : V a l u e   i : t y p e = " D i a g r a m D i s p l a y N o d e V i e w S t a t e " > < H e i g h t > 1 5 0 < / H e i g h t > < I s E x p a n d e d > t r u e < / I s E x p a n d e d > < W i d t h > 2 0 0 < / W i d t h > < / a : V a l u e > < / a : K e y V a l u e O f D i a g r a m O b j e c t K e y a n y T y p e z b w N T n L X > < a : K e y V a l u e O f D i a g r a m O b j e c t K e y a n y T y p e z b w N T n L X > < a : K e y > < K e y > T a b l e s \ T R A N S A C T I O N \ C o l u m n s \ Q U A N T I T Y < / K e y > < / a : K e y > < a : V a l u e   i : t y p e = " D i a g r a m D i s p l a y N o d e V i e w S t a t e " > < H e i g h t > 1 5 0 < / H e i g h t > < I s E x p a n d e d > t r u e < / I s E x p a n d e d > < W i d t h > 2 0 0 < / W i d t h > < / a : V a l u e > < / a : K e y V a l u e O f D i a g r a m O b j e c t K e y a n y T y p e z b w N T n L X > < a : K e y V a l u e O f D i a g r a m O b j e c t K e y a n y T y p e z b w N T n L X > < a : K e y > < K e y > T a b l e s \ T R A N S A C T I O N \ C o l u m n s \ S T O C K < / K e y > < / a : K e y > < a : V a l u e   i : t y p e = " D i a g r a m D i s p l a y N o d e V i e w S t a t e " > < H e i g h t > 1 5 0 < / H e i g h t > < I s E x p a n d e d > t r u e < / I s E x p a n d e d > < W i d t h > 2 0 0 < / W i d t h > < / a : V a l u e > < / a : K e y V a l u e O f D i a g r a m O b j e c t K e y a n y T y p e z b w N T n L X > < a : K e y V a l u e O f D i a g r a m O b j e c t K e y a n y T y p e z b w N T n L X > < a : K e y > < K e y > T a b l e s \ T R A N S A C T I O N \ C o l u m n s \ S T O C K   L E F T < / K e y > < / a : K e y > < a : V a l u e   i : t y p e = " D i a g r a m D i s p l a y N o d e V i e w S t a t e " > < H e i g h t > 1 5 0 < / H e i g h t > < I s E x p a n d e d > t r u e < / I s E x p a n d e d > < W i d t h > 2 0 0 < / W i d t h > < / a : V a l u e > < / a : K e y V a l u e O f D i a g r a m O b j e c t K e y a n y T y p e z b w N T n L X > < a : K e y V a l u e O f D i a g r a m O b j e c t K e y a n y T y p e z b w N T n L X > < a : K e y > < K e y > T a b l e s \ T R A N S A C T I O N \ C o l u m n s \ P R I C E < / K e y > < / a : K e y > < a : V a l u e   i : t y p e = " D i a g r a m D i s p l a y N o d e V i e w S t a t e " > < H e i g h t > 1 5 0 < / H e i g h t > < I s E x p a n d e d > t r u e < / I s E x p a n d e d > < W i d t h > 2 0 0 < / W i d t h > < / a : V a l u e > < / a : K e y V a l u e O f D i a g r a m O b j e c t K e y a n y T y p e z b w N T n L X > < a : K e y V a l u e O f D i a g r a m O b j e c t K e y a n y T y p e z b w N T n L X > < a : K e y > < K e y > T a b l e s \ T R A N S A C T I O N \ C o l u m n s \ T O T A L   P R I C E < / K e y > < / a : K e y > < a : V a l u e   i : t y p e = " D i a g r a m D i s p l a y N o d e V i e w S t a t e " > < H e i g h t > 1 5 0 < / H e i g h t > < I s E x p a n d e d > t r u e < / I s E x p a n d e d > < W i d t h > 2 0 0 < / W i d t h > < / a : V a l u e > < / a : K e y V a l u e O f D i a g r a m O b j e c t K e y a n y T y p e z b w N T n L X > < a : K e y V a l u e O f D i a g r a m O b j e c t K e y a n y T y p e z b w N T n L X > < a : K e y > < K e y > T a b l e s \ T R A N S A C T I O N \ M e a s u r e s \ S u m   o f   T O T A L   P R I C E < / K e y > < / a : K e y > < a : V a l u e   i : t y p e = " D i a g r a m D i s p l a y N o d e V i e w S t a t e " > < H e i g h t > 1 5 0 < / H e i g h t > < I s E x p a n d e d > t r u e < / I s E x p a n d e d > < W i d t h > 2 0 0 < / W i d t h > < / a : V a l u e > < / a : K e y V a l u e O f D i a g r a m O b j e c t K e y a n y T y p e z b w N T n L X > < a : K e y V a l u e O f D i a g r a m O b j e c t K e y a n y T y p e z b w N T n L X > < a : K e y > < K e y > T a b l e s \ T R A N S A C T I O N \ S u m   o f   T O T A L   P R I C E \ A d d i t i o n a l   I n f o \ I m p l i c i t   M e a s u r e < / K e y > < / a : K e y > < a : V a l u e   i : t y p e = " D i a g r a m D i s p l a y V i e w S t a t e I D i a g r a m T a g A d d i t i o n a l I n f o " / > < / a : K e y V a l u e O f D i a g r a m O b j e c t K e y a n y T y p e z b w N T n L X > < a : K e y V a l u e O f D i a g r a m O b j e c t K e y a n y T y p e z b w N T n L X > < a : K e y > < K e y > R e l a t i o n s h i p s \ & l t ; T a b l e s \ C U S T O M E R \ C o l u m n s \ N A M A & g t ; - & l t ; T a b l e s \ T R A N S A C T I O N \ C o l u m n s \ N A M A & g t ; < / K e y > < / a : K e y > < a : V a l u e   i : t y p e = " D i a g r a m D i s p l a y L i n k V i e w S t a t e " > < A u t o m a t i o n P r o p e r t y H e l p e r T e x t > E n d   p o i n t   1 :   ( 6 6 9 , 1 4 0 9 5 4 4 6 8 6 6 5 , 1 0 2 , 3 3 5 6 ) .   E n d   p o i n t   2 :   ( 5 5 1 , 9 0 3 8 1 0 5 6 7 6 6 6 , 1 2 2 , 3 3 5 6 )   < / A u t o m a t i o n P r o p e r t y H e l p e r T e x t > < L a y e d O u t > t r u e < / L a y e d O u t > < P o i n t s   x m l n s : b = " h t t p : / / s c h e m a s . d a t a c o n t r a c t . o r g / 2 0 0 4 / 0 7 / S y s t e m . W i n d o w s " > < b : P o i n t > < b : _ x > 6 6 9 . 1 4 0 9 5 4 4 6 8 6 6 5 < / b : _ x > < b : _ y > 1 0 2 . 3 3 5 6 < / b : _ y > < / b : P o i n t > < b : P o i n t > < b : _ x > 6 1 2 . 5 2 2 3 8 2 5 < / b : _ x > < b : _ y > 1 0 2 . 3 3 5 6 < / b : _ y > < / b : P o i n t > < b : P o i n t > < b : _ x > 6 1 0 . 5 2 2 3 8 2 5 < / b : _ x > < b : _ y > 1 0 4 . 3 3 5 6 < / b : _ y > < / b : P o i n t > < b : P o i n t > < b : _ x > 6 1 0 . 5 2 2 3 8 2 5 < / b : _ x > < b : _ y > 1 2 0 . 3 3 5 6 < / b : _ y > < / b : P o i n t > < b : P o i n t > < b : _ x > 6 0 8 . 5 2 2 3 8 2 5 < / b : _ x > < b : _ y > 1 2 2 . 3 3 5 6 < / b : _ y > < / b : P o i n t > < b : P o i n t > < b : _ x > 5 5 1 . 9 0 3 8 1 0 5 6 7 6 6 5 8 < / b : _ x > < b : _ y > 1 2 2 . 3 3 5 6 < / b : _ y > < / b : P o i n t > < / P o i n t s > < / a : V a l u e > < / a : K e y V a l u e O f D i a g r a m O b j e c t K e y a n y T y p e z b w N T n L X > < a : K e y V a l u e O f D i a g r a m O b j e c t K e y a n y T y p e z b w N T n L X > < a : K e y > < K e y > R e l a t i o n s h i p s \ & l t ; T a b l e s \ C U S T O M E R \ C o l u m n s \ N A M A & g t ; - & l t ; T a b l e s \ T R A N S A C T I O N \ C o l u m n s \ N A M A & g t ; \ F K < / K e y > < / a : K e y > < a : V a l u e   i : t y p e = " D i a g r a m D i s p l a y L i n k E n d p o i n t V i e w S t a t e " > < H e i g h t > 1 6 < / H e i g h t > < L a b e l L o c a t i o n   x m l n s : b = " h t t p : / / s c h e m a s . d a t a c o n t r a c t . o r g / 2 0 0 4 / 0 7 / S y s t e m . W i n d o w s " > < b : _ x > 6 6 9 . 1 4 0 9 5 4 4 6 8 6 6 5 < / b : _ x > < b : _ y > 9 4 . 3 3 5 6 < / b : _ y > < / L a b e l L o c a t i o n > < L o c a t i o n   x m l n s : b = " h t t p : / / s c h e m a s . d a t a c o n t r a c t . o r g / 2 0 0 4 / 0 7 / S y s t e m . W i n d o w s " > < b : _ x > 6 8 5 . 1 4 0 9 5 4 4 6 8 6 6 5 < / b : _ x > < b : _ y > 1 0 2 . 3 3 5 6 < / b : _ y > < / L o c a t i o n > < S h a p e R o t a t e A n g l e > 1 8 0 < / S h a p e R o t a t e A n g l e > < W i d t h > 1 6 < / W i d t h > < / a : V a l u e > < / a : K e y V a l u e O f D i a g r a m O b j e c t K e y a n y T y p e z b w N T n L X > < a : K e y V a l u e O f D i a g r a m O b j e c t K e y a n y T y p e z b w N T n L X > < a : K e y > < K e y > R e l a t i o n s h i p s \ & l t ; T a b l e s \ C U S T O M E R \ C o l u m n s \ N A M A & g t ; - & l t ; T a b l e s \ T R A N S A C T I O N \ C o l u m n s \ N A M A & g t ; \ P K < / K e y > < / a : K e y > < a : V a l u e   i : t y p e = " D i a g r a m D i s p l a y L i n k E n d p o i n t V i e w S t a t e " > < H e i g h t > 1 6 < / H e i g h t > < L a b e l L o c a t i o n   x m l n s : b = " h t t p : / / s c h e m a s . d a t a c o n t r a c t . o r g / 2 0 0 4 / 0 7 / S y s t e m . W i n d o w s " > < b : _ x > 5 3 5 . 9 0 3 8 1 0 5 6 7 6 6 5 8 < / b : _ x > < b : _ y > 1 1 4 . 3 3 5 6 < / b : _ y > < / L a b e l L o c a t i o n > < L o c a t i o n   x m l n s : b = " h t t p : / / s c h e m a s . d a t a c o n t r a c t . o r g / 2 0 0 4 / 0 7 / S y s t e m . W i n d o w s " > < b : _ x > 5 3 5 . 9 0 3 8 1 0 5 6 7 6 6 5 8 < / b : _ x > < b : _ y > 1 2 2 . 3 3 5 6 < / b : _ y > < / L o c a t i o n > < S h a p e R o t a t e A n g l e > 3 6 0 < / S h a p e R o t a t e A n g l e > < W i d t h > 1 6 < / W i d t h > < / a : V a l u e > < / a : K e y V a l u e O f D i a g r a m O b j e c t K e y a n y T y p e z b w N T n L X > < a : K e y V a l u e O f D i a g r a m O b j e c t K e y a n y T y p e z b w N T n L X > < a : K e y > < K e y > R e l a t i o n s h i p s \ & l t ; T a b l e s \ C U S T O M E R \ C o l u m n s \ N A M A & g t ; - & l t ; T a b l e s \ T R A N S A C T I O N \ C o l u m n s \ N A M A & g t ; \ C r o s s F i l t e r < / K e y > < / a : K e y > < a : V a l u e   i : t y p e = " D i a g r a m D i s p l a y L i n k C r o s s F i l t e r V i e w S t a t e " > < P o i n t s   x m l n s : b = " h t t p : / / s c h e m a s . d a t a c o n t r a c t . o r g / 2 0 0 4 / 0 7 / S y s t e m . W i n d o w s " > < b : P o i n t > < b : _ x > 6 6 9 . 1 4 0 9 5 4 4 6 8 6 6 5 < / b : _ x > < b : _ y > 1 0 2 . 3 3 5 6 < / b : _ y > < / b : P o i n t > < b : P o i n t > < b : _ x > 6 1 2 . 5 2 2 3 8 2 5 < / b : _ x > < b : _ y > 1 0 2 . 3 3 5 6 < / b : _ y > < / b : P o i n t > < b : P o i n t > < b : _ x > 6 1 0 . 5 2 2 3 8 2 5 < / b : _ x > < b : _ y > 1 0 4 . 3 3 5 6 < / b : _ y > < / b : P o i n t > < b : P o i n t > < b : _ x > 6 1 0 . 5 2 2 3 8 2 5 < / b : _ x > < b : _ y > 1 2 0 . 3 3 5 6 < / b : _ y > < / b : P o i n t > < b : P o i n t > < b : _ x > 6 0 8 . 5 2 2 3 8 2 5 < / b : _ x > < b : _ y > 1 2 2 . 3 3 5 6 < / b : _ y > < / b : P o i n t > < b : P o i n t > < b : _ x > 5 5 1 . 9 0 3 8 1 0 5 6 7 6 6 5 8 < / b : _ x > < b : _ y > 1 2 2 . 3 3 5 6 < / b : _ y > < / b : P o i n t > < / P o i n t s > < / a : V a l u e > < / a : K e y V a l u e O f D i a g r a m O b j e c t K e y a n y T y p e z b w N T n L X > < a : K e y V a l u e O f D i a g r a m O b j e c t K e y a n y T y p e z b w N T n L X > < a : K e y > < K e y > R e l a t i o n s h i p s \ & l t ; T a b l e s \ T R A N S A C T I O N \ C o l u m n s \ I D - P R O D U C T & g t ; - & l t ; T a b l e s \ D E T A I L   P R O D U K \ C o l u m n s \ I D   P r o d u c t & g t ; < / K e y > < / a : K e y > < a : V a l u e   i : t y p e = " D i a g r a m D i s p l a y L i n k V i e w S t a t e " > < A u t o m a t i o n P r o p e r t y H e l p e r T e x t > E n d   p o i n t   1 :   ( 3 1 9 , 9 0 3 8 1 0 5 6 7 6 6 6 , 1 1 6 , 3 3 7 8 6 7 ) .   E n d   p o i n t   2 :   ( 2 1 6 , 9 4 , 3 3 3 3 3 3 )   < / A u t o m a t i o n P r o p e r t y H e l p e r T e x t > < L a y e d O u t > t r u e < / L a y e d O u t > < P o i n t s   x m l n s : b = " h t t p : / / s c h e m a s . d a t a c o n t r a c t . o r g / 2 0 0 4 / 0 7 / S y s t e m . W i n d o w s " > < b : P o i n t > < b : _ x > 3 1 9 . 9 0 3 8 1 0 5 6 7 6 6 5 8 < / b : _ x > < b : _ y > 1 1 6 . 3 3 7 8 6 7 0 0 0 0 0 0 0 2 < / b : _ y > < / b : P o i n t > < b : P o i n t > < b : _ x > 2 6 9 . 9 5 1 9 0 5 5 < / b : _ x > < b : _ y > 1 1 6 . 3 3 7 8 6 7 < / b : _ y > < / b : P o i n t > < b : P o i n t > < b : _ x > 2 6 7 . 9 5 1 9 0 5 5 < / b : _ x > < b : _ y > 1 1 4 . 3 3 7 8 6 7 < / b : _ y > < / b : P o i n t > < b : P o i n t > < b : _ x > 2 6 7 . 9 5 1 9 0 5 5 < / b : _ x > < b : _ y > 9 6 . 3 3 3 3 3 3 < / b : _ y > < / b : P o i n t > < b : P o i n t > < b : _ x > 2 6 5 . 9 5 1 9 0 5 5 < / b : _ x > < b : _ y > 9 4 . 3 3 3 3 3 3 < / b : _ y > < / b : P o i n t > < b : P o i n t > < b : _ x > 2 1 6 . 0 0 0 0 0 0 0 0 0 0 0 0 0 6 < / b : _ x > < b : _ y > 9 4 . 3 3 3 3 3 3 < / b : _ y > < / b : P o i n t > < / P o i n t s > < / a : V a l u e > < / a : K e y V a l u e O f D i a g r a m O b j e c t K e y a n y T y p e z b w N T n L X > < a : K e y V a l u e O f D i a g r a m O b j e c t K e y a n y T y p e z b w N T n L X > < a : K e y > < K e y > R e l a t i o n s h i p s \ & l t ; T a b l e s \ T R A N S A C T I O N \ C o l u m n s \ I D - P R O D U C T & g t ; - & l t ; T a b l e s \ D E T A I L   P R O D U K \ C o l u m n s \ I D   P r o d u c t & g t ; \ F K < / K e y > < / a : K e y > < a : V a l u e   i : t y p e = " D i a g r a m D i s p l a y L i n k E n d p o i n t V i e w S t a t e " > < H e i g h t > 1 6 < / H e i g h t > < L a b e l L o c a t i o n   x m l n s : b = " h t t p : / / s c h e m a s . d a t a c o n t r a c t . o r g / 2 0 0 4 / 0 7 / S y s t e m . W i n d o w s " > < b : _ x > 3 1 9 . 9 0 3 8 1 0 5 6 7 6 6 5 8 < / b : _ x > < b : _ y > 1 0 8 . 3 3 7 8 6 7 0 0 0 0 0 0 0 2 < / b : _ y > < / L a b e l L o c a t i o n > < L o c a t i o n   x m l n s : b = " h t t p : / / s c h e m a s . d a t a c o n t r a c t . o r g / 2 0 0 4 / 0 7 / S y s t e m . W i n d o w s " > < b : _ x > 3 3 5 . 9 0 3 8 1 0 5 6 7 6 6 5 8 < / b : _ x > < b : _ y > 1 1 6 . 3 3 7 8 6 7 0 0 0 0 0 0 0 2 < / b : _ y > < / L o c a t i o n > < S h a p e R o t a t e A n g l e > 1 8 0 < / S h a p e R o t a t e A n g l e > < W i d t h > 1 6 < / W i d t h > < / a : V a l u e > < / a : K e y V a l u e O f D i a g r a m O b j e c t K e y a n y T y p e z b w N T n L X > < a : K e y V a l u e O f D i a g r a m O b j e c t K e y a n y T y p e z b w N T n L X > < a : K e y > < K e y > R e l a t i o n s h i p s \ & l t ; T a b l e s \ T R A N S A C T I O N \ C o l u m n s \ I D - P R O D U C T & g t ; - & l t ; T a b l e s \ D E T A I L   P R O D U K \ C o l u m n s \ I D   P r o d u c t & g t ; \ P K < / K e y > < / a : K e y > < a : V a l u e   i : t y p e = " D i a g r a m D i s p l a y L i n k E n d p o i n t V i e w S t a t e " > < H e i g h t > 1 6 < / H e i g h t > < L a b e l L o c a t i o n   x m l n s : b = " h t t p : / / s c h e m a s . d a t a c o n t r a c t . o r g / 2 0 0 4 / 0 7 / S y s t e m . W i n d o w s " > < b : _ x > 2 0 0 . 0 0 0 0 0 0 0 0 0 0 0 0 0 6 < / b : _ x > < b : _ y > 8 6 . 3 3 3 3 3 3 < / b : _ y > < / L a b e l L o c a t i o n > < L o c a t i o n   x m l n s : b = " h t t p : / / s c h e m a s . d a t a c o n t r a c t . o r g / 2 0 0 4 / 0 7 / S y s t e m . W i n d o w s " > < b : _ x > 2 0 0 . 0 0 0 0 0 0 0 0 0 0 0 0 0 3 < / b : _ x > < b : _ y > 9 4 . 3 3 3 3 3 3 < / b : _ y > < / L o c a t i o n > < S h a p e R o t a t e A n g l e > 3 6 0 < / S h a p e R o t a t e A n g l e > < W i d t h > 1 6 < / W i d t h > < / a : V a l u e > < / a : K e y V a l u e O f D i a g r a m O b j e c t K e y a n y T y p e z b w N T n L X > < a : K e y V a l u e O f D i a g r a m O b j e c t K e y a n y T y p e z b w N T n L X > < a : K e y > < K e y > R e l a t i o n s h i p s \ & l t ; T a b l e s \ T R A N S A C T I O N \ C o l u m n s \ I D - P R O D U C T & g t ; - & l t ; T a b l e s \ D E T A I L   P R O D U K \ C o l u m n s \ I D   P r o d u c t & g t ; \ C r o s s F i l t e r < / K e y > < / a : K e y > < a : V a l u e   i : t y p e = " D i a g r a m D i s p l a y L i n k C r o s s F i l t e r V i e w S t a t e " > < P o i n t s   x m l n s : b = " h t t p : / / s c h e m a s . d a t a c o n t r a c t . o r g / 2 0 0 4 / 0 7 / S y s t e m . W i n d o w s " > < b : P o i n t > < b : _ x > 3 1 9 . 9 0 3 8 1 0 5 6 7 6 6 5 8 < / b : _ x > < b : _ y > 1 1 6 . 3 3 7 8 6 7 0 0 0 0 0 0 0 2 < / b : _ y > < / b : P o i n t > < b : P o i n t > < b : _ x > 2 6 9 . 9 5 1 9 0 5 5 < / b : _ x > < b : _ y > 1 1 6 . 3 3 7 8 6 7 < / b : _ y > < / b : P o i n t > < b : P o i n t > < b : _ x > 2 6 7 . 9 5 1 9 0 5 5 < / b : _ x > < b : _ y > 1 1 4 . 3 3 7 8 6 7 < / b : _ y > < / b : P o i n t > < b : P o i n t > < b : _ x > 2 6 7 . 9 5 1 9 0 5 5 < / b : _ x > < b : _ y > 9 6 . 3 3 3 3 3 3 < / b : _ y > < / b : P o i n t > < b : P o i n t > < b : _ x > 2 6 5 . 9 5 1 9 0 5 5 < / b : _ x > < b : _ y > 9 4 . 3 3 3 3 3 3 < / b : _ y > < / b : P o i n t > < b : P o i n t > < b : _ x > 2 1 6 . 0 0 0 0 0 0 0 0 0 0 0 0 0 6 < / b : _ x > < b : _ y > 9 4 . 3 3 3 3 3 3 < / b : _ y > < / b : P o i n t > < / P o i n t s > < / a : V a l u e > < / a : K e y V a l u e O f D i a g r a m O b j e c t K e y a n y T y p e z b w N T n L X > < / V i e w S t a t e s > < / D i a g r a m M a n a g e r . S e r i a l i z a b l e D i a g r a m > < / A r r a y O f D i a g r a m M a n a g e r . S e r i a l i z a b l e D i a g r a m > ] ] > < / C u s t o m C o n t e n t > < / G e m i n i > 
</file>

<file path=customXml/item8.xml>��< ? x m l   v e r s i o n = " 1 . 0 "   e n c o d i n g = " U T F - 1 6 " ? > < G e m i n i   x m l n s = " h t t p : / / g e m i n i / p i v o t c u s t o m i z a t i o n / C l i e n t W i n d o w X M L " > < C u s t o m C o n t e n t > < ! [ C D A T A [ T a b l e 5 ] ] > < / 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Props1.xml><?xml version="1.0" encoding="utf-8"?>
<ds:datastoreItem xmlns:ds="http://schemas.openxmlformats.org/officeDocument/2006/customXml" ds:itemID="{F8FD76C3-1005-40CC-AA95-20CE537D5F2F}">
  <ds:schemaRefs/>
</ds:datastoreItem>
</file>

<file path=customXml/itemProps10.xml><?xml version="1.0" encoding="utf-8"?>
<ds:datastoreItem xmlns:ds="http://schemas.openxmlformats.org/officeDocument/2006/customXml" ds:itemID="{1A4B8BDA-4AE6-40B3-AF1C-6D1AA1EB41A2}">
  <ds:schemaRefs/>
</ds:datastoreItem>
</file>

<file path=customXml/itemProps11.xml><?xml version="1.0" encoding="utf-8"?>
<ds:datastoreItem xmlns:ds="http://schemas.openxmlformats.org/officeDocument/2006/customXml" ds:itemID="{BE9F34FC-CB45-40AE-9EEE-435BF1BCC635}">
  <ds:schemaRefs/>
</ds:datastoreItem>
</file>

<file path=customXml/itemProps12.xml><?xml version="1.0" encoding="utf-8"?>
<ds:datastoreItem xmlns:ds="http://schemas.openxmlformats.org/officeDocument/2006/customXml" ds:itemID="{AF38FB69-4923-4241-8F60-D0CA1D7A1D84}">
  <ds:schemaRefs/>
</ds:datastoreItem>
</file>

<file path=customXml/itemProps13.xml><?xml version="1.0" encoding="utf-8"?>
<ds:datastoreItem xmlns:ds="http://schemas.openxmlformats.org/officeDocument/2006/customXml" ds:itemID="{41620772-C647-422C-9905-E3FF8D68DE3A}">
  <ds:schemaRefs/>
</ds:datastoreItem>
</file>

<file path=customXml/itemProps14.xml><?xml version="1.0" encoding="utf-8"?>
<ds:datastoreItem xmlns:ds="http://schemas.openxmlformats.org/officeDocument/2006/customXml" ds:itemID="{EC6D3679-B7BA-4448-B0E7-5A4A3E6E8318}">
  <ds:schemaRefs/>
</ds:datastoreItem>
</file>

<file path=customXml/itemProps15.xml><?xml version="1.0" encoding="utf-8"?>
<ds:datastoreItem xmlns:ds="http://schemas.openxmlformats.org/officeDocument/2006/customXml" ds:itemID="{9FEA9DC7-DFC0-47B2-BE7E-00EFA5C0C54E}">
  <ds:schemaRefs/>
</ds:datastoreItem>
</file>

<file path=customXml/itemProps16.xml><?xml version="1.0" encoding="utf-8"?>
<ds:datastoreItem xmlns:ds="http://schemas.openxmlformats.org/officeDocument/2006/customXml" ds:itemID="{5045E41C-2F5F-4C7A-8447-2D17760D77CA}">
  <ds:schemaRefs/>
</ds:datastoreItem>
</file>

<file path=customXml/itemProps17.xml><?xml version="1.0" encoding="utf-8"?>
<ds:datastoreItem xmlns:ds="http://schemas.openxmlformats.org/officeDocument/2006/customXml" ds:itemID="{0D7CC425-64C6-4313-8B1E-2D6D55428439}">
  <ds:schemaRefs/>
</ds:datastoreItem>
</file>

<file path=customXml/itemProps18.xml><?xml version="1.0" encoding="utf-8"?>
<ds:datastoreItem xmlns:ds="http://schemas.openxmlformats.org/officeDocument/2006/customXml" ds:itemID="{26A4EF15-700A-4176-ABF2-3E9B3C346580}">
  <ds:schemaRefs/>
</ds:datastoreItem>
</file>

<file path=customXml/itemProps2.xml><?xml version="1.0" encoding="utf-8"?>
<ds:datastoreItem xmlns:ds="http://schemas.openxmlformats.org/officeDocument/2006/customXml" ds:itemID="{F12A601D-0604-41B8-8FA2-35DC418D52A7}">
  <ds:schemaRefs/>
</ds:datastoreItem>
</file>

<file path=customXml/itemProps3.xml><?xml version="1.0" encoding="utf-8"?>
<ds:datastoreItem xmlns:ds="http://schemas.openxmlformats.org/officeDocument/2006/customXml" ds:itemID="{6BE32DC1-E59B-4692-8DD1-0636247478C3}">
  <ds:schemaRefs/>
</ds:datastoreItem>
</file>

<file path=customXml/itemProps4.xml><?xml version="1.0" encoding="utf-8"?>
<ds:datastoreItem xmlns:ds="http://schemas.openxmlformats.org/officeDocument/2006/customXml" ds:itemID="{FADED211-7EC6-4829-A264-1FEDE1EA45B8}">
  <ds:schemaRefs/>
</ds:datastoreItem>
</file>

<file path=customXml/itemProps5.xml><?xml version="1.0" encoding="utf-8"?>
<ds:datastoreItem xmlns:ds="http://schemas.openxmlformats.org/officeDocument/2006/customXml" ds:itemID="{523BCA3A-9DB3-4D41-B258-1DB2E792D915}">
  <ds:schemaRefs/>
</ds:datastoreItem>
</file>

<file path=customXml/itemProps6.xml><?xml version="1.0" encoding="utf-8"?>
<ds:datastoreItem xmlns:ds="http://schemas.openxmlformats.org/officeDocument/2006/customXml" ds:itemID="{D9475226-BCEE-4F8F-9FE2-91D841B31813}">
  <ds:schemaRefs/>
</ds:datastoreItem>
</file>

<file path=customXml/itemProps7.xml><?xml version="1.0" encoding="utf-8"?>
<ds:datastoreItem xmlns:ds="http://schemas.openxmlformats.org/officeDocument/2006/customXml" ds:itemID="{7E4A30AA-F24E-4448-82DA-46FCE2940A38}">
  <ds:schemaRefs/>
</ds:datastoreItem>
</file>

<file path=customXml/itemProps8.xml><?xml version="1.0" encoding="utf-8"?>
<ds:datastoreItem xmlns:ds="http://schemas.openxmlformats.org/officeDocument/2006/customXml" ds:itemID="{95ABB4CD-99FD-478C-9C9A-8DAF7A8D6EC2}">
  <ds:schemaRefs/>
</ds:datastoreItem>
</file>

<file path=customXml/itemProps9.xml><?xml version="1.0" encoding="utf-8"?>
<ds:datastoreItem xmlns:ds="http://schemas.openxmlformats.org/officeDocument/2006/customXml" ds:itemID="{6D1D1818-937D-4080-9032-202EE40A40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LIST</vt:lpstr>
      <vt:lpstr>DETAIL PRODUCT</vt:lpstr>
      <vt:lpstr>PIVOT PRODUCT</vt:lpstr>
      <vt:lpstr>STOK</vt:lpstr>
      <vt:lpstr>TRANSACTION</vt:lpstr>
      <vt:lpstr>ALLTransaksi</vt:lpstr>
      <vt:lpstr>CUSTOMER</vt:lpstr>
      <vt:lpstr>pt 2</vt:lpstr>
      <vt:lpstr>pc</vt:lpstr>
      <vt:lpstr>DASHBOARD</vt:lpstr>
      <vt:lpstr>PURCHASE</vt:lpstr>
      <vt:lpstr>PIVOT PURCHASE</vt:lpstr>
      <vt:lpstr>Scenario Summary</vt:lpstr>
      <vt:lpstr>goalseek</vt:lpstr>
      <vt:lpstr>SCHEMA INSTALLMENT</vt:lpstr>
      <vt:lpstr>INSTALLMENT TRANSACTION 1 YEAR</vt:lpstr>
      <vt:lpstr>INSTALLMENT TRANSACTION 3 YEAR</vt:lpstr>
      <vt:lpstr>INSTALLMENT TRANSACTION 5 YEAR</vt:lpstr>
      <vt:lpstr>POWER PIVOT</vt:lpstr>
      <vt:lpstr>pivotproduk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IKA MAWARNIE</dc:creator>
  <cp:lastModifiedBy>IKA MAWARNIE</cp:lastModifiedBy>
  <dcterms:created xsi:type="dcterms:W3CDTF">2021-12-31T09:33:34Z</dcterms:created>
  <dcterms:modified xsi:type="dcterms:W3CDTF">2023-03-30T15:30:34Z</dcterms:modified>
</cp:coreProperties>
</file>