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 EXT/Excel DS Nuraika/Udemy course/"/>
    </mc:Choice>
  </mc:AlternateContent>
  <xr:revisionPtr revIDLastSave="0" documentId="13_ncr:1_{ADF5D967-44CF-0646-9FAC-F9704E1E8FA9}" xr6:coauthVersionLast="47" xr6:coauthVersionMax="47" xr10:uidLastSave="{00000000-0000-0000-0000-000000000000}"/>
  <bookViews>
    <workbookView xWindow="0" yWindow="0" windowWidth="28800" windowHeight="18000" activeTab="4" xr2:uid="{1A13B76D-525D-457F-94B1-F71633326744}"/>
  </bookViews>
  <sheets>
    <sheet name="WireFrame" sheetId="2" state="hidden" r:id="rId1"/>
    <sheet name="Control" sheetId="5" r:id="rId2"/>
    <sheet name="Dashboard" sheetId="1" r:id="rId3"/>
    <sheet name="Calculation" sheetId="4" r:id="rId4"/>
    <sheet name="Data" sheetId="3" r:id="rId5"/>
  </sheets>
  <definedNames>
    <definedName name="cur_mnth">Dashboard!$D$6</definedName>
    <definedName name="cur_month">Dashboard!$D$6</definedName>
    <definedName name="cur_year">Dashboard!$D$5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1" i="4" l="1"/>
  <c r="BB22" i="4"/>
  <c r="BB23" i="4"/>
  <c r="BB24" i="4"/>
  <c r="BB25" i="4"/>
  <c r="BE21" i="4"/>
  <c r="BE22" i="4"/>
  <c r="BE23" i="4"/>
  <c r="BE24" i="4"/>
  <c r="BE25" i="4"/>
  <c r="BE14" i="4"/>
  <c r="BA15" i="4"/>
  <c r="BA16" i="4"/>
  <c r="BA17" i="4"/>
  <c r="BA18" i="4"/>
  <c r="BA19" i="4"/>
  <c r="BA20" i="4"/>
  <c r="BA21" i="4"/>
  <c r="BA22" i="4"/>
  <c r="BA23" i="4"/>
  <c r="BA24" i="4"/>
  <c r="BA25" i="4"/>
  <c r="BA14" i="4"/>
  <c r="BB13" i="4"/>
  <c r="BC13" i="4"/>
  <c r="BD13" i="4"/>
  <c r="AU9" i="4"/>
  <c r="BA9" i="4" l="1"/>
  <c r="AX12" i="4"/>
  <c r="BD12" i="4" s="1"/>
  <c r="AV12" i="4"/>
  <c r="BB12" i="4" s="1"/>
  <c r="AN12" i="4"/>
  <c r="AN13" i="4"/>
  <c r="AK14" i="4"/>
  <c r="S9" i="4"/>
  <c r="V9" i="4" s="1"/>
  <c r="T9" i="4"/>
  <c r="W9" i="4" s="1"/>
  <c r="X9" i="4"/>
  <c r="Y9" i="4"/>
  <c r="Z9" i="4"/>
  <c r="S10" i="4"/>
  <c r="T10" i="4"/>
  <c r="U10" i="4"/>
  <c r="V10" i="4"/>
  <c r="W10" i="4"/>
  <c r="X10" i="4"/>
  <c r="Y10" i="4"/>
  <c r="Z10" i="4"/>
  <c r="S12" i="4"/>
  <c r="T12" i="4"/>
  <c r="U12" i="4"/>
  <c r="V12" i="4"/>
  <c r="W12" i="4"/>
  <c r="X12" i="4"/>
  <c r="Y12" i="4"/>
  <c r="Z12" i="4"/>
  <c r="R9" i="4"/>
  <c r="U9" i="4" s="1"/>
  <c r="R10" i="4"/>
  <c r="R12" i="4"/>
  <c r="Q16" i="4"/>
  <c r="P16" i="4" s="1"/>
  <c r="B14" i="1" s="1"/>
  <c r="Q17" i="4"/>
  <c r="P17" i="4" s="1"/>
  <c r="B15" i="1" s="1"/>
  <c r="Q18" i="4"/>
  <c r="P18" i="4" s="1"/>
  <c r="B16" i="1" s="1"/>
  <c r="Q19" i="4"/>
  <c r="C17" i="1" s="1"/>
  <c r="Q20" i="4"/>
  <c r="P20" i="4" s="1"/>
  <c r="B18" i="1" s="1"/>
  <c r="Q21" i="4"/>
  <c r="P21" i="4" s="1"/>
  <c r="B19" i="1" s="1"/>
  <c r="Q22" i="4"/>
  <c r="P22" i="4" s="1"/>
  <c r="B20" i="1" s="1"/>
  <c r="Q23" i="4"/>
  <c r="C21" i="1" s="1"/>
  <c r="Q24" i="4"/>
  <c r="C22" i="1" s="1"/>
  <c r="Q25" i="4"/>
  <c r="P25" i="4" s="1"/>
  <c r="Q26" i="4"/>
  <c r="P26" i="4" s="1"/>
  <c r="Q27" i="4"/>
  <c r="AJ27" i="4" s="1"/>
  <c r="Q28" i="4"/>
  <c r="P28" i="4" s="1"/>
  <c r="Q29" i="4"/>
  <c r="AJ29" i="4" s="1"/>
  <c r="Q30" i="4"/>
  <c r="AF30" i="4" s="1"/>
  <c r="Q31" i="4"/>
  <c r="AC31" i="4" s="1"/>
  <c r="Q32" i="4"/>
  <c r="AE32" i="4" s="1"/>
  <c r="Q33" i="4"/>
  <c r="AA33" i="4" s="1"/>
  <c r="Q34" i="4"/>
  <c r="AF34" i="4" s="1"/>
  <c r="Q35" i="4"/>
  <c r="AC35" i="4" s="1"/>
  <c r="Q15" i="4"/>
  <c r="P15" i="4" s="1"/>
  <c r="B13" i="1" s="1"/>
  <c r="I15" i="4" a="1"/>
  <c r="I15" i="4" s="1"/>
  <c r="F6" i="3"/>
  <c r="G6" i="3"/>
  <c r="H6" i="3"/>
  <c r="I6" i="3"/>
  <c r="J6" i="3"/>
  <c r="K6" i="3"/>
  <c r="L6" i="3"/>
  <c r="M6" i="3"/>
  <c r="N6" i="3"/>
  <c r="E2" i="3"/>
  <c r="AP5" i="3" s="1"/>
  <c r="AP4" i="3" s="1"/>
  <c r="Z8" i="4" l="1"/>
  <c r="AW12" i="4"/>
  <c r="W8" i="4"/>
  <c r="AJ22" i="4"/>
  <c r="AC34" i="4"/>
  <c r="AE31" i="4"/>
  <c r="AC30" i="4"/>
  <c r="AD33" i="4"/>
  <c r="AB35" i="4"/>
  <c r="AF33" i="4"/>
  <c r="AB31" i="4"/>
  <c r="AE35" i="4"/>
  <c r="AJ34" i="4"/>
  <c r="AK34" i="4" s="1"/>
  <c r="AJ18" i="4"/>
  <c r="AC33" i="4"/>
  <c r="AB34" i="4"/>
  <c r="AB30" i="4"/>
  <c r="AA35" i="4"/>
  <c r="AA31" i="4"/>
  <c r="AD32" i="4"/>
  <c r="AE34" i="4"/>
  <c r="AE30" i="4"/>
  <c r="AF32" i="4"/>
  <c r="AA32" i="4"/>
  <c r="AJ30" i="4"/>
  <c r="AK30" i="4" s="1"/>
  <c r="AC32" i="4"/>
  <c r="AB33" i="4"/>
  <c r="AA34" i="4"/>
  <c r="AA30" i="4"/>
  <c r="AD35" i="4"/>
  <c r="AD31" i="4"/>
  <c r="AE33" i="4"/>
  <c r="AF35" i="4"/>
  <c r="AF31" i="4"/>
  <c r="AJ26" i="4"/>
  <c r="AB32" i="4"/>
  <c r="AD34" i="4"/>
  <c r="AD30" i="4"/>
  <c r="X8" i="4"/>
  <c r="V8" i="4"/>
  <c r="AJ33" i="4"/>
  <c r="AK33" i="4" s="1"/>
  <c r="AJ25" i="4"/>
  <c r="AJ21" i="4"/>
  <c r="AJ17" i="4"/>
  <c r="AJ15" i="4"/>
  <c r="AJ32" i="4"/>
  <c r="AK32" i="4" s="1"/>
  <c r="AJ28" i="4"/>
  <c r="AJ24" i="4"/>
  <c r="AJ20" i="4"/>
  <c r="AJ16" i="4"/>
  <c r="AJ35" i="4"/>
  <c r="AK35" i="4" s="1"/>
  <c r="AJ31" i="4"/>
  <c r="AK31" i="4" s="1"/>
  <c r="AJ23" i="4"/>
  <c r="AJ19" i="4"/>
  <c r="O5" i="3"/>
  <c r="Y8" i="4"/>
  <c r="AQ5" i="3"/>
  <c r="AQ4" i="3" s="1"/>
  <c r="G5" i="3"/>
  <c r="G4" i="3" s="1"/>
  <c r="N5" i="3"/>
  <c r="N4" i="3" s="1"/>
  <c r="S8" i="4"/>
  <c r="P31" i="4"/>
  <c r="C20" i="1"/>
  <c r="C16" i="1"/>
  <c r="P24" i="4"/>
  <c r="B22" i="1" s="1"/>
  <c r="P23" i="4"/>
  <c r="B21" i="1" s="1"/>
  <c r="P32" i="4"/>
  <c r="W5" i="3"/>
  <c r="W4" i="3" s="1"/>
  <c r="AM5" i="3"/>
  <c r="AM4" i="3" s="1"/>
  <c r="F2" i="3"/>
  <c r="K5" i="3" s="1"/>
  <c r="K4" i="3" s="1"/>
  <c r="S5" i="3"/>
  <c r="S4" i="3" s="1"/>
  <c r="T8" i="4"/>
  <c r="L5" i="3"/>
  <c r="L4" i="3" s="1"/>
  <c r="AU5" i="3"/>
  <c r="AU4" i="3" s="1"/>
  <c r="U8" i="4"/>
  <c r="C18" i="1"/>
  <c r="C14" i="1"/>
  <c r="R30" i="4"/>
  <c r="S30" i="4" s="1"/>
  <c r="T30" i="4" s="1"/>
  <c r="U30" i="4" s="1"/>
  <c r="V30" i="4" s="1"/>
  <c r="W30" i="4" s="1"/>
  <c r="X30" i="4" s="1"/>
  <c r="Y30" i="4" s="1"/>
  <c r="Z30" i="4" s="1"/>
  <c r="P35" i="4"/>
  <c r="P27" i="4"/>
  <c r="P19" i="4"/>
  <c r="B17" i="1" s="1"/>
  <c r="C13" i="1"/>
  <c r="C19" i="1"/>
  <c r="C15" i="1"/>
  <c r="P34" i="4"/>
  <c r="P30" i="4"/>
  <c r="R8" i="4"/>
  <c r="R33" i="4"/>
  <c r="S33" i="4" s="1"/>
  <c r="T33" i="4" s="1"/>
  <c r="U33" i="4" s="1"/>
  <c r="V33" i="4" s="1"/>
  <c r="W33" i="4" s="1"/>
  <c r="X33" i="4" s="1"/>
  <c r="Y33" i="4" s="1"/>
  <c r="Z33" i="4" s="1"/>
  <c r="P33" i="4"/>
  <c r="P29" i="4"/>
  <c r="R35" i="4"/>
  <c r="S35" i="4" s="1"/>
  <c r="T35" i="4" s="1"/>
  <c r="U35" i="4" s="1"/>
  <c r="V35" i="4" s="1"/>
  <c r="W35" i="4" s="1"/>
  <c r="X35" i="4" s="1"/>
  <c r="Y35" i="4" s="1"/>
  <c r="Z35" i="4" s="1"/>
  <c r="R32" i="4"/>
  <c r="S32" i="4" s="1"/>
  <c r="T32" i="4" s="1"/>
  <c r="U32" i="4" s="1"/>
  <c r="V32" i="4" s="1"/>
  <c r="W32" i="4" s="1"/>
  <c r="X32" i="4" s="1"/>
  <c r="Y32" i="4" s="1"/>
  <c r="Z32" i="4" s="1"/>
  <c r="R31" i="4"/>
  <c r="S31" i="4" s="1"/>
  <c r="T31" i="4" s="1"/>
  <c r="U31" i="4" s="1"/>
  <c r="V31" i="4" s="1"/>
  <c r="W31" i="4" s="1"/>
  <c r="X31" i="4" s="1"/>
  <c r="Y31" i="4" s="1"/>
  <c r="Z31" i="4" s="1"/>
  <c r="R34" i="4"/>
  <c r="S34" i="4" s="1"/>
  <c r="T34" i="4" s="1"/>
  <c r="U34" i="4" s="1"/>
  <c r="V34" i="4" s="1"/>
  <c r="W34" i="4" s="1"/>
  <c r="X34" i="4" s="1"/>
  <c r="Y34" i="4" s="1"/>
  <c r="Z34" i="4" s="1"/>
  <c r="Y5" i="3"/>
  <c r="Y4" i="3" s="1"/>
  <c r="U5" i="3"/>
  <c r="U4" i="3" s="1"/>
  <c r="Q5" i="3"/>
  <c r="Q4" i="3" s="1"/>
  <c r="AW5" i="3"/>
  <c r="AW4" i="3" s="1"/>
  <c r="AS5" i="3"/>
  <c r="AS4" i="3" s="1"/>
  <c r="AO5" i="3"/>
  <c r="AO4" i="3" s="1"/>
  <c r="H5" i="3"/>
  <c r="H4" i="3" s="1"/>
  <c r="M5" i="3"/>
  <c r="M4" i="3" s="1"/>
  <c r="X5" i="3"/>
  <c r="X4" i="3" s="1"/>
  <c r="T5" i="3"/>
  <c r="T4" i="3" s="1"/>
  <c r="P5" i="3"/>
  <c r="P4" i="3" s="1"/>
  <c r="AV5" i="3"/>
  <c r="AV4" i="3" s="1"/>
  <c r="AR5" i="3"/>
  <c r="AR4" i="3" s="1"/>
  <c r="AN5" i="3"/>
  <c r="AN4" i="3" s="1"/>
  <c r="F5" i="3"/>
  <c r="F4" i="3" s="1"/>
  <c r="Z5" i="3"/>
  <c r="Z4" i="3" s="1"/>
  <c r="V5" i="3"/>
  <c r="V4" i="3" s="1"/>
  <c r="R5" i="3"/>
  <c r="R4" i="3" s="1"/>
  <c r="AX5" i="3"/>
  <c r="AX4" i="3" s="1"/>
  <c r="AT5" i="3"/>
  <c r="AT4" i="3" s="1"/>
  <c r="K15" i="4"/>
  <c r="J15" i="4"/>
  <c r="Q37" i="4" s="1"/>
  <c r="I5" i="3" l="1"/>
  <c r="I4" i="3" s="1"/>
  <c r="AC5" i="3"/>
  <c r="AC4" i="3" s="1"/>
  <c r="AD5" i="3"/>
  <c r="AD4" i="3" s="1"/>
  <c r="AB5" i="3"/>
  <c r="AB4" i="3" s="1"/>
  <c r="AG5" i="3"/>
  <c r="AG4" i="3" s="1"/>
  <c r="AA5" i="3"/>
  <c r="AA4" i="3" s="1"/>
  <c r="AF5" i="3"/>
  <c r="AF4" i="3" s="1"/>
  <c r="AH5" i="3"/>
  <c r="AH4" i="3" s="1"/>
  <c r="AL5" i="3"/>
  <c r="AL4" i="3" s="1"/>
  <c r="AE5" i="3"/>
  <c r="AE4" i="3" s="1"/>
  <c r="J5" i="3"/>
  <c r="J4" i="3" s="1"/>
  <c r="AV20" i="4"/>
  <c r="BB20" i="4" s="1"/>
  <c r="BE20" i="4" s="1"/>
  <c r="AV14" i="4"/>
  <c r="BB14" i="4" s="1"/>
  <c r="AI5" i="3"/>
  <c r="AI4" i="3" s="1"/>
  <c r="AJ5" i="3"/>
  <c r="AJ4" i="3" s="1"/>
  <c r="AK5" i="3"/>
  <c r="AK4" i="3" s="1"/>
  <c r="AV21" i="4"/>
  <c r="AV15" i="4"/>
  <c r="BB15" i="4" s="1"/>
  <c r="BE15" i="4" s="1"/>
  <c r="AV18" i="4"/>
  <c r="BB18" i="4" s="1"/>
  <c r="BE18" i="4" s="1"/>
  <c r="AV25" i="4"/>
  <c r="O4" i="3"/>
  <c r="AV19" i="4"/>
  <c r="BB19" i="4" s="1"/>
  <c r="BE19" i="4" s="1"/>
  <c r="AV24" i="4"/>
  <c r="AV22" i="4"/>
  <c r="AV17" i="4"/>
  <c r="BB17" i="4" s="1"/>
  <c r="BE17" i="4" s="1"/>
  <c r="AV23" i="4"/>
  <c r="AV16" i="4"/>
  <c r="BB16" i="4" s="1"/>
  <c r="BE16" i="4" s="1"/>
  <c r="BC12" i="4"/>
  <c r="AW15" i="4"/>
  <c r="BC15" i="4" s="1"/>
  <c r="R20" i="4"/>
  <c r="D18" i="1" s="1"/>
  <c r="R29" i="4"/>
  <c r="R28" i="4"/>
  <c r="R24" i="4"/>
  <c r="S24" i="4" s="1"/>
  <c r="R15" i="4"/>
  <c r="S15" i="4" s="1"/>
  <c r="L13" i="1" s="1"/>
  <c r="R26" i="4"/>
  <c r="R25" i="4"/>
  <c r="S25" i="4" s="1"/>
  <c r="T25" i="4" s="1"/>
  <c r="U25" i="4" s="1"/>
  <c r="V25" i="4" s="1"/>
  <c r="W25" i="4" s="1"/>
  <c r="X25" i="4" s="1"/>
  <c r="Y25" i="4" s="1"/>
  <c r="Z25" i="4" s="1"/>
  <c r="AF25" i="4" s="1"/>
  <c r="R21" i="4"/>
  <c r="R17" i="4"/>
  <c r="S17" i="4" s="1"/>
  <c r="R16" i="4"/>
  <c r="D14" i="1" s="1"/>
  <c r="R27" i="4"/>
  <c r="R19" i="4"/>
  <c r="D17" i="1" s="1"/>
  <c r="R23" i="4"/>
  <c r="S23" i="4" s="1"/>
  <c r="L21" i="1" s="1"/>
  <c r="R22" i="4"/>
  <c r="D20" i="1" s="1"/>
  <c r="R18" i="4"/>
  <c r="S18" i="4" s="1"/>
  <c r="L16" i="1" s="1"/>
  <c r="R37" i="4"/>
  <c r="S20" i="4"/>
  <c r="L18" i="1" s="1"/>
  <c r="AW19" i="4" l="1"/>
  <c r="BC19" i="4" s="1"/>
  <c r="AW21" i="4"/>
  <c r="BC21" i="4" s="1"/>
  <c r="S29" i="4"/>
  <c r="AW20" i="4"/>
  <c r="BC20" i="4" s="1"/>
  <c r="AW18" i="4"/>
  <c r="BC18" i="4" s="1"/>
  <c r="AW14" i="4"/>
  <c r="BC14" i="4" s="1"/>
  <c r="AX16" i="4"/>
  <c r="BD16" i="4" s="1"/>
  <c r="AW17" i="4"/>
  <c r="BC17" i="4" s="1"/>
  <c r="AW16" i="4"/>
  <c r="BC16" i="4" s="1"/>
  <c r="AX23" i="4"/>
  <c r="BD23" i="4" s="1"/>
  <c r="AW22" i="4"/>
  <c r="BC22" i="4" s="1"/>
  <c r="AW24" i="4"/>
  <c r="BC24" i="4" s="1"/>
  <c r="AX19" i="4"/>
  <c r="BD19" i="4" s="1"/>
  <c r="AX14" i="4"/>
  <c r="BD14" i="4" s="1"/>
  <c r="AX17" i="4"/>
  <c r="BD17" i="4" s="1"/>
  <c r="AX21" i="4"/>
  <c r="BD21" i="4" s="1"/>
  <c r="AX25" i="4"/>
  <c r="BD25" i="4" s="1"/>
  <c r="AW25" i="4"/>
  <c r="BC25" i="4" s="1"/>
  <c r="AW23" i="4"/>
  <c r="BC23" i="4" s="1"/>
  <c r="AX20" i="4"/>
  <c r="BD20" i="4" s="1"/>
  <c r="AX22" i="4"/>
  <c r="BD22" i="4" s="1"/>
  <c r="AX18" i="4"/>
  <c r="BD18" i="4" s="1"/>
  <c r="AX15" i="4"/>
  <c r="BD15" i="4" s="1"/>
  <c r="AX24" i="4"/>
  <c r="BD24" i="4" s="1"/>
  <c r="T20" i="4"/>
  <c r="T18" i="1" s="1"/>
  <c r="D21" i="1"/>
  <c r="S26" i="4"/>
  <c r="T26" i="4" s="1"/>
  <c r="D15" i="1"/>
  <c r="S37" i="4"/>
  <c r="S16" i="4"/>
  <c r="T16" i="4" s="1"/>
  <c r="T14" i="1" s="1"/>
  <c r="S19" i="4"/>
  <c r="L17" i="1" s="1"/>
  <c r="T24" i="4"/>
  <c r="T22" i="1" s="1"/>
  <c r="L22" i="1"/>
  <c r="T17" i="4"/>
  <c r="L15" i="1"/>
  <c r="D22" i="1"/>
  <c r="D19" i="1"/>
  <c r="S21" i="4"/>
  <c r="D16" i="1"/>
  <c r="S27" i="4"/>
  <c r="S28" i="4"/>
  <c r="S22" i="4"/>
  <c r="D13" i="1"/>
  <c r="T23" i="4"/>
  <c r="T21" i="1" s="1"/>
  <c r="AE25" i="4"/>
  <c r="U20" i="4"/>
  <c r="T15" i="4"/>
  <c r="T13" i="1" s="1"/>
  <c r="T18" i="4"/>
  <c r="T16" i="1" s="1"/>
  <c r="AB25" i="4"/>
  <c r="AC25" i="4"/>
  <c r="AD25" i="4"/>
  <c r="AA25" i="4"/>
  <c r="T29" i="4" l="1"/>
  <c r="AK25" i="4"/>
  <c r="U24" i="4"/>
  <c r="L14" i="1"/>
  <c r="T19" i="4"/>
  <c r="U19" i="4" s="1"/>
  <c r="T37" i="4"/>
  <c r="U16" i="4"/>
  <c r="V16" i="4" s="1"/>
  <c r="T21" i="4"/>
  <c r="L19" i="1"/>
  <c r="U17" i="4"/>
  <c r="T15" i="1"/>
  <c r="T22" i="4"/>
  <c r="T20" i="1" s="1"/>
  <c r="L20" i="1"/>
  <c r="T27" i="4"/>
  <c r="T28" i="4"/>
  <c r="U23" i="4"/>
  <c r="V20" i="4"/>
  <c r="AA20" i="4"/>
  <c r="F18" i="1" s="1"/>
  <c r="G18" i="1" s="1"/>
  <c r="U15" i="4"/>
  <c r="V24" i="4"/>
  <c r="AA24" i="4"/>
  <c r="F22" i="1" s="1"/>
  <c r="G22" i="1" s="1"/>
  <c r="U18" i="4"/>
  <c r="U26" i="4"/>
  <c r="U29" i="4" l="1"/>
  <c r="T17" i="1"/>
  <c r="AA16" i="4"/>
  <c r="F14" i="1" s="1"/>
  <c r="G14" i="1" s="1"/>
  <c r="U22" i="4"/>
  <c r="V22" i="4" s="1"/>
  <c r="U37" i="4"/>
  <c r="U21" i="4"/>
  <c r="T19" i="1"/>
  <c r="V19" i="4"/>
  <c r="AA19" i="4"/>
  <c r="F17" i="1" s="1"/>
  <c r="G17" i="1" s="1"/>
  <c r="V17" i="4"/>
  <c r="AA17" i="4"/>
  <c r="F15" i="1" s="1"/>
  <c r="G15" i="1" s="1"/>
  <c r="U28" i="4"/>
  <c r="AA28" i="4" s="1"/>
  <c r="U27" i="4"/>
  <c r="AA27" i="4" s="1"/>
  <c r="V23" i="4"/>
  <c r="AA23" i="4"/>
  <c r="F21" i="1" s="1"/>
  <c r="G21" i="1" s="1"/>
  <c r="AA22" i="4"/>
  <c r="F20" i="1" s="1"/>
  <c r="G20" i="1" s="1"/>
  <c r="V15" i="4"/>
  <c r="AA15" i="4"/>
  <c r="V26" i="4"/>
  <c r="AA26" i="4"/>
  <c r="W24" i="4"/>
  <c r="AB24" i="4"/>
  <c r="N22" i="1" s="1"/>
  <c r="O22" i="1" s="1"/>
  <c r="V18" i="4"/>
  <c r="AA18" i="4"/>
  <c r="F16" i="1" s="1"/>
  <c r="G16" i="1" s="1"/>
  <c r="W16" i="4"/>
  <c r="AB16" i="4"/>
  <c r="N14" i="1" s="1"/>
  <c r="O14" i="1" s="1"/>
  <c r="W20" i="4"/>
  <c r="AB20" i="4"/>
  <c r="N18" i="1" s="1"/>
  <c r="O18" i="1" s="1"/>
  <c r="V29" i="4" l="1"/>
  <c r="AA29" i="4"/>
  <c r="AA37" i="4"/>
  <c r="V37" i="4"/>
  <c r="W19" i="4"/>
  <c r="AB19" i="4"/>
  <c r="N17" i="1" s="1"/>
  <c r="O17" i="1" s="1"/>
  <c r="F13" i="1"/>
  <c r="G13" i="1" s="1"/>
  <c r="AB17" i="4"/>
  <c r="N15" i="1" s="1"/>
  <c r="O15" i="1" s="1"/>
  <c r="W17" i="4"/>
  <c r="V21" i="4"/>
  <c r="AA21" i="4"/>
  <c r="F19" i="1" s="1"/>
  <c r="G19" i="1" s="1"/>
  <c r="V27" i="4"/>
  <c r="AB27" i="4" s="1"/>
  <c r="V28" i="4"/>
  <c r="AB28" i="4" s="1"/>
  <c r="W23" i="4"/>
  <c r="AB23" i="4"/>
  <c r="N21" i="1" s="1"/>
  <c r="O21" i="1" s="1"/>
  <c r="W15" i="4"/>
  <c r="AB15" i="4"/>
  <c r="W18" i="4"/>
  <c r="AB18" i="4"/>
  <c r="N16" i="1" s="1"/>
  <c r="O16" i="1" s="1"/>
  <c r="W26" i="4"/>
  <c r="AB26" i="4"/>
  <c r="X16" i="4"/>
  <c r="AC16" i="4"/>
  <c r="V14" i="1" s="1"/>
  <c r="W14" i="1" s="1"/>
  <c r="X20" i="4"/>
  <c r="AC20" i="4"/>
  <c r="V18" i="1" s="1"/>
  <c r="W18" i="1" s="1"/>
  <c r="X24" i="4"/>
  <c r="AC24" i="4"/>
  <c r="V22" i="1" s="1"/>
  <c r="W22" i="1" s="1"/>
  <c r="W22" i="4"/>
  <c r="AB22" i="4"/>
  <c r="N20" i="1" s="1"/>
  <c r="O20" i="1" s="1"/>
  <c r="W29" i="4" l="1"/>
  <c r="AB29" i="4"/>
  <c r="W37" i="4"/>
  <c r="AB37" i="4"/>
  <c r="W21" i="4"/>
  <c r="AB21" i="4"/>
  <c r="N19" i="1" s="1"/>
  <c r="O19" i="1" s="1"/>
  <c r="AB43" i="4"/>
  <c r="N13" i="1"/>
  <c r="O13" i="1" s="1"/>
  <c r="AC17" i="4"/>
  <c r="V15" i="1" s="1"/>
  <c r="W15" i="1" s="1"/>
  <c r="X17" i="4"/>
  <c r="AB42" i="4"/>
  <c r="X19" i="4"/>
  <c r="AC19" i="4"/>
  <c r="V17" i="1" s="1"/>
  <c r="W17" i="1" s="1"/>
  <c r="W28" i="4"/>
  <c r="AC28" i="4" s="1"/>
  <c r="W27" i="4"/>
  <c r="AC27" i="4" s="1"/>
  <c r="X23" i="4"/>
  <c r="AC23" i="4"/>
  <c r="V21" i="1" s="1"/>
  <c r="W21" i="1" s="1"/>
  <c r="Y16" i="4"/>
  <c r="AD16" i="4"/>
  <c r="Y20" i="4"/>
  <c r="AD20" i="4"/>
  <c r="X18" i="4"/>
  <c r="AC18" i="4"/>
  <c r="V16" i="1" s="1"/>
  <c r="W16" i="1" s="1"/>
  <c r="Y24" i="4"/>
  <c r="AD24" i="4"/>
  <c r="X22" i="4"/>
  <c r="AC22" i="4"/>
  <c r="V20" i="1" s="1"/>
  <c r="W20" i="1" s="1"/>
  <c r="X26" i="4"/>
  <c r="AD26" i="4" s="1"/>
  <c r="AC26" i="4"/>
  <c r="X15" i="4"/>
  <c r="AC15" i="4"/>
  <c r="X29" i="4" l="1"/>
  <c r="AC29" i="4"/>
  <c r="I14" i="1"/>
  <c r="J14" i="1" s="1"/>
  <c r="I22" i="1"/>
  <c r="J22" i="1" s="1"/>
  <c r="I18" i="1"/>
  <c r="J18" i="1" s="1"/>
  <c r="AB46" i="4"/>
  <c r="AC37" i="4"/>
  <c r="X37" i="4"/>
  <c r="AD17" i="4"/>
  <c r="Y17" i="4"/>
  <c r="AB45" i="4"/>
  <c r="V13" i="1"/>
  <c r="W13" i="1" s="1"/>
  <c r="Y19" i="4"/>
  <c r="AD19" i="4"/>
  <c r="X21" i="4"/>
  <c r="AC21" i="4"/>
  <c r="V19" i="1" s="1"/>
  <c r="W19" i="1" s="1"/>
  <c r="X28" i="4"/>
  <c r="AD28" i="4" s="1"/>
  <c r="X27" i="4"/>
  <c r="AD27" i="4" s="1"/>
  <c r="Y23" i="4"/>
  <c r="AD23" i="4"/>
  <c r="Y15" i="4"/>
  <c r="AD15" i="4"/>
  <c r="Y26" i="4"/>
  <c r="AE26" i="4" s="1"/>
  <c r="Z20" i="4"/>
  <c r="AE20" i="4"/>
  <c r="Q18" i="1" s="1"/>
  <c r="R18" i="1" s="1"/>
  <c r="Z24" i="4"/>
  <c r="AE24" i="4"/>
  <c r="Q22" i="1" s="1"/>
  <c r="R22" i="1" s="1"/>
  <c r="Y22" i="4"/>
  <c r="AD22" i="4"/>
  <c r="Y18" i="4"/>
  <c r="AD18" i="4"/>
  <c r="Z16" i="4"/>
  <c r="AE16" i="4"/>
  <c r="Q14" i="1" s="1"/>
  <c r="R14" i="1" s="1"/>
  <c r="Y29" i="4" l="1"/>
  <c r="AD29" i="4"/>
  <c r="I16" i="1"/>
  <c r="J16" i="1" s="1"/>
  <c r="I21" i="1"/>
  <c r="J21" i="1" s="1"/>
  <c r="I17" i="1"/>
  <c r="J17" i="1" s="1"/>
  <c r="I15" i="1"/>
  <c r="J15" i="1" s="1"/>
  <c r="I20" i="1"/>
  <c r="J20" i="1" s="1"/>
  <c r="I13" i="1"/>
  <c r="J13" i="1" s="1"/>
  <c r="S42" i="4"/>
  <c r="T42" i="4" s="1"/>
  <c r="Y37" i="4"/>
  <c r="AD37" i="4"/>
  <c r="AB49" i="4"/>
  <c r="Z19" i="4"/>
  <c r="AF19" i="4" s="1"/>
  <c r="AE19" i="4"/>
  <c r="Q17" i="1" s="1"/>
  <c r="R17" i="1" s="1"/>
  <c r="AE17" i="4"/>
  <c r="Q15" i="1" s="1"/>
  <c r="R15" i="1" s="1"/>
  <c r="Z17" i="4"/>
  <c r="AF17" i="4" s="1"/>
  <c r="Y21" i="4"/>
  <c r="AD21" i="4"/>
  <c r="AB48" i="4"/>
  <c r="AF24" i="4"/>
  <c r="AF16" i="4"/>
  <c r="AF20" i="4"/>
  <c r="Y28" i="4"/>
  <c r="AE28" i="4" s="1"/>
  <c r="Y27" i="4"/>
  <c r="AE27" i="4" s="1"/>
  <c r="Z23" i="4"/>
  <c r="AE23" i="4"/>
  <c r="Q21" i="1" s="1"/>
  <c r="R21" i="1" s="1"/>
  <c r="Z18" i="4"/>
  <c r="AE18" i="4"/>
  <c r="Q16" i="1" s="1"/>
  <c r="R16" i="1" s="1"/>
  <c r="Z26" i="4"/>
  <c r="Z22" i="4"/>
  <c r="AE22" i="4"/>
  <c r="Q20" i="1" s="1"/>
  <c r="R20" i="1" s="1"/>
  <c r="Z15" i="4"/>
  <c r="AE15" i="4"/>
  <c r="Q13" i="1" s="1"/>
  <c r="R13" i="1" s="1"/>
  <c r="Z29" i="4" l="1"/>
  <c r="AE29" i="4"/>
  <c r="AF26" i="4"/>
  <c r="AK26" i="4" s="1"/>
  <c r="Y18" i="1"/>
  <c r="Z18" i="1" s="1"/>
  <c r="AK20" i="4"/>
  <c r="Y14" i="1"/>
  <c r="Z14" i="1" s="1"/>
  <c r="AK16" i="4"/>
  <c r="Y17" i="1"/>
  <c r="Z17" i="1" s="1"/>
  <c r="AK19" i="4"/>
  <c r="Y22" i="1"/>
  <c r="Z22" i="1" s="1"/>
  <c r="AK24" i="4"/>
  <c r="Y15" i="1"/>
  <c r="Z15" i="1" s="1"/>
  <c r="AK17" i="4"/>
  <c r="I19" i="1"/>
  <c r="J19" i="1" s="1"/>
  <c r="S43" i="4"/>
  <c r="T43" i="4" s="1"/>
  <c r="Z37" i="4"/>
  <c r="AE37" i="4"/>
  <c r="Z21" i="4"/>
  <c r="AF21" i="4" s="1"/>
  <c r="AE21" i="4"/>
  <c r="Q19" i="1" s="1"/>
  <c r="R19" i="1" s="1"/>
  <c r="AF15" i="4"/>
  <c r="AF23" i="4"/>
  <c r="AF22" i="4"/>
  <c r="AF18" i="4"/>
  <c r="Z28" i="4"/>
  <c r="Z27" i="4"/>
  <c r="AF28" i="4" l="1"/>
  <c r="AK28" i="4" s="1"/>
  <c r="AF29" i="4"/>
  <c r="AK29" i="4" s="1"/>
  <c r="AF27" i="4"/>
  <c r="AK27" i="4" s="1"/>
  <c r="Y16" i="1"/>
  <c r="Z16" i="1" s="1"/>
  <c r="AK18" i="4"/>
  <c r="Y20" i="1"/>
  <c r="Z20" i="1" s="1"/>
  <c r="AK22" i="4"/>
  <c r="Y19" i="1"/>
  <c r="Z19" i="1" s="1"/>
  <c r="AK21" i="4"/>
  <c r="Y21" i="1"/>
  <c r="Z21" i="1" s="1"/>
  <c r="AK23" i="4"/>
  <c r="Y13" i="1"/>
  <c r="Z13" i="1" s="1"/>
  <c r="AK15" i="4"/>
  <c r="AF37" i="4"/>
  <c r="S44" i="4"/>
  <c r="T44" i="4" s="1"/>
  <c r="AM18" i="4" l="1"/>
  <c r="AM15" i="4"/>
  <c r="AM20" i="4"/>
  <c r="AM16" i="4"/>
  <c r="AM17" i="4"/>
  <c r="AM19" i="4"/>
  <c r="AN16" i="4" l="1"/>
  <c r="AQ16" i="4" s="1"/>
  <c r="AO16" i="4"/>
  <c r="AN20" i="4"/>
  <c r="AQ20" i="4" s="1"/>
  <c r="AO20" i="4"/>
  <c r="AN19" i="4"/>
  <c r="AQ19" i="4" s="1"/>
  <c r="AO19" i="4"/>
  <c r="AN15" i="4"/>
  <c r="AQ15" i="4" s="1"/>
  <c r="AO15" i="4"/>
  <c r="AN17" i="4"/>
  <c r="AQ17" i="4" s="1"/>
  <c r="AO17" i="4"/>
  <c r="AN18" i="4"/>
  <c r="AQ18" i="4" s="1"/>
  <c r="AO18" i="4"/>
  <c r="AP18" i="4" l="1"/>
  <c r="AP15" i="4"/>
  <c r="AP20" i="4"/>
  <c r="AP17" i="4"/>
  <c r="AP19" i="4"/>
  <c r="AP16" i="4"/>
</calcChain>
</file>

<file path=xl/sharedStrings.xml><?xml version="1.0" encoding="utf-8"?>
<sst xmlns="http://schemas.openxmlformats.org/spreadsheetml/2006/main" count="387" uniqueCount="145">
  <si>
    <t>Actual</t>
  </si>
  <si>
    <t>99 / 142 / 198</t>
  </si>
  <si>
    <t>Budget</t>
  </si>
  <si>
    <t>119 / 187 / 226</t>
  </si>
  <si>
    <t>PY</t>
  </si>
  <si>
    <t>204 / 230 / 244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</si>
  <si>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</si>
  <si>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</si>
  <si>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</si>
  <si>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</si>
  <si>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</si>
  <si>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</si>
  <si>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</si>
  <si>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</si>
  <si>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</si>
  <si>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</si>
  <si>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</si>
  <si>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</si>
  <si>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Actual PY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</si>
  <si>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</si>
  <si>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</si>
  <si>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</si>
  <si>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</si>
  <si>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</si>
  <si>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</si>
  <si>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</si>
  <si>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</si>
  <si>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</si>
  <si>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</si>
  <si>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</si>
  <si>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</si>
  <si>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</si>
  <si>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</si>
  <si>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</si>
  <si>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</si>
  <si>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</si>
  <si>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</si>
  <si>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</si>
  <si>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</si>
  <si>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</si>
  <si>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</si>
  <si>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</si>
  <si>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</si>
  <si>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</si>
  <si>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</si>
  <si>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</si>
  <si>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</si>
  <si>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</si>
  <si>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</si>
  <si>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</si>
  <si>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</si>
  <si>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</si>
  <si>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</si>
  <si>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</si>
  <si>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</si>
  <si>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</si>
  <si>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</si>
  <si>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</si>
  <si>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</si>
  <si>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</si>
  <si>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</si>
  <si>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</si>
  <si>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</si>
  <si>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</si>
  <si>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</si>
  <si>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</si>
  <si>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</si>
  <si>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</si>
  <si>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</si>
  <si>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</si>
  <si>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</si>
  <si>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</si>
  <si>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</si>
  <si>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</si>
  <si>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</si>
  <si>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</si>
  <si>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</si>
  <si>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Connected to Database via add-in</t>
  </si>
  <si>
    <t>Year</t>
  </si>
  <si>
    <t>Month</t>
  </si>
  <si>
    <t>Division</t>
  </si>
  <si>
    <t>Selected Information (Form controls)</t>
  </si>
  <si>
    <t>For Drop-down selections</t>
  </si>
  <si>
    <t>App to Division Allocation</t>
  </si>
  <si>
    <t>Selected Division</t>
  </si>
  <si>
    <t/>
  </si>
  <si>
    <t>Calculation for scrolling table</t>
  </si>
  <si>
    <t>Nr.</t>
  </si>
  <si>
    <t>App</t>
  </si>
  <si>
    <t>Variance Actual to PY</t>
  </si>
  <si>
    <t>Revenue%</t>
  </si>
  <si>
    <t>Profit%</t>
  </si>
  <si>
    <t>Cash%</t>
  </si>
  <si>
    <t>Unique key</t>
  </si>
  <si>
    <r>
      <t xml:space="preserve">%  </t>
    </r>
    <r>
      <rPr>
        <sz val="11"/>
        <color theme="1"/>
        <rFont val="Arial"/>
        <family val="2"/>
      </rPr>
      <t>∆ PY</t>
    </r>
  </si>
  <si>
    <r>
      <t xml:space="preserve">% </t>
    </r>
    <r>
      <rPr>
        <sz val="11"/>
        <color theme="1"/>
        <rFont val="Arial"/>
        <family val="2"/>
      </rPr>
      <t>∆ B</t>
    </r>
  </si>
  <si>
    <t>Table Scroll Position</t>
  </si>
  <si>
    <t xml:space="preserve"> </t>
  </si>
  <si>
    <t>Variance Actual to Budget</t>
  </si>
  <si>
    <t>Min Rev%</t>
  </si>
  <si>
    <t>Max Rev%</t>
  </si>
  <si>
    <t>Min Prof%</t>
  </si>
  <si>
    <t>Max Prof%</t>
  </si>
  <si>
    <t>Min Cash%</t>
  </si>
  <si>
    <t>Max Cash%</t>
  </si>
  <si>
    <t>Calculation for data bar in scrolling table</t>
  </si>
  <si>
    <t>Calculation for header</t>
  </si>
  <si>
    <t>Revenue A-B</t>
  </si>
  <si>
    <t>Profit A-B</t>
  </si>
  <si>
    <t>Cash A-B</t>
  </si>
  <si>
    <t>Basis unsorted</t>
  </si>
  <si>
    <t>Sorted</t>
  </si>
  <si>
    <t>KPI Selection</t>
  </si>
  <si>
    <t>Top/Buttom selection</t>
  </si>
  <si>
    <t>Label Position</t>
  </si>
  <si>
    <t>Label shown</t>
  </si>
  <si>
    <t>Profit Scroll Position</t>
  </si>
  <si>
    <t xml:space="preserve">  </t>
  </si>
  <si>
    <t>PY Checkbox</t>
  </si>
  <si>
    <t>Budget Checkbox</t>
  </si>
  <si>
    <t>Profit Line Chart</t>
  </si>
  <si>
    <t>Data preperation for chart</t>
  </si>
  <si>
    <t>Position label</t>
  </si>
  <si>
    <t>INSTRUCTIONS</t>
  </si>
  <si>
    <t xml:space="preserve">General </t>
  </si>
  <si>
    <t>▪ Select your Point of view from the drop-down box on the dashboard page</t>
  </si>
  <si>
    <t>▪ Refresh the data to retrieve from the database</t>
  </si>
  <si>
    <t>▪ That's it!</t>
  </si>
  <si>
    <t>Beware</t>
  </si>
  <si>
    <t>Do not overwrite the formulas in the Calculation Tab.</t>
  </si>
  <si>
    <t>Keep protection on for the Dashboard tab to make sure nothing is unintentionally shifted.</t>
  </si>
  <si>
    <t>Feel free to remove sheet protection. Go to Review and click "unprotect sheet" - there is no password.</t>
  </si>
  <si>
    <t>Links</t>
  </si>
  <si>
    <t>Dashboard</t>
  </si>
  <si>
    <t>Presentation of results</t>
  </si>
  <si>
    <t>Calculation</t>
  </si>
  <si>
    <t>Raw preparation for Dashboard</t>
  </si>
  <si>
    <t>Raw Data</t>
  </si>
  <si>
    <t>Raw data, retrieved directly from Oracle database</t>
  </si>
  <si>
    <t>Additional resources</t>
  </si>
  <si>
    <t>View complete file on intranet (example for internet link)</t>
  </si>
  <si>
    <t>Version Control</t>
  </si>
  <si>
    <t>▪ Added additional calculations for % columns</t>
  </si>
  <si>
    <t>▪ changed KPI sorting to be based on % budget variance instead of full values</t>
  </si>
  <si>
    <t>▪ Included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</si>
</sst>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409]d\-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9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2" fillId="7" borderId="0" xfId="0" applyFont="1" applyFill="1"/>
    <xf numFmtId="0" fontId="2" fillId="7" borderId="1" xfId="0" applyFont="1" applyFill="1" applyBorder="1"/>
    <xf numFmtId="0" fontId="1" fillId="8" borderId="0" xfId="0" applyFont="1" applyFill="1"/>
    <xf numFmtId="0" fontId="1" fillId="8" borderId="1" xfId="0" applyFont="1" applyFill="1" applyBorder="1"/>
    <xf numFmtId="0" fontId="1" fillId="7" borderId="2" xfId="0" applyFont="1" applyFill="1" applyBorder="1"/>
    <xf numFmtId="0" fontId="2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0" fillId="9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12" borderId="0" xfId="0" applyFill="1"/>
    <xf numFmtId="0" fontId="5" fillId="0" borderId="0" xfId="0" applyFont="1"/>
    <xf numFmtId="0" fontId="6" fillId="0" borderId="0" xfId="0" applyFont="1"/>
    <xf numFmtId="9" fontId="0" fillId="0" borderId="0" xfId="1" applyFont="1"/>
    <xf numFmtId="0" fontId="9" fillId="0" borderId="0" xfId="0" applyFont="1"/>
    <xf numFmtId="3" fontId="9" fillId="0" borderId="0" xfId="0" applyNumberFormat="1" applyFont="1"/>
    <xf numFmtId="164" fontId="9" fillId="0" borderId="0" xfId="1" applyNumberFormat="1" applyFont="1"/>
    <xf numFmtId="164" fontId="9" fillId="0" borderId="0" xfId="0" applyNumberFormat="1" applyFont="1"/>
    <xf numFmtId="9" fontId="0" fillId="0" borderId="0" xfId="0" applyNumberFormat="1"/>
    <xf numFmtId="164" fontId="0" fillId="0" borderId="0" xfId="0" applyNumberFormat="1"/>
    <xf numFmtId="0" fontId="11" fillId="0" borderId="0" xfId="0" applyFont="1" applyAlignment="1">
      <alignment horizontal="centerContinuous"/>
    </xf>
    <xf numFmtId="0" fontId="0" fillId="12" borderId="0" xfId="0" applyFill="1" applyAlignment="1">
      <alignment horizontal="right"/>
    </xf>
    <xf numFmtId="0" fontId="7" fillId="12" borderId="0" xfId="0" applyFont="1" applyFill="1"/>
    <xf numFmtId="0" fontId="9" fillId="12" borderId="0" xfId="0" applyFont="1" applyFill="1"/>
    <xf numFmtId="0" fontId="8" fillId="0" borderId="0" xfId="0" applyFont="1" applyAlignment="1">
      <alignment horizontal="center"/>
    </xf>
    <xf numFmtId="0" fontId="8" fillId="13" borderId="0" xfId="0" applyFont="1" applyFill="1" applyAlignment="1">
      <alignment horizontal="center"/>
    </xf>
    <xf numFmtId="0" fontId="9" fillId="13" borderId="0" xfId="0" applyFont="1" applyFill="1"/>
    <xf numFmtId="3" fontId="9" fillId="13" borderId="0" xfId="0" applyNumberFormat="1" applyFont="1" applyFill="1"/>
    <xf numFmtId="164" fontId="9" fillId="13" borderId="0" xfId="1" applyNumberFormat="1" applyFont="1" applyFill="1"/>
    <xf numFmtId="164" fontId="9" fillId="13" borderId="0" xfId="0" applyNumberFormat="1" applyFont="1" applyFill="1"/>
    <xf numFmtId="164" fontId="0" fillId="13" borderId="0" xfId="0" applyNumberFormat="1" applyFill="1"/>
    <xf numFmtId="3" fontId="0" fillId="0" borderId="0" xfId="0" applyNumberFormat="1"/>
    <xf numFmtId="3" fontId="0" fillId="12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2" borderId="13" xfId="0" applyFill="1" applyBorder="1"/>
    <xf numFmtId="3" fontId="0" fillId="3" borderId="8" xfId="0" applyNumberFormat="1" applyFill="1" applyBorder="1"/>
    <xf numFmtId="3" fontId="0" fillId="5" borderId="8" xfId="0" applyNumberFormat="1" applyFill="1" applyBorder="1"/>
    <xf numFmtId="3" fontId="0" fillId="4" borderId="8" xfId="0" applyNumberFormat="1" applyFill="1" applyBorder="1"/>
    <xf numFmtId="0" fontId="0" fillId="5" borderId="8" xfId="0" applyFill="1" applyBorder="1"/>
    <xf numFmtId="0" fontId="0" fillId="4" borderId="8" xfId="0" applyFill="1" applyBorder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8" borderId="0" xfId="0" applyFill="1"/>
    <xf numFmtId="0" fontId="0" fillId="0" borderId="0" xfId="0" applyAlignment="1">
      <alignment horizontal="center"/>
    </xf>
    <xf numFmtId="0" fontId="0" fillId="16" borderId="0" xfId="0" applyFill="1"/>
    <xf numFmtId="0" fontId="12" fillId="16" borderId="0" xfId="0" applyFont="1" applyFill="1"/>
    <xf numFmtId="0" fontId="0" fillId="2" borderId="14" xfId="0" applyFill="1" applyBorder="1"/>
    <xf numFmtId="0" fontId="11" fillId="2" borderId="15" xfId="0" quotePrefix="1" applyFont="1" applyFill="1" applyBorder="1"/>
    <xf numFmtId="0" fontId="11" fillId="2" borderId="15" xfId="0" applyFont="1" applyFill="1" applyBorder="1"/>
    <xf numFmtId="0" fontId="0" fillId="2" borderId="15" xfId="0" applyFill="1" applyBorder="1"/>
    <xf numFmtId="0" fontId="13" fillId="0" borderId="0" xfId="0" applyFont="1" applyAlignment="1">
      <alignment horizontal="left" vertical="center"/>
    </xf>
    <xf numFmtId="165" fontId="10" fillId="2" borderId="15" xfId="0" applyNumberFormat="1" applyFont="1" applyFill="1" applyBorder="1" applyAlignment="1">
      <alignment horizontal="left"/>
    </xf>
    <xf numFmtId="0" fontId="14" fillId="0" borderId="0" xfId="2" applyFill="1"/>
    <xf numFmtId="0" fontId="10" fillId="12" borderId="0" xfId="0" applyFont="1" applyFill="1" applyAlignment="1" applyProtection="1">
      <alignment horizontal="left"/>
      <protection locked="0"/>
    </xf>
  </cellXfs>
  <cellStyles count="3">
    <cellStyle name="Hyperlink" xfId="2" builtinId="8"/>
    <cellStyle name="Normal" xfId="0" builtinId="0"/>
    <cellStyle name="Per cent" xfId="1" builtinId="5"/>
  </cellStyles>
  <dxfs count="6">
    <dxf>
      <font>
        <color rgb="FFFF7D7D"/>
      </font>
    </dxf>
    <dxf>
      <font>
        <color rgb="FF61E56E"/>
      </font>
    </dxf>
    <dxf>
      <font>
        <color rgb="FFFF7D7D"/>
      </font>
    </dxf>
    <dxf>
      <font>
        <color rgb="FF61E56E"/>
      </font>
    </dxf>
    <dxf>
      <font>
        <color rgb="FF61E56E"/>
      </font>
    </dxf>
    <dxf>
      <font>
        <color rgb="FFFF7D7D"/>
      </font>
    </dxf>
  </dxfs>
  <tableStyles count="0" defaultTableStyle="TableStyleMedium2" defaultPivotStyle="PivotStyleLight16"/>
  <colors>
    <mruColors>
      <color rgb="FFFFFFFF"/>
      <color rgb="FF638EC6"/>
      <color rgb="FF77BBE2"/>
      <color rgb="FFCCE6F4"/>
      <color rgb="FFFF7D7D"/>
      <color rgb="FF61E56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3998558652475E-2"/>
          <c:y val="0.21918866934639919"/>
          <c:w val="0.93888888888888888"/>
          <c:h val="0.675244934991796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Calculation!$AN$14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638EC6"/>
            </a:solidFill>
            <a:ln>
              <a:noFill/>
            </a:ln>
            <a:effectLst/>
          </c:spPr>
          <c:invertIfNegative val="0"/>
          <c:cat>
            <c:strRef>
              <c:f>Calculation!$AM$15:$AM$20</c:f>
              <c:strCache>
                <c:ptCount val="6"/>
                <c:pt idx="0">
                  <c:v>Didactic</c:v>
                </c:pt>
                <c:pt idx="1">
                  <c:v>Rehire</c:v>
                </c:pt>
                <c:pt idx="2">
                  <c:v>Blend</c:v>
                </c:pt>
                <c:pt idx="3">
                  <c:v>Dasring</c:v>
                </c:pt>
                <c:pt idx="4">
                  <c:v>Inkly</c:v>
                </c:pt>
                <c:pt idx="5">
                  <c:v>Pet Feed</c:v>
                </c:pt>
              </c:strCache>
            </c:strRef>
          </c:cat>
          <c:val>
            <c:numRef>
              <c:f>Calculation!$AN$15:$AN$20</c:f>
              <c:numCache>
                <c:formatCode>#,##0</c:formatCode>
                <c:ptCount val="6"/>
                <c:pt idx="0">
                  <c:v>1389</c:v>
                </c:pt>
                <c:pt idx="1">
                  <c:v>7076</c:v>
                </c:pt>
                <c:pt idx="2">
                  <c:v>7137</c:v>
                </c:pt>
                <c:pt idx="3">
                  <c:v>4396</c:v>
                </c:pt>
                <c:pt idx="4">
                  <c:v>8008</c:v>
                </c:pt>
                <c:pt idx="5">
                  <c:v>10149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3-4DA0-A5C8-BBF20D837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96221599"/>
        <c:axId val="996226591"/>
      </c:barChart>
      <c:lineChart>
        <c:grouping val="standard"/>
        <c:varyColors val="0"/>
        <c:ser>
          <c:idx val="1"/>
          <c:order val="1"/>
          <c:tx>
            <c:strRef>
              <c:f>Calculation!$AO$14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Calculation!$AM$15:$AM$20</c:f>
              <c:strCache>
                <c:ptCount val="6"/>
                <c:pt idx="0">
                  <c:v>Didactic</c:v>
                </c:pt>
                <c:pt idx="1">
                  <c:v>Rehire</c:v>
                </c:pt>
                <c:pt idx="2">
                  <c:v>Blend</c:v>
                </c:pt>
                <c:pt idx="3">
                  <c:v>Dasring</c:v>
                </c:pt>
                <c:pt idx="4">
                  <c:v>Inkly</c:v>
                </c:pt>
                <c:pt idx="5">
                  <c:v>Pet Feed</c:v>
                </c:pt>
              </c:strCache>
            </c:strRef>
          </c:cat>
          <c:val>
            <c:numRef>
              <c:f>Calculation!$AO$15:$AO$20</c:f>
              <c:numCache>
                <c:formatCode>#,##0</c:formatCode>
                <c:ptCount val="6"/>
                <c:pt idx="0">
                  <c:v>2226</c:v>
                </c:pt>
                <c:pt idx="1">
                  <c:v>8490</c:v>
                </c:pt>
                <c:pt idx="2">
                  <c:v>8196</c:v>
                </c:pt>
                <c:pt idx="3">
                  <c:v>4779</c:v>
                </c:pt>
                <c:pt idx="4">
                  <c:v>8424</c:v>
                </c:pt>
                <c:pt idx="5">
                  <c:v>10508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3-4DA0-A5C8-BBF20D837944}"/>
            </c:ext>
          </c:extLst>
        </c:ser>
        <c:ser>
          <c:idx val="2"/>
          <c:order val="2"/>
          <c:tx>
            <c:strRef>
              <c:f>Calculation!$AP$14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07BCA5DF-4387-504D-B0D9-A84AB073F62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883-4DA0-A5C8-BBF20D83794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4B0F0FE-D4B4-D846-ABB8-6C871BEDCF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883-4DA0-A5C8-BBF20D83794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1AE5A2D-E275-6D4A-B63D-76EE391C63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883-4DA0-A5C8-BBF20D83794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0C87096-305E-3040-B1B9-A635B6D6FE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883-4DA0-A5C8-BBF20D83794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696D220-CEA4-5C4D-8B1C-D934E2B536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883-4DA0-A5C8-BBF20D83794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B6A3437-1FED-A640-8C63-D8885F9414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883-4DA0-A5C8-BBF20D837944}"/>
                </c:ext>
              </c:extLst>
            </c:dLbl>
            <c:spPr>
              <a:noFill/>
              <a:ln>
                <a:solidFill>
                  <a:srgbClr val="638EC6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Calculation!$AP$15:$AP$20</c:f>
              <c:numCache>
                <c:formatCode>#,##0</c:formatCode>
                <c:ptCount val="6"/>
                <c:pt idx="0">
                  <c:v>2226</c:v>
                </c:pt>
                <c:pt idx="1">
                  <c:v>8490</c:v>
                </c:pt>
                <c:pt idx="2">
                  <c:v>8196</c:v>
                </c:pt>
                <c:pt idx="3">
                  <c:v>4779</c:v>
                </c:pt>
                <c:pt idx="4">
                  <c:v>8424</c:v>
                </c:pt>
                <c:pt idx="5">
                  <c:v>10508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Calculation!$AQ$15:$AQ$20</c15:f>
                <c15:dlblRangeCache>
                  <c:ptCount val="6"/>
                  <c:pt idx="0">
                    <c:v>-38% | 1,389</c:v>
                  </c:pt>
                  <c:pt idx="1">
                    <c:v>-17% | 7,076</c:v>
                  </c:pt>
                  <c:pt idx="2">
                    <c:v>-13% | 7,137</c:v>
                  </c:pt>
                  <c:pt idx="3">
                    <c:v>-8% | 4,396</c:v>
                  </c:pt>
                  <c:pt idx="4">
                    <c:v>-5% | 8,008</c:v>
                  </c:pt>
                  <c:pt idx="5">
                    <c:v>-3% | 10,149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883-4DA0-A5C8-BBF20D837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221599"/>
        <c:axId val="996226591"/>
      </c:lineChart>
      <c:catAx>
        <c:axId val="99622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226591"/>
        <c:crosses val="autoZero"/>
        <c:auto val="1"/>
        <c:lblAlgn val="ctr"/>
        <c:lblOffset val="100"/>
        <c:noMultiLvlLbl val="0"/>
      </c:catAx>
      <c:valAx>
        <c:axId val="99622659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9962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1.9963910761154856E-2"/>
          <c:y val="2.8355934674832307E-2"/>
          <c:w val="0.11007217847769028"/>
          <c:h val="7.5809155930980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580927384077"/>
          <c:y val="0.17171296296296296"/>
          <c:w val="0.7926412948381452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Calculation!$BB$13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5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Calculation!$BA$14:$BA$25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Calculation!$BB$14:$BB$25</c:f>
              <c:numCache>
                <c:formatCode>General</c:formatCode>
                <c:ptCount val="12"/>
                <c:pt idx="0">
                  <c:v>357</c:v>
                </c:pt>
                <c:pt idx="1">
                  <c:v>663.6</c:v>
                </c:pt>
                <c:pt idx="2">
                  <c:v>1003.8000000000001</c:v>
                </c:pt>
                <c:pt idx="3">
                  <c:v>1314.6000000000001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6-4484-A8B6-8CF814041A3A}"/>
            </c:ext>
          </c:extLst>
        </c:ser>
        <c:ser>
          <c:idx val="1"/>
          <c:order val="1"/>
          <c:tx>
            <c:strRef>
              <c:f>Calculation!$BC$13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rgbClr val="CCE6F4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96-4484-A8B6-8CF814041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Calculation!$BA$14:$BA$25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Calculation!$BC$14:$BC$25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96-4484-A8B6-8CF814041A3A}"/>
            </c:ext>
          </c:extLst>
        </c:ser>
        <c:ser>
          <c:idx val="2"/>
          <c:order val="2"/>
          <c:tx>
            <c:strRef>
              <c:f>Calculation!$BD$13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77BBE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96-4484-A8B6-8CF814041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Calculation!$BA$14:$BA$25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Calculation!$BD$14:$BD$25</c:f>
              <c:numCache>
                <c:formatCode>#,##0</c:formatCode>
                <c:ptCount val="12"/>
                <c:pt idx="0">
                  <c:v>279.3</c:v>
                </c:pt>
                <c:pt idx="1">
                  <c:v>541.80000000000007</c:v>
                </c:pt>
                <c:pt idx="2">
                  <c:v>863.1</c:v>
                </c:pt>
                <c:pt idx="3">
                  <c:v>858.90000000000009</c:v>
                </c:pt>
                <c:pt idx="4">
                  <c:v>1134</c:v>
                </c:pt>
                <c:pt idx="5">
                  <c:v>1381.8</c:v>
                </c:pt>
                <c:pt idx="6">
                  <c:v>1568.7</c:v>
                </c:pt>
                <c:pt idx="7">
                  <c:v>1461.6000000000001</c:v>
                </c:pt>
                <c:pt idx="8">
                  <c:v>1766.1000000000001</c:v>
                </c:pt>
                <c:pt idx="9">
                  <c:v>1795.5</c:v>
                </c:pt>
                <c:pt idx="10">
                  <c:v>2087.4</c:v>
                </c:pt>
                <c:pt idx="11">
                  <c:v>1955.1000000000001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96-4484-A8B6-8CF814041A3A}"/>
            </c:ext>
          </c:extLst>
        </c:ser>
        <c:ser>
          <c:idx val="3"/>
          <c:order val="3"/>
          <c:tx>
            <c:strRef>
              <c:f>Calculation!$BE$13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Calculation!$BE$14:$BE$25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1314.6000000000001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96-4484-A8B6-8CF81404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065936"/>
        <c:axId val="1002058448"/>
      </c:lineChart>
      <c:catAx>
        <c:axId val="10020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58448"/>
        <c:crosses val="autoZero"/>
        <c:auto val="1"/>
        <c:lblAlgn val="ctr"/>
        <c:lblOffset val="100"/>
        <c:noMultiLvlLbl val="0"/>
      </c:catAx>
      <c:valAx>
        <c:axId val="100205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6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ulation!$D$5" fmlaRange="Calculation!$C$16:$C$18" noThreeD="1" sel="1" val="0"/>
</file>

<file path=xl/ctrlProps/ctrlProp2.xml><?xml version="1.0" encoding="utf-8"?>
<formControlPr xmlns="http://schemas.microsoft.com/office/spreadsheetml/2009/9/main" objectType="Scroll" dx="26" fmlaLink="Calculation!$D$6" max="11" min="1" page="5" val="2"/>
</file>

<file path=xl/ctrlProps/ctrlProp3.xml><?xml version="1.0" encoding="utf-8"?>
<formControlPr xmlns="http://schemas.microsoft.com/office/spreadsheetml/2009/9/main" objectType="List" dx="26" fmlaLink="Calculation!$D$7" fmlaRange="Calculation!$D$16:$D$18" noThreeD="1" sel="3" val="0"/>
</file>

<file path=xl/ctrlProps/ctrlProp4.xml><?xml version="1.0" encoding="utf-8"?>
<formControlPr xmlns="http://schemas.microsoft.com/office/spreadsheetml/2009/9/main" objectType="Radio" firstButton="1" fmlaLink="Calculation!$D$8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Scroll" dx="26" fmlaLink="Calculation!$D$9" horiz="1" max="20" min="1" page="5" val="8"/>
</file>

<file path=xl/ctrlProps/ctrlProp7.xml><?xml version="1.0" encoding="utf-8"?>
<formControlPr xmlns="http://schemas.microsoft.com/office/spreadsheetml/2009/9/main" objectType="CheckBox" fmlaLink="Calculation!$D$10" lockText="1" noThreeD="1"/>
</file>

<file path=xl/ctrlProps/ctrlProp8.xml><?xml version="1.0" encoding="utf-8"?>
<formControlPr xmlns="http://schemas.microsoft.com/office/spreadsheetml/2009/9/main" objectType="CheckBox" checked="Checked" fmlaLink="Calculation!$D$1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7225" y="282894"/>
          <a:ext cx="1709737" cy="78390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50921" y="301943"/>
          <a:ext cx="107632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74919" y="311467"/>
          <a:ext cx="111442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608445" y="320993"/>
          <a:ext cx="119062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987" y="1206819"/>
          <a:ext cx="7857173" cy="267652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76274" y="4047174"/>
          <a:ext cx="3503295" cy="187642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66310" y="4037649"/>
          <a:ext cx="3752851" cy="187642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11</xdr:col>
      <xdr:colOff>607696</xdr:colOff>
      <xdr:row>31</xdr:row>
      <xdr:rowOff>92285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3521" y="4239578"/>
          <a:ext cx="1903095" cy="152198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5</xdr:col>
      <xdr:colOff>82560</xdr:colOff>
      <xdr:row>31</xdr:row>
      <xdr:rowOff>56199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209675" y="4403409"/>
          <a:ext cx="1997085" cy="132207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71637" y="156305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17658" y="154400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360795" y="155829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0</xdr:col>
      <xdr:colOff>38100</xdr:colOff>
      <xdr:row>0</xdr:row>
      <xdr:rowOff>38100</xdr:rowOff>
    </xdr:from>
    <xdr:to>
      <xdr:col>1</xdr:col>
      <xdr:colOff>218515</xdr:colOff>
      <xdr:row>3</xdr:row>
      <xdr:rowOff>66036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38100" y="38100"/>
          <a:ext cx="790015" cy="5765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5</xdr:row>
          <xdr:rowOff>177800</xdr:rowOff>
        </xdr:from>
        <xdr:to>
          <xdr:col>5</xdr:col>
          <xdr:colOff>330200</xdr:colOff>
          <xdr:row>6</xdr:row>
          <xdr:rowOff>177800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101600</xdr:colOff>
          <xdr:row>12</xdr:row>
          <xdr:rowOff>12700</xdr:rowOff>
        </xdr:from>
        <xdr:to>
          <xdr:col>26</xdr:col>
          <xdr:colOff>292100</xdr:colOff>
          <xdr:row>22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7620</xdr:colOff>
      <xdr:row>0</xdr:row>
      <xdr:rowOff>0</xdr:rowOff>
    </xdr:from>
    <xdr:to>
      <xdr:col>2</xdr:col>
      <xdr:colOff>486798</xdr:colOff>
      <xdr:row>4</xdr:row>
      <xdr:rowOff>132628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7620" y="0"/>
          <a:ext cx="791598" cy="566968"/>
        </a:xfrm>
        <a:prstGeom prst="rect">
          <a:avLst/>
        </a:prstGeom>
        <a:noFill/>
      </xdr:spPr>
    </xdr:pic>
    <xdr:clientData/>
  </xdr:twoCellAnchor>
  <xdr:twoCellAnchor>
    <xdr:from>
      <xdr:col>13</xdr:col>
      <xdr:colOff>62619</xdr:colOff>
      <xdr:row>2</xdr:row>
      <xdr:rowOff>59634</xdr:rowOff>
    </xdr:from>
    <xdr:to>
      <xdr:col>16</xdr:col>
      <xdr:colOff>524626</xdr:colOff>
      <xdr:row>7</xdr:row>
      <xdr:rowOff>145774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5218819" y="212034"/>
          <a:ext cx="1846307" cy="924340"/>
          <a:chOff x="6288156" y="225286"/>
          <a:chExt cx="1791422" cy="914401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6288156" y="251791"/>
            <a:ext cx="1689652" cy="88789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Calculation!R37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6679094" y="530088"/>
            <a:ext cx="943928" cy="3635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CF7A42F-5632-49B5-9510-8B2F4FB5ACA7}" type="TxLink">
              <a:rPr lang="en-US" sz="17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162,643</a:t>
            </a:fld>
            <a:endParaRPr lang="en-AU" sz="1700" b="0"/>
          </a:p>
        </xdr:txBody>
      </xdr:sp>
      <xdr:sp macro="" textlink="Calculation!S42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6447185" y="861392"/>
            <a:ext cx="574638" cy="2683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1FC94765-E358-46DD-824B-E99777B7C722}" type="TxLink">
              <a:rPr lang="en-US" sz="1100" b="0" i="0" u="none" strike="noStrike">
                <a:solidFill>
                  <a:srgbClr val="638EC6"/>
                </a:solidFill>
                <a:latin typeface="Calibri"/>
                <a:cs typeface="Calibri"/>
              </a:rPr>
              <a:pPr/>
              <a:t>-2,117</a:t>
            </a:fld>
            <a:endParaRPr lang="en-AU" sz="1100">
              <a:solidFill>
                <a:srgbClr val="638EC6"/>
              </a:solidFill>
            </a:endParaRPr>
          </a:p>
        </xdr:txBody>
      </xdr:sp>
      <xdr:sp macro="" textlink="Calculation!T42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7050156" y="861392"/>
            <a:ext cx="1029422" cy="2683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B4DBFD0F-6C0C-4B90-ACFE-3919F4D5442A}" type="TxLink">
              <a:rPr lang="en-US" sz="1100" b="0" i="0" u="none" strike="noStrike">
                <a:solidFill>
                  <a:srgbClr val="638EC6"/>
                </a:solidFill>
                <a:latin typeface="Calibri"/>
                <a:cs typeface="Calibri"/>
              </a:rPr>
              <a:pPr/>
              <a:t>Under Budget</a:t>
            </a:fld>
            <a:endParaRPr lang="en-US" sz="1100" b="0" i="0" u="none" strike="noStrike">
              <a:solidFill>
                <a:srgbClr val="638EC6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6288158" y="225286"/>
            <a:ext cx="880882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500" b="1"/>
              <a:t>Revenue</a:t>
            </a:r>
          </a:p>
        </xdr:txBody>
      </xdr:sp>
    </xdr:grpSp>
    <xdr:clientData/>
  </xdr:twoCellAnchor>
  <xdr:twoCellAnchor>
    <xdr:from>
      <xdr:col>16</xdr:col>
      <xdr:colOff>397899</xdr:colOff>
      <xdr:row>2</xdr:row>
      <xdr:rowOff>68248</xdr:rowOff>
    </xdr:from>
    <xdr:to>
      <xdr:col>21</xdr:col>
      <xdr:colOff>241851</xdr:colOff>
      <xdr:row>7</xdr:row>
      <xdr:rowOff>147763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pSpPr/>
      </xdr:nvGrpSpPr>
      <xdr:grpSpPr>
        <a:xfrm>
          <a:off x="6938399" y="220648"/>
          <a:ext cx="1736252" cy="917715"/>
          <a:chOff x="7374837" y="225286"/>
          <a:chExt cx="1702901" cy="907776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7388086" y="245166"/>
            <a:ext cx="1689652" cy="887896"/>
          </a:xfrm>
          <a:prstGeom prst="rect">
            <a:avLst/>
          </a:prstGeom>
          <a:solidFill>
            <a:srgbClr val="638EC6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Calculation!S37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 txBox="1"/>
        </xdr:nvSpPr>
        <xdr:spPr>
          <a:xfrm>
            <a:off x="7825408" y="503585"/>
            <a:ext cx="901914" cy="358431"/>
          </a:xfrm>
          <a:prstGeom prst="rect">
            <a:avLst/>
          </a:prstGeom>
          <a:solidFill>
            <a:srgbClr val="638EC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05679171-A48D-40F8-BB73-96C935F49981}" type="TxLink">
              <a:rPr lang="en-US" sz="1700" b="0" i="0" u="none" strike="noStrike">
                <a:solidFill>
                  <a:schemeClr val="bg1"/>
                </a:solidFill>
                <a:latin typeface="Calibri"/>
                <a:cs typeface="Calibri"/>
              </a:rPr>
              <a:pPr/>
              <a:t>9,359</a:t>
            </a:fld>
            <a:endParaRPr lang="en-AU" sz="1700" b="0">
              <a:solidFill>
                <a:schemeClr val="bg1"/>
              </a:solidFill>
            </a:endParaRPr>
          </a:p>
        </xdr:txBody>
      </xdr:sp>
      <xdr:sp macro="" textlink="Calculation!S43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7606750" y="868019"/>
            <a:ext cx="577338" cy="264560"/>
          </a:xfrm>
          <a:prstGeom prst="rect">
            <a:avLst/>
          </a:prstGeom>
          <a:solidFill>
            <a:srgbClr val="638EC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5DA56568-A281-42EC-8471-C9A6C7B632C5}" type="TxLink">
              <a:rPr lang="en-US" sz="1100" b="0" i="0" u="none" strike="noStrike">
                <a:solidFill>
                  <a:schemeClr val="bg1"/>
                </a:solidFill>
                <a:latin typeface="Calibri"/>
                <a:cs typeface="Calibri"/>
              </a:rPr>
              <a:pPr/>
              <a:t>-84</a:t>
            </a:fld>
            <a:endParaRPr lang="en-AU" sz="1100">
              <a:solidFill>
                <a:schemeClr val="bg1"/>
              </a:solidFill>
            </a:endParaRPr>
          </a:p>
        </xdr:txBody>
      </xdr:sp>
      <xdr:sp macro="" textlink="Calculation!T43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8130208" y="841515"/>
            <a:ext cx="901978" cy="264560"/>
          </a:xfrm>
          <a:prstGeom prst="rect">
            <a:avLst/>
          </a:prstGeom>
          <a:solidFill>
            <a:srgbClr val="638EC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6EBB77DF-D9AE-495F-87E8-7A8B32EB703A}" type="TxLink">
              <a:rPr lang="en-US" sz="1100" b="0" i="0" u="none" strike="noStrike">
                <a:solidFill>
                  <a:schemeClr val="bg1"/>
                </a:solidFill>
                <a:latin typeface="Calibri"/>
                <a:cs typeface="Calibri"/>
              </a:rPr>
              <a:pPr/>
              <a:t>Under Budget</a:t>
            </a:fld>
            <a:endParaRPr lang="en-US" sz="1100" b="0" i="0" u="none" strike="noStrike">
              <a:solidFill>
                <a:schemeClr val="bg1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 txBox="1"/>
        </xdr:nvSpPr>
        <xdr:spPr>
          <a:xfrm>
            <a:off x="7374837" y="225286"/>
            <a:ext cx="880882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600" b="1">
                <a:solidFill>
                  <a:schemeClr val="bg1"/>
                </a:solidFill>
              </a:rPr>
              <a:t>Profit</a:t>
            </a:r>
          </a:p>
        </xdr:txBody>
      </xdr:sp>
    </xdr:grpSp>
    <xdr:clientData/>
  </xdr:twoCellAnchor>
  <xdr:twoCellAnchor>
    <xdr:from>
      <xdr:col>21</xdr:col>
      <xdr:colOff>231581</xdr:colOff>
      <xdr:row>2</xdr:row>
      <xdr:rowOff>46381</xdr:rowOff>
    </xdr:from>
    <xdr:to>
      <xdr:col>25</xdr:col>
      <xdr:colOff>174431</xdr:colOff>
      <xdr:row>7</xdr:row>
      <xdr:rowOff>132521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8664381" y="198781"/>
          <a:ext cx="1924050" cy="924340"/>
          <a:chOff x="6288156" y="225286"/>
          <a:chExt cx="1771670" cy="914401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6288156" y="251791"/>
            <a:ext cx="1689652" cy="88789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Calculation!T37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6679095" y="530088"/>
            <a:ext cx="925816" cy="3635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DD459F9D-7A22-4129-A553-0969E8BB2AB6}" type="TxLink">
              <a:rPr lang="en-US" sz="17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103,058</a:t>
            </a:fld>
            <a:endParaRPr lang="en-AU" sz="1700" b="0"/>
          </a:p>
        </xdr:txBody>
      </xdr:sp>
      <xdr:sp macro="" textlink="Calculation!S44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6447185" y="861392"/>
            <a:ext cx="563612" cy="2683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7D90969-AF09-43C8-9EE3-B4A87B0CC039}" type="TxLink">
              <a:rPr lang="en-US" sz="1100" b="0" i="0" u="none" strike="noStrike">
                <a:solidFill>
                  <a:srgbClr val="638EC6"/>
                </a:solidFill>
                <a:latin typeface="Calibri"/>
                <a:cs typeface="Calibri"/>
              </a:rPr>
              <a:pPr/>
              <a:t>-1,368</a:t>
            </a:fld>
            <a:endParaRPr lang="en-AU" sz="1100">
              <a:solidFill>
                <a:srgbClr val="638EC6"/>
              </a:solidFill>
            </a:endParaRPr>
          </a:p>
        </xdr:txBody>
      </xdr:sp>
      <xdr:sp macro="" textlink="Calculation!T44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 txBox="1"/>
        </xdr:nvSpPr>
        <xdr:spPr>
          <a:xfrm>
            <a:off x="7050156" y="861392"/>
            <a:ext cx="1009670" cy="2683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AED019A-8F05-4026-8A45-7EAA8FA8ACFE}" type="TxLink">
              <a:rPr lang="en-US" sz="1100" b="0" i="0" u="none" strike="noStrike">
                <a:solidFill>
                  <a:srgbClr val="638EC6"/>
                </a:solidFill>
                <a:latin typeface="Calibri"/>
                <a:cs typeface="Calibri"/>
              </a:rPr>
              <a:pPr/>
              <a:t>Under Budget</a:t>
            </a:fld>
            <a:endParaRPr lang="en-US" sz="1100" b="0" i="0" u="none" strike="noStrike">
              <a:solidFill>
                <a:srgbClr val="638EC6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 txBox="1"/>
        </xdr:nvSpPr>
        <xdr:spPr>
          <a:xfrm>
            <a:off x="6288158" y="225286"/>
            <a:ext cx="561436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500" b="1"/>
              <a:t>Cash</a:t>
            </a:r>
          </a:p>
        </xdr:txBody>
      </xdr:sp>
    </xdr:grpSp>
    <xdr:clientData/>
  </xdr:twoCellAnchor>
  <xdr:oneCellAnchor>
    <xdr:from>
      <xdr:col>2</xdr:col>
      <xdr:colOff>546653</xdr:colOff>
      <xdr:row>0</xdr:row>
      <xdr:rowOff>0</xdr:rowOff>
    </xdr:from>
    <xdr:ext cx="1693220" cy="342786"/>
    <xdr:sp macro="" textlink="Calculation!Q37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889553" y="0"/>
          <a:ext cx="169322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B4C6D94-2B2D-4996-B453-38C666AE06BF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Productivity Apps</a:t>
          </a:fld>
          <a:endParaRPr lang="en-AU" sz="1600" b="1"/>
        </a:p>
      </xdr:txBody>
    </xdr:sp>
    <xdr:clientData/>
  </xdr:oneCellAnchor>
  <xdr:twoCellAnchor>
    <xdr:from>
      <xdr:col>3</xdr:col>
      <xdr:colOff>384313</xdr:colOff>
      <xdr:row>24</xdr:row>
      <xdr:rowOff>178904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63500</xdr:colOff>
          <xdr:row>25</xdr:row>
          <xdr:rowOff>88900</xdr:rowOff>
        </xdr:from>
        <xdr:to>
          <xdr:col>3</xdr:col>
          <xdr:colOff>304800</xdr:colOff>
          <xdr:row>30</xdr:row>
          <xdr:rowOff>50800</xdr:rowOff>
        </xdr:to>
        <xdr:sp macro="" textlink="">
          <xdr:nvSpPr>
            <xdr:cNvPr id="2051" name="List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30</xdr:row>
          <xdr:rowOff>101600</xdr:rowOff>
        </xdr:from>
        <xdr:to>
          <xdr:col>3</xdr:col>
          <xdr:colOff>139700</xdr:colOff>
          <xdr:row>31</xdr:row>
          <xdr:rowOff>139700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32</xdr:row>
          <xdr:rowOff>25400</xdr:rowOff>
        </xdr:from>
        <xdr:to>
          <xdr:col>3</xdr:col>
          <xdr:colOff>139700</xdr:colOff>
          <xdr:row>33</xdr:row>
          <xdr:rowOff>63500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6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19879</xdr:colOff>
      <xdr:row>34</xdr:row>
      <xdr:rowOff>178906</xdr:rowOff>
    </xdr:from>
    <xdr:to>
      <xdr:col>3</xdr:col>
      <xdr:colOff>53010</xdr:colOff>
      <xdr:row>37</xdr:row>
      <xdr:rowOff>13254</xdr:rowOff>
    </xdr:to>
    <xdr:sp macro="" textlink="Calculation!AN12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50575" y="6082749"/>
          <a:ext cx="974035" cy="390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1001BBA-BA6C-48BD-BE25-5D9827E53C36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Bottom 6 sorted based on % ∆ B</a:t>
          </a:fld>
          <a:endParaRPr lang="en-AU" sz="900"/>
        </a:p>
      </xdr:txBody>
    </xdr:sp>
    <xdr:clientData/>
  </xdr:twoCellAnchor>
  <xdr:twoCellAnchor>
    <xdr:from>
      <xdr:col>0</xdr:col>
      <xdr:colOff>165653</xdr:colOff>
      <xdr:row>23</xdr:row>
      <xdr:rowOff>178904</xdr:rowOff>
    </xdr:from>
    <xdr:to>
      <xdr:col>15</xdr:col>
      <xdr:colOff>0</xdr:colOff>
      <xdr:row>25</xdr:row>
      <xdr:rowOff>26504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24070" y="4041913"/>
          <a:ext cx="5989982" cy="218661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13252</xdr:colOff>
      <xdr:row>23</xdr:row>
      <xdr:rowOff>145774</xdr:rowOff>
    </xdr:from>
    <xdr:to>
      <xdr:col>6</xdr:col>
      <xdr:colOff>265045</xdr:colOff>
      <xdr:row>25</xdr:row>
      <xdr:rowOff>13252</xdr:rowOff>
    </xdr:to>
    <xdr:sp macro="" textlink="Calculation!AN13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443948" y="4008783"/>
          <a:ext cx="2517914" cy="238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56304C8-23A3-4CF6-942B-D8BD4828221D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Actual Cash vs Budget</a:t>
          </a:fld>
          <a:endParaRPr lang="en-AU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33129</xdr:colOff>
      <xdr:row>26</xdr:row>
      <xdr:rowOff>119270</xdr:rowOff>
    </xdr:from>
    <xdr:to>
      <xdr:col>27</xdr:col>
      <xdr:colOff>46382</xdr:colOff>
      <xdr:row>39</xdr:row>
      <xdr:rowOff>165653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324678</xdr:colOff>
      <xdr:row>25</xdr:row>
      <xdr:rowOff>13252</xdr:rowOff>
    </xdr:from>
    <xdr:to>
      <xdr:col>3</xdr:col>
      <xdr:colOff>331305</xdr:colOff>
      <xdr:row>39</xdr:row>
      <xdr:rowOff>13252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stCxn id="12" idx="2"/>
        </xdr:cNvCxnSpPr>
      </xdr:nvCxnSpPr>
      <xdr:spPr>
        <a:xfrm flipH="1">
          <a:off x="1696278" y="4247322"/>
          <a:ext cx="6627" cy="259742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106016</xdr:colOff>
      <xdr:row>24</xdr:row>
      <xdr:rowOff>0</xdr:rowOff>
    </xdr:from>
    <xdr:to>
      <xdr:col>27</xdr:col>
      <xdr:colOff>22860</xdr:colOff>
      <xdr:row>25</xdr:row>
      <xdr:rowOff>25510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331556" y="3985260"/>
          <a:ext cx="4001164" cy="208390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165100</xdr:colOff>
          <xdr:row>24</xdr:row>
          <xdr:rowOff>38100</xdr:rowOff>
        </xdr:from>
        <xdr:to>
          <xdr:col>26</xdr:col>
          <xdr:colOff>215900</xdr:colOff>
          <xdr:row>24</xdr:row>
          <xdr:rowOff>165100</xdr:rowOff>
        </xdr:to>
        <xdr:sp macro="" textlink="">
          <xdr:nvSpPr>
            <xdr:cNvPr id="2057" name="Scroll Ba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101600</xdr:colOff>
          <xdr:row>25</xdr:row>
          <xdr:rowOff>76200</xdr:rowOff>
        </xdr:from>
        <xdr:to>
          <xdr:col>24</xdr:col>
          <xdr:colOff>482600</xdr:colOff>
          <xdr:row>26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431800</xdr:colOff>
          <xdr:row>25</xdr:row>
          <xdr:rowOff>63500</xdr:rowOff>
        </xdr:from>
        <xdr:to>
          <xdr:col>26</xdr:col>
          <xdr:colOff>241300</xdr:colOff>
          <xdr:row>26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16</xdr:col>
      <xdr:colOff>13252</xdr:colOff>
      <xdr:row>23</xdr:row>
      <xdr:rowOff>165652</xdr:rowOff>
    </xdr:from>
    <xdr:to>
      <xdr:col>21</xdr:col>
      <xdr:colOff>72886</xdr:colOff>
      <xdr:row>25</xdr:row>
      <xdr:rowOff>26505</xdr:rowOff>
    </xdr:to>
    <xdr:sp macro="" textlink="Calculation!BA9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6533322" y="4028661"/>
          <a:ext cx="1842051" cy="231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5A257DE-455E-49BB-A005-41A5B1022DEE}" type="TxLink">
            <a:rPr lang="en-US" sz="1200" b="1" i="0" u="none" strike="noStrike">
              <a:solidFill>
                <a:srgbClr val="FFFFFF"/>
              </a:solidFill>
              <a:latin typeface="Calibri"/>
              <a:ea typeface="+mn-ea"/>
              <a:cs typeface="Calibri"/>
            </a:rPr>
            <a:pPr marL="0" indent="0"/>
            <a:t>Profit for Pes</a:t>
          </a:fld>
          <a:endParaRPr lang="en-AU" sz="1400" b="1" i="0" u="none" strike="noStrike">
            <a:solidFill>
              <a:srgbClr val="FFFFFF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0.13667</cdr:x>
      <cdr:y>0.03889</cdr:y>
    </cdr:from>
    <cdr:to>
      <cdr:x>0.24833</cdr:x>
      <cdr:y>0.10341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2A9FACEC-DC3C-A77C-9770-BE759A7BAB4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24840" y="106681"/>
          <a:ext cx="510540" cy="17698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lplu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A890-8B62-4E8A-9068-0C3DDF4D97DE}">
  <dimension ref="A1:S38"/>
  <sheetViews>
    <sheetView workbookViewId="0">
      <selection activeCell="R7" sqref="R7"/>
    </sheetView>
  </sheetViews>
  <sheetFormatPr baseColWidth="10" defaultColWidth="8.83203125" defaultRowHeight="15" x14ac:dyDescent="0.2"/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0</v>
      </c>
      <c r="P5" s="1" t="s">
        <v>1</v>
      </c>
      <c r="R5" s="2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</v>
      </c>
      <c r="P6" s="1" t="s">
        <v>3</v>
      </c>
      <c r="R6" s="3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4</v>
      </c>
      <c r="P7" s="1" t="s">
        <v>5</v>
      </c>
      <c r="R7" s="4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 t="s">
        <v>0</v>
      </c>
      <c r="D11" s="1" t="s">
        <v>6</v>
      </c>
      <c r="E11" s="1" t="s">
        <v>7</v>
      </c>
      <c r="F11" s="1"/>
      <c r="G11" s="1" t="s">
        <v>0</v>
      </c>
      <c r="H11" s="1" t="s">
        <v>6</v>
      </c>
      <c r="I11" s="1" t="s">
        <v>7</v>
      </c>
      <c r="J11" s="1"/>
      <c r="K11" s="1" t="s">
        <v>0</v>
      </c>
      <c r="L11" s="1" t="s">
        <v>6</v>
      </c>
      <c r="M11" s="1" t="s">
        <v>7</v>
      </c>
      <c r="N11" s="1"/>
      <c r="O11" s="1"/>
      <c r="P11" s="1"/>
      <c r="Q11" s="1"/>
      <c r="R11" s="1"/>
      <c r="S11" s="1"/>
    </row>
    <row r="12" spans="1:19" x14ac:dyDescent="0.2">
      <c r="A12" s="1"/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0883-4B2F-4DBE-9D83-279D1BDD074E}">
  <dimension ref="B3:P41"/>
  <sheetViews>
    <sheetView showGridLines="0" workbookViewId="0">
      <selection activeCell="D25" sqref="D25"/>
    </sheetView>
  </sheetViews>
  <sheetFormatPr baseColWidth="10" defaultColWidth="8.83203125" defaultRowHeight="15" x14ac:dyDescent="0.2"/>
  <sheetData>
    <row r="3" spans="2:16" x14ac:dyDescent="0.2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ht="23" x14ac:dyDescent="0.25">
      <c r="B4" s="77"/>
      <c r="C4" s="78" t="s">
        <v>123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x14ac:dyDescent="0.2">
      <c r="B5" s="77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7"/>
    </row>
    <row r="6" spans="2:16" ht="19" x14ac:dyDescent="0.25">
      <c r="B6" s="77"/>
      <c r="C6" s="80"/>
      <c r="D6" s="81" t="s">
        <v>124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77"/>
    </row>
    <row r="7" spans="2:16" x14ac:dyDescent="0.2">
      <c r="B7" s="77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77"/>
    </row>
    <row r="8" spans="2:16" x14ac:dyDescent="0.2">
      <c r="B8" s="77"/>
      <c r="C8" s="82"/>
      <c r="D8" s="82" t="s">
        <v>125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77"/>
    </row>
    <row r="9" spans="2:16" x14ac:dyDescent="0.2">
      <c r="B9" s="77"/>
      <c r="C9" s="82"/>
      <c r="D9" s="83" t="s">
        <v>126</v>
      </c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77"/>
    </row>
    <row r="10" spans="2:16" x14ac:dyDescent="0.2">
      <c r="B10" s="77"/>
      <c r="C10" s="82"/>
      <c r="D10" s="82" t="s">
        <v>127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77"/>
    </row>
    <row r="11" spans="2:16" x14ac:dyDescent="0.2">
      <c r="B11" s="77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77"/>
    </row>
    <row r="12" spans="2:16" ht="19" x14ac:dyDescent="0.25">
      <c r="B12" s="77"/>
      <c r="C12" s="82"/>
      <c r="D12" s="81" t="s">
        <v>128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77"/>
    </row>
    <row r="13" spans="2:16" x14ac:dyDescent="0.2">
      <c r="B13" s="77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77"/>
    </row>
    <row r="14" spans="2:16" x14ac:dyDescent="0.2">
      <c r="B14" s="77"/>
      <c r="C14" s="82"/>
      <c r="D14" s="82" t="s">
        <v>129</v>
      </c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77"/>
    </row>
    <row r="15" spans="2:16" x14ac:dyDescent="0.2">
      <c r="B15" s="77"/>
      <c r="C15" s="82"/>
      <c r="D15" s="82" t="s">
        <v>130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77"/>
    </row>
    <row r="16" spans="2:16" x14ac:dyDescent="0.2">
      <c r="B16" s="77"/>
      <c r="C16" s="82"/>
      <c r="D16" s="82" t="s">
        <v>131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77"/>
    </row>
    <row r="17" spans="2:16" x14ac:dyDescent="0.2">
      <c r="B17" s="77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77"/>
    </row>
    <row r="18" spans="2:16" x14ac:dyDescent="0.2">
      <c r="B18" s="77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77"/>
    </row>
    <row r="19" spans="2:16" x14ac:dyDescent="0.2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1" spans="2:16" ht="23" x14ac:dyDescent="0.25">
      <c r="B21" s="77"/>
      <c r="C21" s="78" t="s">
        <v>132</v>
      </c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2:16" x14ac:dyDescent="0.2">
      <c r="B22" s="77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7"/>
    </row>
    <row r="23" spans="2:16" x14ac:dyDescent="0.2">
      <c r="B23" s="77"/>
      <c r="C23" s="82"/>
      <c r="D23" s="85" t="s">
        <v>133</v>
      </c>
      <c r="E23" s="82"/>
      <c r="F23" s="82" t="s">
        <v>134</v>
      </c>
      <c r="G23" s="82"/>
      <c r="H23" s="82"/>
      <c r="I23" s="82"/>
      <c r="J23" s="82"/>
      <c r="K23" s="82"/>
      <c r="L23" s="82"/>
      <c r="M23" s="82"/>
      <c r="N23" s="82"/>
      <c r="O23" s="82"/>
      <c r="P23" s="77"/>
    </row>
    <row r="24" spans="2:16" x14ac:dyDescent="0.2">
      <c r="B24" s="77"/>
      <c r="C24" s="82"/>
      <c r="D24" s="85" t="s">
        <v>135</v>
      </c>
      <c r="E24" s="82"/>
      <c r="F24" s="82" t="s">
        <v>136</v>
      </c>
      <c r="G24" s="82"/>
      <c r="H24" s="82"/>
      <c r="I24" s="82"/>
      <c r="J24" s="82"/>
      <c r="K24" s="82"/>
      <c r="L24" s="82"/>
      <c r="M24" s="82"/>
      <c r="N24" s="82"/>
      <c r="O24" s="82"/>
      <c r="P24" s="77"/>
    </row>
    <row r="25" spans="2:16" x14ac:dyDescent="0.2">
      <c r="B25" s="77"/>
      <c r="C25" s="82"/>
      <c r="D25" s="85" t="s">
        <v>137</v>
      </c>
      <c r="E25" s="82"/>
      <c r="F25" s="82" t="s">
        <v>138</v>
      </c>
      <c r="G25" s="82"/>
      <c r="H25" s="82"/>
      <c r="I25" s="82"/>
      <c r="J25" s="82"/>
      <c r="K25" s="82"/>
      <c r="L25" s="82"/>
      <c r="M25" s="82"/>
      <c r="N25" s="82"/>
      <c r="O25" s="82"/>
      <c r="P25" s="77"/>
    </row>
    <row r="26" spans="2:16" x14ac:dyDescent="0.2">
      <c r="B26" s="77"/>
      <c r="C26" s="82"/>
      <c r="D26" s="85" t="s">
        <v>139</v>
      </c>
      <c r="E26" s="82"/>
      <c r="F26" s="82" t="s">
        <v>140</v>
      </c>
      <c r="G26" s="82"/>
      <c r="H26" s="82"/>
      <c r="I26" s="82"/>
      <c r="J26" s="82"/>
      <c r="K26" s="82"/>
      <c r="L26" s="82"/>
      <c r="M26" s="82"/>
      <c r="N26" s="82"/>
      <c r="O26" s="82"/>
      <c r="P26" s="77"/>
    </row>
    <row r="27" spans="2:16" x14ac:dyDescent="0.2">
      <c r="B27" s="77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77"/>
    </row>
    <row r="28" spans="2:16" x14ac:dyDescent="0.2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30" spans="2:16" ht="23" x14ac:dyDescent="0.25">
      <c r="B30" s="77"/>
      <c r="C30" s="78" t="s">
        <v>141</v>
      </c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2:16" x14ac:dyDescent="0.2">
      <c r="B31" s="77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7"/>
    </row>
    <row r="32" spans="2:16" x14ac:dyDescent="0.2">
      <c r="B32" s="77"/>
      <c r="C32" s="82"/>
      <c r="D32" s="84">
        <v>42955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77"/>
    </row>
    <row r="33" spans="2:16" x14ac:dyDescent="0.2">
      <c r="B33" s="77"/>
      <c r="C33" s="82"/>
      <c r="D33" s="82" t="s">
        <v>142</v>
      </c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77"/>
    </row>
    <row r="34" spans="2:16" x14ac:dyDescent="0.2">
      <c r="B34" s="77"/>
      <c r="C34" s="82"/>
      <c r="D34" s="83" t="s">
        <v>143</v>
      </c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77"/>
    </row>
    <row r="35" spans="2:16" x14ac:dyDescent="0.2">
      <c r="B35" s="77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77"/>
    </row>
    <row r="36" spans="2:16" x14ac:dyDescent="0.2">
      <c r="B36" s="77"/>
      <c r="C36" s="82"/>
      <c r="D36" s="84">
        <v>42988</v>
      </c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77"/>
    </row>
    <row r="37" spans="2:16" x14ac:dyDescent="0.2">
      <c r="B37" s="77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77"/>
    </row>
    <row r="38" spans="2:16" x14ac:dyDescent="0.2">
      <c r="B38" s="77"/>
      <c r="C38" s="82"/>
      <c r="D38" s="82" t="s">
        <v>144</v>
      </c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77"/>
    </row>
    <row r="39" spans="2:16" x14ac:dyDescent="0.2">
      <c r="B39" s="77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77"/>
    </row>
    <row r="40" spans="2:16" x14ac:dyDescent="0.2">
      <c r="B40" s="77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77"/>
    </row>
    <row r="41" spans="2:16" x14ac:dyDescent="0.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</row>
  </sheetData>
  <hyperlinks>
    <hyperlink ref="D26" r:id="rId1" xr:uid="{00000000-0004-0000-0400-000000000000}"/>
    <hyperlink ref="D23" location="Dashboard!A1" display="Dashboard" xr:uid="{00000000-0004-0000-0400-000001000000}"/>
    <hyperlink ref="D24" location="Calculation!A1" display="Calculation" xr:uid="{00000000-0004-0000-0400-000002000000}"/>
    <hyperlink ref="D25" location="Data!A1" display="Raw Data" xr:uid="{00000000-0004-0000-04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F286-8841-470A-AE2C-D09FBA793352}">
  <sheetPr>
    <pageSetUpPr fitToPage="1"/>
  </sheetPr>
  <dimension ref="A1:AE45"/>
  <sheetViews>
    <sheetView showGridLines="0" zoomScaleNormal="100" workbookViewId="0">
      <selection activeCell="D6" sqref="D6"/>
    </sheetView>
  </sheetViews>
  <sheetFormatPr baseColWidth="10" defaultColWidth="0" defaultRowHeight="15" zeroHeight="1" x14ac:dyDescent="0.2"/>
  <cols>
    <col min="1" max="1" width="1" customWidth="1"/>
    <col min="2" max="2" width="3.5" customWidth="1"/>
    <col min="3" max="3" width="9.83203125" customWidth="1"/>
    <col min="4" max="4" width="8.83203125" customWidth="1"/>
    <col min="5" max="5" width="1.5" customWidth="1"/>
    <col min="6" max="7" width="8.83203125" customWidth="1"/>
    <col min="8" max="8" width="1.5" customWidth="1"/>
    <col min="9" max="9" width="7.83203125" customWidth="1"/>
    <col min="10" max="10" width="3" customWidth="1"/>
    <col min="11" max="11" width="3.6640625" customWidth="1"/>
    <col min="12" max="12" width="7.83203125" customWidth="1"/>
    <col min="13" max="13" width="1.5" customWidth="1"/>
    <col min="14" max="14" width="7.83203125" customWidth="1"/>
    <col min="15" max="15" width="8.83203125" customWidth="1"/>
    <col min="16" max="16" width="1.5" customWidth="1"/>
    <col min="17" max="17" width="8.83203125" customWidth="1"/>
    <col min="18" max="18" width="3" customWidth="1"/>
    <col min="19" max="19" width="3.6640625" customWidth="1"/>
    <col min="20" max="20" width="7.83203125" customWidth="1"/>
    <col min="21" max="21" width="1.5" customWidth="1"/>
    <col min="22" max="22" width="7.83203125" customWidth="1"/>
    <col min="23" max="23" width="8.83203125" customWidth="1"/>
    <col min="24" max="24" width="1.5" customWidth="1"/>
    <col min="25" max="25" width="7.83203125" customWidth="1"/>
    <col min="26" max="26" width="3" customWidth="1"/>
    <col min="27" max="27" width="4.33203125" customWidth="1"/>
    <col min="28" max="28" width="8.83203125" customWidth="1"/>
    <col min="29" max="31" width="0" hidden="1" customWidth="1"/>
    <col min="32" max="16384" width="8.83203125" hidden="1"/>
  </cols>
  <sheetData>
    <row r="1" spans="1:29" ht="6.5" customHeight="1" x14ac:dyDescent="0.2"/>
    <row r="2" spans="1:29" ht="6.5" customHeight="1" x14ac:dyDescent="0.2"/>
    <row r="3" spans="1:29" ht="6.5" customHeight="1" x14ac:dyDescent="0.2"/>
    <row r="4" spans="1:29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x14ac:dyDescent="0.2">
      <c r="A5" s="40"/>
      <c r="B5" s="40"/>
      <c r="C5" s="40" t="s">
        <v>78</v>
      </c>
      <c r="D5" s="86">
        <v>2017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x14ac:dyDescent="0.2">
      <c r="A6" s="40"/>
      <c r="B6" s="40"/>
      <c r="C6" s="40" t="s">
        <v>79</v>
      </c>
      <c r="D6" s="86" t="s">
        <v>22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x14ac:dyDescent="0.2">
      <c r="A7" s="40"/>
      <c r="B7" s="40"/>
      <c r="C7" s="40" t="s">
        <v>80</v>
      </c>
      <c r="D7" s="51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62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52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 t="s">
        <v>97</v>
      </c>
      <c r="Z9" s="40"/>
      <c r="AA9" s="40"/>
      <c r="AB9" s="40"/>
      <c r="AC9" s="40"/>
    </row>
    <row r="10" spans="1:29" ht="19" x14ac:dyDescent="0.25">
      <c r="A10" s="40"/>
      <c r="C10" s="50"/>
      <c r="D10" s="50" t="s">
        <v>31</v>
      </c>
      <c r="E10" s="50"/>
      <c r="F10" s="50"/>
      <c r="G10" s="50"/>
      <c r="H10" s="50"/>
      <c r="I10" s="50"/>
      <c r="L10" s="50" t="s">
        <v>32</v>
      </c>
      <c r="M10" s="50"/>
      <c r="N10" s="50"/>
      <c r="O10" s="50"/>
      <c r="P10" s="50"/>
      <c r="Q10" s="50"/>
      <c r="T10" s="50" t="s">
        <v>33</v>
      </c>
      <c r="U10" s="50"/>
      <c r="V10" s="50"/>
      <c r="W10" s="50"/>
      <c r="X10" s="50"/>
      <c r="Y10" s="50"/>
      <c r="Z10" s="50"/>
      <c r="AB10" s="40"/>
      <c r="AC10" s="40"/>
    </row>
    <row r="11" spans="1:29" x14ac:dyDescent="0.2">
      <c r="A11" s="40"/>
      <c r="D11" s="29" t="s">
        <v>0</v>
      </c>
      <c r="F11" t="s">
        <v>94</v>
      </c>
      <c r="I11" t="s">
        <v>95</v>
      </c>
      <c r="L11" s="29" t="s">
        <v>0</v>
      </c>
      <c r="N11" t="s">
        <v>94</v>
      </c>
      <c r="Q11" t="s">
        <v>95</v>
      </c>
      <c r="T11" s="29" t="s">
        <v>0</v>
      </c>
      <c r="V11" t="s">
        <v>94</v>
      </c>
      <c r="Y11" t="s">
        <v>95</v>
      </c>
      <c r="AB11" s="40"/>
      <c r="AC11" s="40"/>
    </row>
    <row r="12" spans="1:29" ht="2.5" customHeight="1" x14ac:dyDescent="0.2">
      <c r="A12" s="40"/>
      <c r="D12" s="2"/>
      <c r="F12" s="4"/>
      <c r="G12" s="4"/>
      <c r="I12" s="3"/>
      <c r="J12" s="3"/>
      <c r="L12" s="2"/>
      <c r="N12" s="4"/>
      <c r="O12" s="4"/>
      <c r="Q12" s="3"/>
      <c r="R12" s="3"/>
      <c r="T12" s="2"/>
      <c r="V12" s="4"/>
      <c r="W12" s="4"/>
      <c r="Y12" s="3"/>
      <c r="Z12" s="3"/>
      <c r="AB12" s="40"/>
      <c r="AC12" s="40"/>
    </row>
    <row r="13" spans="1:29" x14ac:dyDescent="0.2">
      <c r="A13" s="40"/>
      <c r="B13" s="55">
        <f>INDEX(Calculation!P15:P$35,Calculation!$D$6)</f>
        <v>2</v>
      </c>
      <c r="C13" s="56" t="str">
        <f>INDEX(Calculation!Q15:Q$35,Calculation!$D$6)</f>
        <v>Blend</v>
      </c>
      <c r="D13" s="57">
        <f>INDEX(Calculation!R15:R$35,Calculation!$D$6)</f>
        <v>17990</v>
      </c>
      <c r="E13" s="56"/>
      <c r="F13" s="58">
        <f>INDEX(Calculation!AA15:AA$35,Calculation!$D$6)</f>
        <v>9.728575785300396E-2</v>
      </c>
      <c r="G13" s="59">
        <f>F13</f>
        <v>9.728575785300396E-2</v>
      </c>
      <c r="H13" s="56"/>
      <c r="I13" s="58">
        <f>INDEX(Calculation!AD15:AD$35,Calculation!$D$6)</f>
        <v>-1.0505472746273583E-2</v>
      </c>
      <c r="J13" s="60" t="str">
        <f>IF(I13="","",IF(I13&gt;=0.05,"▲",IF(I13&lt;-0.05,"▼","")))</f>
        <v/>
      </c>
      <c r="K13" s="56"/>
      <c r="L13" s="57">
        <f>INDEX(Calculation!S15:S$35,Calculation!$D$6)</f>
        <v>1166</v>
      </c>
      <c r="M13" s="56"/>
      <c r="N13" s="58">
        <f>INDEX(Calculation!AB15:AB$35,Calculation!$D$6)</f>
        <v>0.16251246261216351</v>
      </c>
      <c r="O13" s="59">
        <f>N13</f>
        <v>0.16251246261216351</v>
      </c>
      <c r="P13" s="56"/>
      <c r="Q13" s="58">
        <f>INDEX(Calculation!AE15:AE$35,Calculation!$D$6)</f>
        <v>-4.6606704824202781E-2</v>
      </c>
      <c r="R13" s="60" t="str">
        <f>IF(Q13="","",IF(Q13&gt;=0.05,"▲",IF(Q13&lt;-0.05,"▼","")))</f>
        <v/>
      </c>
      <c r="S13" s="56"/>
      <c r="T13" s="57">
        <f>INDEX(Calculation!T15:T$35,Calculation!$D$6)</f>
        <v>7137</v>
      </c>
      <c r="U13" s="56"/>
      <c r="V13" s="58">
        <f>INDEX(Calculation!AC15:AC$35,Calculation!$D$6)</f>
        <v>-3.8528896672504379E-2</v>
      </c>
      <c r="W13" s="59">
        <f>V13</f>
        <v>-3.8528896672504379E-2</v>
      </c>
      <c r="X13" s="56"/>
      <c r="Y13" s="58">
        <f>INDEX(Calculation!AF15:AF$35,Calculation!$D$6)</f>
        <v>-0.12920937042459738</v>
      </c>
      <c r="Z13" s="60" t="str">
        <f>IF(Y13="","",IF(Y13&gt;=0.05,"▲",IF(Y13&lt;-0.05,"▼","")))</f>
        <v>▼</v>
      </c>
      <c r="AA13" s="56"/>
      <c r="AB13" s="53"/>
      <c r="AC13" s="40"/>
    </row>
    <row r="14" spans="1:29" x14ac:dyDescent="0.2">
      <c r="A14" s="40"/>
      <c r="B14" s="54">
        <f>INDEX(Calculation!P16:P$35,Calculation!$D$6)</f>
        <v>3</v>
      </c>
      <c r="C14" s="44" t="str">
        <f>INDEX(Calculation!Q16:Q$35,Calculation!$D$6)</f>
        <v>Voltage</v>
      </c>
      <c r="D14" s="45">
        <f>INDEX(Calculation!R16:R$35,Calculation!$D$6)</f>
        <v>15117</v>
      </c>
      <c r="E14" s="44"/>
      <c r="F14" s="46">
        <f>INDEX(Calculation!AA16:AA$35,Calculation!$D$6)</f>
        <v>6.924600367803084E-2</v>
      </c>
      <c r="G14" s="47">
        <f t="shared" ref="G14:G22" si="0">F14</f>
        <v>6.924600367803084E-2</v>
      </c>
      <c r="H14" s="44"/>
      <c r="I14" s="46">
        <f>INDEX(Calculation!AD16:AD$35,Calculation!$D$6)</f>
        <v>0.12352285395763657</v>
      </c>
      <c r="J14" s="49" t="str">
        <f t="shared" ref="J14:J22" si="1">IF(I14="","",IF(I14&gt;=0.05,"▲",IF(I14&lt;-0.05,"▼","")))</f>
        <v>▲</v>
      </c>
      <c r="K14" s="44"/>
      <c r="L14" s="45">
        <f>INDEX(Calculation!S16:S$35,Calculation!$D$6)</f>
        <v>1613</v>
      </c>
      <c r="M14" s="44"/>
      <c r="N14" s="46">
        <f>INDEX(Calculation!AB16:AB$35,Calculation!$D$6)</f>
        <v>0.34416666666666668</v>
      </c>
      <c r="O14" s="47">
        <f t="shared" ref="O14:O22" si="2">N14</f>
        <v>0.34416666666666668</v>
      </c>
      <c r="P14" s="44"/>
      <c r="Q14" s="46">
        <f>INDEX(Calculation!AE16:AE$35,Calculation!$D$6)</f>
        <v>0.15214285714285714</v>
      </c>
      <c r="R14" s="49" t="str">
        <f t="shared" ref="R14:R22" si="3">IF(Q14="","",IF(Q14&gt;=0.05,"▲",IF(Q14&lt;-0.05,"▼","")))</f>
        <v>▲</v>
      </c>
      <c r="S14" s="44"/>
      <c r="T14" s="45">
        <f>INDEX(Calculation!T16:T$35,Calculation!$D$6)</f>
        <v>5828</v>
      </c>
      <c r="U14" s="44"/>
      <c r="V14" s="46">
        <f>INDEX(Calculation!AC16:AC$35,Calculation!$D$6)</f>
        <v>-6.1815840309079204E-2</v>
      </c>
      <c r="W14" s="47">
        <f t="shared" ref="W14:W22" si="4">V14</f>
        <v>-6.1815840309079204E-2</v>
      </c>
      <c r="X14" s="44"/>
      <c r="Y14" s="46">
        <f>INDEX(Calculation!AF16:AF$35,Calculation!$D$6)</f>
        <v>3.098106712564544E-3</v>
      </c>
      <c r="Z14" s="49" t="str">
        <f t="shared" ref="Z14:Z22" si="5">IF(Y14="","",IF(Y14&gt;=0.05,"▲",IF(Y14&lt;-0.05,"▼","")))</f>
        <v/>
      </c>
      <c r="AA14" s="44"/>
      <c r="AB14" s="53"/>
      <c r="AC14" s="40"/>
    </row>
    <row r="15" spans="1:29" x14ac:dyDescent="0.2">
      <c r="A15" s="40"/>
      <c r="B15" s="55">
        <f>INDEX(Calculation!P17:P$35,Calculation!$D$6)</f>
        <v>4</v>
      </c>
      <c r="C15" s="56" t="str">
        <f>INDEX(Calculation!Q17:Q$35,Calculation!$D$6)</f>
        <v>Inkly</v>
      </c>
      <c r="D15" s="57">
        <f>INDEX(Calculation!R17:R$35,Calculation!$D$6)</f>
        <v>11154</v>
      </c>
      <c r="E15" s="56"/>
      <c r="F15" s="58">
        <f>INDEX(Calculation!AA17:AA$35,Calculation!$D$6)</f>
        <v>-3.0255607720396451E-2</v>
      </c>
      <c r="G15" s="59">
        <f t="shared" si="0"/>
        <v>-3.0255607720396451E-2</v>
      </c>
      <c r="H15" s="56"/>
      <c r="I15" s="58">
        <f>INDEX(Calculation!AD17:AD$35,Calculation!$D$6)</f>
        <v>-7.2895021195245616E-2</v>
      </c>
      <c r="J15" s="60" t="str">
        <f t="shared" si="1"/>
        <v>▼</v>
      </c>
      <c r="K15" s="56"/>
      <c r="L15" s="57">
        <f>INDEX(Calculation!S17:S$35,Calculation!$D$6)</f>
        <v>731</v>
      </c>
      <c r="M15" s="56"/>
      <c r="N15" s="58">
        <f>INDEX(Calculation!AB17:AB$35,Calculation!$D$6)</f>
        <v>0.4649298597194389</v>
      </c>
      <c r="O15" s="59">
        <f t="shared" si="2"/>
        <v>0.4649298597194389</v>
      </c>
      <c r="P15" s="56"/>
      <c r="Q15" s="58">
        <f>INDEX(Calculation!AE17:AE$35,Calculation!$D$6)</f>
        <v>0.14040561622464898</v>
      </c>
      <c r="R15" s="60" t="str">
        <f t="shared" si="3"/>
        <v>▲</v>
      </c>
      <c r="S15" s="56"/>
      <c r="T15" s="57">
        <f>INDEX(Calculation!T17:T$35,Calculation!$D$6)</f>
        <v>8008</v>
      </c>
      <c r="U15" s="56"/>
      <c r="V15" s="58">
        <f>INDEX(Calculation!AC17:AC$35,Calculation!$D$6)</f>
        <v>-0.1055512118842846</v>
      </c>
      <c r="W15" s="59">
        <f t="shared" si="4"/>
        <v>-0.1055512118842846</v>
      </c>
      <c r="X15" s="56"/>
      <c r="Y15" s="58">
        <f>INDEX(Calculation!AF17:AF$35,Calculation!$D$6)</f>
        <v>-4.9382716049382713E-2</v>
      </c>
      <c r="Z15" s="60" t="str">
        <f t="shared" si="5"/>
        <v/>
      </c>
      <c r="AA15" s="56"/>
      <c r="AB15" s="53"/>
      <c r="AC15" s="40"/>
    </row>
    <row r="16" spans="1:29" x14ac:dyDescent="0.2">
      <c r="A16" s="40"/>
      <c r="B16" s="54">
        <f>INDEX(Calculation!P18:P$35,Calculation!$D$6)</f>
        <v>5</v>
      </c>
      <c r="C16" s="44" t="str">
        <f>INDEX(Calculation!Q18:Q$35,Calculation!$D$6)</f>
        <v>Sleops</v>
      </c>
      <c r="D16" s="45">
        <f>INDEX(Calculation!R18:R$35,Calculation!$D$6)</f>
        <v>11022</v>
      </c>
      <c r="E16" s="44"/>
      <c r="F16" s="46">
        <f>INDEX(Calculation!AA18:AA$35,Calculation!$D$6)</f>
        <v>-0.24733679322589455</v>
      </c>
      <c r="G16" s="47">
        <f t="shared" si="0"/>
        <v>-0.24733679322589455</v>
      </c>
      <c r="H16" s="44"/>
      <c r="I16" s="46">
        <f>INDEX(Calculation!AD18:AD$35,Calculation!$D$6)</f>
        <v>-0.15939597315436241</v>
      </c>
      <c r="J16" s="49" t="str">
        <f t="shared" si="1"/>
        <v>▼</v>
      </c>
      <c r="K16" s="44"/>
      <c r="L16" s="45">
        <f>INDEX(Calculation!S18:S$35,Calculation!$D$6)</f>
        <v>550</v>
      </c>
      <c r="M16" s="44"/>
      <c r="N16" s="46">
        <f>INDEX(Calculation!AB18:AB$35,Calculation!$D$6)</f>
        <v>-0.29487179487179488</v>
      </c>
      <c r="O16" s="47">
        <f t="shared" si="2"/>
        <v>-0.29487179487179488</v>
      </c>
      <c r="P16" s="44"/>
      <c r="Q16" s="46">
        <f>INDEX(Calculation!AE18:AE$35,Calculation!$D$6)</f>
        <v>0.16033755274261605</v>
      </c>
      <c r="R16" s="49" t="str">
        <f t="shared" si="3"/>
        <v>▲</v>
      </c>
      <c r="S16" s="44"/>
      <c r="T16" s="45">
        <f>INDEX(Calculation!T18:T$35,Calculation!$D$6)</f>
        <v>9000</v>
      </c>
      <c r="U16" s="44"/>
      <c r="V16" s="46">
        <f>INDEX(Calculation!AC18:AC$35,Calculation!$D$6)</f>
        <v>3.8062283737024222E-2</v>
      </c>
      <c r="W16" s="47">
        <f t="shared" si="4"/>
        <v>3.8062283737024222E-2</v>
      </c>
      <c r="X16" s="44"/>
      <c r="Y16" s="46">
        <f>INDEX(Calculation!AF18:AF$35,Calculation!$D$6)</f>
        <v>9.8498718418161851E-2</v>
      </c>
      <c r="Z16" s="49" t="str">
        <f t="shared" si="5"/>
        <v>▲</v>
      </c>
      <c r="AA16" s="44"/>
      <c r="AB16" s="53"/>
      <c r="AC16" s="40"/>
    </row>
    <row r="17" spans="1:29" x14ac:dyDescent="0.2">
      <c r="A17" s="40"/>
      <c r="B17" s="55">
        <f>INDEX(Calculation!P19:P$35,Calculation!$D$6)</f>
        <v>6</v>
      </c>
      <c r="C17" s="56" t="str">
        <f>INDEX(Calculation!Q19:Q$35,Calculation!$D$6)</f>
        <v>Kind Ape</v>
      </c>
      <c r="D17" s="57">
        <f>INDEX(Calculation!R19:R$35,Calculation!$D$6)</f>
        <v>8905</v>
      </c>
      <c r="E17" s="56"/>
      <c r="F17" s="58">
        <f>INDEX(Calculation!AA19:AA$35,Calculation!$D$6)</f>
        <v>1.2391996361982719E-2</v>
      </c>
      <c r="G17" s="59">
        <f t="shared" si="0"/>
        <v>1.2391996361982719E-2</v>
      </c>
      <c r="H17" s="56"/>
      <c r="I17" s="58">
        <f>INDEX(Calculation!AD19:AD$35,Calculation!$D$6)</f>
        <v>-2.0998240985048374E-2</v>
      </c>
      <c r="J17" s="60" t="str">
        <f t="shared" si="1"/>
        <v/>
      </c>
      <c r="K17" s="56"/>
      <c r="L17" s="57">
        <f>INDEX(Calculation!S19:S$35,Calculation!$D$6)</f>
        <v>469</v>
      </c>
      <c r="M17" s="56"/>
      <c r="N17" s="58">
        <f>INDEX(Calculation!AB19:AB$35,Calculation!$D$6)</f>
        <v>0.48417721518987344</v>
      </c>
      <c r="O17" s="59">
        <f t="shared" si="2"/>
        <v>0.48417721518987344</v>
      </c>
      <c r="P17" s="56"/>
      <c r="Q17" s="58">
        <f>INDEX(Calculation!AE19:AE$35,Calculation!$D$6)</f>
        <v>-0.2435483870967742</v>
      </c>
      <c r="R17" s="60" t="str">
        <f t="shared" si="3"/>
        <v>▼</v>
      </c>
      <c r="S17" s="56"/>
      <c r="T17" s="57">
        <f>INDEX(Calculation!T19:T$35,Calculation!$D$6)</f>
        <v>6026</v>
      </c>
      <c r="U17" s="56"/>
      <c r="V17" s="58">
        <f>INDEX(Calculation!AC19:AC$35,Calculation!$D$6)</f>
        <v>-3.5994240921452571E-2</v>
      </c>
      <c r="W17" s="59">
        <f t="shared" si="4"/>
        <v>-3.5994240921452571E-2</v>
      </c>
      <c r="X17" s="56"/>
      <c r="Y17" s="58">
        <f>INDEX(Calculation!AF19:AF$35,Calculation!$D$6)</f>
        <v>3.824948311509304E-2</v>
      </c>
      <c r="Z17" s="60" t="str">
        <f t="shared" si="5"/>
        <v/>
      </c>
      <c r="AA17" s="56"/>
      <c r="AB17" s="53"/>
      <c r="AC17" s="40"/>
    </row>
    <row r="18" spans="1:29" x14ac:dyDescent="0.2">
      <c r="A18" s="40"/>
      <c r="B18" s="54">
        <f>INDEX(Calculation!P20:P$35,Calculation!$D$6)</f>
        <v>7</v>
      </c>
      <c r="C18" s="44" t="str">
        <f>INDEX(Calculation!Q20:Q$35,Calculation!$D$6)</f>
        <v>Pet Feed</v>
      </c>
      <c r="D18" s="45">
        <f>INDEX(Calculation!R20:R$35,Calculation!$D$6)</f>
        <v>16735</v>
      </c>
      <c r="E18" s="44"/>
      <c r="F18" s="46">
        <f>INDEX(Calculation!AA20:AA$35,Calculation!$D$6)</f>
        <v>-4.3878192309889735E-2</v>
      </c>
      <c r="G18" s="47">
        <f t="shared" si="0"/>
        <v>-4.3878192309889735E-2</v>
      </c>
      <c r="H18" s="44"/>
      <c r="I18" s="46">
        <f>INDEX(Calculation!AD20:AD$35,Calculation!$D$6)</f>
        <v>-8.0848025484703684E-2</v>
      </c>
      <c r="J18" s="49" t="str">
        <f t="shared" si="1"/>
        <v>▼</v>
      </c>
      <c r="K18" s="44"/>
      <c r="L18" s="45">
        <f>INDEX(Calculation!S20:S$35,Calculation!$D$6)</f>
        <v>800</v>
      </c>
      <c r="M18" s="44"/>
      <c r="N18" s="46">
        <f>INDEX(Calculation!AB20:AB$35,Calculation!$D$6)</f>
        <v>-0.26131117266851339</v>
      </c>
      <c r="O18" s="47">
        <f t="shared" si="2"/>
        <v>-0.26131117266851339</v>
      </c>
      <c r="P18" s="44"/>
      <c r="Q18" s="46">
        <f>INDEX(Calculation!AE20:AE$35,Calculation!$D$6)</f>
        <v>-0.31972789115646261</v>
      </c>
      <c r="R18" s="49" t="str">
        <f t="shared" si="3"/>
        <v>▼</v>
      </c>
      <c r="S18" s="44"/>
      <c r="T18" s="45">
        <f>INDEX(Calculation!T20:T$35,Calculation!$D$6)</f>
        <v>10149</v>
      </c>
      <c r="U18" s="44"/>
      <c r="V18" s="46">
        <f>INDEX(Calculation!AC20:AC$35,Calculation!$D$6)</f>
        <v>-3.4072523079851529E-2</v>
      </c>
      <c r="W18" s="47">
        <f t="shared" si="4"/>
        <v>-3.4072523079851529E-2</v>
      </c>
      <c r="X18" s="44"/>
      <c r="Y18" s="46">
        <f>INDEX(Calculation!AF20:AF$35,Calculation!$D$6)</f>
        <v>-3.4164446136277123E-2</v>
      </c>
      <c r="Z18" s="49" t="str">
        <f t="shared" si="5"/>
        <v/>
      </c>
      <c r="AA18" s="44"/>
      <c r="AB18" s="53"/>
      <c r="AC18" s="40"/>
    </row>
    <row r="19" spans="1:29" x14ac:dyDescent="0.2">
      <c r="A19" s="40"/>
      <c r="B19" s="55">
        <f>INDEX(Calculation!P21:P$35,Calculation!$D$6)</f>
        <v>8</v>
      </c>
      <c r="C19" s="56" t="str">
        <f>INDEX(Calculation!Q21:Q$35,Calculation!$D$6)</f>
        <v>Right App</v>
      </c>
      <c r="D19" s="57">
        <f>INDEX(Calculation!R21:R$35,Calculation!$D$6)</f>
        <v>3635</v>
      </c>
      <c r="E19" s="56"/>
      <c r="F19" s="58">
        <f>INDEX(Calculation!AA21:AA$35,Calculation!$D$6)</f>
        <v>0.55541292255027819</v>
      </c>
      <c r="G19" s="59">
        <f t="shared" si="0"/>
        <v>0.55541292255027819</v>
      </c>
      <c r="H19" s="56"/>
      <c r="I19" s="58">
        <f>INDEX(Calculation!AD21:AD$35,Calculation!$D$6)</f>
        <v>1.5646828723107013E-2</v>
      </c>
      <c r="J19" s="60" t="str">
        <f t="shared" si="1"/>
        <v/>
      </c>
      <c r="K19" s="56"/>
      <c r="L19" s="57">
        <f>INDEX(Calculation!S21:S$35,Calculation!$D$6)</f>
        <v>96</v>
      </c>
      <c r="M19" s="56"/>
      <c r="N19" s="58">
        <f>INDEX(Calculation!AB21:AB$35,Calculation!$D$6)</f>
        <v>6.6666666666666666E-2</v>
      </c>
      <c r="O19" s="59">
        <f t="shared" si="2"/>
        <v>6.6666666666666666E-2</v>
      </c>
      <c r="P19" s="56"/>
      <c r="Q19" s="58">
        <f>INDEX(Calculation!AE21:AE$35,Calculation!$D$6)</f>
        <v>-0.47826086956521741</v>
      </c>
      <c r="R19" s="60" t="str">
        <f t="shared" si="3"/>
        <v>▼</v>
      </c>
      <c r="S19" s="56"/>
      <c r="T19" s="57">
        <f>INDEX(Calculation!T21:T$35,Calculation!$D$6)</f>
        <v>2050</v>
      </c>
      <c r="U19" s="56"/>
      <c r="V19" s="58">
        <f>INDEX(Calculation!AC21:AC$35,Calculation!$D$6)</f>
        <v>0.29337539432176657</v>
      </c>
      <c r="W19" s="59">
        <f t="shared" si="4"/>
        <v>0.29337539432176657</v>
      </c>
      <c r="X19" s="56"/>
      <c r="Y19" s="58">
        <f>INDEX(Calculation!AF21:AF$35,Calculation!$D$6)</f>
        <v>0.4684813753581662</v>
      </c>
      <c r="Z19" s="60" t="str">
        <f t="shared" si="5"/>
        <v>▲</v>
      </c>
      <c r="AA19" s="56"/>
      <c r="AB19" s="53"/>
      <c r="AC19" s="40"/>
    </row>
    <row r="20" spans="1:29" x14ac:dyDescent="0.2">
      <c r="A20" s="40"/>
      <c r="B20" s="54">
        <f>INDEX(Calculation!P22:P$35,Calculation!$D$6)</f>
        <v>9</v>
      </c>
      <c r="C20" s="44" t="str">
        <f>INDEX(Calculation!Q22:Q$35,Calculation!$D$6)</f>
        <v>Mirrrr</v>
      </c>
      <c r="D20" s="45">
        <f>INDEX(Calculation!R22:R$35,Calculation!$D$6)</f>
        <v>15627</v>
      </c>
      <c r="E20" s="44"/>
      <c r="F20" s="46">
        <f>INDEX(Calculation!AA22:AA$35,Calculation!$D$6)</f>
        <v>1.758155889822231E-2</v>
      </c>
      <c r="G20" s="47">
        <f t="shared" si="0"/>
        <v>1.758155889822231E-2</v>
      </c>
      <c r="H20" s="44"/>
      <c r="I20" s="46">
        <f>INDEX(Calculation!AD22:AD$35,Calculation!$D$6)</f>
        <v>6.7855678556785565E-2</v>
      </c>
      <c r="J20" s="49" t="str">
        <f t="shared" si="1"/>
        <v>▲</v>
      </c>
      <c r="K20" s="44"/>
      <c r="L20" s="45">
        <f>INDEX(Calculation!S22:S$35,Calculation!$D$6)</f>
        <v>1996</v>
      </c>
      <c r="M20" s="44"/>
      <c r="N20" s="46">
        <f>INDEX(Calculation!AB22:AB$35,Calculation!$D$6)</f>
        <v>4.6121593291404611E-2</v>
      </c>
      <c r="O20" s="47">
        <f t="shared" si="2"/>
        <v>4.6121593291404611E-2</v>
      </c>
      <c r="P20" s="44"/>
      <c r="Q20" s="46">
        <f>INDEX(Calculation!AE22:AE$35,Calculation!$D$6)</f>
        <v>0.26010101010101011</v>
      </c>
      <c r="R20" s="49" t="str">
        <f t="shared" si="3"/>
        <v>▲</v>
      </c>
      <c r="S20" s="44"/>
      <c r="T20" s="45">
        <f>INDEX(Calculation!T22:T$35,Calculation!$D$6)</f>
        <v>9397</v>
      </c>
      <c r="U20" s="44"/>
      <c r="V20" s="46">
        <f>INDEX(Calculation!AC22:AC$35,Calculation!$D$6)</f>
        <v>-3.1436817151102865E-2</v>
      </c>
      <c r="W20" s="47">
        <f t="shared" si="4"/>
        <v>-3.1436817151102865E-2</v>
      </c>
      <c r="X20" s="44"/>
      <c r="Y20" s="46">
        <f>INDEX(Calculation!AF22:AF$35,Calculation!$D$6)</f>
        <v>-1.3645428781358245E-2</v>
      </c>
      <c r="Z20" s="49" t="str">
        <f t="shared" si="5"/>
        <v/>
      </c>
      <c r="AA20" s="44"/>
      <c r="AB20" s="53"/>
      <c r="AC20" s="40"/>
    </row>
    <row r="21" spans="1:29" x14ac:dyDescent="0.2">
      <c r="A21" s="40"/>
      <c r="B21" s="55">
        <f>INDEX(Calculation!P23:P$35,Calculation!$D$6)</f>
        <v>10</v>
      </c>
      <c r="C21" s="56" t="str">
        <f>INDEX(Calculation!Q23:Q$35,Calculation!$D$6)</f>
        <v>Halotot</v>
      </c>
      <c r="D21" s="57">
        <f>INDEX(Calculation!R23:R$35,Calculation!$D$6)</f>
        <v>7270</v>
      </c>
      <c r="E21" s="56"/>
      <c r="F21" s="58">
        <f>INDEX(Calculation!AA23:AA$35,Calculation!$D$6)</f>
        <v>2.1210844219693777E-2</v>
      </c>
      <c r="G21" s="59">
        <f t="shared" si="0"/>
        <v>2.1210844219693777E-2</v>
      </c>
      <c r="H21" s="56"/>
      <c r="I21" s="58">
        <f>INDEX(Calculation!AD23:AD$35,Calculation!$D$6)</f>
        <v>1.5646828723107013E-2</v>
      </c>
      <c r="J21" s="60" t="str">
        <f t="shared" si="1"/>
        <v/>
      </c>
      <c r="K21" s="56"/>
      <c r="L21" s="57">
        <f>INDEX(Calculation!S23:S$35,Calculation!$D$6)</f>
        <v>150</v>
      </c>
      <c r="M21" s="56"/>
      <c r="N21" s="58">
        <f>INDEX(Calculation!AB23:AB$35,Calculation!$D$6)</f>
        <v>-0.57020057306590255</v>
      </c>
      <c r="O21" s="59">
        <f t="shared" si="2"/>
        <v>-0.57020057306590255</v>
      </c>
      <c r="P21" s="56"/>
      <c r="Q21" s="58">
        <f>INDEX(Calculation!AE23:AE$35,Calculation!$D$6)</f>
        <v>0.25</v>
      </c>
      <c r="R21" s="60" t="str">
        <f t="shared" si="3"/>
        <v>▲</v>
      </c>
      <c r="S21" s="56"/>
      <c r="T21" s="57">
        <f>INDEX(Calculation!T23:T$35,Calculation!$D$6)</f>
        <v>8948</v>
      </c>
      <c r="U21" s="56"/>
      <c r="V21" s="58">
        <f>INDEX(Calculation!AC23:AC$35,Calculation!$D$6)</f>
        <v>5.0234741784037557E-2</v>
      </c>
      <c r="W21" s="59">
        <f t="shared" si="4"/>
        <v>5.0234741784037557E-2</v>
      </c>
      <c r="X21" s="56"/>
      <c r="Y21" s="58">
        <f>INDEX(Calculation!AF23:AF$35,Calculation!$D$6)</f>
        <v>3.6848203939745076E-2</v>
      </c>
      <c r="Z21" s="60" t="str">
        <f t="shared" si="5"/>
        <v/>
      </c>
      <c r="AA21" s="56"/>
      <c r="AB21" s="53"/>
      <c r="AC21" s="40"/>
    </row>
    <row r="22" spans="1:29" x14ac:dyDescent="0.2">
      <c r="A22" s="40"/>
      <c r="B22" s="54">
        <f>INDEX(Calculation!P24:P$35,Calculation!$D$6)</f>
        <v>11</v>
      </c>
      <c r="C22" s="44" t="str">
        <f>INDEX(Calculation!Q24:Q$35,Calculation!$D$6)</f>
        <v>Flowrrr</v>
      </c>
      <c r="D22" s="45">
        <f>INDEX(Calculation!R24:R$35,Calculation!$D$6)</f>
        <v>5955</v>
      </c>
      <c r="E22" s="44"/>
      <c r="F22" s="46">
        <f>INDEX(Calculation!AA24:AA$35,Calculation!$D$6)</f>
        <v>6.1119030648610122E-2</v>
      </c>
      <c r="G22" s="47">
        <f t="shared" si="0"/>
        <v>6.1119030648610122E-2</v>
      </c>
      <c r="H22" s="44"/>
      <c r="I22" s="46">
        <f>INDEX(Calculation!AD24:AD$35,Calculation!$D$6)</f>
        <v>-3.6807763091852102E-3</v>
      </c>
      <c r="J22" s="49" t="str">
        <f t="shared" si="1"/>
        <v/>
      </c>
      <c r="K22" s="44"/>
      <c r="L22" s="45">
        <f>INDEX(Calculation!S24:S$35,Calculation!$D$6)</f>
        <v>260</v>
      </c>
      <c r="M22" s="44"/>
      <c r="N22" s="46">
        <f>INDEX(Calculation!AB24:AB$35,Calculation!$D$6)</f>
        <v>0.11587982832618025</v>
      </c>
      <c r="O22" s="47">
        <f t="shared" si="2"/>
        <v>0.11587982832618025</v>
      </c>
      <c r="P22" s="44"/>
      <c r="Q22" s="46">
        <f>INDEX(Calculation!AE24:AE$35,Calculation!$D$6)</f>
        <v>0.23809523809523808</v>
      </c>
      <c r="R22" s="49" t="str">
        <f t="shared" si="3"/>
        <v>▲</v>
      </c>
      <c r="S22" s="44"/>
      <c r="T22" s="45">
        <f>INDEX(Calculation!T24:T$35,Calculation!$D$6)</f>
        <v>5931</v>
      </c>
      <c r="U22" s="44"/>
      <c r="V22" s="46">
        <f>INDEX(Calculation!AC24:AC$35,Calculation!$D$6)</f>
        <v>0.15659126365054601</v>
      </c>
      <c r="W22" s="47">
        <f t="shared" si="4"/>
        <v>0.15659126365054601</v>
      </c>
      <c r="X22" s="44"/>
      <c r="Y22" s="46">
        <f>INDEX(Calculation!AF24:AF$35,Calculation!$D$6)</f>
        <v>0.25603557814485389</v>
      </c>
      <c r="Z22" s="49" t="str">
        <f t="shared" si="5"/>
        <v>▲</v>
      </c>
      <c r="AA22" s="44"/>
      <c r="AB22" s="53"/>
      <c r="AC22" s="40"/>
    </row>
    <row r="23" spans="1:29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spans="1:29" x14ac:dyDescent="0.2">
      <c r="A24" s="40"/>
      <c r="B24" s="40"/>
      <c r="C24" s="40"/>
      <c r="D24" s="40"/>
      <c r="E24" s="40"/>
      <c r="F24" s="62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1:29" x14ac:dyDescent="0.2">
      <c r="A25" s="40"/>
      <c r="B25" s="1"/>
      <c r="C25" s="1"/>
      <c r="D25" s="6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4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40"/>
      <c r="AC25" s="40"/>
    </row>
    <row r="26" spans="1:29" x14ac:dyDescent="0.2">
      <c r="A26" s="4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4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40"/>
      <c r="AC26" s="40"/>
    </row>
    <row r="27" spans="1:29" x14ac:dyDescent="0.2">
      <c r="A27" s="4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40"/>
      <c r="AC27" s="40"/>
    </row>
    <row r="28" spans="1:29" x14ac:dyDescent="0.2">
      <c r="A28" s="4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4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40"/>
      <c r="AC28" s="40"/>
    </row>
    <row r="29" spans="1:29" x14ac:dyDescent="0.2">
      <c r="A29" s="4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4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40"/>
      <c r="AC29" s="40"/>
    </row>
    <row r="30" spans="1:29" x14ac:dyDescent="0.2">
      <c r="A30" s="4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4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40"/>
      <c r="AC30" s="40"/>
    </row>
    <row r="31" spans="1:29" x14ac:dyDescent="0.2">
      <c r="A31" s="4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4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40"/>
      <c r="AC31" s="40"/>
    </row>
    <row r="32" spans="1:29" x14ac:dyDescent="0.2">
      <c r="A32" s="4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4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40"/>
      <c r="AC32" s="40"/>
    </row>
    <row r="33" spans="1:29" x14ac:dyDescent="0.2">
      <c r="A33" s="4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4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40"/>
      <c r="AC33" s="40"/>
    </row>
    <row r="34" spans="1:29" x14ac:dyDescent="0.2">
      <c r="A34" s="4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4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40"/>
      <c r="AC34" s="40"/>
    </row>
    <row r="35" spans="1:29" x14ac:dyDescent="0.2">
      <c r="A35" s="4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4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40"/>
      <c r="AC35" s="40"/>
    </row>
    <row r="36" spans="1:29" x14ac:dyDescent="0.2">
      <c r="A36" s="4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4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40"/>
      <c r="AC36" s="40"/>
    </row>
    <row r="37" spans="1:29" x14ac:dyDescent="0.2">
      <c r="A37" s="4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4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40"/>
      <c r="AC37" s="40"/>
    </row>
    <row r="38" spans="1:29" x14ac:dyDescent="0.2">
      <c r="A38" s="4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4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40"/>
      <c r="AC38" s="40"/>
    </row>
    <row r="39" spans="1:29" x14ac:dyDescent="0.2">
      <c r="A39" s="4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4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40"/>
      <c r="AC39" s="40"/>
    </row>
    <row r="40" spans="1:29" x14ac:dyDescent="0.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x14ac:dyDescent="0.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hidden="1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hidden="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</sheetData>
  <sheetProtection sheet="1" formatCells="0" formatColumns="0" formatRows="0" insertColumns="0" insertRows="0" insertHyperlinks="0" deleteColumns="0" deleteRows="0" sort="0" autoFilter="0" pivotTables="0"/>
  <conditionalFormatting sqref="J13:J22">
    <cfRule type="cellIs" dxfId="5" priority="3" operator="equal">
      <formula>"▼"</formula>
    </cfRule>
    <cfRule type="cellIs" dxfId="4" priority="4" operator="equal">
      <formula>"▲"</formula>
    </cfRule>
  </conditionalFormatting>
  <conditionalFormatting sqref="R8">
    <cfRule type="cellIs" priority="18" operator="equal">
      <formula>"▲"</formula>
    </cfRule>
  </conditionalFormatting>
  <conditionalFormatting sqref="R13:R22">
    <cfRule type="cellIs" dxfId="3" priority="14" operator="equal">
      <formula>"▲"</formula>
    </cfRule>
    <cfRule type="cellIs" dxfId="2" priority="5" operator="equal">
      <formula>"▼"</formula>
    </cfRule>
  </conditionalFormatting>
  <conditionalFormatting sqref="Z13:Z22">
    <cfRule type="cellIs" dxfId="1" priority="2" operator="equal">
      <formula>"▲"</formula>
    </cfRule>
    <cfRule type="cellIs" dxfId="0" priority="1" operator="equal">
      <formula>"▼"</formula>
    </cfRule>
  </conditionalFormatting>
  <dataValidations count="1">
    <dataValidation type="textLength" operator="equal" allowBlank="1" showInputMessage="1" showErrorMessage="1" errorTitle="Incorrect year" error="Please input year as YYYY (4 digits). Thanks." promptTitle="Year" prompt="Please input year as YYYY" sqref="D5" xr:uid="{57F4E449-4828-4F1B-BAC3-E281B251FACE}">
      <formula1>4</formula1>
    </dataValidation>
  </dataValidations>
  <pageMargins left="0.25" right="0.25" top="0.75" bottom="0.75" header="0.3" footer="0.3"/>
  <pageSetup scale="84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2</xdr:col>
                    <xdr:colOff>723900</xdr:colOff>
                    <xdr:row>5</xdr:row>
                    <xdr:rowOff>177800</xdr:rowOff>
                  </from>
                  <to>
                    <xdr:col>5</xdr:col>
                    <xdr:colOff>330200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26</xdr:col>
                    <xdr:colOff>101600</xdr:colOff>
                    <xdr:row>12</xdr:row>
                    <xdr:rowOff>12700</xdr:rowOff>
                  </from>
                  <to>
                    <xdr:col>26</xdr:col>
                    <xdr:colOff>292100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List Box 3">
              <controlPr defaultSize="0" autoLine="0" autoPict="0">
                <anchor moveWithCells="1">
                  <from>
                    <xdr:col>1</xdr:col>
                    <xdr:colOff>63500</xdr:colOff>
                    <xdr:row>25</xdr:row>
                    <xdr:rowOff>88900</xdr:rowOff>
                  </from>
                  <to>
                    <xdr:col>3</xdr:col>
                    <xdr:colOff>304800</xdr:colOff>
                    <xdr:row>30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1</xdr:col>
                    <xdr:colOff>38100</xdr:colOff>
                    <xdr:row>30</xdr:row>
                    <xdr:rowOff>101600</xdr:rowOff>
                  </from>
                  <to>
                    <xdr:col>3</xdr:col>
                    <xdr:colOff>139700</xdr:colOff>
                    <xdr:row>31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1</xdr:col>
                    <xdr:colOff>38100</xdr:colOff>
                    <xdr:row>32</xdr:row>
                    <xdr:rowOff>25400</xdr:rowOff>
                  </from>
                  <to>
                    <xdr:col>3</xdr:col>
                    <xdr:colOff>139700</xdr:colOff>
                    <xdr:row>33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Scroll Bar 9">
              <controlPr defaultSize="0" autoPict="0">
                <anchor moveWithCells="1">
                  <from>
                    <xdr:col>21</xdr:col>
                    <xdr:colOff>165100</xdr:colOff>
                    <xdr:row>24</xdr:row>
                    <xdr:rowOff>38100</xdr:rowOff>
                  </from>
                  <to>
                    <xdr:col>26</xdr:col>
                    <xdr:colOff>215900</xdr:colOff>
                    <xdr:row>24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" name="Check Box 10">
              <controlPr defaultSize="0" autoFill="0" autoLine="0" autoPict="0">
                <anchor moveWithCells="1">
                  <from>
                    <xdr:col>23</xdr:col>
                    <xdr:colOff>101600</xdr:colOff>
                    <xdr:row>25</xdr:row>
                    <xdr:rowOff>76200</xdr:rowOff>
                  </from>
                  <to>
                    <xdr:col>24</xdr:col>
                    <xdr:colOff>482600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Check Box 11">
              <controlPr defaultSize="0" autoFill="0" autoLine="0" autoPict="0">
                <anchor moveWithCells="1">
                  <from>
                    <xdr:col>24</xdr:col>
                    <xdr:colOff>431800</xdr:colOff>
                    <xdr:row>25</xdr:row>
                    <xdr:rowOff>63500</xdr:rowOff>
                  </from>
                  <to>
                    <xdr:col>26</xdr:col>
                    <xdr:colOff>241300</xdr:colOff>
                    <xdr:row>26</xdr:row>
                    <xdr:rowOff>12700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2" id="{6B7D5282-30BF-4D28-A5D8-CBC5619DA289}">
            <x14:dataBar minLength="0" maxLength="100" showValue="0" gradient="0">
              <x14:cfvo type="num">
                <xm:f>Calculation!$AB$42</xm:f>
              </x14:cfvo>
              <x14:cfvo type="num">
                <xm:f>Calculation!$AB$43</xm:f>
              </x14:cfvo>
              <x14:fillColor rgb="FF638EC6"/>
              <x14:negativeFillColor theme="1" tint="0.499984740745262"/>
              <x14:axisColor theme="0"/>
            </x14:dataBar>
          </x14:cfRule>
          <xm:sqref>G13:G22</xm:sqref>
        </x14:conditionalFormatting>
        <x14:conditionalFormatting xmlns:xm="http://schemas.microsoft.com/office/excel/2006/main">
          <x14:cfRule type="dataBar" priority="21" id="{6B28FA38-2252-4532-9F07-E27F5F124477}">
            <x14:dataBar minLength="0" maxLength="100" showValue="0" gradient="0">
              <x14:cfvo type="num">
                <xm:f>Calculation!$AB$45</xm:f>
              </x14:cfvo>
              <x14:cfvo type="num">
                <xm:f>Calculation!$AB$46</xm:f>
              </x14:cfvo>
              <x14:fillColor rgb="FF638EC6"/>
              <x14:negativeFillColor theme="1" tint="0.499984740745262"/>
              <x14:axisColor theme="0"/>
            </x14:dataBar>
          </x14:cfRule>
          <xm:sqref>O13:O22</xm:sqref>
        </x14:conditionalFormatting>
        <x14:conditionalFormatting xmlns:xm="http://schemas.microsoft.com/office/excel/2006/main">
          <x14:cfRule type="dataBar" priority="20" id="{6521A8C6-E6FC-4A42-B0AC-F6DCF7138DFA}">
            <x14:dataBar minLength="0" maxLength="100" showValue="0" gradient="0">
              <x14:cfvo type="num">
                <xm:f>Calculation!$AB$48</xm:f>
              </x14:cfvo>
              <x14:cfvo type="num">
                <xm:f>Calculation!$AB$49</xm:f>
              </x14:cfvo>
              <x14:fillColor rgb="FF638EC6"/>
              <x14:negativeFillColor theme="1" tint="0.499984740745262"/>
              <x14:axisColor theme="0"/>
            </x14:dataBar>
          </x14:cfRule>
          <xm:sqref>W13:W22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CF2E0-2CC3-444B-9BD3-180FEF6684E7}">
          <x14:formula1>
            <xm:f>Data!$O$6:$Z$6</xm:f>
          </x14:formula1>
          <xm:sqref>D6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D0D4-C9F2-4DA2-B8E8-729C5602818E}">
  <dimension ref="B2:BE49"/>
  <sheetViews>
    <sheetView zoomScaleNormal="100" workbookViewId="0"/>
  </sheetViews>
  <sheetFormatPr baseColWidth="10" defaultColWidth="8.83203125" defaultRowHeight="15" x14ac:dyDescent="0.2"/>
  <cols>
    <col min="3" max="3" width="17.6640625" customWidth="1"/>
    <col min="4" max="4" width="10.6640625" customWidth="1"/>
    <col min="9" max="9" width="15" customWidth="1"/>
    <col min="10" max="10" width="12.5" customWidth="1"/>
    <col min="11" max="11" width="13" customWidth="1"/>
    <col min="12" max="15" width="3.6640625" customWidth="1"/>
    <col min="18" max="18" width="12.5" customWidth="1"/>
    <col min="21" max="21" width="8.6640625" customWidth="1"/>
    <col min="36" max="36" width="10.6640625" customWidth="1"/>
    <col min="37" max="37" width="14.83203125" customWidth="1"/>
    <col min="38" max="38" width="1.6640625" customWidth="1"/>
    <col min="39" max="39" width="10.1640625" customWidth="1"/>
    <col min="43" max="43" width="12.33203125" customWidth="1"/>
    <col min="51" max="52" width="1.6640625" customWidth="1"/>
  </cols>
  <sheetData>
    <row r="2" spans="2:57" x14ac:dyDescent="0.2">
      <c r="AU2" s="75" t="s">
        <v>120</v>
      </c>
      <c r="AV2" s="75"/>
      <c r="AW2" s="75"/>
      <c r="BA2" s="75" t="s">
        <v>121</v>
      </c>
      <c r="BB2" s="75"/>
      <c r="BC2" s="75"/>
    </row>
    <row r="3" spans="2:57" x14ac:dyDescent="0.2">
      <c r="B3" s="31" t="s">
        <v>81</v>
      </c>
      <c r="C3" s="30"/>
      <c r="D3" s="30"/>
      <c r="E3" s="30"/>
      <c r="P3" s="31" t="s">
        <v>86</v>
      </c>
      <c r="Q3" s="30"/>
      <c r="R3" s="30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2:57" x14ac:dyDescent="0.2">
      <c r="C5" t="s">
        <v>84</v>
      </c>
      <c r="D5">
        <v>1</v>
      </c>
    </row>
    <row r="6" spans="2:57" x14ac:dyDescent="0.2">
      <c r="C6" t="s">
        <v>96</v>
      </c>
      <c r="D6">
        <v>2</v>
      </c>
    </row>
    <row r="7" spans="2:57" x14ac:dyDescent="0.2">
      <c r="C7" t="s">
        <v>112</v>
      </c>
      <c r="D7">
        <v>3</v>
      </c>
    </row>
    <row r="8" spans="2:57" x14ac:dyDescent="0.2">
      <c r="C8" t="s">
        <v>113</v>
      </c>
      <c r="D8">
        <v>2</v>
      </c>
      <c r="R8" t="str">
        <f t="shared" ref="R8:Z8" si="0">R12&amp;R11&amp;R10&amp;R9</f>
        <v>RevenueActualApr2017</v>
      </c>
      <c r="S8" t="str">
        <f t="shared" si="0"/>
        <v>ProfitActualApr2017</v>
      </c>
      <c r="T8" t="str">
        <f t="shared" si="0"/>
        <v>CashActualApr2017</v>
      </c>
      <c r="U8" t="str">
        <f>U12&amp;U11&amp;U10&amp;U9</f>
        <v>RevenueActualApr2016</v>
      </c>
      <c r="V8" t="str">
        <f t="shared" si="0"/>
        <v>ProfitActualApr2016</v>
      </c>
      <c r="W8" t="str">
        <f t="shared" si="0"/>
        <v>CashActualApr2016</v>
      </c>
      <c r="X8" t="str">
        <f t="shared" si="0"/>
        <v>RevenueBudgetApr2017</v>
      </c>
      <c r="Y8" t="str">
        <f t="shared" si="0"/>
        <v>ProfitBudgetApr2017</v>
      </c>
      <c r="Z8" t="str">
        <f t="shared" si="0"/>
        <v>CashBudgetApr2017</v>
      </c>
    </row>
    <row r="9" spans="2:57" x14ac:dyDescent="0.2">
      <c r="C9" t="s">
        <v>116</v>
      </c>
      <c r="D9">
        <v>8</v>
      </c>
      <c r="R9">
        <f>cur_year</f>
        <v>2017</v>
      </c>
      <c r="S9">
        <f>cur_year</f>
        <v>2017</v>
      </c>
      <c r="T9">
        <f>cur_year</f>
        <v>2017</v>
      </c>
      <c r="U9">
        <f>R9-1</f>
        <v>2016</v>
      </c>
      <c r="V9">
        <f t="shared" ref="V9:W9" si="1">S9-1</f>
        <v>2016</v>
      </c>
      <c r="W9">
        <f t="shared" si="1"/>
        <v>2016</v>
      </c>
      <c r="X9">
        <f>cur_year</f>
        <v>2017</v>
      </c>
      <c r="Y9">
        <f>cur_year</f>
        <v>2017</v>
      </c>
      <c r="Z9">
        <f>cur_year</f>
        <v>2017</v>
      </c>
      <c r="AU9" s="64" t="str">
        <f>INDEX(I15:K35,D9,D6)</f>
        <v>Pes</v>
      </c>
      <c r="BA9" t="str">
        <f>"Profit for "&amp;AU9</f>
        <v>Profit for Pes</v>
      </c>
    </row>
    <row r="10" spans="2:57" x14ac:dyDescent="0.2">
      <c r="C10" t="s">
        <v>118</v>
      </c>
      <c r="D10" t="b">
        <v>0</v>
      </c>
      <c r="R10" t="str">
        <f t="shared" ref="R10:Z10" si="2">cur_mnth</f>
        <v>Apr</v>
      </c>
      <c r="S10" t="str">
        <f t="shared" si="2"/>
        <v>Apr</v>
      </c>
      <c r="T10" t="str">
        <f t="shared" si="2"/>
        <v>Apr</v>
      </c>
      <c r="U10" t="str">
        <f t="shared" si="2"/>
        <v>Apr</v>
      </c>
      <c r="V10" t="str">
        <f t="shared" si="2"/>
        <v>Apr</v>
      </c>
      <c r="W10" t="str">
        <f t="shared" si="2"/>
        <v>Apr</v>
      </c>
      <c r="X10" t="str">
        <f t="shared" si="2"/>
        <v>Apr</v>
      </c>
      <c r="Y10" t="str">
        <f t="shared" si="2"/>
        <v>Apr</v>
      </c>
      <c r="Z10" t="str">
        <f t="shared" si="2"/>
        <v>Apr</v>
      </c>
      <c r="AU10" t="s">
        <v>117</v>
      </c>
    </row>
    <row r="11" spans="2:57" x14ac:dyDescent="0.2">
      <c r="C11" t="s">
        <v>119</v>
      </c>
      <c r="D11" t="b">
        <v>1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2</v>
      </c>
      <c r="Y11" t="s">
        <v>2</v>
      </c>
      <c r="Z11" t="s">
        <v>2</v>
      </c>
    </row>
    <row r="12" spans="2:57" x14ac:dyDescent="0.2">
      <c r="R12" t="str">
        <f>R14</f>
        <v>Revenue</v>
      </c>
      <c r="S12" t="str">
        <f t="shared" ref="S12:Z12" si="3">S14</f>
        <v>Profit</v>
      </c>
      <c r="T12" t="str">
        <f t="shared" si="3"/>
        <v>Cash</v>
      </c>
      <c r="U12" t="str">
        <f t="shared" si="3"/>
        <v>Revenue</v>
      </c>
      <c r="V12" t="str">
        <f t="shared" si="3"/>
        <v>Profit</v>
      </c>
      <c r="W12" t="str">
        <f t="shared" si="3"/>
        <v>Cash</v>
      </c>
      <c r="X12" t="str">
        <f t="shared" si="3"/>
        <v>Revenue</v>
      </c>
      <c r="Y12" t="str">
        <f t="shared" si="3"/>
        <v>Profit</v>
      </c>
      <c r="Z12" t="str">
        <f t="shared" si="3"/>
        <v>Cash</v>
      </c>
      <c r="AN12" t="str">
        <f>CHOOSE($D$8,"Top 6","Bottom 6")&amp; " sorted based on % ∆ B"</f>
        <v>Bottom 6 sorted based on % ∆ B</v>
      </c>
      <c r="AU12" s="40"/>
      <c r="AV12" s="72">
        <f>cur_year</f>
        <v>2017</v>
      </c>
      <c r="AW12" s="74">
        <f>AV12-1</f>
        <v>2016</v>
      </c>
      <c r="AX12" s="73">
        <f>cur_year</f>
        <v>2017</v>
      </c>
      <c r="AY12" s="75"/>
      <c r="AZ12" s="75"/>
      <c r="BA12" s="40"/>
      <c r="BB12" s="72">
        <f t="shared" ref="BB12:BD13" si="4">AV12</f>
        <v>2017</v>
      </c>
      <c r="BC12" s="74">
        <f t="shared" si="4"/>
        <v>2016</v>
      </c>
      <c r="BD12" s="73">
        <f t="shared" si="4"/>
        <v>2017</v>
      </c>
      <c r="BE12" s="40" t="s">
        <v>122</v>
      </c>
    </row>
    <row r="13" spans="2:57" x14ac:dyDescent="0.2">
      <c r="Q13" s="40"/>
      <c r="R13" s="40" t="s">
        <v>0</v>
      </c>
      <c r="S13" s="40"/>
      <c r="T13" s="40"/>
      <c r="U13" s="40" t="s">
        <v>4</v>
      </c>
      <c r="V13" s="40"/>
      <c r="W13" s="40"/>
      <c r="X13" s="40" t="s">
        <v>2</v>
      </c>
      <c r="Y13" s="40"/>
      <c r="Z13" s="40"/>
      <c r="AA13" s="40" t="s">
        <v>89</v>
      </c>
      <c r="AB13" s="40"/>
      <c r="AC13" s="40"/>
      <c r="AD13" s="40" t="s">
        <v>98</v>
      </c>
      <c r="AE13" s="40"/>
      <c r="AF13" s="40"/>
      <c r="AJ13" t="s">
        <v>110</v>
      </c>
      <c r="AM13" t="s">
        <v>111</v>
      </c>
      <c r="AN13" s="64" t="str">
        <f>"Actual " &amp;INDEX($R$14:$T$14,$D$7)&amp;" vs Budget"</f>
        <v>Actual Cash vs Budget</v>
      </c>
      <c r="AO13" s="64"/>
      <c r="AP13" s="64"/>
      <c r="AU13" s="40" t="s">
        <v>79</v>
      </c>
      <c r="AV13" s="2" t="s">
        <v>0</v>
      </c>
      <c r="AW13" s="4" t="s">
        <v>0</v>
      </c>
      <c r="AX13" s="3" t="s">
        <v>2</v>
      </c>
      <c r="AY13" s="75"/>
      <c r="AZ13" s="75"/>
      <c r="BA13" s="40" t="s">
        <v>79</v>
      </c>
      <c r="BB13" s="2" t="str">
        <f t="shared" si="4"/>
        <v>Actual</v>
      </c>
      <c r="BC13" s="4" t="str">
        <f t="shared" si="4"/>
        <v>Actual</v>
      </c>
      <c r="BD13" s="3" t="str">
        <f t="shared" si="4"/>
        <v>Budget</v>
      </c>
      <c r="BE13" s="2" t="s">
        <v>0</v>
      </c>
    </row>
    <row r="14" spans="2:57" x14ac:dyDescent="0.2">
      <c r="B14" s="31" t="s">
        <v>82</v>
      </c>
      <c r="C14" s="30"/>
      <c r="D14" s="30"/>
      <c r="E14" s="30"/>
      <c r="I14" s="31" t="s">
        <v>83</v>
      </c>
      <c r="J14" s="30"/>
      <c r="K14" s="30"/>
      <c r="P14" s="40" t="s">
        <v>87</v>
      </c>
      <c r="Q14" s="40" t="s">
        <v>88</v>
      </c>
      <c r="R14" s="2" t="s">
        <v>31</v>
      </c>
      <c r="S14" s="2" t="s">
        <v>32</v>
      </c>
      <c r="T14" s="2" t="s">
        <v>33</v>
      </c>
      <c r="U14" s="4" t="s">
        <v>31</v>
      </c>
      <c r="V14" s="4" t="s">
        <v>32</v>
      </c>
      <c r="W14" s="4" t="s">
        <v>33</v>
      </c>
      <c r="X14" s="3" t="s">
        <v>31</v>
      </c>
      <c r="Y14" s="3" t="s">
        <v>32</v>
      </c>
      <c r="Z14" s="3" t="s">
        <v>33</v>
      </c>
      <c r="AA14" s="4" t="s">
        <v>90</v>
      </c>
      <c r="AB14" s="4" t="s">
        <v>91</v>
      </c>
      <c r="AC14" s="4" t="s">
        <v>92</v>
      </c>
      <c r="AD14" s="3" t="s">
        <v>90</v>
      </c>
      <c r="AE14" s="3" t="s">
        <v>91</v>
      </c>
      <c r="AF14" s="3" t="s">
        <v>92</v>
      </c>
      <c r="AJ14" s="40" t="s">
        <v>88</v>
      </c>
      <c r="AK14" s="3" t="str">
        <f>INDEX($AD$14:$AF$14,$D$7)&amp;" % ∆ B"</f>
        <v>Cash% % ∆ B</v>
      </c>
      <c r="AL14" s="63"/>
      <c r="AM14" s="40" t="s">
        <v>88</v>
      </c>
      <c r="AN14" s="2" t="s">
        <v>0</v>
      </c>
      <c r="AO14" s="3" t="s">
        <v>2</v>
      </c>
      <c r="AP14" s="65" t="s">
        <v>114</v>
      </c>
      <c r="AQ14" t="s">
        <v>115</v>
      </c>
      <c r="AU14" t="s">
        <v>19</v>
      </c>
      <c r="AV14" s="61">
        <f>INDEX(Data!$O$9:$AX$51,MATCH(Calculation!$AU$9,Data!$E$9:$E$51,0),MATCH(Calculation!AV$12&amp;Calculation!$AU14&amp;Calculation!AV$13,INDEX(Data!$O$5:$AX$5&amp;Data!$O$6:$AX$6&amp;Data!$O$7:$AX$7,),0))</f>
        <v>357</v>
      </c>
      <c r="AW14" s="61">
        <f>INDEX(Data!$O$9:$AX$51,MATCH(Calculation!$AU$9,Data!$E$9:$E$51,0),MATCH(Calculation!AW$12&amp;Calculation!$AU14&amp;Calculation!AW$13,INDEX(Data!$O$5:$AX$5&amp;Data!$O$6:$AX$6&amp;Data!$O$7:$AX$7,),0))</f>
        <v>340.2</v>
      </c>
      <c r="AX14" s="61">
        <f>INDEX(Data!$O$9:$AX$51,MATCH(Calculation!$AU$9,Data!$E$9:$E$51,0),MATCH(Calculation!AX$12&amp;Calculation!$AU14&amp;Calculation!AX$13,INDEX(Data!$O$5:$AX$5&amp;Data!$O$6:$AX$6&amp;Data!$O$7:$AX$7,),0))</f>
        <v>279.3</v>
      </c>
      <c r="AY14" s="75"/>
      <c r="AZ14" s="75"/>
      <c r="BA14" s="76" t="str">
        <f>LEFT(AU14,1)</f>
        <v>J</v>
      </c>
      <c r="BB14">
        <f>IF(MATCH(cur_month,$AU$14:$AU$25,0)&gt;=ROWS(AU14:$AU$14),AV14,NA())</f>
        <v>357</v>
      </c>
      <c r="BC14" s="61" t="e">
        <f>IF($D$10,AW14,NA())</f>
        <v>#N/A</v>
      </c>
      <c r="BD14" s="61">
        <f>IF($D$11,AX14,NA())</f>
        <v>279.3</v>
      </c>
      <c r="BE14" t="e">
        <f t="shared" ref="BE14:BE25" si="5">IF(AU14=cur_mnth,BB14,NA())</f>
        <v>#N/A</v>
      </c>
    </row>
    <row r="15" spans="2:57" x14ac:dyDescent="0.2">
      <c r="I15" s="32" t="str">
        <f t="array" ref="I15:K15">TRANSPOSE(C16:C18)</f>
        <v>Productivity Apps</v>
      </c>
      <c r="J15" s="32" t="str">
        <v>Game Apps</v>
      </c>
      <c r="K15" s="32" t="str">
        <v>Utility Apps</v>
      </c>
      <c r="P15">
        <f>IF(Q15&lt;&gt;"",ROW(A1),"")</f>
        <v>1</v>
      </c>
      <c r="Q15" t="str">
        <f>IF(INDEX(I16:K16,,$D$5)="","",(INDEX(I16:K16,,$D$5)))</f>
        <v>WenCaL</v>
      </c>
      <c r="R15" s="61">
        <f>IF(Q15&lt;&gt;"",INDEX(Data!$F$9:$N$51,MATCH($Q15,Data!$E$9:$E$51,0),MATCH(R$8,Data!$F$4:$N$4,0)),"")</f>
        <v>14432</v>
      </c>
      <c r="S15" s="61">
        <f>IF(R15&lt;&gt;"",INDEX(Data!$F$9:$N$51,MATCH($Q15,Data!$E$9:$E$51,0),MATCH(S$8,Data!$F$4:$N$4,0)),"")</f>
        <v>240</v>
      </c>
      <c r="T15" s="61">
        <f>IF(S15&lt;&gt;"",INDEX(Data!$F$9:$N$51,MATCH($Q15,Data!$E$9:$E$51,0),MATCH(T$8,Data!$F$4:$N$4,0)),"")</f>
        <v>11099</v>
      </c>
      <c r="U15" s="61">
        <f>IF(T15&lt;&gt;"",INDEX(Data!$F$9:$N$51,MATCH($Q15,Data!$E$9:$E$51,0),MATCH(U$8,Data!$F$4:$N$4,0)),"")</f>
        <v>13699</v>
      </c>
      <c r="V15" s="61">
        <f>IF(U15&lt;&gt;"",INDEX(Data!$F$9:$N$51,MATCH($Q15,Data!$E$9:$E$51,0),MATCH(V$8,Data!$F$4:$N$4,0)),"")</f>
        <v>210</v>
      </c>
      <c r="W15" s="61">
        <f>IF(V15&lt;&gt;"",INDEX(Data!$F$9:$N$51,MATCH($Q15,Data!$E$9:$E$51,0),MATCH(W$8,Data!$F$4:$N$4,0)),"")</f>
        <v>12058</v>
      </c>
      <c r="X15" s="61">
        <f>IF(W15&lt;&gt;"",INDEX(Data!$F$9:$N$51,MATCH($Q15,Data!$E$9:$E$51,0),MATCH(X$8,Data!$F$4:$N$4,0)),"")</f>
        <v>15113</v>
      </c>
      <c r="Y15" s="61">
        <f>IF(X15&lt;&gt;"",INDEX(Data!$F$9:$N$51,MATCH($Q15,Data!$E$9:$E$51,0),MATCH(Y$8,Data!$F$4:$N$4,0)),"")</f>
        <v>363</v>
      </c>
      <c r="Z15" s="61">
        <f>IF(Y15&lt;&gt;"",INDEX(Data!$F$9:$N$51,MATCH($Q15,Data!$E$9:$E$51,0),MATCH(Z$8,Data!$F$4:$N$4,0)),"")</f>
        <v>11468</v>
      </c>
      <c r="AA15" s="43">
        <f t="shared" ref="AA15:AA35" si="6">IF($Q15&lt;&gt;"",(R15-U15)/U15,"")</f>
        <v>5.3507555296007009E-2</v>
      </c>
      <c r="AB15" s="43">
        <f t="shared" ref="AB15:AB35" si="7">IF($Q15&lt;&gt;"",(S15-V15)/V15,"")</f>
        <v>0.14285714285714285</v>
      </c>
      <c r="AC15" s="43">
        <f t="shared" ref="AC15:AC35" si="8">IF($Q15&lt;&gt;"",(T15-W15)/W15,"")</f>
        <v>-7.9532260739757832E-2</v>
      </c>
      <c r="AD15" s="43">
        <f t="shared" ref="AD15:AD35" si="9">IF($Q15&lt;&gt;"",(R15-X15)/X15,"")</f>
        <v>-4.5060543902600413E-2</v>
      </c>
      <c r="AE15" s="43">
        <f t="shared" ref="AE15:AE35" si="10">IF($Q15&lt;&gt;"",(S15-Y15)/Y15,"")</f>
        <v>-0.33884297520661155</v>
      </c>
      <c r="AF15" s="43">
        <f t="shared" ref="AF15:AF35" si="11">IF($Q15&lt;&gt;"",(T15-Z15)/Z15,"")</f>
        <v>-3.2176491105685386E-2</v>
      </c>
      <c r="AJ15" t="str">
        <f>Q15</f>
        <v>WenCaL</v>
      </c>
      <c r="AK15" s="48">
        <f>IF(AJ15="","",INDEX(AD15:AF15,$D$7)+(ROW()/10000000000)+N("the fow function is used here to make sure unique number"))</f>
        <v>-3.2176489605685386E-2</v>
      </c>
      <c r="AL15" s="63"/>
      <c r="AM15" t="str">
        <f>INDEX($AJ$15:$AJ$35,MATCH(CHOOSE($D$8,LARGE($AK$15:$AK$35,$P15),SMALL($AK$15:$AK$35,$P15)),$AK$15:$AK$35,0))</f>
        <v>Didactic</v>
      </c>
      <c r="AN15" s="61">
        <f>INDEX($R$15:$T$35,MATCH($AM15,$Q$15:$Q$35,0),$D$7)</f>
        <v>1389</v>
      </c>
      <c r="AO15" s="61">
        <f>INDEX($X$15:$Z$35,MATCH($AM15,$Q$15:$Q$35,0),$D$7)</f>
        <v>2226</v>
      </c>
      <c r="AP15" s="61">
        <f>MAX(AN15:AO15)</f>
        <v>2226</v>
      </c>
      <c r="AQ15" s="29" t="str">
        <f>TEXT(INDEX($AD$15:$AF$35,MATCH(AM15,$Q$15:$Q$35,0),$D$7),"0%")&amp;" | "&amp;TEXT(AN15,"#,##0")</f>
        <v>-38% | 1,389</v>
      </c>
      <c r="AU15" t="s">
        <v>20</v>
      </c>
      <c r="AV15" s="61">
        <f>INDEX(Data!$O$9:$AX$51,MATCH(Calculation!$AU$9,Data!$E$9:$E$51,0),MATCH(Calculation!AV$12&amp;Calculation!$AU15&amp;Calculation!AV$13,INDEX(Data!$O$5:$AX$5&amp;Data!$O$6:$AX$6&amp;Data!$O$7:$AX$7,),0))</f>
        <v>663.6</v>
      </c>
      <c r="AW15" s="61">
        <f>INDEX(Data!$O$9:$AX$51,MATCH(Calculation!$AU$9,Data!$E$9:$E$51,0),MATCH(Calculation!AW$12&amp;Calculation!$AU15&amp;Calculation!AW$13,INDEX(Data!$O$5:$AX$5&amp;Data!$O$6:$AX$6&amp;Data!$O$7:$AX$7,),0))</f>
        <v>613.20000000000005</v>
      </c>
      <c r="AX15" s="61">
        <f>INDEX(Data!$O$9:$AX$51,MATCH(Calculation!$AU$9,Data!$E$9:$E$51,0),MATCH(Calculation!AX$12&amp;Calculation!$AU15&amp;Calculation!AX$13,INDEX(Data!$O$5:$AX$5&amp;Data!$O$6:$AX$6&amp;Data!$O$7:$AX$7,),0))</f>
        <v>541.80000000000007</v>
      </c>
      <c r="AY15" s="75"/>
      <c r="AZ15" s="75"/>
      <c r="BA15" s="76" t="str">
        <f t="shared" ref="BA15:BA25" si="12">LEFT(AU15,1)</f>
        <v>F</v>
      </c>
      <c r="BB15">
        <f>IF(MATCH(cur_month,$AU$14:$AU$25,0)&gt;=ROWS(AU$14:$AU15),AV15,NA())</f>
        <v>663.6</v>
      </c>
      <c r="BC15" s="61" t="e">
        <f t="shared" ref="BC15:BC25" si="13">IF($D$10,AW15,NA())</f>
        <v>#N/A</v>
      </c>
      <c r="BD15" s="61">
        <f t="shared" ref="BD15:BD25" si="14">IF($D$11,AX15,NA())</f>
        <v>541.80000000000007</v>
      </c>
      <c r="BE15" t="e">
        <f t="shared" si="5"/>
        <v>#N/A</v>
      </c>
    </row>
    <row r="16" spans="2:57" x14ac:dyDescent="0.2">
      <c r="B16" t="s">
        <v>19</v>
      </c>
      <c r="C16" t="s">
        <v>34</v>
      </c>
      <c r="D16" s="15" t="s">
        <v>31</v>
      </c>
      <c r="I16" s="33" t="s">
        <v>35</v>
      </c>
      <c r="J16" s="34" t="s">
        <v>51</v>
      </c>
      <c r="K16" s="35" t="s">
        <v>64</v>
      </c>
      <c r="P16">
        <f t="shared" ref="P16:P35" si="15">IF(Q16&lt;&gt;"",ROW(A2),"")</f>
        <v>2</v>
      </c>
      <c r="Q16" t="str">
        <f t="shared" ref="Q16:Q35" si="16">IF(INDEX(I17:K17,,$D$5)="","",(INDEX(I17:K17,,$D$5)))</f>
        <v>Blend</v>
      </c>
      <c r="R16" s="61">
        <f>IF(Q16&lt;&gt;"",INDEX(Data!$F$9:$N$51,MATCH($Q16,Data!$E$9:$E$51,0),MATCH(R$8,Data!$F$4:$N$4,0)),"")</f>
        <v>17990</v>
      </c>
      <c r="S16" s="61">
        <f>IF(R16&lt;&gt;"",INDEX(Data!$F$9:$N$51,MATCH($Q16,Data!$E$9:$E$51,0),MATCH(S$8,Data!$F$4:$N$4,0)),"")</f>
        <v>1166</v>
      </c>
      <c r="T16" s="61">
        <f>IF(S16&lt;&gt;"",INDEX(Data!$F$9:$N$51,MATCH($Q16,Data!$E$9:$E$51,0),MATCH(T$8,Data!$F$4:$N$4,0)),"")</f>
        <v>7137</v>
      </c>
      <c r="U16" s="61">
        <f>IF(T16&lt;&gt;"",INDEX(Data!$F$9:$N$51,MATCH($Q16,Data!$E$9:$E$51,0),MATCH(U$8,Data!$F$4:$N$4,0)),"")</f>
        <v>16395</v>
      </c>
      <c r="V16" s="61">
        <f>IF(U16&lt;&gt;"",INDEX(Data!$F$9:$N$51,MATCH($Q16,Data!$E$9:$E$51,0),MATCH(V$8,Data!$F$4:$N$4,0)),"")</f>
        <v>1003</v>
      </c>
      <c r="W16" s="61">
        <f>IF(V16&lt;&gt;"",INDEX(Data!$F$9:$N$51,MATCH($Q16,Data!$E$9:$E$51,0),MATCH(W$8,Data!$F$4:$N$4,0)),"")</f>
        <v>7423</v>
      </c>
      <c r="X16" s="61">
        <f>IF(W16&lt;&gt;"",INDEX(Data!$F$9:$N$51,MATCH($Q16,Data!$E$9:$E$51,0),MATCH(X$8,Data!$F$4:$N$4,0)),"")</f>
        <v>18181</v>
      </c>
      <c r="Y16" s="61">
        <f>IF(X16&lt;&gt;"",INDEX(Data!$F$9:$N$51,MATCH($Q16,Data!$E$9:$E$51,0),MATCH(Y$8,Data!$F$4:$N$4,0)),"")</f>
        <v>1223</v>
      </c>
      <c r="Z16" s="61">
        <f>IF(Y16&lt;&gt;"",INDEX(Data!$F$9:$N$51,MATCH($Q16,Data!$E$9:$E$51,0),MATCH(Z$8,Data!$F$4:$N$4,0)),"")</f>
        <v>8196</v>
      </c>
      <c r="AA16" s="43">
        <f t="shared" si="6"/>
        <v>9.728575785300396E-2</v>
      </c>
      <c r="AB16" s="43">
        <f t="shared" si="7"/>
        <v>0.16251246261216351</v>
      </c>
      <c r="AC16" s="43">
        <f t="shared" si="8"/>
        <v>-3.8528896672504379E-2</v>
      </c>
      <c r="AD16" s="43">
        <f t="shared" si="9"/>
        <v>-1.0505472746273583E-2</v>
      </c>
      <c r="AE16" s="43">
        <f t="shared" si="10"/>
        <v>-4.6606704824202781E-2</v>
      </c>
      <c r="AF16" s="43">
        <f t="shared" si="11"/>
        <v>-0.12920937042459738</v>
      </c>
      <c r="AJ16" t="str">
        <f t="shared" ref="AJ16:AJ35" si="17">Q16</f>
        <v>Blend</v>
      </c>
      <c r="AK16" s="48">
        <f t="shared" ref="AK16:AK35" si="18">IF(AJ16="","",INDEX(AD16:AF16,$D$7)+(ROW()/10000000000)+N("the fow function is used here to make sure unique number"))</f>
        <v>-0.12920936882459738</v>
      </c>
      <c r="AL16" s="63"/>
      <c r="AM16" t="str">
        <f t="shared" ref="AM16:AM20" si="19">INDEX($AJ$15:$AJ$35,MATCH(CHOOSE($D$8,LARGE($AK$15:$AK$35,$P16),SMALL($AK$15:$AK$35,$P16)),$AK$15:$AK$35,0))</f>
        <v>Rehire</v>
      </c>
      <c r="AN16" s="61">
        <f t="shared" ref="AN16:AN20" si="20">INDEX($R$15:$T$35,MATCH($AM16,$Q$15:$Q$35,0),$D$7)</f>
        <v>7076</v>
      </c>
      <c r="AO16" s="61">
        <f t="shared" ref="AO16:AO20" si="21">INDEX($X$15:$Z$35,MATCH($AM16,$Q$15:$Q$35,0),$D$7)</f>
        <v>8490</v>
      </c>
      <c r="AP16" s="61">
        <f t="shared" ref="AP16:AP20" si="22">MAX(AN16:AO16)</f>
        <v>8490</v>
      </c>
      <c r="AQ16" s="29" t="str">
        <f t="shared" ref="AQ16:AQ20" si="23">TEXT(INDEX($AD$15:$AF$35,MATCH(AM16,$Q$15:$Q$35,0),$D$7),"0%")&amp;" | "&amp;TEXT(AN16,"#,##0")</f>
        <v>-17% | 7,076</v>
      </c>
      <c r="AU16" t="s">
        <v>21</v>
      </c>
      <c r="AV16" s="61">
        <f>INDEX(Data!$O$9:$AX$51,MATCH(Calculation!$AU$9,Data!$E$9:$E$51,0),MATCH(Calculation!AV$12&amp;Calculation!$AU16&amp;Calculation!AV$13,INDEX(Data!$O$5:$AX$5&amp;Data!$O$6:$AX$6&amp;Data!$O$7:$AX$7,),0))</f>
        <v>1003.8000000000001</v>
      </c>
      <c r="AW16" s="61">
        <f>INDEX(Data!$O$9:$AX$51,MATCH(Calculation!$AU$9,Data!$E$9:$E$51,0),MATCH(Calculation!AW$12&amp;Calculation!$AU16&amp;Calculation!AW$13,INDEX(Data!$O$5:$AX$5&amp;Data!$O$6:$AX$6&amp;Data!$O$7:$AX$7,),0))</f>
        <v>837.90000000000009</v>
      </c>
      <c r="AX16" s="61">
        <f>INDEX(Data!$O$9:$AX$51,MATCH(Calculation!$AU$9,Data!$E$9:$E$51,0),MATCH(Calculation!AX$12&amp;Calculation!$AU16&amp;Calculation!AX$13,INDEX(Data!$O$5:$AX$5&amp;Data!$O$6:$AX$6&amp;Data!$O$7:$AX$7,),0))</f>
        <v>863.1</v>
      </c>
      <c r="AY16" s="75"/>
      <c r="AZ16" s="75"/>
      <c r="BA16" s="76" t="str">
        <f t="shared" si="12"/>
        <v>M</v>
      </c>
      <c r="BB16">
        <f>IF(MATCH(cur_month,$AU$14:$AU$25,0)&gt;=ROWS(AU$14:$AU16),AV16,NA())</f>
        <v>1003.8000000000001</v>
      </c>
      <c r="BC16" s="61" t="e">
        <f t="shared" si="13"/>
        <v>#N/A</v>
      </c>
      <c r="BD16" s="61">
        <f t="shared" si="14"/>
        <v>863.1</v>
      </c>
      <c r="BE16" t="e">
        <f t="shared" si="5"/>
        <v>#N/A</v>
      </c>
    </row>
    <row r="17" spans="2:57" x14ac:dyDescent="0.2">
      <c r="B17" t="s">
        <v>20</v>
      </c>
      <c r="C17" t="s">
        <v>50</v>
      </c>
      <c r="D17" s="15" t="s">
        <v>32</v>
      </c>
      <c r="I17" s="36" t="s">
        <v>36</v>
      </c>
      <c r="J17" t="s">
        <v>52</v>
      </c>
      <c r="K17" s="37" t="s">
        <v>65</v>
      </c>
      <c r="P17">
        <f t="shared" si="15"/>
        <v>3</v>
      </c>
      <c r="Q17" t="str">
        <f t="shared" si="16"/>
        <v>Voltage</v>
      </c>
      <c r="R17" s="61">
        <f>IF(Q17&lt;&gt;"",INDEX(Data!$F$9:$N$51,MATCH($Q17,Data!$E$9:$E$51,0),MATCH(R$8,Data!$F$4:$N$4,0)),"")</f>
        <v>15117</v>
      </c>
      <c r="S17" s="61">
        <f>IF(R17&lt;&gt;"",INDEX(Data!$F$9:$N$51,MATCH($Q17,Data!$E$9:$E$51,0),MATCH(S$8,Data!$F$4:$N$4,0)),"")</f>
        <v>1613</v>
      </c>
      <c r="T17" s="61">
        <f>IF(S17&lt;&gt;"",INDEX(Data!$F$9:$N$51,MATCH($Q17,Data!$E$9:$E$51,0),MATCH(T$8,Data!$F$4:$N$4,0)),"")</f>
        <v>5828</v>
      </c>
      <c r="U17" s="61">
        <f>IF(T17&lt;&gt;"",INDEX(Data!$F$9:$N$51,MATCH($Q17,Data!$E$9:$E$51,0),MATCH(U$8,Data!$F$4:$N$4,0)),"")</f>
        <v>14138</v>
      </c>
      <c r="V17" s="61">
        <f>IF(U17&lt;&gt;"",INDEX(Data!$F$9:$N$51,MATCH($Q17,Data!$E$9:$E$51,0),MATCH(V$8,Data!$F$4:$N$4,0)),"")</f>
        <v>1200</v>
      </c>
      <c r="W17" s="61">
        <f>IF(V17&lt;&gt;"",INDEX(Data!$F$9:$N$51,MATCH($Q17,Data!$E$9:$E$51,0),MATCH(W$8,Data!$F$4:$N$4,0)),"")</f>
        <v>6212</v>
      </c>
      <c r="X17" s="61">
        <f>IF(W17&lt;&gt;"",INDEX(Data!$F$9:$N$51,MATCH($Q17,Data!$E$9:$E$51,0),MATCH(X$8,Data!$F$4:$N$4,0)),"")</f>
        <v>13455</v>
      </c>
      <c r="Y17" s="61">
        <f>IF(X17&lt;&gt;"",INDEX(Data!$F$9:$N$51,MATCH($Q17,Data!$E$9:$E$51,0),MATCH(Y$8,Data!$F$4:$N$4,0)),"")</f>
        <v>1400</v>
      </c>
      <c r="Z17" s="61">
        <f>IF(Y17&lt;&gt;"",INDEX(Data!$F$9:$N$51,MATCH($Q17,Data!$E$9:$E$51,0),MATCH(Z$8,Data!$F$4:$N$4,0)),"")</f>
        <v>5810</v>
      </c>
      <c r="AA17" s="43">
        <f t="shared" si="6"/>
        <v>6.924600367803084E-2</v>
      </c>
      <c r="AB17" s="43">
        <f t="shared" si="7"/>
        <v>0.34416666666666668</v>
      </c>
      <c r="AC17" s="43">
        <f t="shared" si="8"/>
        <v>-6.1815840309079204E-2</v>
      </c>
      <c r="AD17" s="43">
        <f t="shared" si="9"/>
        <v>0.12352285395763657</v>
      </c>
      <c r="AE17" s="43">
        <f t="shared" si="10"/>
        <v>0.15214285714285714</v>
      </c>
      <c r="AF17" s="43">
        <f t="shared" si="11"/>
        <v>3.098106712564544E-3</v>
      </c>
      <c r="AJ17" t="str">
        <f t="shared" si="17"/>
        <v>Voltage</v>
      </c>
      <c r="AK17" s="48">
        <f t="shared" si="18"/>
        <v>3.0981084125645442E-3</v>
      </c>
      <c r="AL17" s="63"/>
      <c r="AM17" t="str">
        <f t="shared" si="19"/>
        <v>Blend</v>
      </c>
      <c r="AN17" s="61">
        <f t="shared" si="20"/>
        <v>7137</v>
      </c>
      <c r="AO17" s="61">
        <f t="shared" si="21"/>
        <v>8196</v>
      </c>
      <c r="AP17" s="61">
        <f t="shared" si="22"/>
        <v>8196</v>
      </c>
      <c r="AQ17" s="29" t="str">
        <f t="shared" si="23"/>
        <v>-13% | 7,137</v>
      </c>
      <c r="AU17" t="s">
        <v>22</v>
      </c>
      <c r="AV17" s="61">
        <f>INDEX(Data!$O$9:$AX$51,MATCH(Calculation!$AU$9,Data!$E$9:$E$51,0),MATCH(Calculation!AV$12&amp;Calculation!$AU17&amp;Calculation!AV$13,INDEX(Data!$O$5:$AX$5&amp;Data!$O$6:$AX$6&amp;Data!$O$7:$AX$7,),0))</f>
        <v>1314.6000000000001</v>
      </c>
      <c r="AW17" s="61">
        <f>INDEX(Data!$O$9:$AX$51,MATCH(Calculation!$AU$9,Data!$E$9:$E$51,0),MATCH(Calculation!AW$12&amp;Calculation!$AU17&amp;Calculation!AW$13,INDEX(Data!$O$5:$AX$5&amp;Data!$O$6:$AX$6&amp;Data!$O$7:$AX$7,),0))</f>
        <v>1062.6000000000001</v>
      </c>
      <c r="AX17" s="61">
        <f>INDEX(Data!$O$9:$AX$51,MATCH(Calculation!$AU$9,Data!$E$9:$E$51,0),MATCH(Calculation!AX$12&amp;Calculation!$AU17&amp;Calculation!AX$13,INDEX(Data!$O$5:$AX$5&amp;Data!$O$6:$AX$6&amp;Data!$O$7:$AX$7,),0))</f>
        <v>858.90000000000009</v>
      </c>
      <c r="AY17" s="75"/>
      <c r="AZ17" s="75"/>
      <c r="BA17" s="76" t="str">
        <f t="shared" si="12"/>
        <v>A</v>
      </c>
      <c r="BB17">
        <f>IF(MATCH(cur_month,$AU$14:$AU$25,0)&gt;=ROWS(AU$14:$AU17),AV17,NA())</f>
        <v>1314.6000000000001</v>
      </c>
      <c r="BC17" s="61" t="e">
        <f t="shared" si="13"/>
        <v>#N/A</v>
      </c>
      <c r="BD17" s="61">
        <f t="shared" si="14"/>
        <v>858.90000000000009</v>
      </c>
      <c r="BE17">
        <f t="shared" si="5"/>
        <v>1314.6000000000001</v>
      </c>
    </row>
    <row r="18" spans="2:57" x14ac:dyDescent="0.2">
      <c r="B18" t="s">
        <v>21</v>
      </c>
      <c r="C18" t="s">
        <v>63</v>
      </c>
      <c r="D18" s="15" t="s">
        <v>33</v>
      </c>
      <c r="I18" s="36" t="s">
        <v>37</v>
      </c>
      <c r="J18" t="s">
        <v>53</v>
      </c>
      <c r="K18" s="37" t="s">
        <v>66</v>
      </c>
      <c r="P18">
        <f t="shared" si="15"/>
        <v>4</v>
      </c>
      <c r="Q18" t="str">
        <f t="shared" si="16"/>
        <v>Inkly</v>
      </c>
      <c r="R18" s="61">
        <f>IF(Q18&lt;&gt;"",INDEX(Data!$F$9:$N$51,MATCH($Q18,Data!$E$9:$E$51,0),MATCH(R$8,Data!$F$4:$N$4,0)),"")</f>
        <v>11154</v>
      </c>
      <c r="S18" s="61">
        <f>IF(R18&lt;&gt;"",INDEX(Data!$F$9:$N$51,MATCH($Q18,Data!$E$9:$E$51,0),MATCH(S$8,Data!$F$4:$N$4,0)),"")</f>
        <v>731</v>
      </c>
      <c r="T18" s="61">
        <f>IF(S18&lt;&gt;"",INDEX(Data!$F$9:$N$51,MATCH($Q18,Data!$E$9:$E$51,0),MATCH(T$8,Data!$F$4:$N$4,0)),"")</f>
        <v>8008</v>
      </c>
      <c r="U18" s="61">
        <f>IF(T18&lt;&gt;"",INDEX(Data!$F$9:$N$51,MATCH($Q18,Data!$E$9:$E$51,0),MATCH(U$8,Data!$F$4:$N$4,0)),"")</f>
        <v>11502</v>
      </c>
      <c r="V18" s="61">
        <f>IF(U18&lt;&gt;"",INDEX(Data!$F$9:$N$51,MATCH($Q18,Data!$E$9:$E$51,0),MATCH(V$8,Data!$F$4:$N$4,0)),"")</f>
        <v>499</v>
      </c>
      <c r="W18" s="61">
        <f>IF(V18&lt;&gt;"",INDEX(Data!$F$9:$N$51,MATCH($Q18,Data!$E$9:$E$51,0),MATCH(W$8,Data!$F$4:$N$4,0)),"")</f>
        <v>8953</v>
      </c>
      <c r="X18" s="61">
        <f>IF(W18&lt;&gt;"",INDEX(Data!$F$9:$N$51,MATCH($Q18,Data!$E$9:$E$51,0),MATCH(X$8,Data!$F$4:$N$4,0)),"")</f>
        <v>12031</v>
      </c>
      <c r="Y18" s="61">
        <f>IF(X18&lt;&gt;"",INDEX(Data!$F$9:$N$51,MATCH($Q18,Data!$E$9:$E$51,0),MATCH(Y$8,Data!$F$4:$N$4,0)),"")</f>
        <v>641</v>
      </c>
      <c r="Z18" s="61">
        <f>IF(Y18&lt;&gt;"",INDEX(Data!$F$9:$N$51,MATCH($Q18,Data!$E$9:$E$51,0),MATCH(Z$8,Data!$F$4:$N$4,0)),"")</f>
        <v>8424</v>
      </c>
      <c r="AA18" s="43">
        <f t="shared" si="6"/>
        <v>-3.0255607720396451E-2</v>
      </c>
      <c r="AB18" s="43">
        <f t="shared" si="7"/>
        <v>0.4649298597194389</v>
      </c>
      <c r="AC18" s="43">
        <f t="shared" si="8"/>
        <v>-0.1055512118842846</v>
      </c>
      <c r="AD18" s="43">
        <f t="shared" si="9"/>
        <v>-7.2895021195245616E-2</v>
      </c>
      <c r="AE18" s="43">
        <f t="shared" si="10"/>
        <v>0.14040561622464898</v>
      </c>
      <c r="AF18" s="43">
        <f t="shared" si="11"/>
        <v>-4.9382716049382713E-2</v>
      </c>
      <c r="AJ18" t="str">
        <f t="shared" si="17"/>
        <v>Inkly</v>
      </c>
      <c r="AK18" s="48">
        <f t="shared" si="18"/>
        <v>-4.938271424938271E-2</v>
      </c>
      <c r="AL18" s="63"/>
      <c r="AM18" t="str">
        <f t="shared" si="19"/>
        <v>Dasring</v>
      </c>
      <c r="AN18" s="61">
        <f t="shared" si="20"/>
        <v>4396</v>
      </c>
      <c r="AO18" s="61">
        <f t="shared" si="21"/>
        <v>4779</v>
      </c>
      <c r="AP18" s="61">
        <f t="shared" si="22"/>
        <v>4779</v>
      </c>
      <c r="AQ18" s="29" t="str">
        <f t="shared" si="23"/>
        <v>-8% | 4,396</v>
      </c>
      <c r="AU18" t="s">
        <v>23</v>
      </c>
      <c r="AV18" s="61">
        <f>INDEX(Data!$O$9:$AX$51,MATCH(Calculation!$AU$9,Data!$E$9:$E$51,0),MATCH(Calculation!AV$12&amp;Calculation!$AU18&amp;Calculation!AV$13,INDEX(Data!$O$5:$AX$5&amp;Data!$O$6:$AX$6&amp;Data!$O$7:$AX$7,),0))</f>
        <v>1654.8000000000002</v>
      </c>
      <c r="AW18" s="61">
        <f>INDEX(Data!$O$9:$AX$51,MATCH(Calculation!$AU$9,Data!$E$9:$E$51,0),MATCH(Calculation!AW$12&amp;Calculation!$AU18&amp;Calculation!AW$13,INDEX(Data!$O$5:$AX$5&amp;Data!$O$6:$AX$6&amp;Data!$O$7:$AX$7,),0))</f>
        <v>1245.3</v>
      </c>
      <c r="AX18" s="61">
        <f>INDEX(Data!$O$9:$AX$51,MATCH(Calculation!$AU$9,Data!$E$9:$E$51,0),MATCH(Calculation!AX$12&amp;Calculation!$AU18&amp;Calculation!AX$13,INDEX(Data!$O$5:$AX$5&amp;Data!$O$6:$AX$6&amp;Data!$O$7:$AX$7,),0))</f>
        <v>1134</v>
      </c>
      <c r="AY18" s="75"/>
      <c r="AZ18" s="75"/>
      <c r="BA18" s="76" t="str">
        <f t="shared" si="12"/>
        <v>M</v>
      </c>
      <c r="BB18" t="e">
        <f>IF(MATCH(cur_month,$AU$14:$AU$25,0)&gt;=ROWS(AU$14:$AU18),AV18,NA())</f>
        <v>#N/A</v>
      </c>
      <c r="BC18" s="61" t="e">
        <f t="shared" si="13"/>
        <v>#N/A</v>
      </c>
      <c r="BD18" s="61">
        <f t="shared" si="14"/>
        <v>1134</v>
      </c>
      <c r="BE18" t="e">
        <f t="shared" si="5"/>
        <v>#N/A</v>
      </c>
    </row>
    <row r="19" spans="2:57" x14ac:dyDescent="0.2">
      <c r="B19" t="s">
        <v>22</v>
      </c>
      <c r="I19" s="36" t="s">
        <v>38</v>
      </c>
      <c r="J19" t="s">
        <v>54</v>
      </c>
      <c r="K19" s="37" t="s">
        <v>67</v>
      </c>
      <c r="P19">
        <f t="shared" si="15"/>
        <v>5</v>
      </c>
      <c r="Q19" t="str">
        <f t="shared" si="16"/>
        <v>Sleops</v>
      </c>
      <c r="R19" s="61">
        <f>IF(Q19&lt;&gt;"",INDEX(Data!$F$9:$N$51,MATCH($Q19,Data!$E$9:$E$51,0),MATCH(R$8,Data!$F$4:$N$4,0)),"")</f>
        <v>11022</v>
      </c>
      <c r="S19" s="61">
        <f>IF(R19&lt;&gt;"",INDEX(Data!$F$9:$N$51,MATCH($Q19,Data!$E$9:$E$51,0),MATCH(S$8,Data!$F$4:$N$4,0)),"")</f>
        <v>550</v>
      </c>
      <c r="T19" s="61">
        <f>IF(S19&lt;&gt;"",INDEX(Data!$F$9:$N$51,MATCH($Q19,Data!$E$9:$E$51,0),MATCH(T$8,Data!$F$4:$N$4,0)),"")</f>
        <v>9000</v>
      </c>
      <c r="U19" s="61">
        <f>IF(T19&lt;&gt;"",INDEX(Data!$F$9:$N$51,MATCH($Q19,Data!$E$9:$E$51,0),MATCH(U$8,Data!$F$4:$N$4,0)),"")</f>
        <v>14644</v>
      </c>
      <c r="V19" s="61">
        <f>IF(U19&lt;&gt;"",INDEX(Data!$F$9:$N$51,MATCH($Q19,Data!$E$9:$E$51,0),MATCH(V$8,Data!$F$4:$N$4,0)),"")</f>
        <v>780</v>
      </c>
      <c r="W19" s="61">
        <f>IF(V19&lt;&gt;"",INDEX(Data!$F$9:$N$51,MATCH($Q19,Data!$E$9:$E$51,0),MATCH(W$8,Data!$F$4:$N$4,0)),"")</f>
        <v>8670</v>
      </c>
      <c r="X19" s="61">
        <f>IF(W19&lt;&gt;"",INDEX(Data!$F$9:$N$51,MATCH($Q19,Data!$E$9:$E$51,0),MATCH(X$8,Data!$F$4:$N$4,0)),"")</f>
        <v>13112</v>
      </c>
      <c r="Y19" s="61">
        <f>IF(X19&lt;&gt;"",INDEX(Data!$F$9:$N$51,MATCH($Q19,Data!$E$9:$E$51,0),MATCH(Y$8,Data!$F$4:$N$4,0)),"")</f>
        <v>474</v>
      </c>
      <c r="Z19" s="61">
        <f>IF(Y19&lt;&gt;"",INDEX(Data!$F$9:$N$51,MATCH($Q19,Data!$E$9:$E$51,0),MATCH(Z$8,Data!$F$4:$N$4,0)),"")</f>
        <v>8193</v>
      </c>
      <c r="AA19" s="43">
        <f t="shared" si="6"/>
        <v>-0.24733679322589455</v>
      </c>
      <c r="AB19" s="43">
        <f t="shared" si="7"/>
        <v>-0.29487179487179488</v>
      </c>
      <c r="AC19" s="43">
        <f t="shared" si="8"/>
        <v>3.8062283737024222E-2</v>
      </c>
      <c r="AD19" s="43">
        <f t="shared" si="9"/>
        <v>-0.15939597315436241</v>
      </c>
      <c r="AE19" s="43">
        <f t="shared" si="10"/>
        <v>0.16033755274261605</v>
      </c>
      <c r="AF19" s="43">
        <f t="shared" si="11"/>
        <v>9.8498718418161851E-2</v>
      </c>
      <c r="AJ19" t="str">
        <f t="shared" si="17"/>
        <v>Sleops</v>
      </c>
      <c r="AK19" s="48">
        <f t="shared" si="18"/>
        <v>9.8498720318161856E-2</v>
      </c>
      <c r="AL19" s="63"/>
      <c r="AM19" t="str">
        <f t="shared" si="19"/>
        <v>Inkly</v>
      </c>
      <c r="AN19" s="61">
        <f t="shared" si="20"/>
        <v>8008</v>
      </c>
      <c r="AO19" s="61">
        <f t="shared" si="21"/>
        <v>8424</v>
      </c>
      <c r="AP19" s="61">
        <f t="shared" si="22"/>
        <v>8424</v>
      </c>
      <c r="AQ19" s="29" t="str">
        <f t="shared" si="23"/>
        <v>-5% | 8,008</v>
      </c>
      <c r="AU19" t="s">
        <v>24</v>
      </c>
      <c r="AV19" s="61">
        <f>INDEX(Data!$O$9:$AX$51,MATCH(Calculation!$AU$9,Data!$E$9:$E$51,0),MATCH(Calculation!AV$12&amp;Calculation!$AU19&amp;Calculation!AV$13,INDEX(Data!$O$5:$AX$5&amp;Data!$O$6:$AX$6&amp;Data!$O$7:$AX$7,),0))</f>
        <v>1932</v>
      </c>
      <c r="AW19" s="61">
        <f>INDEX(Data!$O$9:$AX$51,MATCH(Calculation!$AU$9,Data!$E$9:$E$51,0),MATCH(Calculation!AW$12&amp;Calculation!$AU19&amp;Calculation!AW$13,INDEX(Data!$O$5:$AX$5&amp;Data!$O$6:$AX$6&amp;Data!$O$7:$AX$7,),0))</f>
        <v>1371.3</v>
      </c>
      <c r="AX19" s="61">
        <f>INDEX(Data!$O$9:$AX$51,MATCH(Calculation!$AU$9,Data!$E$9:$E$51,0),MATCH(Calculation!AX$12&amp;Calculation!$AU19&amp;Calculation!AX$13,INDEX(Data!$O$5:$AX$5&amp;Data!$O$6:$AX$6&amp;Data!$O$7:$AX$7,),0))</f>
        <v>1381.8</v>
      </c>
      <c r="AY19" s="75"/>
      <c r="AZ19" s="75"/>
      <c r="BA19" s="76" t="str">
        <f t="shared" si="12"/>
        <v>J</v>
      </c>
      <c r="BB19" t="e">
        <f>IF(MATCH(cur_month,$AU$14:$AU$25,0)&gt;=ROWS(AU$14:$AU19),AV19,NA())</f>
        <v>#N/A</v>
      </c>
      <c r="BC19" s="61" t="e">
        <f t="shared" si="13"/>
        <v>#N/A</v>
      </c>
      <c r="BD19" s="61">
        <f t="shared" si="14"/>
        <v>1381.8</v>
      </c>
      <c r="BE19" t="e">
        <f t="shared" si="5"/>
        <v>#N/A</v>
      </c>
    </row>
    <row r="20" spans="2:57" x14ac:dyDescent="0.2">
      <c r="B20" t="s">
        <v>23</v>
      </c>
      <c r="I20" s="36" t="s">
        <v>39</v>
      </c>
      <c r="J20" t="s">
        <v>55</v>
      </c>
      <c r="K20" s="37" t="s">
        <v>68</v>
      </c>
      <c r="P20">
        <f t="shared" si="15"/>
        <v>6</v>
      </c>
      <c r="Q20" t="str">
        <f t="shared" si="16"/>
        <v>Kind Ape</v>
      </c>
      <c r="R20" s="61">
        <f>IF(Q20&lt;&gt;"",INDEX(Data!$F$9:$N$51,MATCH($Q20,Data!$E$9:$E$51,0),MATCH(R$8,Data!$F$4:$N$4,0)),"")</f>
        <v>8905</v>
      </c>
      <c r="S20" s="61">
        <f>IF(R20&lt;&gt;"",INDEX(Data!$F$9:$N$51,MATCH($Q20,Data!$E$9:$E$51,0),MATCH(S$8,Data!$F$4:$N$4,0)),"")</f>
        <v>469</v>
      </c>
      <c r="T20" s="61">
        <f>IF(S20&lt;&gt;"",INDEX(Data!$F$9:$N$51,MATCH($Q20,Data!$E$9:$E$51,0),MATCH(T$8,Data!$F$4:$N$4,0)),"")</f>
        <v>6026</v>
      </c>
      <c r="U20" s="61">
        <f>IF(T20&lt;&gt;"",INDEX(Data!$F$9:$N$51,MATCH($Q20,Data!$E$9:$E$51,0),MATCH(U$8,Data!$F$4:$N$4,0)),"")</f>
        <v>8796</v>
      </c>
      <c r="V20" s="61">
        <f>IF(U20&lt;&gt;"",INDEX(Data!$F$9:$N$51,MATCH($Q20,Data!$E$9:$E$51,0),MATCH(V$8,Data!$F$4:$N$4,0)),"")</f>
        <v>316</v>
      </c>
      <c r="W20" s="61">
        <f>IF(V20&lt;&gt;"",INDEX(Data!$F$9:$N$51,MATCH($Q20,Data!$E$9:$E$51,0),MATCH(W$8,Data!$F$4:$N$4,0)),"")</f>
        <v>6251</v>
      </c>
      <c r="X20" s="61">
        <f>IF(W20&lt;&gt;"",INDEX(Data!$F$9:$N$51,MATCH($Q20,Data!$E$9:$E$51,0),MATCH(X$8,Data!$F$4:$N$4,0)),"")</f>
        <v>9096</v>
      </c>
      <c r="Y20" s="61">
        <f>IF(X20&lt;&gt;"",INDEX(Data!$F$9:$N$51,MATCH($Q20,Data!$E$9:$E$51,0),MATCH(Y$8,Data!$F$4:$N$4,0)),"")</f>
        <v>620</v>
      </c>
      <c r="Z20" s="61">
        <f>IF(Y20&lt;&gt;"",INDEX(Data!$F$9:$N$51,MATCH($Q20,Data!$E$9:$E$51,0),MATCH(Z$8,Data!$F$4:$N$4,0)),"")</f>
        <v>5804</v>
      </c>
      <c r="AA20" s="43">
        <f t="shared" si="6"/>
        <v>1.2391996361982719E-2</v>
      </c>
      <c r="AB20" s="43">
        <f t="shared" si="7"/>
        <v>0.48417721518987344</v>
      </c>
      <c r="AC20" s="43">
        <f t="shared" si="8"/>
        <v>-3.5994240921452571E-2</v>
      </c>
      <c r="AD20" s="43">
        <f t="shared" si="9"/>
        <v>-2.0998240985048374E-2</v>
      </c>
      <c r="AE20" s="43">
        <f t="shared" si="10"/>
        <v>-0.2435483870967742</v>
      </c>
      <c r="AF20" s="43">
        <f t="shared" si="11"/>
        <v>3.824948311509304E-2</v>
      </c>
      <c r="AJ20" t="str">
        <f t="shared" si="17"/>
        <v>Kind Ape</v>
      </c>
      <c r="AK20" s="48">
        <f t="shared" si="18"/>
        <v>3.8249485115093039E-2</v>
      </c>
      <c r="AL20" s="63"/>
      <c r="AM20" t="str">
        <f t="shared" si="19"/>
        <v>Pet Feed</v>
      </c>
      <c r="AN20" s="61">
        <f t="shared" si="20"/>
        <v>10149</v>
      </c>
      <c r="AO20" s="61">
        <f t="shared" si="21"/>
        <v>10508</v>
      </c>
      <c r="AP20" s="61">
        <f t="shared" si="22"/>
        <v>10508</v>
      </c>
      <c r="AQ20" s="29" t="str">
        <f t="shared" si="23"/>
        <v>-3% | 10,149</v>
      </c>
      <c r="AU20" t="s">
        <v>25</v>
      </c>
      <c r="AV20" s="61">
        <f>INDEX(Data!$O$9:$AX$51,MATCH(Calculation!$AU$9,Data!$E$9:$E$51,0),MATCH(Calculation!AV$12&amp;Calculation!$AU20&amp;Calculation!AV$13,INDEX(Data!$O$5:$AX$5&amp;Data!$O$6:$AX$6&amp;Data!$O$7:$AX$7,),0))</f>
        <v>0</v>
      </c>
      <c r="AW20" s="61">
        <f>INDEX(Data!$O$9:$AX$51,MATCH(Calculation!$AU$9,Data!$E$9:$E$51,0),MATCH(Calculation!AW$12&amp;Calculation!$AU20&amp;Calculation!AW$13,INDEX(Data!$O$5:$AX$5&amp;Data!$O$6:$AX$6&amp;Data!$O$7:$AX$7,),0))</f>
        <v>1503.6000000000001</v>
      </c>
      <c r="AX20" s="61">
        <f>INDEX(Data!$O$9:$AX$51,MATCH(Calculation!$AU$9,Data!$E$9:$E$51,0),MATCH(Calculation!AX$12&amp;Calculation!$AU20&amp;Calculation!AX$13,INDEX(Data!$O$5:$AX$5&amp;Data!$O$6:$AX$6&amp;Data!$O$7:$AX$7,),0))</f>
        <v>1568.7</v>
      </c>
      <c r="AY20" s="75"/>
      <c r="AZ20" s="75"/>
      <c r="BA20" s="76" t="str">
        <f t="shared" si="12"/>
        <v>J</v>
      </c>
      <c r="BB20" t="e">
        <f>IF(MATCH(cur_month,$AU$14:$AU$25,0)&gt;=ROWS(AU$14:$AU20),AV20,NA())</f>
        <v>#N/A</v>
      </c>
      <c r="BC20" s="61" t="e">
        <f t="shared" si="13"/>
        <v>#N/A</v>
      </c>
      <c r="BD20" s="61">
        <f t="shared" si="14"/>
        <v>1568.7</v>
      </c>
      <c r="BE20" t="e">
        <f t="shared" si="5"/>
        <v>#N/A</v>
      </c>
    </row>
    <row r="21" spans="2:57" x14ac:dyDescent="0.2">
      <c r="B21" t="s">
        <v>24</v>
      </c>
      <c r="I21" s="36" t="s">
        <v>40</v>
      </c>
      <c r="J21" t="s">
        <v>56</v>
      </c>
      <c r="K21" s="37" t="s">
        <v>69</v>
      </c>
      <c r="P21">
        <f t="shared" si="15"/>
        <v>7</v>
      </c>
      <c r="Q21" t="str">
        <f t="shared" si="16"/>
        <v>Pet Feed</v>
      </c>
      <c r="R21" s="61">
        <f>IF(Q21&lt;&gt;"",INDEX(Data!$F$9:$N$51,MATCH($Q21,Data!$E$9:$E$51,0),MATCH(R$8,Data!$F$4:$N$4,0)),"")</f>
        <v>16735</v>
      </c>
      <c r="S21" s="61">
        <f>IF(R21&lt;&gt;"",INDEX(Data!$F$9:$N$51,MATCH($Q21,Data!$E$9:$E$51,0),MATCH(S$8,Data!$F$4:$N$4,0)),"")</f>
        <v>800</v>
      </c>
      <c r="T21" s="61">
        <f>IF(S21&lt;&gt;"",INDEX(Data!$F$9:$N$51,MATCH($Q21,Data!$E$9:$E$51,0),MATCH(T$8,Data!$F$4:$N$4,0)),"")</f>
        <v>10149</v>
      </c>
      <c r="U21" s="61">
        <f>IF(T21&lt;&gt;"",INDEX(Data!$F$9:$N$51,MATCH($Q21,Data!$E$9:$E$51,0),MATCH(U$8,Data!$F$4:$N$4,0)),"")</f>
        <v>17503</v>
      </c>
      <c r="V21" s="61">
        <f>IF(U21&lt;&gt;"",INDEX(Data!$F$9:$N$51,MATCH($Q21,Data!$E$9:$E$51,0),MATCH(V$8,Data!$F$4:$N$4,0)),"")</f>
        <v>1083</v>
      </c>
      <c r="W21" s="61">
        <f>IF(V21&lt;&gt;"",INDEX(Data!$F$9:$N$51,MATCH($Q21,Data!$E$9:$E$51,0),MATCH(W$8,Data!$F$4:$N$4,0)),"")</f>
        <v>10507</v>
      </c>
      <c r="X21" s="61">
        <f>IF(W21&lt;&gt;"",INDEX(Data!$F$9:$N$51,MATCH($Q21,Data!$E$9:$E$51,0),MATCH(X$8,Data!$F$4:$N$4,0)),"")</f>
        <v>18207</v>
      </c>
      <c r="Y21" s="61">
        <f>IF(X21&lt;&gt;"",INDEX(Data!$F$9:$N$51,MATCH($Q21,Data!$E$9:$E$51,0),MATCH(Y$8,Data!$F$4:$N$4,0)),"")</f>
        <v>1176</v>
      </c>
      <c r="Z21" s="61">
        <f>IF(Y21&lt;&gt;"",INDEX(Data!$F$9:$N$51,MATCH($Q21,Data!$E$9:$E$51,0),MATCH(Z$8,Data!$F$4:$N$4,0)),"")</f>
        <v>10508</v>
      </c>
      <c r="AA21" s="43">
        <f t="shared" si="6"/>
        <v>-4.3878192309889735E-2</v>
      </c>
      <c r="AB21" s="43">
        <f t="shared" si="7"/>
        <v>-0.26131117266851339</v>
      </c>
      <c r="AC21" s="43">
        <f t="shared" si="8"/>
        <v>-3.4072523079851529E-2</v>
      </c>
      <c r="AD21" s="43">
        <f t="shared" si="9"/>
        <v>-8.0848025484703684E-2</v>
      </c>
      <c r="AE21" s="43">
        <f t="shared" si="10"/>
        <v>-0.31972789115646261</v>
      </c>
      <c r="AF21" s="43">
        <f t="shared" si="11"/>
        <v>-3.4164446136277123E-2</v>
      </c>
      <c r="AJ21" t="str">
        <f t="shared" si="17"/>
        <v>Pet Feed</v>
      </c>
      <c r="AK21" s="48">
        <f t="shared" si="18"/>
        <v>-3.4164444036277122E-2</v>
      </c>
      <c r="AL21" s="63"/>
      <c r="AU21" t="s">
        <v>26</v>
      </c>
      <c r="AV21" s="61">
        <f>INDEX(Data!$O$9:$AX$51,MATCH(Calculation!$AU$9,Data!$E$9:$E$51,0),MATCH(Calculation!AV$12&amp;Calculation!$AU21&amp;Calculation!AV$13,INDEX(Data!$O$5:$AX$5&amp;Data!$O$6:$AX$6&amp;Data!$O$7:$AX$7,),0))</f>
        <v>0</v>
      </c>
      <c r="AW21" s="61">
        <f>INDEX(Data!$O$9:$AX$51,MATCH(Calculation!$AU$9,Data!$E$9:$E$51,0),MATCH(Calculation!AW$12&amp;Calculation!$AU21&amp;Calculation!AW$13,INDEX(Data!$O$5:$AX$5&amp;Data!$O$6:$AX$6&amp;Data!$O$7:$AX$7,),0))</f>
        <v>1528.8</v>
      </c>
      <c r="AX21" s="61">
        <f>INDEX(Data!$O$9:$AX$51,MATCH(Calculation!$AU$9,Data!$E$9:$E$51,0),MATCH(Calculation!AX$12&amp;Calculation!$AU21&amp;Calculation!AX$13,INDEX(Data!$O$5:$AX$5&amp;Data!$O$6:$AX$6&amp;Data!$O$7:$AX$7,),0))</f>
        <v>1461.6000000000001</v>
      </c>
      <c r="AY21" s="75"/>
      <c r="AZ21" s="75"/>
      <c r="BA21" s="76" t="str">
        <f t="shared" si="12"/>
        <v>A</v>
      </c>
      <c r="BB21" t="e">
        <f>IF(MATCH(cur_month,$AU$14:$AU$25,0)&gt;=ROWS(AU$14:$AU21),AV21,NA())</f>
        <v>#N/A</v>
      </c>
      <c r="BC21" s="61" t="e">
        <f t="shared" si="13"/>
        <v>#N/A</v>
      </c>
      <c r="BD21" s="61">
        <f t="shared" si="14"/>
        <v>1461.6000000000001</v>
      </c>
      <c r="BE21" t="e">
        <f t="shared" si="5"/>
        <v>#N/A</v>
      </c>
    </row>
    <row r="22" spans="2:57" x14ac:dyDescent="0.2">
      <c r="B22" t="s">
        <v>25</v>
      </c>
      <c r="I22" s="36" t="s">
        <v>41</v>
      </c>
      <c r="J22" t="s">
        <v>57</v>
      </c>
      <c r="K22" s="37" t="s">
        <v>70</v>
      </c>
      <c r="P22">
        <f t="shared" si="15"/>
        <v>8</v>
      </c>
      <c r="Q22" t="str">
        <f t="shared" si="16"/>
        <v>Right App</v>
      </c>
      <c r="R22" s="61">
        <f>IF(Q22&lt;&gt;"",INDEX(Data!$F$9:$N$51,MATCH($Q22,Data!$E$9:$E$51,0),MATCH(R$8,Data!$F$4:$N$4,0)),"")</f>
        <v>3635</v>
      </c>
      <c r="S22" s="61">
        <f>IF(R22&lt;&gt;"",INDEX(Data!$F$9:$N$51,MATCH($Q22,Data!$E$9:$E$51,0),MATCH(S$8,Data!$F$4:$N$4,0)),"")</f>
        <v>96</v>
      </c>
      <c r="T22" s="61">
        <f>IF(S22&lt;&gt;"",INDEX(Data!$F$9:$N$51,MATCH($Q22,Data!$E$9:$E$51,0),MATCH(T$8,Data!$F$4:$N$4,0)),"")</f>
        <v>2050</v>
      </c>
      <c r="U22" s="61">
        <f>IF(T22&lt;&gt;"",INDEX(Data!$F$9:$N$51,MATCH($Q22,Data!$E$9:$E$51,0),MATCH(U$8,Data!$F$4:$N$4,0)),"")</f>
        <v>2337</v>
      </c>
      <c r="V22" s="61">
        <f>IF(U22&lt;&gt;"",INDEX(Data!$F$9:$N$51,MATCH($Q22,Data!$E$9:$E$51,0),MATCH(V$8,Data!$F$4:$N$4,0)),"")</f>
        <v>90</v>
      </c>
      <c r="W22" s="61">
        <f>IF(V22&lt;&gt;"",INDEX(Data!$F$9:$N$51,MATCH($Q22,Data!$E$9:$E$51,0),MATCH(W$8,Data!$F$4:$N$4,0)),"")</f>
        <v>1585</v>
      </c>
      <c r="X22" s="61">
        <f>IF(W22&lt;&gt;"",INDEX(Data!$F$9:$N$51,MATCH($Q22,Data!$E$9:$E$51,0),MATCH(X$8,Data!$F$4:$N$4,0)),"")</f>
        <v>3579</v>
      </c>
      <c r="Y22" s="61">
        <f>IF(X22&lt;&gt;"",INDEX(Data!$F$9:$N$51,MATCH($Q22,Data!$E$9:$E$51,0),MATCH(Y$8,Data!$F$4:$N$4,0)),"")</f>
        <v>184</v>
      </c>
      <c r="Z22" s="61">
        <f>IF(Y22&lt;&gt;"",INDEX(Data!$F$9:$N$51,MATCH($Q22,Data!$E$9:$E$51,0),MATCH(Z$8,Data!$F$4:$N$4,0)),"")</f>
        <v>1396</v>
      </c>
      <c r="AA22" s="43">
        <f t="shared" si="6"/>
        <v>0.55541292255027819</v>
      </c>
      <c r="AB22" s="43">
        <f t="shared" si="7"/>
        <v>6.6666666666666666E-2</v>
      </c>
      <c r="AC22" s="43">
        <f t="shared" si="8"/>
        <v>0.29337539432176657</v>
      </c>
      <c r="AD22" s="43">
        <f t="shared" si="9"/>
        <v>1.5646828723107013E-2</v>
      </c>
      <c r="AE22" s="43">
        <f t="shared" si="10"/>
        <v>-0.47826086956521741</v>
      </c>
      <c r="AF22" s="43">
        <f t="shared" si="11"/>
        <v>0.4684813753581662</v>
      </c>
      <c r="AJ22" t="str">
        <f t="shared" si="17"/>
        <v>Right App</v>
      </c>
      <c r="AK22" s="48">
        <f t="shared" si="18"/>
        <v>0.46848137755816621</v>
      </c>
      <c r="AL22" s="63"/>
      <c r="AU22" t="s">
        <v>27</v>
      </c>
      <c r="AV22" s="61">
        <f>INDEX(Data!$O$9:$AX$51,MATCH(Calculation!$AU$9,Data!$E$9:$E$51,0),MATCH(Calculation!AV$12&amp;Calculation!$AU22&amp;Calculation!AV$13,INDEX(Data!$O$5:$AX$5&amp;Data!$O$6:$AX$6&amp;Data!$O$7:$AX$7,),0))</f>
        <v>0</v>
      </c>
      <c r="AW22" s="61">
        <f>INDEX(Data!$O$9:$AX$51,MATCH(Calculation!$AU$9,Data!$E$9:$E$51,0),MATCH(Calculation!AW$12&amp;Calculation!$AU22&amp;Calculation!AW$13,INDEX(Data!$O$5:$AX$5&amp;Data!$O$6:$AX$6&amp;Data!$O$7:$AX$7,),0))</f>
        <v>1694.7</v>
      </c>
      <c r="AX22" s="61">
        <f>INDEX(Data!$O$9:$AX$51,MATCH(Calculation!$AU$9,Data!$E$9:$E$51,0),MATCH(Calculation!AX$12&amp;Calculation!$AU22&amp;Calculation!AX$13,INDEX(Data!$O$5:$AX$5&amp;Data!$O$6:$AX$6&amp;Data!$O$7:$AX$7,),0))</f>
        <v>1766.1000000000001</v>
      </c>
      <c r="AY22" s="75"/>
      <c r="AZ22" s="75"/>
      <c r="BA22" s="76" t="str">
        <f t="shared" si="12"/>
        <v>S</v>
      </c>
      <c r="BB22" t="e">
        <f>IF(MATCH(cur_month,$AU$14:$AU$25,0)&gt;=ROWS(AU$14:$AU22),AV22,NA())</f>
        <v>#N/A</v>
      </c>
      <c r="BC22" s="61" t="e">
        <f t="shared" si="13"/>
        <v>#N/A</v>
      </c>
      <c r="BD22" s="61">
        <f t="shared" si="14"/>
        <v>1766.1000000000001</v>
      </c>
      <c r="BE22" t="e">
        <f t="shared" si="5"/>
        <v>#N/A</v>
      </c>
    </row>
    <row r="23" spans="2:57" x14ac:dyDescent="0.2">
      <c r="B23" t="s">
        <v>26</v>
      </c>
      <c r="I23" s="36" t="s">
        <v>42</v>
      </c>
      <c r="J23" t="s">
        <v>58</v>
      </c>
      <c r="K23" s="37" t="s">
        <v>71</v>
      </c>
      <c r="P23">
        <f t="shared" si="15"/>
        <v>9</v>
      </c>
      <c r="Q23" t="str">
        <f t="shared" si="16"/>
        <v>Mirrrr</v>
      </c>
      <c r="R23" s="61">
        <f>IF(Q23&lt;&gt;"",INDEX(Data!$F$9:$N$51,MATCH($Q23,Data!$E$9:$E$51,0),MATCH(R$8,Data!$F$4:$N$4,0)),"")</f>
        <v>15627</v>
      </c>
      <c r="S23" s="61">
        <f>IF(R23&lt;&gt;"",INDEX(Data!$F$9:$N$51,MATCH($Q23,Data!$E$9:$E$51,0),MATCH(S$8,Data!$F$4:$N$4,0)),"")</f>
        <v>1996</v>
      </c>
      <c r="T23" s="61">
        <f>IF(S23&lt;&gt;"",INDEX(Data!$F$9:$N$51,MATCH($Q23,Data!$E$9:$E$51,0),MATCH(T$8,Data!$F$4:$N$4,0)),"")</f>
        <v>9397</v>
      </c>
      <c r="U23" s="61">
        <f>IF(T23&lt;&gt;"",INDEX(Data!$F$9:$N$51,MATCH($Q23,Data!$E$9:$E$51,0),MATCH(U$8,Data!$F$4:$N$4,0)),"")</f>
        <v>15357</v>
      </c>
      <c r="V23" s="61">
        <f>IF(U23&lt;&gt;"",INDEX(Data!$F$9:$N$51,MATCH($Q23,Data!$E$9:$E$51,0),MATCH(V$8,Data!$F$4:$N$4,0)),"")</f>
        <v>1908</v>
      </c>
      <c r="W23" s="61">
        <f>IF(V23&lt;&gt;"",INDEX(Data!$F$9:$N$51,MATCH($Q23,Data!$E$9:$E$51,0),MATCH(W$8,Data!$F$4:$N$4,0)),"")</f>
        <v>9702</v>
      </c>
      <c r="X23" s="61">
        <f>IF(W23&lt;&gt;"",INDEX(Data!$F$9:$N$51,MATCH($Q23,Data!$E$9:$E$51,0),MATCH(X$8,Data!$F$4:$N$4,0)),"")</f>
        <v>14634</v>
      </c>
      <c r="Y23" s="61">
        <f>IF(X23&lt;&gt;"",INDEX(Data!$F$9:$N$51,MATCH($Q23,Data!$E$9:$E$51,0),MATCH(Y$8,Data!$F$4:$N$4,0)),"")</f>
        <v>1584</v>
      </c>
      <c r="Z23" s="61">
        <f>IF(Y23&lt;&gt;"",INDEX(Data!$F$9:$N$51,MATCH($Q23,Data!$E$9:$E$51,0),MATCH(Z$8,Data!$F$4:$N$4,0)),"")</f>
        <v>9527</v>
      </c>
      <c r="AA23" s="43">
        <f t="shared" si="6"/>
        <v>1.758155889822231E-2</v>
      </c>
      <c r="AB23" s="43">
        <f t="shared" si="7"/>
        <v>4.6121593291404611E-2</v>
      </c>
      <c r="AC23" s="43">
        <f t="shared" si="8"/>
        <v>-3.1436817151102865E-2</v>
      </c>
      <c r="AD23" s="43">
        <f t="shared" si="9"/>
        <v>6.7855678556785565E-2</v>
      </c>
      <c r="AE23" s="43">
        <f t="shared" si="10"/>
        <v>0.26010101010101011</v>
      </c>
      <c r="AF23" s="43">
        <f t="shared" si="11"/>
        <v>-1.3645428781358245E-2</v>
      </c>
      <c r="AJ23" t="str">
        <f t="shared" si="17"/>
        <v>Mirrrr</v>
      </c>
      <c r="AK23" s="48">
        <f t="shared" si="18"/>
        <v>-1.3645426481358245E-2</v>
      </c>
      <c r="AL23" s="63"/>
      <c r="AU23" t="s">
        <v>28</v>
      </c>
      <c r="AV23" s="61">
        <f>INDEX(Data!$O$9:$AX$51,MATCH(Calculation!$AU$9,Data!$E$9:$E$51,0),MATCH(Calculation!AV$12&amp;Calculation!$AU23&amp;Calculation!AV$13,INDEX(Data!$O$5:$AX$5&amp;Data!$O$6:$AX$6&amp;Data!$O$7:$AX$7,),0))</f>
        <v>0</v>
      </c>
      <c r="AW23" s="61">
        <f>INDEX(Data!$O$9:$AX$51,MATCH(Calculation!$AU$9,Data!$E$9:$E$51,0),MATCH(Calculation!AW$12&amp;Calculation!$AU23&amp;Calculation!AW$13,INDEX(Data!$O$5:$AX$5&amp;Data!$O$6:$AX$6&amp;Data!$O$7:$AX$7,),0))</f>
        <v>1820.7</v>
      </c>
      <c r="AX23" s="61">
        <f>INDEX(Data!$O$9:$AX$51,MATCH(Calculation!$AU$9,Data!$E$9:$E$51,0),MATCH(Calculation!AX$12&amp;Calculation!$AU23&amp;Calculation!AX$13,INDEX(Data!$O$5:$AX$5&amp;Data!$O$6:$AX$6&amp;Data!$O$7:$AX$7,),0))</f>
        <v>1795.5</v>
      </c>
      <c r="AY23" s="75"/>
      <c r="AZ23" s="75"/>
      <c r="BA23" s="76" t="str">
        <f t="shared" si="12"/>
        <v>O</v>
      </c>
      <c r="BB23" t="e">
        <f>IF(MATCH(cur_month,$AU$14:$AU$25,0)&gt;=ROWS(AU$14:$AU23),AV23,NA())</f>
        <v>#N/A</v>
      </c>
      <c r="BC23" s="61" t="e">
        <f t="shared" si="13"/>
        <v>#N/A</v>
      </c>
      <c r="BD23" s="61">
        <f t="shared" si="14"/>
        <v>1795.5</v>
      </c>
      <c r="BE23" t="e">
        <f t="shared" si="5"/>
        <v>#N/A</v>
      </c>
    </row>
    <row r="24" spans="2:57" x14ac:dyDescent="0.2">
      <c r="B24" t="s">
        <v>27</v>
      </c>
      <c r="I24" s="36" t="s">
        <v>43</v>
      </c>
      <c r="J24" t="s">
        <v>59</v>
      </c>
      <c r="K24" s="37" t="s">
        <v>72</v>
      </c>
      <c r="P24">
        <f t="shared" si="15"/>
        <v>10</v>
      </c>
      <c r="Q24" t="str">
        <f t="shared" si="16"/>
        <v>Halotot</v>
      </c>
      <c r="R24" s="61">
        <f>IF(Q24&lt;&gt;"",INDEX(Data!$F$9:$N$51,MATCH($Q24,Data!$E$9:$E$51,0),MATCH(R$8,Data!$F$4:$N$4,0)),"")</f>
        <v>7270</v>
      </c>
      <c r="S24" s="61">
        <f>IF(R24&lt;&gt;"",INDEX(Data!$F$9:$N$51,MATCH($Q24,Data!$E$9:$E$51,0),MATCH(S$8,Data!$F$4:$N$4,0)),"")</f>
        <v>150</v>
      </c>
      <c r="T24" s="61">
        <f>IF(S24&lt;&gt;"",INDEX(Data!$F$9:$N$51,MATCH($Q24,Data!$E$9:$E$51,0),MATCH(T$8,Data!$F$4:$N$4,0)),"")</f>
        <v>8948</v>
      </c>
      <c r="U24" s="61">
        <f>IF(T24&lt;&gt;"",INDEX(Data!$F$9:$N$51,MATCH($Q24,Data!$E$9:$E$51,0),MATCH(U$8,Data!$F$4:$N$4,0)),"")</f>
        <v>7119</v>
      </c>
      <c r="V24" s="61">
        <f>IF(U24&lt;&gt;"",INDEX(Data!$F$9:$N$51,MATCH($Q24,Data!$E$9:$E$51,0),MATCH(V$8,Data!$F$4:$N$4,0)),"")</f>
        <v>349</v>
      </c>
      <c r="W24" s="61">
        <f>IF(V24&lt;&gt;"",INDEX(Data!$F$9:$N$51,MATCH($Q24,Data!$E$9:$E$51,0),MATCH(W$8,Data!$F$4:$N$4,0)),"")</f>
        <v>8520</v>
      </c>
      <c r="X24" s="61">
        <f>IF(W24&lt;&gt;"",INDEX(Data!$F$9:$N$51,MATCH($Q24,Data!$E$9:$E$51,0),MATCH(X$8,Data!$F$4:$N$4,0)),"")</f>
        <v>7158</v>
      </c>
      <c r="Y24" s="61">
        <f>IF(X24&lt;&gt;"",INDEX(Data!$F$9:$N$51,MATCH($Q24,Data!$E$9:$E$51,0),MATCH(Y$8,Data!$F$4:$N$4,0)),"")</f>
        <v>120</v>
      </c>
      <c r="Z24" s="61">
        <f>IF(Y24&lt;&gt;"",INDEX(Data!$F$9:$N$51,MATCH($Q24,Data!$E$9:$E$51,0),MATCH(Z$8,Data!$F$4:$N$4,0)),"")</f>
        <v>8630</v>
      </c>
      <c r="AA24" s="43">
        <f t="shared" si="6"/>
        <v>2.1210844219693777E-2</v>
      </c>
      <c r="AB24" s="43">
        <f t="shared" si="7"/>
        <v>-0.57020057306590255</v>
      </c>
      <c r="AC24" s="43">
        <f t="shared" si="8"/>
        <v>5.0234741784037557E-2</v>
      </c>
      <c r="AD24" s="43">
        <f t="shared" si="9"/>
        <v>1.5646828723107013E-2</v>
      </c>
      <c r="AE24" s="43">
        <f t="shared" si="10"/>
        <v>0.25</v>
      </c>
      <c r="AF24" s="43">
        <f t="shared" si="11"/>
        <v>3.6848203939745076E-2</v>
      </c>
      <c r="AJ24" t="str">
        <f t="shared" si="17"/>
        <v>Halotot</v>
      </c>
      <c r="AK24" s="48">
        <f t="shared" si="18"/>
        <v>3.6848206339745074E-2</v>
      </c>
      <c r="AL24" s="63"/>
      <c r="AU24" t="s">
        <v>29</v>
      </c>
      <c r="AV24" s="61">
        <f>INDEX(Data!$O$9:$AX$51,MATCH(Calculation!$AU$9,Data!$E$9:$E$51,0),MATCH(Calculation!AV$12&amp;Calculation!$AU24&amp;Calculation!AV$13,INDEX(Data!$O$5:$AX$5&amp;Data!$O$6:$AX$6&amp;Data!$O$7:$AX$7,),0))</f>
        <v>0</v>
      </c>
      <c r="AW24" s="61">
        <f>INDEX(Data!$O$9:$AX$51,MATCH(Calculation!$AU$9,Data!$E$9:$E$51,0),MATCH(Calculation!AW$12&amp;Calculation!$AU24&amp;Calculation!AW$13,INDEX(Data!$O$5:$AX$5&amp;Data!$O$6:$AX$6&amp;Data!$O$7:$AX$7,),0))</f>
        <v>1969.8000000000002</v>
      </c>
      <c r="AX24" s="61">
        <f>INDEX(Data!$O$9:$AX$51,MATCH(Calculation!$AU$9,Data!$E$9:$E$51,0),MATCH(Calculation!AX$12&amp;Calculation!$AU24&amp;Calculation!AX$13,INDEX(Data!$O$5:$AX$5&amp;Data!$O$6:$AX$6&amp;Data!$O$7:$AX$7,),0))</f>
        <v>2087.4</v>
      </c>
      <c r="AY24" s="75"/>
      <c r="AZ24" s="75"/>
      <c r="BA24" s="76" t="str">
        <f t="shared" si="12"/>
        <v>N</v>
      </c>
      <c r="BB24" t="e">
        <f>IF(MATCH(cur_month,$AU$14:$AU$25,0)&gt;=ROWS(AU$14:$AU24),AV24,NA())</f>
        <v>#N/A</v>
      </c>
      <c r="BC24" s="61" t="e">
        <f t="shared" si="13"/>
        <v>#N/A</v>
      </c>
      <c r="BD24" s="61">
        <f t="shared" si="14"/>
        <v>2087.4</v>
      </c>
      <c r="BE24" t="e">
        <f t="shared" si="5"/>
        <v>#N/A</v>
      </c>
    </row>
    <row r="25" spans="2:57" x14ac:dyDescent="0.2">
      <c r="B25" t="s">
        <v>28</v>
      </c>
      <c r="I25" s="36" t="s">
        <v>44</v>
      </c>
      <c r="J25" t="s">
        <v>60</v>
      </c>
      <c r="K25" s="37" t="s">
        <v>73</v>
      </c>
      <c r="P25">
        <f t="shared" si="15"/>
        <v>11</v>
      </c>
      <c r="Q25" t="str">
        <f t="shared" si="16"/>
        <v>Flowrrr</v>
      </c>
      <c r="R25" s="61">
        <f>IF(Q25&lt;&gt;"",INDEX(Data!$F$9:$N$51,MATCH($Q25,Data!$E$9:$E$51,0),MATCH(R$8,Data!$F$4:$N$4,0)),"")</f>
        <v>5955</v>
      </c>
      <c r="S25" s="61">
        <f>IF(R25&lt;&gt;"",INDEX(Data!$F$9:$N$51,MATCH($Q25,Data!$E$9:$E$51,0),MATCH(S$8,Data!$F$4:$N$4,0)),"")</f>
        <v>260</v>
      </c>
      <c r="T25" s="61">
        <f>IF(S25&lt;&gt;"",INDEX(Data!$F$9:$N$51,MATCH($Q25,Data!$E$9:$E$51,0),MATCH(T$8,Data!$F$4:$N$4,0)),"")</f>
        <v>5931</v>
      </c>
      <c r="U25" s="61">
        <f>IF(T25&lt;&gt;"",INDEX(Data!$F$9:$N$51,MATCH($Q25,Data!$E$9:$E$51,0),MATCH(U$8,Data!$F$4:$N$4,0)),"")</f>
        <v>5612</v>
      </c>
      <c r="V25" s="61">
        <f>IF(U25&lt;&gt;"",INDEX(Data!$F$9:$N$51,MATCH($Q25,Data!$E$9:$E$51,0),MATCH(V$8,Data!$F$4:$N$4,0)),"")</f>
        <v>233</v>
      </c>
      <c r="W25" s="61">
        <f>IF(V25&lt;&gt;"",INDEX(Data!$F$9:$N$51,MATCH($Q25,Data!$E$9:$E$51,0),MATCH(W$8,Data!$F$4:$N$4,0)),"")</f>
        <v>5128</v>
      </c>
      <c r="X25" s="61">
        <f>IF(W25&lt;&gt;"",INDEX(Data!$F$9:$N$51,MATCH($Q25,Data!$E$9:$E$51,0),MATCH(X$8,Data!$F$4:$N$4,0)),"")</f>
        <v>5977</v>
      </c>
      <c r="Y25" s="61">
        <f>IF(X25&lt;&gt;"",INDEX(Data!$F$9:$N$51,MATCH($Q25,Data!$E$9:$E$51,0),MATCH(Y$8,Data!$F$4:$N$4,0)),"")</f>
        <v>210</v>
      </c>
      <c r="Z25" s="61">
        <f>IF(Y25&lt;&gt;"",INDEX(Data!$F$9:$N$51,MATCH($Q25,Data!$E$9:$E$51,0),MATCH(Z$8,Data!$F$4:$N$4,0)),"")</f>
        <v>4722</v>
      </c>
      <c r="AA25" s="43">
        <f t="shared" si="6"/>
        <v>6.1119030648610122E-2</v>
      </c>
      <c r="AB25" s="43">
        <f t="shared" si="7"/>
        <v>0.11587982832618025</v>
      </c>
      <c r="AC25" s="43">
        <f t="shared" si="8"/>
        <v>0.15659126365054601</v>
      </c>
      <c r="AD25" s="43">
        <f t="shared" si="9"/>
        <v>-3.6807763091852102E-3</v>
      </c>
      <c r="AE25" s="43">
        <f t="shared" si="10"/>
        <v>0.23809523809523808</v>
      </c>
      <c r="AF25" s="43">
        <f t="shared" si="11"/>
        <v>0.25603557814485389</v>
      </c>
      <c r="AJ25" t="str">
        <f t="shared" si="17"/>
        <v>Flowrrr</v>
      </c>
      <c r="AK25" s="48">
        <f t="shared" si="18"/>
        <v>0.25603558064485388</v>
      </c>
      <c r="AL25" s="63"/>
      <c r="AU25" t="s">
        <v>30</v>
      </c>
      <c r="AV25" s="61">
        <f>INDEX(Data!$O$9:$AX$51,MATCH(Calculation!$AU$9,Data!$E$9:$E$51,0),MATCH(Calculation!AV$12&amp;Calculation!$AU25&amp;Calculation!AV$13,INDEX(Data!$O$5:$AX$5&amp;Data!$O$6:$AX$6&amp;Data!$O$7:$AX$7,),0))</f>
        <v>0</v>
      </c>
      <c r="AW25" s="61">
        <f>INDEX(Data!$O$9:$AX$51,MATCH(Calculation!$AU$9,Data!$E$9:$E$51,0),MATCH(Calculation!AW$12&amp;Calculation!$AU25&amp;Calculation!AW$13,INDEX(Data!$O$5:$AX$5&amp;Data!$O$6:$AX$6&amp;Data!$O$7:$AX$7,),0))</f>
        <v>2158.8000000000002</v>
      </c>
      <c r="AX25" s="61">
        <f>INDEX(Data!$O$9:$AX$51,MATCH(Calculation!$AU$9,Data!$E$9:$E$51,0),MATCH(Calculation!AX$12&amp;Calculation!$AU25&amp;Calculation!AX$13,INDEX(Data!$O$5:$AX$5&amp;Data!$O$6:$AX$6&amp;Data!$O$7:$AX$7,),0))</f>
        <v>1955.1000000000001</v>
      </c>
      <c r="AY25" s="75"/>
      <c r="AZ25" s="75"/>
      <c r="BA25" s="76" t="str">
        <f t="shared" si="12"/>
        <v>D</v>
      </c>
      <c r="BB25" t="e">
        <f>IF(MATCH(cur_month,$AU$14:$AU$25,0)&gt;=ROWS(AU$14:$AU25),AV25,NA())</f>
        <v>#N/A</v>
      </c>
      <c r="BC25" s="61" t="e">
        <f t="shared" si="13"/>
        <v>#N/A</v>
      </c>
      <c r="BD25" s="61">
        <f t="shared" si="14"/>
        <v>1955.1000000000001</v>
      </c>
      <c r="BE25" t="e">
        <f t="shared" si="5"/>
        <v>#N/A</v>
      </c>
    </row>
    <row r="26" spans="2:57" x14ac:dyDescent="0.2">
      <c r="B26" t="s">
        <v>29</v>
      </c>
      <c r="I26" s="36" t="s">
        <v>45</v>
      </c>
      <c r="J26" t="s">
        <v>61</v>
      </c>
      <c r="K26" s="37" t="s">
        <v>74</v>
      </c>
      <c r="P26">
        <f t="shared" si="15"/>
        <v>12</v>
      </c>
      <c r="Q26" t="str">
        <f t="shared" si="16"/>
        <v>Silvrr</v>
      </c>
      <c r="R26" s="61">
        <f>IF(Q26&lt;&gt;"",INDEX(Data!$F$9:$N$51,MATCH($Q26,Data!$E$9:$E$51,0),MATCH(R$8,Data!$F$4:$N$4,0)),"")</f>
        <v>7666</v>
      </c>
      <c r="S26" s="61">
        <f>IF(R26&lt;&gt;"",INDEX(Data!$F$9:$N$51,MATCH($Q26,Data!$E$9:$E$51,0),MATCH(S$8,Data!$F$4:$N$4,0)),"")</f>
        <v>274</v>
      </c>
      <c r="T26" s="61">
        <f>IF(S26&lt;&gt;"",INDEX(Data!$F$9:$N$51,MATCH($Q26,Data!$E$9:$E$51,0),MATCH(T$8,Data!$F$4:$N$4,0)),"")</f>
        <v>6624</v>
      </c>
      <c r="U26" s="61">
        <f>IF(T26&lt;&gt;"",INDEX(Data!$F$9:$N$51,MATCH($Q26,Data!$E$9:$E$51,0),MATCH(U$8,Data!$F$4:$N$4,0)),"")</f>
        <v>5060</v>
      </c>
      <c r="V26" s="61">
        <f>IF(U26&lt;&gt;"",INDEX(Data!$F$9:$N$51,MATCH($Q26,Data!$E$9:$E$51,0),MATCH(V$8,Data!$F$4:$N$4,0)),"")</f>
        <v>369</v>
      </c>
      <c r="W26" s="61">
        <f>IF(V26&lt;&gt;"",INDEX(Data!$F$9:$N$51,MATCH($Q26,Data!$E$9:$E$51,0),MATCH(W$8,Data!$F$4:$N$4,0)),"")</f>
        <v>5174</v>
      </c>
      <c r="X26" s="61">
        <f>IF(W26&lt;&gt;"",INDEX(Data!$F$9:$N$51,MATCH($Q26,Data!$E$9:$E$51,0),MATCH(X$8,Data!$F$4:$N$4,0)),"")</f>
        <v>7099</v>
      </c>
      <c r="Y26" s="61">
        <f>IF(X26&lt;&gt;"",INDEX(Data!$F$9:$N$51,MATCH($Q26,Data!$E$9:$E$51,0),MATCH(Y$8,Data!$F$4:$N$4,0)),"")</f>
        <v>230</v>
      </c>
      <c r="Z26" s="61">
        <f>IF(Y26&lt;&gt;"",INDEX(Data!$F$9:$N$51,MATCH($Q26,Data!$E$9:$E$51,0),MATCH(Z$8,Data!$F$4:$N$4,0)),"")</f>
        <v>6253</v>
      </c>
      <c r="AA26" s="43">
        <f t="shared" si="6"/>
        <v>0.51501976284584983</v>
      </c>
      <c r="AB26" s="43">
        <f t="shared" si="7"/>
        <v>-0.25745257452574527</v>
      </c>
      <c r="AC26" s="43">
        <f t="shared" si="8"/>
        <v>0.28024739080015459</v>
      </c>
      <c r="AD26" s="43">
        <f t="shared" si="9"/>
        <v>7.9870404282293278E-2</v>
      </c>
      <c r="AE26" s="43">
        <f t="shared" si="10"/>
        <v>0.19130434782608696</v>
      </c>
      <c r="AF26" s="43">
        <f t="shared" si="11"/>
        <v>5.9331520869982411E-2</v>
      </c>
      <c r="AJ26" t="str">
        <f t="shared" si="17"/>
        <v>Silvrr</v>
      </c>
      <c r="AK26" s="48">
        <f t="shared" si="18"/>
        <v>5.9331523469982411E-2</v>
      </c>
      <c r="AL26" s="63"/>
    </row>
    <row r="27" spans="2:57" x14ac:dyDescent="0.2">
      <c r="B27" t="s">
        <v>30</v>
      </c>
      <c r="I27" s="36" t="s">
        <v>46</v>
      </c>
      <c r="J27" t="s">
        <v>62</v>
      </c>
      <c r="K27" s="37" t="s">
        <v>75</v>
      </c>
      <c r="P27">
        <f t="shared" si="15"/>
        <v>13</v>
      </c>
      <c r="Q27" t="str">
        <f t="shared" si="16"/>
        <v>Dasring</v>
      </c>
      <c r="R27" s="61">
        <f>IF(Q27&lt;&gt;"",INDEX(Data!$F$9:$N$51,MATCH($Q27,Data!$E$9:$E$51,0),MATCH(R$8,Data!$F$4:$N$4,0)),"")</f>
        <v>10857</v>
      </c>
      <c r="S27" s="61">
        <f>IF(R27&lt;&gt;"",INDEX(Data!$F$9:$N$51,MATCH($Q27,Data!$E$9:$E$51,0),MATCH(S$8,Data!$F$4:$N$4,0)),"")</f>
        <v>281</v>
      </c>
      <c r="T27" s="61">
        <f>IF(S27&lt;&gt;"",INDEX(Data!$F$9:$N$51,MATCH($Q27,Data!$E$9:$E$51,0),MATCH(T$8,Data!$F$4:$N$4,0)),"")</f>
        <v>4396</v>
      </c>
      <c r="U27" s="61">
        <f>IF(T27&lt;&gt;"",INDEX(Data!$F$9:$N$51,MATCH($Q27,Data!$E$9:$E$51,0),MATCH(U$8,Data!$F$4:$N$4,0)),"")</f>
        <v>10547</v>
      </c>
      <c r="V27" s="61">
        <f>IF(U27&lt;&gt;"",INDEX(Data!$F$9:$N$51,MATCH($Q27,Data!$E$9:$E$51,0),MATCH(V$8,Data!$F$4:$N$4,0)),"")</f>
        <v>281</v>
      </c>
      <c r="W27" s="61">
        <f>IF(V27&lt;&gt;"",INDEX(Data!$F$9:$N$51,MATCH($Q27,Data!$E$9:$E$51,0),MATCH(W$8,Data!$F$4:$N$4,0)),"")</f>
        <v>4979</v>
      </c>
      <c r="X27" s="61">
        <f>IF(W27&lt;&gt;"",INDEX(Data!$F$9:$N$51,MATCH($Q27,Data!$E$9:$E$51,0),MATCH(X$8,Data!$F$4:$N$4,0)),"")</f>
        <v>10799</v>
      </c>
      <c r="Y27" s="61">
        <f>IF(X27&lt;&gt;"",INDEX(Data!$F$9:$N$51,MATCH($Q27,Data!$E$9:$E$51,0),MATCH(Y$8,Data!$F$4:$N$4,0)),"")</f>
        <v>333</v>
      </c>
      <c r="Z27" s="61">
        <f>IF(Y27&lt;&gt;"",INDEX(Data!$F$9:$N$51,MATCH($Q27,Data!$E$9:$E$51,0),MATCH(Z$8,Data!$F$4:$N$4,0)),"")</f>
        <v>4779</v>
      </c>
      <c r="AA27" s="43">
        <f t="shared" si="6"/>
        <v>2.9392244240068265E-2</v>
      </c>
      <c r="AB27" s="43">
        <f t="shared" si="7"/>
        <v>0</v>
      </c>
      <c r="AC27" s="43">
        <f t="shared" si="8"/>
        <v>-0.1170917854990962</v>
      </c>
      <c r="AD27" s="43">
        <f t="shared" si="9"/>
        <v>5.3708676729326789E-3</v>
      </c>
      <c r="AE27" s="43">
        <f t="shared" si="10"/>
        <v>-0.15615615615615616</v>
      </c>
      <c r="AF27" s="43">
        <f t="shared" si="11"/>
        <v>-8.0142289181837204E-2</v>
      </c>
      <c r="AJ27" t="str">
        <f t="shared" si="17"/>
        <v>Dasring</v>
      </c>
      <c r="AK27" s="48">
        <f t="shared" si="18"/>
        <v>-8.0142286481837202E-2</v>
      </c>
      <c r="AL27" s="63"/>
    </row>
    <row r="28" spans="2:57" x14ac:dyDescent="0.2">
      <c r="I28" s="36" t="s">
        <v>47</v>
      </c>
      <c r="J28" t="s">
        <v>85</v>
      </c>
      <c r="K28" s="37" t="s">
        <v>76</v>
      </c>
      <c r="P28">
        <f t="shared" si="15"/>
        <v>14</v>
      </c>
      <c r="Q28" t="str">
        <f t="shared" si="16"/>
        <v>Rehire</v>
      </c>
      <c r="R28" s="61">
        <f>IF(Q28&lt;&gt;"",INDEX(Data!$F$9:$N$51,MATCH($Q28,Data!$E$9:$E$51,0),MATCH(R$8,Data!$F$4:$N$4,0)),"")</f>
        <v>9873</v>
      </c>
      <c r="S28" s="61">
        <f>IF(R28&lt;&gt;"",INDEX(Data!$F$9:$N$51,MATCH($Q28,Data!$E$9:$E$51,0),MATCH(S$8,Data!$F$4:$N$4,0)),"")</f>
        <v>370</v>
      </c>
      <c r="T28" s="61">
        <f>IF(S28&lt;&gt;"",INDEX(Data!$F$9:$N$51,MATCH($Q28,Data!$E$9:$E$51,0),MATCH(T$8,Data!$F$4:$N$4,0)),"")</f>
        <v>7076</v>
      </c>
      <c r="U28" s="61">
        <f>IF(T28&lt;&gt;"",INDEX(Data!$F$9:$N$51,MATCH($Q28,Data!$E$9:$E$51,0),MATCH(U$8,Data!$F$4:$N$4,0)),"")</f>
        <v>11069</v>
      </c>
      <c r="V28" s="61">
        <f>IF(U28&lt;&gt;"",INDEX(Data!$F$9:$N$51,MATCH($Q28,Data!$E$9:$E$51,0),MATCH(V$8,Data!$F$4:$N$4,0)),"")</f>
        <v>652</v>
      </c>
      <c r="W28" s="61">
        <f>IF(V28&lt;&gt;"",INDEX(Data!$F$9:$N$51,MATCH($Q28,Data!$E$9:$E$51,0),MATCH(W$8,Data!$F$4:$N$4,0)),"")</f>
        <v>6853</v>
      </c>
      <c r="X28" s="61">
        <f>IF(W28&lt;&gt;"",INDEX(Data!$F$9:$N$51,MATCH($Q28,Data!$E$9:$E$51,0),MATCH(X$8,Data!$F$4:$N$4,0)),"")</f>
        <v>10500</v>
      </c>
      <c r="Y28" s="61">
        <f>IF(X28&lt;&gt;"",INDEX(Data!$F$9:$N$51,MATCH($Q28,Data!$E$9:$E$51,0),MATCH(Y$8,Data!$F$4:$N$4,0)),"")</f>
        <v>637</v>
      </c>
      <c r="Z28" s="61">
        <f>IF(Y28&lt;&gt;"",INDEX(Data!$F$9:$N$51,MATCH($Q28,Data!$E$9:$E$51,0),MATCH(Z$8,Data!$F$4:$N$4,0)),"")</f>
        <v>8490</v>
      </c>
      <c r="AA28" s="43">
        <f t="shared" si="6"/>
        <v>-0.1080495076339326</v>
      </c>
      <c r="AB28" s="43">
        <f t="shared" si="7"/>
        <v>-0.43251533742331288</v>
      </c>
      <c r="AC28" s="43">
        <f t="shared" si="8"/>
        <v>3.2540493214650516E-2</v>
      </c>
      <c r="AD28" s="43">
        <f t="shared" si="9"/>
        <v>-5.9714285714285713E-2</v>
      </c>
      <c r="AE28" s="43">
        <f t="shared" si="10"/>
        <v>-0.41915227629513346</v>
      </c>
      <c r="AF28" s="43">
        <f t="shared" si="11"/>
        <v>-0.16654888103651355</v>
      </c>
      <c r="AJ28" t="str">
        <f t="shared" si="17"/>
        <v>Rehire</v>
      </c>
      <c r="AK28" s="48">
        <f t="shared" si="18"/>
        <v>-0.16654887823651354</v>
      </c>
      <c r="AL28" s="63"/>
    </row>
    <row r="29" spans="2:57" x14ac:dyDescent="0.2">
      <c r="I29" s="36" t="s">
        <v>48</v>
      </c>
      <c r="J29" t="s">
        <v>85</v>
      </c>
      <c r="K29" s="37" t="s">
        <v>85</v>
      </c>
      <c r="P29">
        <f t="shared" si="15"/>
        <v>15</v>
      </c>
      <c r="Q29" t="str">
        <f t="shared" si="16"/>
        <v>Didactic</v>
      </c>
      <c r="R29" s="61">
        <f>IF(Q29&lt;&gt;"",INDEX(Data!$F$9:$N$51,MATCH($Q29,Data!$E$9:$E$51,0),MATCH(R$8,Data!$F$4:$N$4,0)),"")</f>
        <v>6405</v>
      </c>
      <c r="S29" s="61">
        <f>IF(R29&lt;&gt;"",INDEX(Data!$F$9:$N$51,MATCH($Q29,Data!$E$9:$E$51,0),MATCH(S$8,Data!$F$4:$N$4,0)),"")</f>
        <v>363</v>
      </c>
      <c r="T29" s="61">
        <f>IF(S29&lt;&gt;"",INDEX(Data!$F$9:$N$51,MATCH($Q29,Data!$E$9:$E$51,0),MATCH(T$8,Data!$F$4:$N$4,0)),"")</f>
        <v>1389</v>
      </c>
      <c r="U29" s="61">
        <f>IF(T29&lt;&gt;"",INDEX(Data!$F$9:$N$51,MATCH($Q29,Data!$E$9:$E$51,0),MATCH(U$8,Data!$F$4:$N$4,0)),"")</f>
        <v>5995</v>
      </c>
      <c r="V29" s="61">
        <f>IF(U29&lt;&gt;"",INDEX(Data!$F$9:$N$51,MATCH($Q29,Data!$E$9:$E$51,0),MATCH(V$8,Data!$F$4:$N$4,0)),"")</f>
        <v>268</v>
      </c>
      <c r="W29" s="61">
        <f>IF(V29&lt;&gt;"",INDEX(Data!$F$9:$N$51,MATCH($Q29,Data!$E$9:$E$51,0),MATCH(W$8,Data!$F$4:$N$4,0)),"")</f>
        <v>1708</v>
      </c>
      <c r="X29" s="61">
        <f>IF(W29&lt;&gt;"",INDEX(Data!$F$9:$N$51,MATCH($Q29,Data!$E$9:$E$51,0),MATCH(X$8,Data!$F$4:$N$4,0)),"")</f>
        <v>5819</v>
      </c>
      <c r="Y29" s="61">
        <f>IF(X29&lt;&gt;"",INDEX(Data!$F$9:$N$51,MATCH($Q29,Data!$E$9:$E$51,0),MATCH(Y$8,Data!$F$4:$N$4,0)),"")</f>
        <v>248</v>
      </c>
      <c r="Z29" s="61">
        <f>IF(Y29&lt;&gt;"",INDEX(Data!$F$9:$N$51,MATCH($Q29,Data!$E$9:$E$51,0),MATCH(Z$8,Data!$F$4:$N$4,0)),"")</f>
        <v>2226</v>
      </c>
      <c r="AA29" s="43">
        <f t="shared" si="6"/>
        <v>6.8390325271059219E-2</v>
      </c>
      <c r="AB29" s="43">
        <f t="shared" si="7"/>
        <v>0.35447761194029853</v>
      </c>
      <c r="AC29" s="43">
        <f t="shared" si="8"/>
        <v>-0.18676814988290399</v>
      </c>
      <c r="AD29" s="43">
        <f t="shared" si="9"/>
        <v>0.10070458841725383</v>
      </c>
      <c r="AE29" s="43">
        <f t="shared" si="10"/>
        <v>0.46370967741935482</v>
      </c>
      <c r="AF29" s="43">
        <f t="shared" si="11"/>
        <v>-0.37601078167115903</v>
      </c>
      <c r="AJ29" t="str">
        <f t="shared" si="17"/>
        <v>Didactic</v>
      </c>
      <c r="AK29" s="48">
        <f t="shared" si="18"/>
        <v>-0.37601077877115902</v>
      </c>
      <c r="AL29" s="63"/>
    </row>
    <row r="30" spans="2:57" x14ac:dyDescent="0.2">
      <c r="I30" s="36" t="s">
        <v>49</v>
      </c>
      <c r="J30" t="s">
        <v>85</v>
      </c>
      <c r="K30" s="37" t="s">
        <v>85</v>
      </c>
      <c r="P30" t="str">
        <f t="shared" si="15"/>
        <v/>
      </c>
      <c r="Q30" t="str">
        <f t="shared" si="16"/>
        <v/>
      </c>
      <c r="R30" s="61" t="str">
        <f>IF(Q30&lt;&gt;"",INDEX(Data!$F$9:$N$51,MATCH($Q30,Data!$E$9:$E$51,0),MATCH(R$8,Data!$F$4:$N$4,0)),"")</f>
        <v/>
      </c>
      <c r="S30" s="61" t="str">
        <f>IF(R30&lt;&gt;"",INDEX(Data!$F$9:$N$51,MATCH($Q30,Data!$E$9:$E$51,0),MATCH(S$8,Data!$F$4:$N$4,0)),"")</f>
        <v/>
      </c>
      <c r="T30" s="61" t="str">
        <f>IF(S30&lt;&gt;"",INDEX(Data!$F$9:$N$51,MATCH($Q30,Data!$E$9:$E$51,0),MATCH(T$8,Data!$F$4:$N$4,0)),"")</f>
        <v/>
      </c>
      <c r="U30" s="61" t="str">
        <f>IF(T30&lt;&gt;"",INDEX(Data!$F$9:$N$51,MATCH($Q30,Data!$E$9:$E$51,0),MATCH(U$8,Data!$F$4:$N$4,0)),"")</f>
        <v/>
      </c>
      <c r="V30" s="61" t="str">
        <f>IF(U30&lt;&gt;"",INDEX(Data!$F$9:$N$51,MATCH($Q30,Data!$E$9:$E$51,0),MATCH(V$8,Data!$F$4:$N$4,0)),"")</f>
        <v/>
      </c>
      <c r="W30" s="61" t="str">
        <f>IF(V30&lt;&gt;"",INDEX(Data!$F$9:$N$51,MATCH($Q30,Data!$E$9:$E$51,0),MATCH(W$8,Data!$F$4:$N$4,0)),"")</f>
        <v/>
      </c>
      <c r="X30" s="61" t="str">
        <f>IF(W30&lt;&gt;"",INDEX(Data!$F$9:$N$51,MATCH($Q30,Data!$E$9:$E$51,0),MATCH(X$8,Data!$F$4:$N$4,0)),"")</f>
        <v/>
      </c>
      <c r="Y30" s="61" t="str">
        <f>IF(X30&lt;&gt;"",INDEX(Data!$F$9:$N$51,MATCH($Q30,Data!$E$9:$E$51,0),MATCH(Y$8,Data!$F$4:$N$4,0)),"")</f>
        <v/>
      </c>
      <c r="Z30" s="61" t="str">
        <f>IF(Y30&lt;&gt;"",INDEX(Data!$F$9:$N$51,MATCH($Q30,Data!$E$9:$E$51,0),MATCH(Z$8,Data!$F$4:$N$4,0)),"")</f>
        <v/>
      </c>
      <c r="AA30" s="43" t="str">
        <f t="shared" si="6"/>
        <v/>
      </c>
      <c r="AB30" s="43" t="str">
        <f t="shared" si="7"/>
        <v/>
      </c>
      <c r="AC30" s="43" t="str">
        <f t="shared" si="8"/>
        <v/>
      </c>
      <c r="AD30" s="43" t="str">
        <f t="shared" si="9"/>
        <v/>
      </c>
      <c r="AE30" s="43" t="str">
        <f t="shared" si="10"/>
        <v/>
      </c>
      <c r="AF30" s="43" t="str">
        <f t="shared" si="11"/>
        <v/>
      </c>
      <c r="AJ30" t="str">
        <f t="shared" si="17"/>
        <v/>
      </c>
      <c r="AK30" s="48" t="str">
        <f t="shared" si="18"/>
        <v/>
      </c>
      <c r="AL30" s="63"/>
    </row>
    <row r="31" spans="2:57" x14ac:dyDescent="0.2">
      <c r="I31" s="36"/>
      <c r="K31" s="37"/>
      <c r="P31" t="str">
        <f t="shared" si="15"/>
        <v/>
      </c>
      <c r="Q31" t="str">
        <f t="shared" si="16"/>
        <v/>
      </c>
      <c r="R31" s="61" t="str">
        <f>IF(Q31&lt;&gt;"",INDEX(Data!$F$9:$N$51,MATCH($Q31,Data!$E$9:$E$51,0),MATCH(R$8,Data!$F$4:$N$4,0)),"")</f>
        <v/>
      </c>
      <c r="S31" s="61" t="str">
        <f>IF(R31&lt;&gt;"",INDEX(Data!$F$9:$N$51,MATCH($Q31,Data!$E$9:$E$51,0),MATCH(S$8,Data!$F$4:$N$4,0)),"")</f>
        <v/>
      </c>
      <c r="T31" s="61" t="str">
        <f>IF(S31&lt;&gt;"",INDEX(Data!$F$9:$N$51,MATCH($Q31,Data!$E$9:$E$51,0),MATCH(T$8,Data!$F$4:$N$4,0)),"")</f>
        <v/>
      </c>
      <c r="U31" s="61" t="str">
        <f>IF(T31&lt;&gt;"",INDEX(Data!$F$9:$N$51,MATCH($Q31,Data!$E$9:$E$51,0),MATCH(U$8,Data!$F$4:$N$4,0)),"")</f>
        <v/>
      </c>
      <c r="V31" s="61" t="str">
        <f>IF(U31&lt;&gt;"",INDEX(Data!$F$9:$N$51,MATCH($Q31,Data!$E$9:$E$51,0),MATCH(V$8,Data!$F$4:$N$4,0)),"")</f>
        <v/>
      </c>
      <c r="W31" s="61" t="str">
        <f>IF(V31&lt;&gt;"",INDEX(Data!$F$9:$N$51,MATCH($Q31,Data!$E$9:$E$51,0),MATCH(W$8,Data!$F$4:$N$4,0)),"")</f>
        <v/>
      </c>
      <c r="X31" s="61" t="str">
        <f>IF(W31&lt;&gt;"",INDEX(Data!$F$9:$N$51,MATCH($Q31,Data!$E$9:$E$51,0),MATCH(X$8,Data!$F$4:$N$4,0)),"")</f>
        <v/>
      </c>
      <c r="Y31" s="61" t="str">
        <f>IF(X31&lt;&gt;"",INDEX(Data!$F$9:$N$51,MATCH($Q31,Data!$E$9:$E$51,0),MATCH(Y$8,Data!$F$4:$N$4,0)),"")</f>
        <v/>
      </c>
      <c r="Z31" s="61" t="str">
        <f>IF(Y31&lt;&gt;"",INDEX(Data!$F$9:$N$51,MATCH($Q31,Data!$E$9:$E$51,0),MATCH(Z$8,Data!$F$4:$N$4,0)),"")</f>
        <v/>
      </c>
      <c r="AA31" s="43" t="str">
        <f t="shared" si="6"/>
        <v/>
      </c>
      <c r="AB31" s="43" t="str">
        <f t="shared" si="7"/>
        <v/>
      </c>
      <c r="AC31" s="43" t="str">
        <f t="shared" si="8"/>
        <v/>
      </c>
      <c r="AD31" s="43" t="str">
        <f t="shared" si="9"/>
        <v/>
      </c>
      <c r="AE31" s="43" t="str">
        <f t="shared" si="10"/>
        <v/>
      </c>
      <c r="AF31" s="43" t="str">
        <f t="shared" si="11"/>
        <v/>
      </c>
      <c r="AJ31" t="str">
        <f t="shared" si="17"/>
        <v/>
      </c>
      <c r="AK31" s="48" t="str">
        <f t="shared" si="18"/>
        <v/>
      </c>
      <c r="AL31" s="63"/>
    </row>
    <row r="32" spans="2:57" x14ac:dyDescent="0.2">
      <c r="I32" s="36"/>
      <c r="K32" s="37"/>
      <c r="P32" t="str">
        <f t="shared" si="15"/>
        <v/>
      </c>
      <c r="Q32" t="str">
        <f t="shared" si="16"/>
        <v/>
      </c>
      <c r="R32" s="61" t="str">
        <f>IF(Q32&lt;&gt;"",INDEX(Data!$F$9:$N$51,MATCH($Q32,Data!$E$9:$E$51,0),MATCH(R$8,Data!$F$4:$N$4,0)),"")</f>
        <v/>
      </c>
      <c r="S32" s="61" t="str">
        <f>IF(R32&lt;&gt;"",INDEX(Data!$F$9:$N$51,MATCH($Q32,Data!$E$9:$E$51,0),MATCH(S$8,Data!$F$4:$N$4,0)),"")</f>
        <v/>
      </c>
      <c r="T32" s="61" t="str">
        <f>IF(S32&lt;&gt;"",INDEX(Data!$F$9:$N$51,MATCH($Q32,Data!$E$9:$E$51,0),MATCH(T$8,Data!$F$4:$N$4,0)),"")</f>
        <v/>
      </c>
      <c r="U32" s="61" t="str">
        <f>IF(T32&lt;&gt;"",INDEX(Data!$F$9:$N$51,MATCH($Q32,Data!$E$9:$E$51,0),MATCH(U$8,Data!$F$4:$N$4,0)),"")</f>
        <v/>
      </c>
      <c r="V32" s="61" t="str">
        <f>IF(U32&lt;&gt;"",INDEX(Data!$F$9:$N$51,MATCH($Q32,Data!$E$9:$E$51,0),MATCH(V$8,Data!$F$4:$N$4,0)),"")</f>
        <v/>
      </c>
      <c r="W32" s="61" t="str">
        <f>IF(V32&lt;&gt;"",INDEX(Data!$F$9:$N$51,MATCH($Q32,Data!$E$9:$E$51,0),MATCH(W$8,Data!$F$4:$N$4,0)),"")</f>
        <v/>
      </c>
      <c r="X32" s="61" t="str">
        <f>IF(W32&lt;&gt;"",INDEX(Data!$F$9:$N$51,MATCH($Q32,Data!$E$9:$E$51,0),MATCH(X$8,Data!$F$4:$N$4,0)),"")</f>
        <v/>
      </c>
      <c r="Y32" s="61" t="str">
        <f>IF(X32&lt;&gt;"",INDEX(Data!$F$9:$N$51,MATCH($Q32,Data!$E$9:$E$51,0),MATCH(Y$8,Data!$F$4:$N$4,0)),"")</f>
        <v/>
      </c>
      <c r="Z32" s="61" t="str">
        <f>IF(Y32&lt;&gt;"",INDEX(Data!$F$9:$N$51,MATCH($Q32,Data!$E$9:$E$51,0),MATCH(Z$8,Data!$F$4:$N$4,0)),"")</f>
        <v/>
      </c>
      <c r="AA32" s="43" t="str">
        <f t="shared" si="6"/>
        <v/>
      </c>
      <c r="AB32" s="43" t="str">
        <f t="shared" si="7"/>
        <v/>
      </c>
      <c r="AC32" s="43" t="str">
        <f t="shared" si="8"/>
        <v/>
      </c>
      <c r="AD32" s="43" t="str">
        <f t="shared" si="9"/>
        <v/>
      </c>
      <c r="AE32" s="43" t="str">
        <f t="shared" si="10"/>
        <v/>
      </c>
      <c r="AF32" s="43" t="str">
        <f t="shared" si="11"/>
        <v/>
      </c>
      <c r="AJ32" t="str">
        <f t="shared" si="17"/>
        <v/>
      </c>
      <c r="AK32" s="48" t="str">
        <f t="shared" si="18"/>
        <v/>
      </c>
      <c r="AL32" s="63"/>
    </row>
    <row r="33" spans="9:38" x14ac:dyDescent="0.2">
      <c r="I33" s="36"/>
      <c r="K33" s="37"/>
      <c r="P33" t="str">
        <f t="shared" si="15"/>
        <v/>
      </c>
      <c r="Q33" t="str">
        <f t="shared" si="16"/>
        <v/>
      </c>
      <c r="R33" s="61" t="str">
        <f>IF(Q33&lt;&gt;"",INDEX(Data!$F$9:$N$51,MATCH($Q33,Data!$E$9:$E$51,0),MATCH(R$8,Data!$F$4:$N$4,0)),"")</f>
        <v/>
      </c>
      <c r="S33" s="61" t="str">
        <f>IF(R33&lt;&gt;"",INDEX(Data!$F$9:$N$51,MATCH($Q33,Data!$E$9:$E$51,0),MATCH(S$8,Data!$F$4:$N$4,0)),"")</f>
        <v/>
      </c>
      <c r="T33" s="61" t="str">
        <f>IF(S33&lt;&gt;"",INDEX(Data!$F$9:$N$51,MATCH($Q33,Data!$E$9:$E$51,0),MATCH(T$8,Data!$F$4:$N$4,0)),"")</f>
        <v/>
      </c>
      <c r="U33" s="61" t="str">
        <f>IF(T33&lt;&gt;"",INDEX(Data!$F$9:$N$51,MATCH($Q33,Data!$E$9:$E$51,0),MATCH(U$8,Data!$F$4:$N$4,0)),"")</f>
        <v/>
      </c>
      <c r="V33" s="61" t="str">
        <f>IF(U33&lt;&gt;"",INDEX(Data!$F$9:$N$51,MATCH($Q33,Data!$E$9:$E$51,0),MATCH(V$8,Data!$F$4:$N$4,0)),"")</f>
        <v/>
      </c>
      <c r="W33" s="61" t="str">
        <f>IF(V33&lt;&gt;"",INDEX(Data!$F$9:$N$51,MATCH($Q33,Data!$E$9:$E$51,0),MATCH(W$8,Data!$F$4:$N$4,0)),"")</f>
        <v/>
      </c>
      <c r="X33" s="61" t="str">
        <f>IF(W33&lt;&gt;"",INDEX(Data!$F$9:$N$51,MATCH($Q33,Data!$E$9:$E$51,0),MATCH(X$8,Data!$F$4:$N$4,0)),"")</f>
        <v/>
      </c>
      <c r="Y33" s="61" t="str">
        <f>IF(X33&lt;&gt;"",INDEX(Data!$F$9:$N$51,MATCH($Q33,Data!$E$9:$E$51,0),MATCH(Y$8,Data!$F$4:$N$4,0)),"")</f>
        <v/>
      </c>
      <c r="Z33" s="61" t="str">
        <f>IF(Y33&lt;&gt;"",INDEX(Data!$F$9:$N$51,MATCH($Q33,Data!$E$9:$E$51,0),MATCH(Z$8,Data!$F$4:$N$4,0)),"")</f>
        <v/>
      </c>
      <c r="AA33" s="43" t="str">
        <f t="shared" si="6"/>
        <v/>
      </c>
      <c r="AB33" s="43" t="str">
        <f t="shared" si="7"/>
        <v/>
      </c>
      <c r="AC33" s="43" t="str">
        <f t="shared" si="8"/>
        <v/>
      </c>
      <c r="AD33" s="43" t="str">
        <f t="shared" si="9"/>
        <v/>
      </c>
      <c r="AE33" s="43" t="str">
        <f t="shared" si="10"/>
        <v/>
      </c>
      <c r="AF33" s="43" t="str">
        <f t="shared" si="11"/>
        <v/>
      </c>
      <c r="AJ33" t="str">
        <f t="shared" si="17"/>
        <v/>
      </c>
      <c r="AK33" s="48" t="str">
        <f t="shared" si="18"/>
        <v/>
      </c>
      <c r="AL33" s="63"/>
    </row>
    <row r="34" spans="9:38" x14ac:dyDescent="0.2">
      <c r="I34" s="36"/>
      <c r="K34" s="37"/>
      <c r="P34" t="str">
        <f t="shared" si="15"/>
        <v/>
      </c>
      <c r="Q34" t="str">
        <f t="shared" si="16"/>
        <v/>
      </c>
      <c r="R34" s="61" t="str">
        <f>IF(Q34&lt;&gt;"",INDEX(Data!$F$9:$N$51,MATCH($Q34,Data!$E$9:$E$51,0),MATCH(R$8,Data!$F$4:$N$4,0)),"")</f>
        <v/>
      </c>
      <c r="S34" s="61" t="str">
        <f>IF(R34&lt;&gt;"",INDEX(Data!$F$9:$N$51,MATCH($Q34,Data!$E$9:$E$51,0),MATCH(S$8,Data!$F$4:$N$4,0)),"")</f>
        <v/>
      </c>
      <c r="T34" s="61" t="str">
        <f>IF(S34&lt;&gt;"",INDEX(Data!$F$9:$N$51,MATCH($Q34,Data!$E$9:$E$51,0),MATCH(T$8,Data!$F$4:$N$4,0)),"")</f>
        <v/>
      </c>
      <c r="U34" s="61" t="str">
        <f>IF(T34&lt;&gt;"",INDEX(Data!$F$9:$N$51,MATCH($Q34,Data!$E$9:$E$51,0),MATCH(U$8,Data!$F$4:$N$4,0)),"")</f>
        <v/>
      </c>
      <c r="V34" s="61" t="str">
        <f>IF(U34&lt;&gt;"",INDEX(Data!$F$9:$N$51,MATCH($Q34,Data!$E$9:$E$51,0),MATCH(V$8,Data!$F$4:$N$4,0)),"")</f>
        <v/>
      </c>
      <c r="W34" s="61" t="str">
        <f>IF(V34&lt;&gt;"",INDEX(Data!$F$9:$N$51,MATCH($Q34,Data!$E$9:$E$51,0),MATCH(W$8,Data!$F$4:$N$4,0)),"")</f>
        <v/>
      </c>
      <c r="X34" s="61" t="str">
        <f>IF(W34&lt;&gt;"",INDEX(Data!$F$9:$N$51,MATCH($Q34,Data!$E$9:$E$51,0),MATCH(X$8,Data!$F$4:$N$4,0)),"")</f>
        <v/>
      </c>
      <c r="Y34" s="61" t="str">
        <f>IF(X34&lt;&gt;"",INDEX(Data!$F$9:$N$51,MATCH($Q34,Data!$E$9:$E$51,0),MATCH(Y$8,Data!$F$4:$N$4,0)),"")</f>
        <v/>
      </c>
      <c r="Z34" s="61" t="str">
        <f>IF(Y34&lt;&gt;"",INDEX(Data!$F$9:$N$51,MATCH($Q34,Data!$E$9:$E$51,0),MATCH(Z$8,Data!$F$4:$N$4,0)),"")</f>
        <v/>
      </c>
      <c r="AA34" s="43" t="str">
        <f t="shared" si="6"/>
        <v/>
      </c>
      <c r="AB34" s="43" t="str">
        <f t="shared" si="7"/>
        <v/>
      </c>
      <c r="AC34" s="43" t="str">
        <f t="shared" si="8"/>
        <v/>
      </c>
      <c r="AD34" s="43" t="str">
        <f t="shared" si="9"/>
        <v/>
      </c>
      <c r="AE34" s="43" t="str">
        <f t="shared" si="10"/>
        <v/>
      </c>
      <c r="AF34" s="43" t="str">
        <f t="shared" si="11"/>
        <v/>
      </c>
      <c r="AJ34" t="str">
        <f t="shared" si="17"/>
        <v/>
      </c>
      <c r="AK34" s="48" t="str">
        <f t="shared" si="18"/>
        <v/>
      </c>
      <c r="AL34" s="63"/>
    </row>
    <row r="35" spans="9:38" x14ac:dyDescent="0.2">
      <c r="I35" s="38"/>
      <c r="J35" s="20"/>
      <c r="K35" s="39"/>
      <c r="P35" s="20" t="str">
        <f t="shared" si="15"/>
        <v/>
      </c>
      <c r="Q35" s="20" t="str">
        <f t="shared" si="16"/>
        <v/>
      </c>
      <c r="R35" s="61" t="str">
        <f>IF(Q35&lt;&gt;"",INDEX(Data!$F$9:$N$51,MATCH($Q35,Data!$E$9:$E$51,0),MATCH(R$8,Data!$F$4:$N$4,0)),"")</f>
        <v/>
      </c>
      <c r="S35" s="61" t="str">
        <f>IF(R35&lt;&gt;"",INDEX(Data!$F$9:$N$51,MATCH($Q35,Data!$E$9:$E$51,0),MATCH(S$8,Data!$F$4:$N$4,0)),"")</f>
        <v/>
      </c>
      <c r="T35" s="61" t="str">
        <f>IF(S35&lt;&gt;"",INDEX(Data!$F$9:$N$51,MATCH($Q35,Data!$E$9:$E$51,0),MATCH(T$8,Data!$F$4:$N$4,0)),"")</f>
        <v/>
      </c>
      <c r="U35" s="61" t="str">
        <f>IF(T35&lt;&gt;"",INDEX(Data!$F$9:$N$51,MATCH($Q35,Data!$E$9:$E$51,0),MATCH(U$8,Data!$F$4:$N$4,0)),"")</f>
        <v/>
      </c>
      <c r="V35" s="61" t="str">
        <f>IF(U35&lt;&gt;"",INDEX(Data!$F$9:$N$51,MATCH($Q35,Data!$E$9:$E$51,0),MATCH(V$8,Data!$F$4:$N$4,0)),"")</f>
        <v/>
      </c>
      <c r="W35" s="61" t="str">
        <f>IF(V35&lt;&gt;"",INDEX(Data!$F$9:$N$51,MATCH($Q35,Data!$E$9:$E$51,0),MATCH(W$8,Data!$F$4:$N$4,0)),"")</f>
        <v/>
      </c>
      <c r="X35" s="61" t="str">
        <f>IF(W35&lt;&gt;"",INDEX(Data!$F$9:$N$51,MATCH($Q35,Data!$E$9:$E$51,0),MATCH(X$8,Data!$F$4:$N$4,0)),"")</f>
        <v/>
      </c>
      <c r="Y35" s="61" t="str">
        <f>IF(X35&lt;&gt;"",INDEX(Data!$F$9:$N$51,MATCH($Q35,Data!$E$9:$E$51,0),MATCH(Y$8,Data!$F$4:$N$4,0)),"")</f>
        <v/>
      </c>
      <c r="Z35" s="61" t="str">
        <f>IF(Y35&lt;&gt;"",INDEX(Data!$F$9:$N$51,MATCH($Q35,Data!$E$9:$E$51,0),MATCH(Z$8,Data!$F$4:$N$4,0)),"")</f>
        <v/>
      </c>
      <c r="AA35" s="43" t="str">
        <f t="shared" si="6"/>
        <v/>
      </c>
      <c r="AB35" s="43" t="str">
        <f t="shared" si="7"/>
        <v/>
      </c>
      <c r="AC35" s="43" t="str">
        <f t="shared" si="8"/>
        <v/>
      </c>
      <c r="AD35" s="43" t="str">
        <f t="shared" si="9"/>
        <v/>
      </c>
      <c r="AE35" s="43" t="str">
        <f t="shared" si="10"/>
        <v/>
      </c>
      <c r="AF35" s="43" t="str">
        <f t="shared" si="11"/>
        <v/>
      </c>
      <c r="AJ35" t="str">
        <f t="shared" si="17"/>
        <v/>
      </c>
      <c r="AK35" s="48" t="str">
        <f t="shared" si="18"/>
        <v/>
      </c>
      <c r="AL35" s="63"/>
    </row>
    <row r="36" spans="9:38" x14ac:dyDescent="0.2">
      <c r="R36" s="67"/>
      <c r="S36" s="67"/>
      <c r="T36" s="67"/>
      <c r="U36" s="68"/>
      <c r="V36" s="68"/>
      <c r="W36" s="68"/>
      <c r="X36" s="69"/>
      <c r="Y36" s="69"/>
      <c r="Z36" s="69"/>
      <c r="AA36" s="70"/>
      <c r="AB36" s="70"/>
      <c r="AC36" s="70"/>
      <c r="AD36" s="71"/>
      <c r="AE36" s="71"/>
      <c r="AF36" s="71"/>
      <c r="AJ36" s="34"/>
      <c r="AK36" s="34"/>
    </row>
    <row r="37" spans="9:38" x14ac:dyDescent="0.2">
      <c r="Q37" t="str">
        <f>INDEX(I15:K15,D5)</f>
        <v>Productivity Apps</v>
      </c>
      <c r="R37" s="61">
        <f>IF(Q37&lt;&gt;"",INDEX(Data!$F$9:$N$51,MATCH($Q37,Data!$E$9:$E$51,0),MATCH(R$8,Data!$F$4:$N$4,0)),"")</f>
        <v>162643</v>
      </c>
      <c r="S37" s="61">
        <f>IF(R37&lt;&gt;"",INDEX(Data!$F$9:$N$51,MATCH($Q37,Data!$E$9:$E$51,0),MATCH(S$8,Data!$F$4:$N$4,0)),"")</f>
        <v>9359</v>
      </c>
      <c r="T37" s="61">
        <f>IF(S37&lt;&gt;"",INDEX(Data!$F$9:$N$51,MATCH($Q37,Data!$E$9:$E$51,0),MATCH(T$8,Data!$F$4:$N$4,0)),"")</f>
        <v>103058</v>
      </c>
      <c r="U37" s="61">
        <f>IF(T37&lt;&gt;"",INDEX(Data!$F$9:$N$51,MATCH($Q37,Data!$E$9:$E$51,0),MATCH(U$8,Data!$F$4:$N$4,0)),"")</f>
        <v>159773</v>
      </c>
      <c r="V37" s="61">
        <f>IF(U37&lt;&gt;"",INDEX(Data!$F$9:$N$51,MATCH($Q37,Data!$E$9:$E$51,0),MATCH(V$8,Data!$F$4:$N$4,0)),"")</f>
        <v>9241</v>
      </c>
      <c r="W37" s="61">
        <f>IF(V37&lt;&gt;"",INDEX(Data!$F$9:$N$51,MATCH($Q37,Data!$E$9:$E$51,0),MATCH(W$8,Data!$F$4:$N$4,0)),"")</f>
        <v>103723</v>
      </c>
      <c r="X37" s="61">
        <f>IF(W37&lt;&gt;"",INDEX(Data!$F$9:$N$51,MATCH($Q37,Data!$E$9:$E$51,0),MATCH(X$8,Data!$F$4:$N$4,0)),"")</f>
        <v>164760</v>
      </c>
      <c r="Y37" s="61">
        <f>IF(X37&lt;&gt;"",INDEX(Data!$F$9:$N$51,MATCH($Q37,Data!$E$9:$E$51,0),MATCH(Y$8,Data!$F$4:$N$4,0)),"")</f>
        <v>9443</v>
      </c>
      <c r="Z37" s="61">
        <f>IF(Y37&lt;&gt;"",INDEX(Data!$F$9:$N$51,MATCH($Q37,Data!$E$9:$E$51,0),MATCH(Z$8,Data!$F$4:$N$4,0)),"")</f>
        <v>104426</v>
      </c>
      <c r="AA37" s="43">
        <f t="shared" ref="AA37" si="24">IF($Q37&lt;&gt;"",(R37-U37)/U37,"")</f>
        <v>1.7962984984947396E-2</v>
      </c>
      <c r="AB37" s="43">
        <f t="shared" ref="AB37" si="25">IF($Q37&lt;&gt;"",(S37-V37)/V37,"")</f>
        <v>1.2769180824586083E-2</v>
      </c>
      <c r="AC37" s="43">
        <f t="shared" ref="AC37" si="26">IF($Q37&lt;&gt;"",(T37-W37)/W37,"")</f>
        <v>-6.4113070389402544E-3</v>
      </c>
      <c r="AD37" s="43">
        <f t="shared" ref="AD37" si="27">IF($Q37&lt;&gt;"",(R37-X37)/X37,"")</f>
        <v>-1.2848992473901432E-2</v>
      </c>
      <c r="AE37" s="43">
        <f t="shared" ref="AE37" si="28">IF($Q37&lt;&gt;"",(S37-Y37)/Y37,"")</f>
        <v>-8.8954781319495919E-3</v>
      </c>
      <c r="AF37" s="43">
        <f t="shared" ref="AF37" si="29">IF($Q37&lt;&gt;"",(T37-Z37)/Z37,"")</f>
        <v>-1.3100185777488366E-2</v>
      </c>
    </row>
    <row r="40" spans="9:38" x14ac:dyDescent="0.2">
      <c r="R40" s="31" t="s">
        <v>106</v>
      </c>
      <c r="S40" s="30"/>
      <c r="T40" s="30"/>
      <c r="U40" s="31"/>
      <c r="V40" s="31"/>
      <c r="AA40" s="31" t="s">
        <v>105</v>
      </c>
      <c r="AB40" s="30"/>
      <c r="AC40" s="30"/>
      <c r="AD40" s="31"/>
      <c r="AE40" s="31"/>
      <c r="AF40" s="31"/>
      <c r="AG40" s="31"/>
    </row>
    <row r="42" spans="9:38" x14ac:dyDescent="0.2">
      <c r="R42" t="s">
        <v>107</v>
      </c>
      <c r="S42" s="61">
        <f>R37-X37</f>
        <v>-2117</v>
      </c>
      <c r="T42" t="str">
        <f>IF(S42&gt;0,"Over Budget","Under Budget")</f>
        <v>Under Budget</v>
      </c>
      <c r="AA42" t="s">
        <v>99</v>
      </c>
      <c r="AB42" s="48">
        <f>MIN(AA15:AA35)</f>
        <v>-0.24733679322589455</v>
      </c>
    </row>
    <row r="43" spans="9:38" x14ac:dyDescent="0.2">
      <c r="R43" t="s">
        <v>108</v>
      </c>
      <c r="S43" s="61">
        <f>S37-Y37</f>
        <v>-84</v>
      </c>
      <c r="T43" t="str">
        <f t="shared" ref="T43:T44" si="30">IF(S43&gt;0,"Over Budget","Under Budget")</f>
        <v>Under Budget</v>
      </c>
      <c r="AA43" t="s">
        <v>100</v>
      </c>
      <c r="AB43" s="48">
        <f>MAX(AA15:AA35)</f>
        <v>0.55541292255027819</v>
      </c>
    </row>
    <row r="44" spans="9:38" x14ac:dyDescent="0.2">
      <c r="R44" t="s">
        <v>109</v>
      </c>
      <c r="S44" s="61">
        <f>T37-Z37</f>
        <v>-1368</v>
      </c>
      <c r="T44" t="str">
        <f t="shared" si="30"/>
        <v>Under Budget</v>
      </c>
    </row>
    <row r="45" spans="9:38" x14ac:dyDescent="0.2">
      <c r="AA45" t="s">
        <v>101</v>
      </c>
      <c r="AB45" s="48">
        <f>MIN(AB15:AB35)</f>
        <v>-0.57020057306590255</v>
      </c>
    </row>
    <row r="46" spans="9:38" x14ac:dyDescent="0.2">
      <c r="AA46" t="s">
        <v>102</v>
      </c>
      <c r="AB46" s="48">
        <f>MAX(AB15:AB35)</f>
        <v>0.48417721518987344</v>
      </c>
    </row>
    <row r="48" spans="9:38" x14ac:dyDescent="0.2">
      <c r="AA48" t="s">
        <v>103</v>
      </c>
      <c r="AB48" s="48">
        <f>MIN(AC15:AC35)</f>
        <v>-0.18676814988290399</v>
      </c>
    </row>
    <row r="49" spans="27:28" x14ac:dyDescent="0.2">
      <c r="AA49" t="s">
        <v>104</v>
      </c>
      <c r="AB49" s="48">
        <f>MAX(AC15:AC35)</f>
        <v>0.29337539432176657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A5A3-5621-40CA-B947-039D9BC22CF1}">
  <dimension ref="E1:AX51"/>
  <sheetViews>
    <sheetView tabSelected="1" workbookViewId="0"/>
  </sheetViews>
  <sheetFormatPr baseColWidth="10" defaultColWidth="8.83203125" defaultRowHeight="15" x14ac:dyDescent="0.2"/>
  <cols>
    <col min="1" max="4" width="0.1640625" customWidth="1"/>
    <col min="5" max="5" width="16.83203125" customWidth="1"/>
  </cols>
  <sheetData>
    <row r="1" spans="5:50" x14ac:dyDescent="0.2">
      <c r="E1" t="s">
        <v>77</v>
      </c>
    </row>
    <row r="2" spans="5:50" x14ac:dyDescent="0.2">
      <c r="E2">
        <f>cur_year</f>
        <v>2017</v>
      </c>
      <c r="F2">
        <f>$E$2-1</f>
        <v>2016</v>
      </c>
    </row>
    <row r="3" spans="5:50" x14ac:dyDescent="0.2">
      <c r="F3" s="5" t="s">
        <v>0</v>
      </c>
      <c r="G3" s="6"/>
      <c r="H3" s="7"/>
      <c r="I3" s="8" t="s">
        <v>18</v>
      </c>
      <c r="J3" s="9"/>
      <c r="K3" s="10"/>
      <c r="L3" s="11" t="s">
        <v>2</v>
      </c>
      <c r="M3" s="11"/>
      <c r="N3" s="12"/>
      <c r="O3" s="5" t="s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8" t="s">
        <v>18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13"/>
      <c r="AM3" s="11" t="s">
        <v>2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5:50" x14ac:dyDescent="0.2">
      <c r="E4" t="s">
        <v>93</v>
      </c>
      <c r="F4" s="41" t="str">
        <f t="shared" ref="F4:AX4" si="0">F8&amp;F7&amp;F6&amp;F5</f>
        <v>RevenueActualApr2017</v>
      </c>
      <c r="G4" s="42" t="str">
        <f t="shared" si="0"/>
        <v>ProfitActualApr2017</v>
      </c>
      <c r="H4" s="42" t="str">
        <f t="shared" si="0"/>
        <v>CashActualApr2017</v>
      </c>
      <c r="I4" s="41" t="str">
        <f t="shared" si="0"/>
        <v>RevenueActualApr2016</v>
      </c>
      <c r="J4" s="42" t="str">
        <f t="shared" si="0"/>
        <v>ProfitActualApr2016</v>
      </c>
      <c r="K4" s="42" t="str">
        <f t="shared" si="0"/>
        <v>CashActualApr2016</v>
      </c>
      <c r="L4" s="41" t="str">
        <f t="shared" si="0"/>
        <v>RevenueBudgetApr2017</v>
      </c>
      <c r="M4" s="41" t="str">
        <f t="shared" si="0"/>
        <v>ProfitBudgetApr2017</v>
      </c>
      <c r="N4" s="41" t="str">
        <f t="shared" si="0"/>
        <v>CashBudgetApr2017</v>
      </c>
      <c r="O4" s="41" t="str">
        <f t="shared" si="0"/>
        <v>ProfitActualJan2017</v>
      </c>
      <c r="P4" s="42" t="str">
        <f t="shared" si="0"/>
        <v>ProfitActualFeb2017</v>
      </c>
      <c r="Q4" s="42" t="str">
        <f t="shared" si="0"/>
        <v>ProfitActualMar2017</v>
      </c>
      <c r="R4" s="42" t="str">
        <f t="shared" si="0"/>
        <v>ProfitActualApr2017</v>
      </c>
      <c r="S4" s="42" t="str">
        <f t="shared" si="0"/>
        <v>ProfitActualMay2017</v>
      </c>
      <c r="T4" s="42" t="str">
        <f t="shared" si="0"/>
        <v>ProfitActualJun2017</v>
      </c>
      <c r="U4" s="42" t="str">
        <f t="shared" si="0"/>
        <v>ProfitActualJul2017</v>
      </c>
      <c r="V4" s="42" t="str">
        <f t="shared" si="0"/>
        <v>ProfitActualAug2017</v>
      </c>
      <c r="W4" s="42" t="str">
        <f t="shared" si="0"/>
        <v>ProfitActualSep2017</v>
      </c>
      <c r="X4" s="42" t="str">
        <f t="shared" si="0"/>
        <v>ProfitActualOct2017</v>
      </c>
      <c r="Y4" s="42" t="str">
        <f t="shared" si="0"/>
        <v>ProfitActualNov2017</v>
      </c>
      <c r="Z4" s="42" t="str">
        <f t="shared" si="0"/>
        <v>ProfitActualDec2017</v>
      </c>
      <c r="AA4" s="41" t="str">
        <f t="shared" si="0"/>
        <v>ProfitActualJan2016</v>
      </c>
      <c r="AB4" s="41" t="str">
        <f t="shared" si="0"/>
        <v>ProfitActualFeb2016</v>
      </c>
      <c r="AC4" s="41" t="str">
        <f t="shared" si="0"/>
        <v>ProfitActualMar2016</v>
      </c>
      <c r="AD4" s="41" t="str">
        <f t="shared" si="0"/>
        <v>ProfitActualApr2016</v>
      </c>
      <c r="AE4" s="41" t="str">
        <f t="shared" si="0"/>
        <v>ProfitActualMay2016</v>
      </c>
      <c r="AF4" s="41" t="str">
        <f t="shared" si="0"/>
        <v>ProfitActualJun2016</v>
      </c>
      <c r="AG4" s="41" t="str">
        <f t="shared" si="0"/>
        <v>ProfitActualJul2016</v>
      </c>
      <c r="AH4" s="41" t="str">
        <f t="shared" si="0"/>
        <v>ProfitActualAug2016</v>
      </c>
      <c r="AI4" s="41" t="str">
        <f t="shared" si="0"/>
        <v>ProfitActualSep2016</v>
      </c>
      <c r="AJ4" s="41" t="str">
        <f t="shared" si="0"/>
        <v>ProfitActualOct2016</v>
      </c>
      <c r="AK4" s="41" t="str">
        <f t="shared" si="0"/>
        <v>ProfitActualNov2016</v>
      </c>
      <c r="AL4" s="41" t="str">
        <f t="shared" si="0"/>
        <v>ProfitActualDec2016</v>
      </c>
      <c r="AM4" s="41" t="str">
        <f t="shared" si="0"/>
        <v>ProfitBudgetJan2017</v>
      </c>
      <c r="AN4" s="42" t="str">
        <f t="shared" si="0"/>
        <v>ProfitBudgetFeb2017</v>
      </c>
      <c r="AO4" s="42" t="str">
        <f t="shared" si="0"/>
        <v>ProfitBudgetMar2017</v>
      </c>
      <c r="AP4" s="42" t="str">
        <f t="shared" si="0"/>
        <v>ProfitBudgetApr2017</v>
      </c>
      <c r="AQ4" s="42" t="str">
        <f t="shared" si="0"/>
        <v>ProfitBudgetMay2017</v>
      </c>
      <c r="AR4" s="42" t="str">
        <f t="shared" si="0"/>
        <v>ProfitBudgetJun2017</v>
      </c>
      <c r="AS4" s="42" t="str">
        <f t="shared" si="0"/>
        <v>ProfitBudgetJul2017</v>
      </c>
      <c r="AT4" s="42" t="str">
        <f t="shared" si="0"/>
        <v>ProfitBudgetAug2017</v>
      </c>
      <c r="AU4" s="42" t="str">
        <f t="shared" si="0"/>
        <v>ProfitBudgetSep2017</v>
      </c>
      <c r="AV4" s="42" t="str">
        <f t="shared" si="0"/>
        <v>ProfitBudgetOct2017</v>
      </c>
      <c r="AW4" s="42" t="str">
        <f t="shared" si="0"/>
        <v>ProfitBudgetNov2017</v>
      </c>
      <c r="AX4" s="42" t="str">
        <f t="shared" si="0"/>
        <v>ProfitBudgetDec2017</v>
      </c>
    </row>
    <row r="5" spans="5:50" x14ac:dyDescent="0.2">
      <c r="F5" s="15">
        <f t="shared" ref="F5:H5" si="1">$E$2</f>
        <v>2017</v>
      </c>
      <c r="G5" s="15">
        <f t="shared" si="1"/>
        <v>2017</v>
      </c>
      <c r="H5" s="15">
        <f t="shared" si="1"/>
        <v>2017</v>
      </c>
      <c r="I5" s="15">
        <f t="shared" ref="I5:K5" si="2">$F$2</f>
        <v>2016</v>
      </c>
      <c r="J5" s="15">
        <f t="shared" si="2"/>
        <v>2016</v>
      </c>
      <c r="K5" s="15">
        <f t="shared" si="2"/>
        <v>2016</v>
      </c>
      <c r="L5" s="15">
        <f t="shared" ref="L5:N5" si="3">$E$2</f>
        <v>2017</v>
      </c>
      <c r="M5" s="15">
        <f t="shared" si="3"/>
        <v>2017</v>
      </c>
      <c r="N5" s="15">
        <f t="shared" si="3"/>
        <v>2017</v>
      </c>
      <c r="O5" s="16">
        <f t="shared" ref="O5:R5" si="4">$E$2</f>
        <v>2017</v>
      </c>
      <c r="P5" s="16">
        <f t="shared" si="4"/>
        <v>2017</v>
      </c>
      <c r="Q5" s="16">
        <f t="shared" si="4"/>
        <v>2017</v>
      </c>
      <c r="R5" s="16">
        <f t="shared" si="4"/>
        <v>2017</v>
      </c>
      <c r="S5" s="16">
        <f t="shared" ref="S5:X5" si="5">$E$2</f>
        <v>2017</v>
      </c>
      <c r="T5" s="16">
        <f t="shared" si="5"/>
        <v>2017</v>
      </c>
      <c r="U5" s="16">
        <f t="shared" si="5"/>
        <v>2017</v>
      </c>
      <c r="V5" s="16">
        <f t="shared" si="5"/>
        <v>2017</v>
      </c>
      <c r="W5" s="16">
        <f t="shared" si="5"/>
        <v>2017</v>
      </c>
      <c r="X5" s="16">
        <f t="shared" si="5"/>
        <v>2017</v>
      </c>
      <c r="Y5" s="16">
        <f t="shared" ref="Y5:Z5" si="6">$E$2</f>
        <v>2017</v>
      </c>
      <c r="Z5" s="16">
        <f t="shared" si="6"/>
        <v>2017</v>
      </c>
      <c r="AA5" s="17">
        <f t="shared" ref="AA5:AC5" si="7">$F$2</f>
        <v>2016</v>
      </c>
      <c r="AB5" s="16">
        <f t="shared" si="7"/>
        <v>2016</v>
      </c>
      <c r="AC5" s="16">
        <f t="shared" si="7"/>
        <v>2016</v>
      </c>
      <c r="AD5" s="16">
        <f t="shared" ref="AD5:AI5" si="8">$F$2</f>
        <v>2016</v>
      </c>
      <c r="AE5" s="16">
        <f t="shared" si="8"/>
        <v>2016</v>
      </c>
      <c r="AF5" s="16">
        <f t="shared" si="8"/>
        <v>2016</v>
      </c>
      <c r="AG5" s="16">
        <f t="shared" si="8"/>
        <v>2016</v>
      </c>
      <c r="AH5" s="16">
        <f t="shared" si="8"/>
        <v>2016</v>
      </c>
      <c r="AI5" s="16">
        <f t="shared" si="8"/>
        <v>2016</v>
      </c>
      <c r="AJ5" s="16">
        <f t="shared" ref="AJ5:AL5" si="9">$F$2</f>
        <v>2016</v>
      </c>
      <c r="AK5" s="16">
        <f t="shared" si="9"/>
        <v>2016</v>
      </c>
      <c r="AL5" s="16">
        <f t="shared" si="9"/>
        <v>2016</v>
      </c>
      <c r="AM5" s="16">
        <f t="shared" ref="AM5:AX5" si="10">$E$2</f>
        <v>2017</v>
      </c>
      <c r="AN5" s="16">
        <f t="shared" si="10"/>
        <v>2017</v>
      </c>
      <c r="AO5" s="16">
        <f t="shared" si="10"/>
        <v>2017</v>
      </c>
      <c r="AP5" s="16">
        <f t="shared" si="10"/>
        <v>2017</v>
      </c>
      <c r="AQ5" s="16">
        <f t="shared" si="10"/>
        <v>2017</v>
      </c>
      <c r="AR5" s="16">
        <f t="shared" si="10"/>
        <v>2017</v>
      </c>
      <c r="AS5" s="16">
        <f t="shared" si="10"/>
        <v>2017</v>
      </c>
      <c r="AT5" s="16">
        <f t="shared" si="10"/>
        <v>2017</v>
      </c>
      <c r="AU5" s="16">
        <f t="shared" si="10"/>
        <v>2017</v>
      </c>
      <c r="AV5" s="16">
        <f t="shared" si="10"/>
        <v>2017</v>
      </c>
      <c r="AW5" s="16">
        <f t="shared" si="10"/>
        <v>2017</v>
      </c>
      <c r="AX5" s="16">
        <f t="shared" si="10"/>
        <v>2017</v>
      </c>
    </row>
    <row r="6" spans="5:50" x14ac:dyDescent="0.2">
      <c r="F6" s="15" t="str">
        <f t="shared" ref="F6:N6" si="11">cur_mnth</f>
        <v>Apr</v>
      </c>
      <c r="G6" s="15" t="str">
        <f t="shared" si="11"/>
        <v>Apr</v>
      </c>
      <c r="H6" s="15" t="str">
        <f t="shared" si="11"/>
        <v>Apr</v>
      </c>
      <c r="I6" s="15" t="str">
        <f t="shared" si="11"/>
        <v>Apr</v>
      </c>
      <c r="J6" s="15" t="str">
        <f t="shared" si="11"/>
        <v>Apr</v>
      </c>
      <c r="K6" s="15" t="str">
        <f t="shared" si="11"/>
        <v>Apr</v>
      </c>
      <c r="L6" s="15" t="str">
        <f t="shared" si="11"/>
        <v>Apr</v>
      </c>
      <c r="M6" s="15" t="str">
        <f t="shared" si="11"/>
        <v>Apr</v>
      </c>
      <c r="N6" s="15" t="str">
        <f t="shared" si="11"/>
        <v>Apr</v>
      </c>
      <c r="O6" s="16" t="s">
        <v>19</v>
      </c>
      <c r="P6" s="16" t="s">
        <v>20</v>
      </c>
      <c r="Q6" s="16" t="s">
        <v>21</v>
      </c>
      <c r="R6" s="16" t="s">
        <v>22</v>
      </c>
      <c r="S6" s="16" t="s">
        <v>23</v>
      </c>
      <c r="T6" s="16" t="s">
        <v>24</v>
      </c>
      <c r="U6" s="16" t="s">
        <v>25</v>
      </c>
      <c r="V6" s="16" t="s">
        <v>26</v>
      </c>
      <c r="W6" s="16" t="s">
        <v>27</v>
      </c>
      <c r="X6" s="16" t="s">
        <v>28</v>
      </c>
      <c r="Y6" s="16" t="s">
        <v>29</v>
      </c>
      <c r="Z6" s="19" t="s">
        <v>30</v>
      </c>
      <c r="AA6" s="16" t="s">
        <v>19</v>
      </c>
      <c r="AB6" s="16" t="s">
        <v>20</v>
      </c>
      <c r="AC6" s="16" t="s">
        <v>21</v>
      </c>
      <c r="AD6" s="16" t="s">
        <v>22</v>
      </c>
      <c r="AE6" s="16" t="s">
        <v>23</v>
      </c>
      <c r="AF6" s="16" t="s">
        <v>24</v>
      </c>
      <c r="AG6" s="16" t="s">
        <v>25</v>
      </c>
      <c r="AH6" s="16" t="s">
        <v>26</v>
      </c>
      <c r="AI6" s="16" t="s">
        <v>27</v>
      </c>
      <c r="AJ6" s="16" t="s">
        <v>28</v>
      </c>
      <c r="AK6" s="16" t="s">
        <v>29</v>
      </c>
      <c r="AL6" s="19" t="s">
        <v>30</v>
      </c>
      <c r="AM6" s="16" t="s">
        <v>19</v>
      </c>
      <c r="AN6" s="16" t="s">
        <v>20</v>
      </c>
      <c r="AO6" s="16" t="s">
        <v>21</v>
      </c>
      <c r="AP6" s="16" t="s">
        <v>22</v>
      </c>
      <c r="AQ6" s="16" t="s">
        <v>23</v>
      </c>
      <c r="AR6" s="16" t="s">
        <v>24</v>
      </c>
      <c r="AS6" s="16" t="s">
        <v>25</v>
      </c>
      <c r="AT6" s="16" t="s">
        <v>26</v>
      </c>
      <c r="AU6" s="16" t="s">
        <v>27</v>
      </c>
      <c r="AV6" s="16" t="s">
        <v>28</v>
      </c>
      <c r="AW6" s="16" t="s">
        <v>29</v>
      </c>
      <c r="AX6" s="16" t="s">
        <v>30</v>
      </c>
    </row>
    <row r="7" spans="5:50" x14ac:dyDescent="0.2">
      <c r="F7" s="15" t="s">
        <v>0</v>
      </c>
      <c r="G7" s="15" t="s">
        <v>0</v>
      </c>
      <c r="H7" s="18" t="s">
        <v>0</v>
      </c>
      <c r="I7" s="15" t="s">
        <v>0</v>
      </c>
      <c r="J7" s="15" t="s">
        <v>0</v>
      </c>
      <c r="K7" s="18" t="s">
        <v>0</v>
      </c>
      <c r="L7" s="15" t="s">
        <v>2</v>
      </c>
      <c r="M7" s="15" t="s">
        <v>2</v>
      </c>
      <c r="N7" s="18" t="s">
        <v>2</v>
      </c>
      <c r="O7" s="16" t="s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16" t="s">
        <v>0</v>
      </c>
      <c r="X7" s="16" t="s">
        <v>0</v>
      </c>
      <c r="Y7" s="16" t="s">
        <v>0</v>
      </c>
      <c r="Z7" s="16" t="s">
        <v>0</v>
      </c>
      <c r="AA7" s="17" t="s">
        <v>0</v>
      </c>
      <c r="AB7" s="16" t="s">
        <v>0</v>
      </c>
      <c r="AC7" s="16" t="s">
        <v>0</v>
      </c>
      <c r="AD7" s="16" t="s">
        <v>0</v>
      </c>
      <c r="AE7" s="16" t="s">
        <v>0</v>
      </c>
      <c r="AF7" s="16" t="s">
        <v>0</v>
      </c>
      <c r="AG7" s="16" t="s">
        <v>0</v>
      </c>
      <c r="AH7" s="16" t="s">
        <v>0</v>
      </c>
      <c r="AI7" s="16" t="s">
        <v>0</v>
      </c>
      <c r="AJ7" s="16" t="s">
        <v>0</v>
      </c>
      <c r="AK7" s="16" t="s">
        <v>0</v>
      </c>
      <c r="AL7" s="19" t="s">
        <v>0</v>
      </c>
      <c r="AM7" s="16" t="s">
        <v>2</v>
      </c>
      <c r="AN7" s="16" t="s">
        <v>2</v>
      </c>
      <c r="AO7" s="16" t="s">
        <v>2</v>
      </c>
      <c r="AP7" s="16" t="s">
        <v>2</v>
      </c>
      <c r="AQ7" s="16" t="s">
        <v>2</v>
      </c>
      <c r="AR7" s="16" t="s">
        <v>2</v>
      </c>
      <c r="AS7" s="16" t="s">
        <v>2</v>
      </c>
      <c r="AT7" s="16" t="s">
        <v>2</v>
      </c>
      <c r="AU7" s="16" t="s">
        <v>2</v>
      </c>
      <c r="AV7" s="16" t="s">
        <v>2</v>
      </c>
      <c r="AW7" s="16" t="s">
        <v>2</v>
      </c>
      <c r="AX7" s="16" t="s">
        <v>2</v>
      </c>
    </row>
    <row r="8" spans="5:50" x14ac:dyDescent="0.2">
      <c r="E8" s="20"/>
      <c r="F8" s="21" t="s">
        <v>31</v>
      </c>
      <c r="G8" s="21" t="s">
        <v>32</v>
      </c>
      <c r="H8" s="22" t="s">
        <v>33</v>
      </c>
      <c r="I8" s="21" t="s">
        <v>31</v>
      </c>
      <c r="J8" s="21" t="s">
        <v>32</v>
      </c>
      <c r="K8" s="22" t="s">
        <v>33</v>
      </c>
      <c r="L8" s="21" t="s">
        <v>31</v>
      </c>
      <c r="M8" s="21" t="s">
        <v>32</v>
      </c>
      <c r="N8" s="22" t="s">
        <v>33</v>
      </c>
      <c r="O8" s="23" t="s">
        <v>32</v>
      </c>
      <c r="P8" s="23" t="s">
        <v>32</v>
      </c>
      <c r="Q8" s="23" t="s">
        <v>32</v>
      </c>
      <c r="R8" s="23" t="s">
        <v>32</v>
      </c>
      <c r="S8" s="23" t="s">
        <v>32</v>
      </c>
      <c r="T8" s="23" t="s">
        <v>32</v>
      </c>
      <c r="U8" s="23" t="s">
        <v>32</v>
      </c>
      <c r="V8" s="23" t="s">
        <v>32</v>
      </c>
      <c r="W8" s="23" t="s">
        <v>32</v>
      </c>
      <c r="X8" s="23" t="s">
        <v>32</v>
      </c>
      <c r="Y8" s="23" t="s">
        <v>32</v>
      </c>
      <c r="Z8" s="23" t="s">
        <v>32</v>
      </c>
      <c r="AA8" s="24" t="s">
        <v>32</v>
      </c>
      <c r="AB8" s="23" t="s">
        <v>32</v>
      </c>
      <c r="AC8" s="23" t="s">
        <v>32</v>
      </c>
      <c r="AD8" s="23" t="s">
        <v>32</v>
      </c>
      <c r="AE8" s="23" t="s">
        <v>32</v>
      </c>
      <c r="AF8" s="23" t="s">
        <v>32</v>
      </c>
      <c r="AG8" s="23" t="s">
        <v>32</v>
      </c>
      <c r="AH8" s="23" t="s">
        <v>32</v>
      </c>
      <c r="AI8" s="23" t="s">
        <v>32</v>
      </c>
      <c r="AJ8" s="23" t="s">
        <v>32</v>
      </c>
      <c r="AK8" s="23" t="s">
        <v>32</v>
      </c>
      <c r="AL8" s="25" t="s">
        <v>32</v>
      </c>
      <c r="AM8" s="23" t="s">
        <v>32</v>
      </c>
      <c r="AN8" s="23" t="s">
        <v>32</v>
      </c>
      <c r="AO8" s="23" t="s">
        <v>32</v>
      </c>
      <c r="AP8" s="23" t="s">
        <v>32</v>
      </c>
      <c r="AQ8" s="23" t="s">
        <v>32</v>
      </c>
      <c r="AR8" s="23" t="s">
        <v>32</v>
      </c>
      <c r="AS8" s="23" t="s">
        <v>32</v>
      </c>
      <c r="AT8" s="23" t="s">
        <v>32</v>
      </c>
      <c r="AU8" s="23" t="s">
        <v>32</v>
      </c>
      <c r="AV8" s="23" t="s">
        <v>32</v>
      </c>
      <c r="AW8" s="23" t="s">
        <v>32</v>
      </c>
      <c r="AX8" s="23" t="s">
        <v>32</v>
      </c>
    </row>
    <row r="9" spans="5:50" x14ac:dyDescent="0.2">
      <c r="E9" t="s">
        <v>34</v>
      </c>
      <c r="F9">
        <v>162643</v>
      </c>
      <c r="G9">
        <v>9359</v>
      </c>
      <c r="H9" s="26">
        <v>103058</v>
      </c>
      <c r="I9">
        <v>159773</v>
      </c>
      <c r="J9">
        <v>9241</v>
      </c>
      <c r="K9" s="26">
        <v>103723</v>
      </c>
      <c r="L9">
        <v>164760</v>
      </c>
      <c r="M9">
        <v>9443</v>
      </c>
      <c r="N9" s="26">
        <v>104426</v>
      </c>
      <c r="O9">
        <v>1005</v>
      </c>
      <c r="P9">
        <v>2218</v>
      </c>
      <c r="Q9">
        <v>3685</v>
      </c>
      <c r="R9">
        <v>5304</v>
      </c>
      <c r="S9">
        <v>7477</v>
      </c>
      <c r="T9">
        <v>9359</v>
      </c>
      <c r="AA9" s="27">
        <v>1136</v>
      </c>
      <c r="AB9">
        <v>2193</v>
      </c>
      <c r="AC9">
        <v>3803</v>
      </c>
      <c r="AD9">
        <v>5307</v>
      </c>
      <c r="AE9">
        <v>6687</v>
      </c>
      <c r="AF9">
        <v>8231</v>
      </c>
      <c r="AG9">
        <v>9662</v>
      </c>
      <c r="AH9">
        <v>10821</v>
      </c>
      <c r="AI9">
        <v>11926</v>
      </c>
      <c r="AJ9">
        <v>13136</v>
      </c>
      <c r="AK9">
        <v>13951</v>
      </c>
      <c r="AL9" s="26">
        <v>14067</v>
      </c>
      <c r="AM9">
        <v>953</v>
      </c>
      <c r="AN9">
        <v>1990</v>
      </c>
      <c r="AO9">
        <v>3619</v>
      </c>
      <c r="AP9">
        <v>5170</v>
      </c>
      <c r="AQ9">
        <v>6762</v>
      </c>
      <c r="AR9">
        <v>8451</v>
      </c>
      <c r="AS9">
        <v>10075</v>
      </c>
      <c r="AT9">
        <v>10901</v>
      </c>
      <c r="AU9">
        <v>12366</v>
      </c>
      <c r="AV9">
        <v>13962</v>
      </c>
      <c r="AW9">
        <v>15507</v>
      </c>
      <c r="AX9">
        <v>15918</v>
      </c>
    </row>
    <row r="10" spans="5:50" x14ac:dyDescent="0.2">
      <c r="E10" s="28" t="s">
        <v>35</v>
      </c>
      <c r="F10">
        <v>14432</v>
      </c>
      <c r="G10">
        <v>240</v>
      </c>
      <c r="H10" s="26">
        <v>11099</v>
      </c>
      <c r="I10">
        <v>13699</v>
      </c>
      <c r="J10">
        <v>210</v>
      </c>
      <c r="K10" s="26">
        <v>12058</v>
      </c>
      <c r="L10">
        <v>15113</v>
      </c>
      <c r="M10">
        <v>363</v>
      </c>
      <c r="N10" s="26">
        <v>11468</v>
      </c>
      <c r="O10">
        <v>23</v>
      </c>
      <c r="P10">
        <v>66</v>
      </c>
      <c r="Q10">
        <v>171</v>
      </c>
      <c r="R10">
        <v>200</v>
      </c>
      <c r="S10">
        <v>222</v>
      </c>
      <c r="T10">
        <v>240</v>
      </c>
      <c r="AA10" s="27">
        <v>22</v>
      </c>
      <c r="AB10">
        <v>32</v>
      </c>
      <c r="AC10">
        <v>44</v>
      </c>
      <c r="AD10">
        <v>54</v>
      </c>
      <c r="AE10">
        <v>68</v>
      </c>
      <c r="AF10">
        <v>76</v>
      </c>
      <c r="AG10">
        <v>89</v>
      </c>
      <c r="AH10">
        <v>110</v>
      </c>
      <c r="AI10">
        <v>113</v>
      </c>
      <c r="AJ10">
        <v>191</v>
      </c>
      <c r="AK10">
        <v>276</v>
      </c>
      <c r="AL10" s="26">
        <v>264</v>
      </c>
      <c r="AM10">
        <v>49</v>
      </c>
      <c r="AN10">
        <v>92</v>
      </c>
      <c r="AO10">
        <v>163</v>
      </c>
      <c r="AP10">
        <v>228</v>
      </c>
      <c r="AQ10">
        <v>299</v>
      </c>
      <c r="AR10">
        <v>363</v>
      </c>
      <c r="AS10">
        <v>423</v>
      </c>
      <c r="AT10">
        <v>483</v>
      </c>
      <c r="AU10">
        <v>535</v>
      </c>
      <c r="AV10">
        <v>607</v>
      </c>
      <c r="AW10">
        <v>671</v>
      </c>
      <c r="AX10">
        <v>582</v>
      </c>
    </row>
    <row r="11" spans="5:50" x14ac:dyDescent="0.2">
      <c r="E11" s="28" t="s">
        <v>36</v>
      </c>
      <c r="F11">
        <v>17990</v>
      </c>
      <c r="G11">
        <v>1166</v>
      </c>
      <c r="H11" s="26">
        <v>7137</v>
      </c>
      <c r="I11">
        <v>16395</v>
      </c>
      <c r="J11">
        <v>1003</v>
      </c>
      <c r="K11" s="26">
        <v>7423</v>
      </c>
      <c r="L11">
        <v>18181</v>
      </c>
      <c r="M11">
        <v>1223</v>
      </c>
      <c r="N11" s="26">
        <v>8196</v>
      </c>
      <c r="O11">
        <v>170</v>
      </c>
      <c r="P11">
        <v>327</v>
      </c>
      <c r="Q11">
        <v>512</v>
      </c>
      <c r="R11">
        <v>732</v>
      </c>
      <c r="S11">
        <v>941</v>
      </c>
      <c r="T11">
        <v>1166</v>
      </c>
      <c r="AA11" s="27">
        <v>149</v>
      </c>
      <c r="AB11">
        <v>274</v>
      </c>
      <c r="AC11">
        <v>490</v>
      </c>
      <c r="AD11">
        <v>641</v>
      </c>
      <c r="AE11">
        <v>823</v>
      </c>
      <c r="AF11">
        <v>1003</v>
      </c>
      <c r="AG11">
        <v>1164</v>
      </c>
      <c r="AH11">
        <v>1272</v>
      </c>
      <c r="AI11">
        <v>1395</v>
      </c>
      <c r="AJ11">
        <v>1538</v>
      </c>
      <c r="AK11">
        <v>1712</v>
      </c>
      <c r="AL11" s="26">
        <v>1750</v>
      </c>
      <c r="AM11">
        <v>151</v>
      </c>
      <c r="AN11">
        <v>302</v>
      </c>
      <c r="AO11">
        <v>547</v>
      </c>
      <c r="AP11">
        <v>772</v>
      </c>
      <c r="AQ11">
        <v>1002</v>
      </c>
      <c r="AR11">
        <v>1223</v>
      </c>
      <c r="AS11">
        <v>1402</v>
      </c>
      <c r="AT11">
        <v>1507</v>
      </c>
      <c r="AU11">
        <v>1724</v>
      </c>
      <c r="AV11">
        <v>1977</v>
      </c>
      <c r="AW11">
        <v>2191</v>
      </c>
      <c r="AX11">
        <v>2239</v>
      </c>
    </row>
    <row r="12" spans="5:50" x14ac:dyDescent="0.2">
      <c r="E12" s="28" t="s">
        <v>37</v>
      </c>
      <c r="F12">
        <v>15117</v>
      </c>
      <c r="G12">
        <v>1613</v>
      </c>
      <c r="H12" s="26">
        <v>5828</v>
      </c>
      <c r="I12">
        <v>14138</v>
      </c>
      <c r="J12">
        <v>1200</v>
      </c>
      <c r="K12" s="26">
        <v>6212</v>
      </c>
      <c r="L12">
        <v>13455</v>
      </c>
      <c r="M12">
        <v>1400</v>
      </c>
      <c r="N12" s="26">
        <v>5810</v>
      </c>
      <c r="O12">
        <v>150</v>
      </c>
      <c r="P12">
        <v>315</v>
      </c>
      <c r="Q12">
        <v>537</v>
      </c>
      <c r="R12">
        <v>795</v>
      </c>
      <c r="S12">
        <v>1393</v>
      </c>
      <c r="T12">
        <v>1613</v>
      </c>
      <c r="AA12" s="27">
        <v>47</v>
      </c>
      <c r="AB12">
        <v>144</v>
      </c>
      <c r="AC12">
        <v>268</v>
      </c>
      <c r="AD12">
        <v>358</v>
      </c>
      <c r="AE12">
        <v>430</v>
      </c>
      <c r="AF12">
        <v>516</v>
      </c>
      <c r="AG12">
        <v>608</v>
      </c>
      <c r="AH12">
        <v>710</v>
      </c>
      <c r="AI12">
        <v>796</v>
      </c>
      <c r="AJ12">
        <v>866</v>
      </c>
      <c r="AK12">
        <v>990</v>
      </c>
      <c r="AL12" s="26">
        <v>1000</v>
      </c>
      <c r="AM12">
        <v>128</v>
      </c>
      <c r="AN12">
        <v>238</v>
      </c>
      <c r="AO12">
        <v>365</v>
      </c>
      <c r="AP12">
        <v>489</v>
      </c>
      <c r="AQ12">
        <v>614</v>
      </c>
      <c r="AR12">
        <v>732</v>
      </c>
      <c r="AS12">
        <v>864</v>
      </c>
      <c r="AT12">
        <v>993</v>
      </c>
      <c r="AU12">
        <v>1129</v>
      </c>
      <c r="AV12">
        <v>1270</v>
      </c>
      <c r="AW12">
        <v>1404</v>
      </c>
      <c r="AX12">
        <v>1460</v>
      </c>
    </row>
    <row r="13" spans="5:50" x14ac:dyDescent="0.2">
      <c r="E13" s="28" t="s">
        <v>38</v>
      </c>
      <c r="F13">
        <v>11154</v>
      </c>
      <c r="G13">
        <v>731</v>
      </c>
      <c r="H13" s="26">
        <v>8008</v>
      </c>
      <c r="I13">
        <v>11502</v>
      </c>
      <c r="J13">
        <v>499</v>
      </c>
      <c r="K13" s="26">
        <v>8953</v>
      </c>
      <c r="L13">
        <v>12031</v>
      </c>
      <c r="M13">
        <v>641</v>
      </c>
      <c r="N13" s="26">
        <v>8424</v>
      </c>
      <c r="O13">
        <v>135</v>
      </c>
      <c r="P13">
        <v>239</v>
      </c>
      <c r="Q13">
        <v>341</v>
      </c>
      <c r="R13">
        <v>445</v>
      </c>
      <c r="S13">
        <v>623</v>
      </c>
      <c r="T13">
        <v>731</v>
      </c>
      <c r="AA13" s="27">
        <v>119</v>
      </c>
      <c r="AB13">
        <v>139</v>
      </c>
      <c r="AC13">
        <v>245</v>
      </c>
      <c r="AD13">
        <v>350</v>
      </c>
      <c r="AE13">
        <v>410</v>
      </c>
      <c r="AF13">
        <v>499</v>
      </c>
      <c r="AG13">
        <v>547</v>
      </c>
      <c r="AH13">
        <v>520</v>
      </c>
      <c r="AI13">
        <v>550</v>
      </c>
      <c r="AJ13">
        <v>551</v>
      </c>
      <c r="AK13">
        <v>573</v>
      </c>
      <c r="AL13" s="26">
        <v>472</v>
      </c>
      <c r="AM13">
        <v>114</v>
      </c>
      <c r="AN13">
        <v>184</v>
      </c>
      <c r="AO13">
        <v>287</v>
      </c>
      <c r="AP13">
        <v>404</v>
      </c>
      <c r="AQ13">
        <v>521</v>
      </c>
      <c r="AR13">
        <v>641</v>
      </c>
      <c r="AS13">
        <v>734</v>
      </c>
      <c r="AT13">
        <v>742</v>
      </c>
      <c r="AU13">
        <v>848</v>
      </c>
      <c r="AV13">
        <v>956</v>
      </c>
      <c r="AW13">
        <v>1065</v>
      </c>
      <c r="AX13">
        <v>1065</v>
      </c>
    </row>
    <row r="14" spans="5:50" x14ac:dyDescent="0.2">
      <c r="E14" s="28" t="s">
        <v>39</v>
      </c>
      <c r="F14">
        <v>11022</v>
      </c>
      <c r="G14">
        <v>550</v>
      </c>
      <c r="H14" s="26">
        <v>9000</v>
      </c>
      <c r="I14">
        <v>14644</v>
      </c>
      <c r="J14">
        <v>780</v>
      </c>
      <c r="K14" s="26">
        <v>8670</v>
      </c>
      <c r="L14">
        <v>13112</v>
      </c>
      <c r="M14">
        <v>474</v>
      </c>
      <c r="N14" s="26">
        <v>8193</v>
      </c>
      <c r="O14">
        <v>62</v>
      </c>
      <c r="P14">
        <v>144</v>
      </c>
      <c r="Q14">
        <v>167</v>
      </c>
      <c r="R14">
        <v>201</v>
      </c>
      <c r="S14">
        <v>319</v>
      </c>
      <c r="T14">
        <v>550</v>
      </c>
      <c r="AA14" s="27">
        <v>146</v>
      </c>
      <c r="AB14">
        <v>307</v>
      </c>
      <c r="AC14">
        <v>433</v>
      </c>
      <c r="AD14">
        <v>560</v>
      </c>
      <c r="AE14">
        <v>669</v>
      </c>
      <c r="AF14">
        <v>780</v>
      </c>
      <c r="AG14">
        <v>884</v>
      </c>
      <c r="AH14">
        <v>1263</v>
      </c>
      <c r="AI14">
        <v>1263</v>
      </c>
      <c r="AJ14">
        <v>1263</v>
      </c>
      <c r="AK14">
        <v>1265</v>
      </c>
      <c r="AL14" s="26">
        <v>1275</v>
      </c>
      <c r="AM14">
        <v>36</v>
      </c>
      <c r="AN14">
        <v>154</v>
      </c>
      <c r="AO14">
        <v>248</v>
      </c>
      <c r="AP14">
        <v>359</v>
      </c>
      <c r="AQ14">
        <v>441</v>
      </c>
      <c r="AR14">
        <v>474</v>
      </c>
      <c r="AS14">
        <v>525</v>
      </c>
      <c r="AT14">
        <v>587</v>
      </c>
      <c r="AU14">
        <v>649</v>
      </c>
      <c r="AV14">
        <v>693</v>
      </c>
      <c r="AW14">
        <v>754</v>
      </c>
      <c r="AX14">
        <v>714</v>
      </c>
    </row>
    <row r="15" spans="5:50" x14ac:dyDescent="0.2">
      <c r="E15" s="28" t="s">
        <v>40</v>
      </c>
      <c r="F15">
        <v>8905</v>
      </c>
      <c r="G15">
        <v>469</v>
      </c>
      <c r="H15" s="26">
        <v>6026</v>
      </c>
      <c r="I15">
        <v>8796</v>
      </c>
      <c r="J15">
        <v>316</v>
      </c>
      <c r="K15" s="26">
        <v>6251</v>
      </c>
      <c r="L15">
        <v>9096</v>
      </c>
      <c r="M15">
        <v>620</v>
      </c>
      <c r="N15" s="26">
        <v>5804</v>
      </c>
      <c r="O15">
        <v>24</v>
      </c>
      <c r="P15">
        <v>81</v>
      </c>
      <c r="Q15">
        <v>150</v>
      </c>
      <c r="R15">
        <v>314</v>
      </c>
      <c r="S15">
        <v>403</v>
      </c>
      <c r="T15">
        <v>469</v>
      </c>
      <c r="AA15" s="27">
        <v>42</v>
      </c>
      <c r="AB15">
        <v>63</v>
      </c>
      <c r="AC15">
        <v>128</v>
      </c>
      <c r="AD15">
        <v>142</v>
      </c>
      <c r="AE15">
        <v>214</v>
      </c>
      <c r="AF15">
        <v>316</v>
      </c>
      <c r="AG15">
        <v>419</v>
      </c>
      <c r="AH15">
        <v>491</v>
      </c>
      <c r="AI15">
        <v>576</v>
      </c>
      <c r="AJ15">
        <v>644</v>
      </c>
      <c r="AK15">
        <v>650</v>
      </c>
      <c r="AL15" s="26">
        <v>551</v>
      </c>
      <c r="AM15">
        <v>100</v>
      </c>
      <c r="AN15">
        <v>204</v>
      </c>
      <c r="AO15">
        <v>293</v>
      </c>
      <c r="AP15">
        <v>422</v>
      </c>
      <c r="AQ15">
        <v>513</v>
      </c>
      <c r="AR15">
        <v>620</v>
      </c>
      <c r="AS15">
        <v>722</v>
      </c>
      <c r="AT15">
        <v>748</v>
      </c>
      <c r="AU15">
        <v>846</v>
      </c>
      <c r="AV15">
        <v>942</v>
      </c>
      <c r="AW15">
        <v>1050</v>
      </c>
      <c r="AX15">
        <v>1161</v>
      </c>
    </row>
    <row r="16" spans="5:50" x14ac:dyDescent="0.2">
      <c r="E16" s="28" t="s">
        <v>41</v>
      </c>
      <c r="F16">
        <v>16735</v>
      </c>
      <c r="G16">
        <v>800</v>
      </c>
      <c r="H16" s="26">
        <v>10149</v>
      </c>
      <c r="I16">
        <v>17503</v>
      </c>
      <c r="J16">
        <v>1083</v>
      </c>
      <c r="K16" s="26">
        <v>10507</v>
      </c>
      <c r="L16">
        <v>18207</v>
      </c>
      <c r="M16">
        <v>1176</v>
      </c>
      <c r="N16" s="26">
        <v>10508</v>
      </c>
      <c r="O16">
        <v>140</v>
      </c>
      <c r="P16">
        <v>280</v>
      </c>
      <c r="Q16">
        <v>390</v>
      </c>
      <c r="R16">
        <v>460</v>
      </c>
      <c r="S16">
        <v>670</v>
      </c>
      <c r="T16">
        <v>800</v>
      </c>
      <c r="AA16" s="27">
        <v>69</v>
      </c>
      <c r="AB16">
        <v>194</v>
      </c>
      <c r="AC16">
        <v>401</v>
      </c>
      <c r="AD16">
        <v>668</v>
      </c>
      <c r="AE16">
        <v>864</v>
      </c>
      <c r="AF16">
        <v>1083</v>
      </c>
      <c r="AG16">
        <v>1363</v>
      </c>
      <c r="AH16">
        <v>1364</v>
      </c>
      <c r="AI16">
        <v>1483</v>
      </c>
      <c r="AJ16">
        <v>1720</v>
      </c>
      <c r="AK16">
        <v>1909</v>
      </c>
      <c r="AL16" s="26">
        <v>1913</v>
      </c>
      <c r="AM16">
        <v>79</v>
      </c>
      <c r="AN16">
        <v>227</v>
      </c>
      <c r="AO16">
        <v>459</v>
      </c>
      <c r="AP16">
        <v>700</v>
      </c>
      <c r="AQ16">
        <v>939</v>
      </c>
      <c r="AR16">
        <v>1176</v>
      </c>
      <c r="AS16">
        <v>1417</v>
      </c>
      <c r="AT16">
        <v>1417</v>
      </c>
      <c r="AU16">
        <v>1605</v>
      </c>
      <c r="AV16">
        <v>1928</v>
      </c>
      <c r="AW16">
        <v>2257</v>
      </c>
      <c r="AX16">
        <v>2428</v>
      </c>
    </row>
    <row r="17" spans="5:50" x14ac:dyDescent="0.2">
      <c r="E17" s="28" t="s">
        <v>42</v>
      </c>
      <c r="F17">
        <v>3635</v>
      </c>
      <c r="G17">
        <v>96</v>
      </c>
      <c r="H17" s="26">
        <v>2050</v>
      </c>
      <c r="I17">
        <v>2337</v>
      </c>
      <c r="J17">
        <v>90</v>
      </c>
      <c r="K17" s="26">
        <v>1585</v>
      </c>
      <c r="L17">
        <v>3579</v>
      </c>
      <c r="M17">
        <v>184</v>
      </c>
      <c r="N17" s="26">
        <v>1396</v>
      </c>
      <c r="O17">
        <v>9</v>
      </c>
      <c r="P17">
        <v>17</v>
      </c>
      <c r="Q17">
        <v>20</v>
      </c>
      <c r="R17">
        <v>15</v>
      </c>
      <c r="S17">
        <v>31</v>
      </c>
      <c r="T17">
        <v>96</v>
      </c>
      <c r="AA17" s="27">
        <v>17</v>
      </c>
      <c r="AB17">
        <v>29</v>
      </c>
      <c r="AC17">
        <v>44</v>
      </c>
      <c r="AD17">
        <v>45</v>
      </c>
      <c r="AE17">
        <v>48</v>
      </c>
      <c r="AF17">
        <v>55</v>
      </c>
      <c r="AG17">
        <v>58</v>
      </c>
      <c r="AH17">
        <v>35</v>
      </c>
      <c r="AI17">
        <v>41</v>
      </c>
      <c r="AJ17">
        <v>138</v>
      </c>
      <c r="AK17">
        <v>203</v>
      </c>
      <c r="AL17" s="26">
        <v>298</v>
      </c>
      <c r="AM17">
        <v>31</v>
      </c>
      <c r="AN17">
        <v>61</v>
      </c>
      <c r="AO17">
        <v>92</v>
      </c>
      <c r="AP17">
        <v>123</v>
      </c>
      <c r="AQ17">
        <v>153</v>
      </c>
      <c r="AR17">
        <v>184</v>
      </c>
      <c r="AS17">
        <v>215</v>
      </c>
      <c r="AT17">
        <v>245</v>
      </c>
      <c r="AU17">
        <v>276</v>
      </c>
      <c r="AV17">
        <v>307</v>
      </c>
      <c r="AW17">
        <v>337</v>
      </c>
      <c r="AX17">
        <v>368</v>
      </c>
    </row>
    <row r="18" spans="5:50" x14ac:dyDescent="0.2">
      <c r="E18" s="28" t="s">
        <v>43</v>
      </c>
      <c r="F18">
        <v>15627</v>
      </c>
      <c r="G18">
        <v>1996</v>
      </c>
      <c r="H18" s="26">
        <v>9397</v>
      </c>
      <c r="I18">
        <v>15357</v>
      </c>
      <c r="J18">
        <v>1908</v>
      </c>
      <c r="K18" s="26">
        <v>9702</v>
      </c>
      <c r="L18">
        <v>14634</v>
      </c>
      <c r="M18">
        <v>1584</v>
      </c>
      <c r="N18" s="26">
        <v>9527</v>
      </c>
      <c r="O18">
        <v>73</v>
      </c>
      <c r="P18">
        <v>240</v>
      </c>
      <c r="Q18">
        <v>626</v>
      </c>
      <c r="R18">
        <v>1100</v>
      </c>
      <c r="S18">
        <v>1558</v>
      </c>
      <c r="T18">
        <v>1996</v>
      </c>
      <c r="AA18" s="27">
        <v>48</v>
      </c>
      <c r="AB18">
        <v>231</v>
      </c>
      <c r="AC18">
        <v>575</v>
      </c>
      <c r="AD18">
        <v>968</v>
      </c>
      <c r="AE18">
        <v>1432</v>
      </c>
      <c r="AF18">
        <v>1908</v>
      </c>
      <c r="AG18">
        <v>2413</v>
      </c>
      <c r="AH18">
        <v>2869</v>
      </c>
      <c r="AI18">
        <v>3230</v>
      </c>
      <c r="AJ18">
        <v>3594</v>
      </c>
      <c r="AK18">
        <v>3595</v>
      </c>
      <c r="AL18" s="26">
        <v>3600</v>
      </c>
      <c r="AM18">
        <v>48</v>
      </c>
      <c r="AN18">
        <v>105</v>
      </c>
      <c r="AO18">
        <v>507</v>
      </c>
      <c r="AP18">
        <v>791</v>
      </c>
      <c r="AQ18">
        <v>1165</v>
      </c>
      <c r="AR18">
        <v>1584</v>
      </c>
      <c r="AS18">
        <v>2015</v>
      </c>
      <c r="AT18">
        <v>2350</v>
      </c>
      <c r="AU18">
        <v>2656</v>
      </c>
      <c r="AV18">
        <v>2872</v>
      </c>
      <c r="AW18">
        <v>3141</v>
      </c>
      <c r="AX18">
        <v>3259</v>
      </c>
    </row>
    <row r="19" spans="5:50" x14ac:dyDescent="0.2">
      <c r="E19" s="28" t="s">
        <v>44</v>
      </c>
      <c r="F19">
        <v>7270</v>
      </c>
      <c r="G19">
        <v>150</v>
      </c>
      <c r="H19" s="26">
        <v>8948</v>
      </c>
      <c r="I19">
        <v>7119</v>
      </c>
      <c r="J19">
        <v>349</v>
      </c>
      <c r="K19" s="26">
        <v>8520</v>
      </c>
      <c r="L19">
        <v>7158</v>
      </c>
      <c r="M19">
        <v>120</v>
      </c>
      <c r="N19" s="26">
        <v>8630</v>
      </c>
      <c r="O19">
        <v>19</v>
      </c>
      <c r="P19">
        <v>43</v>
      </c>
      <c r="Q19">
        <v>73</v>
      </c>
      <c r="R19">
        <v>80</v>
      </c>
      <c r="S19">
        <v>142</v>
      </c>
      <c r="T19">
        <v>150</v>
      </c>
      <c r="AA19" s="27">
        <v>46</v>
      </c>
      <c r="AB19">
        <v>107</v>
      </c>
      <c r="AC19">
        <v>190</v>
      </c>
      <c r="AD19">
        <v>263</v>
      </c>
      <c r="AE19">
        <v>308</v>
      </c>
      <c r="AF19">
        <v>349</v>
      </c>
      <c r="AG19">
        <v>377</v>
      </c>
      <c r="AH19">
        <v>516</v>
      </c>
      <c r="AI19">
        <v>566</v>
      </c>
      <c r="AJ19">
        <v>592</v>
      </c>
      <c r="AK19">
        <v>591</v>
      </c>
      <c r="AL19" s="26">
        <v>593</v>
      </c>
      <c r="AM19">
        <v>5</v>
      </c>
      <c r="AN19">
        <v>13</v>
      </c>
      <c r="AO19">
        <v>25</v>
      </c>
      <c r="AP19">
        <v>29</v>
      </c>
      <c r="AQ19">
        <v>36</v>
      </c>
      <c r="AR19">
        <v>48</v>
      </c>
      <c r="AS19">
        <v>60</v>
      </c>
      <c r="AT19">
        <v>46</v>
      </c>
      <c r="AU19">
        <v>60</v>
      </c>
      <c r="AV19">
        <v>65</v>
      </c>
      <c r="AW19">
        <v>61</v>
      </c>
      <c r="AX19">
        <v>39</v>
      </c>
    </row>
    <row r="20" spans="5:50" x14ac:dyDescent="0.2">
      <c r="E20" t="s">
        <v>45</v>
      </c>
      <c r="F20">
        <v>5955</v>
      </c>
      <c r="G20">
        <v>260</v>
      </c>
      <c r="H20" s="26">
        <v>5931</v>
      </c>
      <c r="I20">
        <v>5612</v>
      </c>
      <c r="J20">
        <v>233</v>
      </c>
      <c r="K20" s="26">
        <v>5128</v>
      </c>
      <c r="L20">
        <v>5977</v>
      </c>
      <c r="M20">
        <v>210</v>
      </c>
      <c r="N20" s="26">
        <v>4722</v>
      </c>
      <c r="O20">
        <v>30</v>
      </c>
      <c r="P20">
        <v>70</v>
      </c>
      <c r="Q20">
        <v>80</v>
      </c>
      <c r="R20">
        <v>110</v>
      </c>
      <c r="S20">
        <v>120</v>
      </c>
      <c r="T20">
        <v>260</v>
      </c>
      <c r="AA20" s="27">
        <v>88</v>
      </c>
      <c r="AB20">
        <v>151</v>
      </c>
      <c r="AC20">
        <v>200</v>
      </c>
      <c r="AD20">
        <v>226</v>
      </c>
      <c r="AE20">
        <v>232</v>
      </c>
      <c r="AF20">
        <v>233</v>
      </c>
      <c r="AG20">
        <v>235</v>
      </c>
      <c r="AH20">
        <v>213</v>
      </c>
      <c r="AI20">
        <v>236</v>
      </c>
      <c r="AJ20">
        <v>194</v>
      </c>
      <c r="AK20">
        <v>198</v>
      </c>
      <c r="AL20" s="26">
        <v>200</v>
      </c>
      <c r="AM20">
        <v>3</v>
      </c>
      <c r="AN20">
        <v>10</v>
      </c>
      <c r="AO20">
        <v>20</v>
      </c>
      <c r="AP20">
        <v>23</v>
      </c>
      <c r="AQ20">
        <v>30</v>
      </c>
      <c r="AR20">
        <v>40</v>
      </c>
      <c r="AS20">
        <v>49</v>
      </c>
      <c r="AT20">
        <v>37</v>
      </c>
      <c r="AU20">
        <v>49</v>
      </c>
      <c r="AV20">
        <v>54</v>
      </c>
      <c r="AW20">
        <v>53</v>
      </c>
      <c r="AX20">
        <v>37</v>
      </c>
    </row>
    <row r="21" spans="5:50" x14ac:dyDescent="0.2">
      <c r="E21" s="28" t="s">
        <v>46</v>
      </c>
      <c r="F21">
        <v>7666</v>
      </c>
      <c r="G21">
        <v>274</v>
      </c>
      <c r="H21" s="26">
        <v>6624</v>
      </c>
      <c r="I21">
        <v>5060</v>
      </c>
      <c r="J21">
        <v>369</v>
      </c>
      <c r="K21" s="26">
        <v>5174</v>
      </c>
      <c r="L21">
        <v>7099</v>
      </c>
      <c r="M21">
        <v>230</v>
      </c>
      <c r="N21" s="26">
        <v>6253</v>
      </c>
      <c r="O21">
        <v>47</v>
      </c>
      <c r="P21">
        <v>117</v>
      </c>
      <c r="Q21">
        <v>164</v>
      </c>
      <c r="R21">
        <v>220</v>
      </c>
      <c r="S21">
        <v>236</v>
      </c>
      <c r="T21">
        <v>274</v>
      </c>
      <c r="AA21" s="27">
        <v>120</v>
      </c>
      <c r="AB21">
        <v>134</v>
      </c>
      <c r="AC21">
        <v>156</v>
      </c>
      <c r="AD21">
        <v>176</v>
      </c>
      <c r="AE21">
        <v>198</v>
      </c>
      <c r="AF21">
        <v>212</v>
      </c>
      <c r="AG21">
        <v>234</v>
      </c>
      <c r="AH21">
        <v>266</v>
      </c>
      <c r="AI21">
        <v>279</v>
      </c>
      <c r="AJ21">
        <v>360</v>
      </c>
      <c r="AK21">
        <v>388</v>
      </c>
      <c r="AL21" s="26">
        <v>450</v>
      </c>
      <c r="AM21">
        <v>5</v>
      </c>
      <c r="AN21">
        <v>15</v>
      </c>
      <c r="AO21">
        <v>39</v>
      </c>
      <c r="AP21">
        <v>48</v>
      </c>
      <c r="AQ21">
        <v>56</v>
      </c>
      <c r="AR21">
        <v>148</v>
      </c>
      <c r="AS21">
        <v>211</v>
      </c>
      <c r="AT21">
        <v>289</v>
      </c>
      <c r="AU21">
        <v>307</v>
      </c>
      <c r="AV21">
        <v>363</v>
      </c>
      <c r="AW21">
        <v>380</v>
      </c>
      <c r="AX21">
        <v>355</v>
      </c>
    </row>
    <row r="22" spans="5:50" x14ac:dyDescent="0.2">
      <c r="E22" s="28" t="s">
        <v>47</v>
      </c>
      <c r="F22">
        <v>10857</v>
      </c>
      <c r="G22">
        <v>281</v>
      </c>
      <c r="H22" s="26">
        <v>4396</v>
      </c>
      <c r="I22">
        <v>10547</v>
      </c>
      <c r="J22">
        <v>281</v>
      </c>
      <c r="K22" s="26">
        <v>4979</v>
      </c>
      <c r="L22">
        <v>10799</v>
      </c>
      <c r="M22">
        <v>333</v>
      </c>
      <c r="N22" s="26">
        <v>4779</v>
      </c>
      <c r="O22">
        <v>59</v>
      </c>
      <c r="P22">
        <v>109</v>
      </c>
      <c r="Q22">
        <v>137</v>
      </c>
      <c r="R22">
        <v>191</v>
      </c>
      <c r="S22">
        <v>232</v>
      </c>
      <c r="T22">
        <v>281</v>
      </c>
      <c r="AA22" s="27">
        <v>68</v>
      </c>
      <c r="AB22">
        <v>87</v>
      </c>
      <c r="AC22">
        <v>137</v>
      </c>
      <c r="AD22">
        <v>176</v>
      </c>
      <c r="AE22">
        <v>219</v>
      </c>
      <c r="AF22">
        <v>281</v>
      </c>
      <c r="AG22">
        <v>295</v>
      </c>
      <c r="AH22">
        <v>330</v>
      </c>
      <c r="AI22">
        <v>440</v>
      </c>
      <c r="AJ22">
        <v>480</v>
      </c>
      <c r="AK22">
        <v>554</v>
      </c>
      <c r="AL22" s="26">
        <v>555</v>
      </c>
      <c r="AM22">
        <v>70</v>
      </c>
      <c r="AN22">
        <v>117</v>
      </c>
      <c r="AO22">
        <v>151</v>
      </c>
      <c r="AP22">
        <v>214</v>
      </c>
      <c r="AQ22">
        <v>264</v>
      </c>
      <c r="AR22">
        <v>333</v>
      </c>
      <c r="AS22">
        <v>374</v>
      </c>
      <c r="AT22">
        <v>387</v>
      </c>
      <c r="AU22">
        <v>459</v>
      </c>
      <c r="AV22">
        <v>532</v>
      </c>
      <c r="AW22">
        <v>606</v>
      </c>
      <c r="AX22">
        <v>650</v>
      </c>
    </row>
    <row r="23" spans="5:50" x14ac:dyDescent="0.2">
      <c r="E23" s="28" t="s">
        <v>48</v>
      </c>
      <c r="F23">
        <v>9873</v>
      </c>
      <c r="G23">
        <v>370</v>
      </c>
      <c r="H23" s="26">
        <v>7076</v>
      </c>
      <c r="I23">
        <v>11069</v>
      </c>
      <c r="J23">
        <v>652</v>
      </c>
      <c r="K23" s="26">
        <v>6853</v>
      </c>
      <c r="L23">
        <v>10500</v>
      </c>
      <c r="M23">
        <v>637</v>
      </c>
      <c r="N23" s="26">
        <v>8490</v>
      </c>
      <c r="O23">
        <v>30</v>
      </c>
      <c r="P23">
        <v>90</v>
      </c>
      <c r="Q23">
        <v>166</v>
      </c>
      <c r="R23">
        <v>227</v>
      </c>
      <c r="S23">
        <v>304</v>
      </c>
      <c r="T23">
        <v>370</v>
      </c>
      <c r="AA23" s="27">
        <v>139</v>
      </c>
      <c r="AB23">
        <v>264</v>
      </c>
      <c r="AC23">
        <v>409</v>
      </c>
      <c r="AD23">
        <v>519</v>
      </c>
      <c r="AE23">
        <v>580</v>
      </c>
      <c r="AF23">
        <v>652</v>
      </c>
      <c r="AG23">
        <v>690</v>
      </c>
      <c r="AH23">
        <v>593</v>
      </c>
      <c r="AI23">
        <v>619</v>
      </c>
      <c r="AJ23">
        <v>622</v>
      </c>
      <c r="AK23">
        <v>680</v>
      </c>
      <c r="AL23" s="26">
        <v>682</v>
      </c>
      <c r="AM23">
        <v>110</v>
      </c>
      <c r="AN23">
        <v>214</v>
      </c>
      <c r="AO23">
        <v>323</v>
      </c>
      <c r="AP23">
        <v>426</v>
      </c>
      <c r="AQ23">
        <v>535</v>
      </c>
      <c r="AR23">
        <v>637</v>
      </c>
      <c r="AS23">
        <v>765</v>
      </c>
      <c r="AT23">
        <v>771</v>
      </c>
      <c r="AU23">
        <v>878</v>
      </c>
      <c r="AV23">
        <v>1005</v>
      </c>
      <c r="AW23">
        <v>1105</v>
      </c>
      <c r="AX23">
        <v>1130</v>
      </c>
    </row>
    <row r="24" spans="5:50" x14ac:dyDescent="0.2">
      <c r="E24" s="28" t="s">
        <v>49</v>
      </c>
      <c r="F24">
        <v>6405</v>
      </c>
      <c r="G24">
        <v>363</v>
      </c>
      <c r="H24" s="26">
        <v>1389</v>
      </c>
      <c r="I24">
        <v>5995</v>
      </c>
      <c r="J24">
        <v>268</v>
      </c>
      <c r="K24" s="26">
        <v>1708</v>
      </c>
      <c r="L24">
        <v>5819</v>
      </c>
      <c r="M24">
        <v>248</v>
      </c>
      <c r="N24" s="26">
        <v>2226</v>
      </c>
      <c r="O24">
        <v>34</v>
      </c>
      <c r="P24">
        <v>80</v>
      </c>
      <c r="Q24">
        <v>151</v>
      </c>
      <c r="R24">
        <v>214</v>
      </c>
      <c r="S24">
        <v>283</v>
      </c>
      <c r="T24">
        <v>363</v>
      </c>
      <c r="AA24" s="27">
        <v>16</v>
      </c>
      <c r="AB24">
        <v>37</v>
      </c>
      <c r="AC24">
        <v>83</v>
      </c>
      <c r="AD24">
        <v>161</v>
      </c>
      <c r="AE24">
        <v>192</v>
      </c>
      <c r="AF24">
        <v>268</v>
      </c>
      <c r="AG24">
        <v>286</v>
      </c>
      <c r="AH24">
        <v>269</v>
      </c>
      <c r="AI24">
        <v>339</v>
      </c>
      <c r="AJ24">
        <v>383</v>
      </c>
      <c r="AK24">
        <v>367</v>
      </c>
      <c r="AL24" s="26">
        <v>464</v>
      </c>
      <c r="AM24">
        <v>24</v>
      </c>
      <c r="AN24">
        <v>54</v>
      </c>
      <c r="AO24">
        <v>100</v>
      </c>
      <c r="AP24">
        <v>142</v>
      </c>
      <c r="AQ24">
        <v>194</v>
      </c>
      <c r="AR24">
        <v>248</v>
      </c>
      <c r="AS24">
        <v>299</v>
      </c>
      <c r="AT24">
        <v>299</v>
      </c>
      <c r="AU24">
        <v>345</v>
      </c>
      <c r="AV24">
        <v>391</v>
      </c>
      <c r="AW24">
        <v>432</v>
      </c>
      <c r="AX24">
        <v>431</v>
      </c>
    </row>
    <row r="25" spans="5:50" x14ac:dyDescent="0.2">
      <c r="E25" t="s">
        <v>50</v>
      </c>
      <c r="F25">
        <v>210616</v>
      </c>
      <c r="G25">
        <v>12324.3</v>
      </c>
      <c r="H25" s="26">
        <v>95902.1</v>
      </c>
      <c r="I25">
        <v>199893.6</v>
      </c>
      <c r="J25">
        <v>9835.9000000000015</v>
      </c>
      <c r="K25" s="26">
        <v>101383.6</v>
      </c>
      <c r="L25">
        <v>198526.40000000002</v>
      </c>
      <c r="M25">
        <v>11343.8</v>
      </c>
      <c r="N25" s="26">
        <v>100022.6</v>
      </c>
      <c r="O25">
        <v>1523.4</v>
      </c>
      <c r="P25">
        <v>3029.7</v>
      </c>
      <c r="Q25">
        <v>4948.3999999999996</v>
      </c>
      <c r="R25">
        <v>7267</v>
      </c>
      <c r="S25">
        <v>10245.5</v>
      </c>
      <c r="T25">
        <v>12324.3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27">
        <v>1228</v>
      </c>
      <c r="AB25">
        <v>2468.6999999999998</v>
      </c>
      <c r="AC25">
        <v>4022.1000000000004</v>
      </c>
      <c r="AD25">
        <v>5341.2</v>
      </c>
      <c r="AE25">
        <v>6926.7</v>
      </c>
      <c r="AF25">
        <v>8526.7000000000007</v>
      </c>
      <c r="AG25">
        <v>10423.9</v>
      </c>
      <c r="AH25">
        <v>10992.900000000001</v>
      </c>
      <c r="AI25">
        <v>12312.1</v>
      </c>
      <c r="AJ25">
        <v>13498.900000000001</v>
      </c>
      <c r="AK25">
        <v>14643</v>
      </c>
      <c r="AL25" s="26">
        <v>15391.900000000001</v>
      </c>
      <c r="AM25">
        <v>1469.7</v>
      </c>
      <c r="AN25">
        <v>2920.6000000000004</v>
      </c>
      <c r="AO25">
        <v>4767.3999999999996</v>
      </c>
      <c r="AP25">
        <v>6226.2999999999993</v>
      </c>
      <c r="AQ25">
        <v>8272.5</v>
      </c>
      <c r="AR25">
        <v>10141.400000000001</v>
      </c>
      <c r="AS25">
        <v>12032.099999999999</v>
      </c>
      <c r="AT25">
        <v>12476.8</v>
      </c>
      <c r="AU25">
        <v>14357.9</v>
      </c>
      <c r="AV25">
        <v>15804.7</v>
      </c>
      <c r="AW25">
        <v>17385.599999999999</v>
      </c>
      <c r="AX25">
        <v>17750.2</v>
      </c>
    </row>
    <row r="26" spans="5:50" x14ac:dyDescent="0.2">
      <c r="E26" t="s">
        <v>51</v>
      </c>
      <c r="F26">
        <v>11649</v>
      </c>
      <c r="G26">
        <v>802</v>
      </c>
      <c r="H26" s="26">
        <v>5956</v>
      </c>
      <c r="I26">
        <v>10414</v>
      </c>
      <c r="J26">
        <v>536</v>
      </c>
      <c r="K26" s="26">
        <v>6713</v>
      </c>
      <c r="L26">
        <v>10593</v>
      </c>
      <c r="M26">
        <v>554</v>
      </c>
      <c r="N26" s="26">
        <v>6803</v>
      </c>
      <c r="O26">
        <v>55</v>
      </c>
      <c r="P26">
        <v>58</v>
      </c>
      <c r="Q26">
        <v>212</v>
      </c>
      <c r="R26">
        <v>410</v>
      </c>
      <c r="S26">
        <v>638</v>
      </c>
      <c r="T26">
        <v>802</v>
      </c>
      <c r="AA26" s="27">
        <v>24</v>
      </c>
      <c r="AB26">
        <v>123</v>
      </c>
      <c r="AC26">
        <v>208</v>
      </c>
      <c r="AD26">
        <v>229</v>
      </c>
      <c r="AE26">
        <v>397</v>
      </c>
      <c r="AF26">
        <v>536</v>
      </c>
      <c r="AG26">
        <v>849</v>
      </c>
      <c r="AH26">
        <v>791</v>
      </c>
      <c r="AI26">
        <v>917</v>
      </c>
      <c r="AJ26">
        <v>1073</v>
      </c>
      <c r="AK26">
        <v>1056</v>
      </c>
      <c r="AL26" s="26">
        <v>1217</v>
      </c>
      <c r="AM26">
        <v>26</v>
      </c>
      <c r="AN26">
        <v>68</v>
      </c>
      <c r="AO26">
        <v>125</v>
      </c>
      <c r="AP26">
        <v>227</v>
      </c>
      <c r="AQ26">
        <v>406</v>
      </c>
      <c r="AR26">
        <v>554</v>
      </c>
      <c r="AS26">
        <v>749</v>
      </c>
      <c r="AT26">
        <v>724</v>
      </c>
      <c r="AU26">
        <v>872</v>
      </c>
      <c r="AV26">
        <v>973</v>
      </c>
      <c r="AW26">
        <v>1028</v>
      </c>
      <c r="AX26">
        <v>1064</v>
      </c>
    </row>
    <row r="27" spans="5:50" x14ac:dyDescent="0.2">
      <c r="E27" t="s">
        <v>52</v>
      </c>
      <c r="F27">
        <v>7718</v>
      </c>
      <c r="G27">
        <v>876</v>
      </c>
      <c r="H27" s="26">
        <v>8432</v>
      </c>
      <c r="I27">
        <v>7282</v>
      </c>
      <c r="J27">
        <v>775</v>
      </c>
      <c r="K27" s="26">
        <v>8242</v>
      </c>
      <c r="L27">
        <v>6409</v>
      </c>
      <c r="M27">
        <v>654</v>
      </c>
      <c r="N27" s="26">
        <v>8312</v>
      </c>
      <c r="O27">
        <v>69</v>
      </c>
      <c r="P27">
        <v>157</v>
      </c>
      <c r="Q27">
        <v>276</v>
      </c>
      <c r="R27">
        <v>455</v>
      </c>
      <c r="S27">
        <v>671</v>
      </c>
      <c r="T27">
        <v>876</v>
      </c>
      <c r="AA27" s="27">
        <v>55</v>
      </c>
      <c r="AB27">
        <v>142</v>
      </c>
      <c r="AC27">
        <v>250</v>
      </c>
      <c r="AD27">
        <v>338</v>
      </c>
      <c r="AE27">
        <v>574</v>
      </c>
      <c r="AF27">
        <v>775</v>
      </c>
      <c r="AG27">
        <v>1075</v>
      </c>
      <c r="AH27">
        <v>1146</v>
      </c>
      <c r="AI27">
        <v>1360</v>
      </c>
      <c r="AJ27">
        <v>1567</v>
      </c>
      <c r="AK27">
        <v>1733</v>
      </c>
      <c r="AL27" s="26">
        <v>1709</v>
      </c>
      <c r="AM27">
        <v>59</v>
      </c>
      <c r="AN27">
        <v>129</v>
      </c>
      <c r="AO27">
        <v>211</v>
      </c>
      <c r="AP27">
        <v>315</v>
      </c>
      <c r="AQ27">
        <v>496</v>
      </c>
      <c r="AR27">
        <v>654</v>
      </c>
      <c r="AS27">
        <v>835</v>
      </c>
      <c r="AT27">
        <v>863</v>
      </c>
      <c r="AU27">
        <v>997</v>
      </c>
      <c r="AV27">
        <v>1096</v>
      </c>
      <c r="AW27">
        <v>1183</v>
      </c>
      <c r="AX27">
        <v>1241</v>
      </c>
    </row>
    <row r="28" spans="5:50" x14ac:dyDescent="0.2">
      <c r="E28" t="s">
        <v>53</v>
      </c>
      <c r="F28">
        <v>15033</v>
      </c>
      <c r="G28">
        <v>469</v>
      </c>
      <c r="H28" s="26">
        <v>3512</v>
      </c>
      <c r="I28">
        <v>15064</v>
      </c>
      <c r="J28">
        <v>392</v>
      </c>
      <c r="K28" s="26">
        <v>3488</v>
      </c>
      <c r="L28">
        <v>12724</v>
      </c>
      <c r="M28">
        <v>530</v>
      </c>
      <c r="N28" s="26">
        <v>3347</v>
      </c>
      <c r="O28">
        <v>100</v>
      </c>
      <c r="P28">
        <v>154</v>
      </c>
      <c r="Q28">
        <v>215</v>
      </c>
      <c r="R28">
        <v>280</v>
      </c>
      <c r="S28">
        <v>389</v>
      </c>
      <c r="T28">
        <v>469</v>
      </c>
      <c r="AA28" s="27">
        <v>2</v>
      </c>
      <c r="AB28">
        <v>44</v>
      </c>
      <c r="AC28">
        <v>102</v>
      </c>
      <c r="AD28">
        <v>206</v>
      </c>
      <c r="AE28">
        <v>269</v>
      </c>
      <c r="AF28">
        <v>392</v>
      </c>
      <c r="AG28">
        <v>528</v>
      </c>
      <c r="AH28">
        <v>616</v>
      </c>
      <c r="AI28">
        <v>724</v>
      </c>
      <c r="AJ28">
        <v>754</v>
      </c>
      <c r="AK28">
        <v>737</v>
      </c>
      <c r="AL28" s="26">
        <v>702</v>
      </c>
      <c r="AM28">
        <v>82</v>
      </c>
      <c r="AN28">
        <v>164</v>
      </c>
      <c r="AO28">
        <v>283</v>
      </c>
      <c r="AP28">
        <v>353</v>
      </c>
      <c r="AQ28">
        <v>454</v>
      </c>
      <c r="AR28">
        <v>530</v>
      </c>
      <c r="AS28">
        <v>648</v>
      </c>
      <c r="AT28">
        <v>742</v>
      </c>
      <c r="AU28">
        <v>791</v>
      </c>
      <c r="AV28">
        <v>812</v>
      </c>
      <c r="AW28">
        <v>763</v>
      </c>
      <c r="AX28">
        <v>770</v>
      </c>
    </row>
    <row r="29" spans="5:50" x14ac:dyDescent="0.2">
      <c r="E29" t="s">
        <v>54</v>
      </c>
      <c r="F29">
        <v>21579</v>
      </c>
      <c r="G29">
        <v>920</v>
      </c>
      <c r="H29" s="26">
        <v>7461</v>
      </c>
      <c r="I29">
        <v>20686</v>
      </c>
      <c r="J29">
        <v>653</v>
      </c>
      <c r="K29" s="26">
        <v>8589</v>
      </c>
      <c r="L29">
        <v>20478</v>
      </c>
      <c r="M29">
        <v>658</v>
      </c>
      <c r="N29" s="26">
        <v>7602</v>
      </c>
      <c r="O29">
        <v>170</v>
      </c>
      <c r="P29">
        <v>316</v>
      </c>
      <c r="Q29">
        <v>478</v>
      </c>
      <c r="R29">
        <v>626</v>
      </c>
      <c r="S29">
        <v>788</v>
      </c>
      <c r="T29">
        <v>920</v>
      </c>
      <c r="AA29" s="27">
        <v>162</v>
      </c>
      <c r="AB29">
        <v>292</v>
      </c>
      <c r="AC29">
        <v>399</v>
      </c>
      <c r="AD29">
        <v>506</v>
      </c>
      <c r="AE29">
        <v>593</v>
      </c>
      <c r="AF29">
        <v>653</v>
      </c>
      <c r="AG29">
        <v>716</v>
      </c>
      <c r="AH29">
        <v>728</v>
      </c>
      <c r="AI29">
        <v>807</v>
      </c>
      <c r="AJ29">
        <v>867</v>
      </c>
      <c r="AK29">
        <v>938</v>
      </c>
      <c r="AL29" s="26">
        <v>1028</v>
      </c>
      <c r="AM29">
        <v>133</v>
      </c>
      <c r="AN29">
        <v>258</v>
      </c>
      <c r="AO29">
        <v>411</v>
      </c>
      <c r="AP29">
        <v>409</v>
      </c>
      <c r="AQ29">
        <v>540</v>
      </c>
      <c r="AR29">
        <v>658</v>
      </c>
      <c r="AS29">
        <v>747</v>
      </c>
      <c r="AT29">
        <v>696</v>
      </c>
      <c r="AU29">
        <v>841</v>
      </c>
      <c r="AV29">
        <v>855</v>
      </c>
      <c r="AW29">
        <v>994</v>
      </c>
      <c r="AX29">
        <v>931</v>
      </c>
    </row>
    <row r="30" spans="5:50" x14ac:dyDescent="0.2">
      <c r="E30" t="s">
        <v>55</v>
      </c>
      <c r="F30">
        <v>27210.600000000002</v>
      </c>
      <c r="G30">
        <v>2903.4</v>
      </c>
      <c r="H30" s="26">
        <v>10490.4</v>
      </c>
      <c r="I30">
        <v>25448.400000000001</v>
      </c>
      <c r="J30">
        <v>2160</v>
      </c>
      <c r="K30" s="26">
        <v>11181.6</v>
      </c>
      <c r="L30">
        <v>24219</v>
      </c>
      <c r="M30">
        <v>2520</v>
      </c>
      <c r="N30" s="26">
        <v>10458</v>
      </c>
      <c r="O30">
        <v>270</v>
      </c>
      <c r="P30">
        <v>567</v>
      </c>
      <c r="Q30">
        <v>966.6</v>
      </c>
      <c r="R30">
        <v>1431</v>
      </c>
      <c r="S30">
        <v>2507.4</v>
      </c>
      <c r="T30">
        <v>2903.4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27">
        <v>84.600000000000009</v>
      </c>
      <c r="AB30">
        <v>259.2</v>
      </c>
      <c r="AC30">
        <v>482.40000000000003</v>
      </c>
      <c r="AD30">
        <v>644.4</v>
      </c>
      <c r="AE30">
        <v>774</v>
      </c>
      <c r="AF30">
        <v>928.80000000000007</v>
      </c>
      <c r="AG30">
        <v>1094.4000000000001</v>
      </c>
      <c r="AH30">
        <v>1278</v>
      </c>
      <c r="AI30">
        <v>1432.8</v>
      </c>
      <c r="AJ30">
        <v>1558.8</v>
      </c>
      <c r="AK30">
        <v>1782</v>
      </c>
      <c r="AL30" s="26">
        <v>1962</v>
      </c>
      <c r="AM30">
        <v>230.4</v>
      </c>
      <c r="AN30">
        <v>428.40000000000003</v>
      </c>
      <c r="AO30">
        <v>657</v>
      </c>
      <c r="AP30">
        <v>880.2</v>
      </c>
      <c r="AQ30">
        <v>1105.2</v>
      </c>
      <c r="AR30">
        <v>1317.6000000000001</v>
      </c>
      <c r="AS30">
        <v>1555.2</v>
      </c>
      <c r="AT30">
        <v>1787.4</v>
      </c>
      <c r="AU30">
        <v>2032.2</v>
      </c>
      <c r="AV30">
        <v>2286</v>
      </c>
      <c r="AW30">
        <v>2527.2000000000003</v>
      </c>
      <c r="AX30">
        <v>2628</v>
      </c>
    </row>
    <row r="31" spans="5:50" x14ac:dyDescent="0.2">
      <c r="E31" t="s">
        <v>56</v>
      </c>
      <c r="F31">
        <v>18700.5</v>
      </c>
      <c r="G31">
        <v>984.90000000000009</v>
      </c>
      <c r="H31" s="26">
        <v>12654.6</v>
      </c>
      <c r="I31">
        <v>18471.600000000002</v>
      </c>
      <c r="J31">
        <v>663.6</v>
      </c>
      <c r="K31" s="26">
        <v>13127.1</v>
      </c>
      <c r="L31">
        <v>19101.600000000002</v>
      </c>
      <c r="M31">
        <v>1302</v>
      </c>
      <c r="N31" s="26">
        <v>12188.4</v>
      </c>
      <c r="O31">
        <v>50.400000000000006</v>
      </c>
      <c r="P31">
        <v>170.1</v>
      </c>
      <c r="Q31">
        <v>315</v>
      </c>
      <c r="R31">
        <v>659.4</v>
      </c>
      <c r="S31">
        <v>846.30000000000007</v>
      </c>
      <c r="T31">
        <v>984.90000000000009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27">
        <v>88.2</v>
      </c>
      <c r="AB31">
        <v>132.30000000000001</v>
      </c>
      <c r="AC31">
        <v>268.8</v>
      </c>
      <c r="AD31">
        <v>298.2</v>
      </c>
      <c r="AE31">
        <v>449.40000000000003</v>
      </c>
      <c r="AF31">
        <v>663.6</v>
      </c>
      <c r="AG31">
        <v>879.90000000000009</v>
      </c>
      <c r="AH31">
        <v>1031.1000000000001</v>
      </c>
      <c r="AI31">
        <v>1209.6000000000001</v>
      </c>
      <c r="AJ31">
        <v>1352.4</v>
      </c>
      <c r="AK31">
        <v>1516.2</v>
      </c>
      <c r="AL31" s="26">
        <v>1157.1000000000001</v>
      </c>
      <c r="AM31">
        <v>210</v>
      </c>
      <c r="AN31">
        <v>428.40000000000003</v>
      </c>
      <c r="AO31">
        <v>615.30000000000007</v>
      </c>
      <c r="AP31">
        <v>886.2</v>
      </c>
      <c r="AQ31">
        <v>1077.3</v>
      </c>
      <c r="AR31">
        <v>1302</v>
      </c>
      <c r="AS31">
        <v>1516.2</v>
      </c>
      <c r="AT31">
        <v>1570.8</v>
      </c>
      <c r="AU31">
        <v>1776.6000000000001</v>
      </c>
      <c r="AV31">
        <v>1978.2</v>
      </c>
      <c r="AW31">
        <v>2205</v>
      </c>
      <c r="AX31">
        <v>2438.1</v>
      </c>
    </row>
    <row r="32" spans="5:50" x14ac:dyDescent="0.2">
      <c r="E32" t="s">
        <v>57</v>
      </c>
      <c r="F32">
        <v>45315.9</v>
      </c>
      <c r="G32">
        <v>1932</v>
      </c>
      <c r="H32" s="26">
        <v>15668.1</v>
      </c>
      <c r="I32">
        <v>43440.6</v>
      </c>
      <c r="J32">
        <v>1371.3</v>
      </c>
      <c r="K32" s="26">
        <v>18036.900000000001</v>
      </c>
      <c r="L32">
        <v>43003.8</v>
      </c>
      <c r="M32">
        <v>1381.8</v>
      </c>
      <c r="N32" s="26">
        <v>15964.2</v>
      </c>
      <c r="O32">
        <v>357</v>
      </c>
      <c r="P32">
        <v>663.6</v>
      </c>
      <c r="Q32">
        <v>1003.8000000000001</v>
      </c>
      <c r="R32">
        <v>1314.6000000000001</v>
      </c>
      <c r="S32">
        <v>1654.8000000000002</v>
      </c>
      <c r="T32">
        <v>1932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27">
        <v>340.2</v>
      </c>
      <c r="AB32">
        <v>613.20000000000005</v>
      </c>
      <c r="AC32">
        <v>837.90000000000009</v>
      </c>
      <c r="AD32">
        <v>1062.6000000000001</v>
      </c>
      <c r="AE32">
        <v>1245.3</v>
      </c>
      <c r="AF32">
        <v>1371.3</v>
      </c>
      <c r="AG32">
        <v>1503.6000000000001</v>
      </c>
      <c r="AH32">
        <v>1528.8</v>
      </c>
      <c r="AI32">
        <v>1694.7</v>
      </c>
      <c r="AJ32">
        <v>1820.7</v>
      </c>
      <c r="AK32">
        <v>1969.8000000000002</v>
      </c>
      <c r="AL32" s="26">
        <v>2158.8000000000002</v>
      </c>
      <c r="AM32">
        <v>279.3</v>
      </c>
      <c r="AN32">
        <v>541.80000000000007</v>
      </c>
      <c r="AO32">
        <v>863.1</v>
      </c>
      <c r="AP32">
        <v>858.90000000000009</v>
      </c>
      <c r="AQ32">
        <v>1134</v>
      </c>
      <c r="AR32">
        <v>1381.8</v>
      </c>
      <c r="AS32">
        <v>1568.7</v>
      </c>
      <c r="AT32">
        <v>1461.6000000000001</v>
      </c>
      <c r="AU32">
        <v>1766.1000000000001</v>
      </c>
      <c r="AV32">
        <v>1795.5</v>
      </c>
      <c r="AW32">
        <v>2087.4</v>
      </c>
      <c r="AX32">
        <v>1955.1000000000001</v>
      </c>
    </row>
    <row r="33" spans="5:50" x14ac:dyDescent="0.2">
      <c r="E33" t="s">
        <v>58</v>
      </c>
      <c r="F33">
        <v>35980</v>
      </c>
      <c r="G33">
        <v>2332</v>
      </c>
      <c r="H33" s="26">
        <v>14274</v>
      </c>
      <c r="I33">
        <v>32790</v>
      </c>
      <c r="J33">
        <v>2006</v>
      </c>
      <c r="K33" s="26">
        <v>14846</v>
      </c>
      <c r="L33">
        <v>36362</v>
      </c>
      <c r="M33">
        <v>2446</v>
      </c>
      <c r="N33" s="26">
        <v>16392</v>
      </c>
      <c r="O33">
        <v>340</v>
      </c>
      <c r="P33">
        <v>654</v>
      </c>
      <c r="Q33">
        <v>1024</v>
      </c>
      <c r="R33">
        <v>1464</v>
      </c>
      <c r="S33">
        <v>1882</v>
      </c>
      <c r="T33">
        <v>2332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27">
        <v>298</v>
      </c>
      <c r="AB33">
        <v>548</v>
      </c>
      <c r="AC33">
        <v>980</v>
      </c>
      <c r="AD33">
        <v>1282</v>
      </c>
      <c r="AE33">
        <v>1646</v>
      </c>
      <c r="AF33">
        <v>2006</v>
      </c>
      <c r="AG33">
        <v>2328</v>
      </c>
      <c r="AH33">
        <v>2544</v>
      </c>
      <c r="AI33">
        <v>2790</v>
      </c>
      <c r="AJ33">
        <v>3076</v>
      </c>
      <c r="AK33">
        <v>3424</v>
      </c>
      <c r="AL33" s="26">
        <v>3876</v>
      </c>
      <c r="AM33">
        <v>302</v>
      </c>
      <c r="AN33">
        <v>604</v>
      </c>
      <c r="AO33">
        <v>1094</v>
      </c>
      <c r="AP33">
        <v>1544</v>
      </c>
      <c r="AQ33">
        <v>2004</v>
      </c>
      <c r="AR33">
        <v>2446</v>
      </c>
      <c r="AS33">
        <v>2804</v>
      </c>
      <c r="AT33">
        <v>3014</v>
      </c>
      <c r="AU33">
        <v>3448</v>
      </c>
      <c r="AV33">
        <v>3954</v>
      </c>
      <c r="AW33">
        <v>4382</v>
      </c>
      <c r="AX33">
        <v>4478</v>
      </c>
    </row>
    <row r="34" spans="5:50" x14ac:dyDescent="0.2">
      <c r="E34" t="s">
        <v>59</v>
      </c>
      <c r="F34">
        <v>7657</v>
      </c>
      <c r="G34">
        <v>276</v>
      </c>
      <c r="H34" s="26">
        <v>5353</v>
      </c>
      <c r="I34">
        <v>5307</v>
      </c>
      <c r="J34">
        <v>170</v>
      </c>
      <c r="K34" s="26">
        <v>4710</v>
      </c>
      <c r="L34">
        <v>6431</v>
      </c>
      <c r="M34">
        <v>179</v>
      </c>
      <c r="N34" s="26">
        <v>5191</v>
      </c>
      <c r="O34">
        <v>43</v>
      </c>
      <c r="P34">
        <v>93</v>
      </c>
      <c r="Q34">
        <v>115</v>
      </c>
      <c r="R34">
        <v>164</v>
      </c>
      <c r="S34">
        <v>236</v>
      </c>
      <c r="T34">
        <v>276</v>
      </c>
      <c r="AA34" s="27">
        <v>23</v>
      </c>
      <c r="AB34">
        <v>26</v>
      </c>
      <c r="AC34">
        <v>40</v>
      </c>
      <c r="AD34">
        <v>79</v>
      </c>
      <c r="AE34">
        <v>90</v>
      </c>
      <c r="AF34">
        <v>92</v>
      </c>
      <c r="AG34">
        <v>113</v>
      </c>
      <c r="AH34">
        <v>116</v>
      </c>
      <c r="AI34">
        <v>116</v>
      </c>
      <c r="AJ34">
        <v>126</v>
      </c>
      <c r="AK34">
        <v>144</v>
      </c>
      <c r="AL34" s="26">
        <v>151</v>
      </c>
      <c r="AM34">
        <v>9</v>
      </c>
      <c r="AN34">
        <v>14</v>
      </c>
      <c r="AO34">
        <v>50</v>
      </c>
      <c r="AP34">
        <v>109</v>
      </c>
      <c r="AQ34">
        <v>165</v>
      </c>
      <c r="AR34">
        <v>179</v>
      </c>
      <c r="AS34">
        <v>226</v>
      </c>
      <c r="AT34">
        <v>234</v>
      </c>
      <c r="AU34">
        <v>249</v>
      </c>
      <c r="AV34">
        <v>275</v>
      </c>
      <c r="AW34">
        <v>283</v>
      </c>
      <c r="AX34">
        <v>296</v>
      </c>
    </row>
    <row r="35" spans="5:50" x14ac:dyDescent="0.2">
      <c r="E35" t="s">
        <v>60</v>
      </c>
      <c r="F35">
        <v>8126</v>
      </c>
      <c r="G35">
        <v>321</v>
      </c>
      <c r="H35" s="26">
        <v>6153</v>
      </c>
      <c r="I35">
        <v>9111</v>
      </c>
      <c r="J35">
        <v>567</v>
      </c>
      <c r="K35" s="26">
        <v>5959</v>
      </c>
      <c r="L35">
        <v>8642</v>
      </c>
      <c r="M35">
        <v>554</v>
      </c>
      <c r="N35" s="26">
        <v>7382</v>
      </c>
      <c r="O35">
        <v>24</v>
      </c>
      <c r="P35">
        <v>78</v>
      </c>
      <c r="Q35">
        <v>145</v>
      </c>
      <c r="R35">
        <v>197</v>
      </c>
      <c r="S35">
        <v>265</v>
      </c>
      <c r="T35">
        <v>321</v>
      </c>
      <c r="AA35" s="27">
        <v>121</v>
      </c>
      <c r="AB35">
        <v>230</v>
      </c>
      <c r="AC35">
        <v>355</v>
      </c>
      <c r="AD35">
        <v>451</v>
      </c>
      <c r="AE35">
        <v>504</v>
      </c>
      <c r="AF35">
        <v>567</v>
      </c>
      <c r="AG35">
        <v>600</v>
      </c>
      <c r="AH35">
        <v>516</v>
      </c>
      <c r="AI35">
        <v>538</v>
      </c>
      <c r="AJ35">
        <v>541</v>
      </c>
      <c r="AK35">
        <v>592</v>
      </c>
      <c r="AL35" s="26">
        <v>593</v>
      </c>
      <c r="AM35">
        <v>96</v>
      </c>
      <c r="AN35">
        <v>186</v>
      </c>
      <c r="AO35">
        <v>281</v>
      </c>
      <c r="AP35">
        <v>371</v>
      </c>
      <c r="AQ35">
        <v>465</v>
      </c>
      <c r="AR35">
        <v>554</v>
      </c>
      <c r="AS35">
        <v>665</v>
      </c>
      <c r="AT35">
        <v>671</v>
      </c>
      <c r="AU35">
        <v>763</v>
      </c>
      <c r="AV35">
        <v>874</v>
      </c>
      <c r="AW35">
        <v>961</v>
      </c>
      <c r="AX35">
        <v>983</v>
      </c>
    </row>
    <row r="36" spans="5:50" x14ac:dyDescent="0.2">
      <c r="E36" t="s">
        <v>61</v>
      </c>
      <c r="F36">
        <v>5272</v>
      </c>
      <c r="G36">
        <v>316</v>
      </c>
      <c r="H36" s="26">
        <v>1207</v>
      </c>
      <c r="I36">
        <v>4934</v>
      </c>
      <c r="J36">
        <v>233</v>
      </c>
      <c r="K36" s="26">
        <v>1485</v>
      </c>
      <c r="L36">
        <v>4789</v>
      </c>
      <c r="M36">
        <v>215</v>
      </c>
      <c r="N36" s="26">
        <v>1936</v>
      </c>
      <c r="O36">
        <v>28</v>
      </c>
      <c r="P36">
        <v>69</v>
      </c>
      <c r="Q36">
        <v>131</v>
      </c>
      <c r="R36">
        <v>186</v>
      </c>
      <c r="S36">
        <v>246</v>
      </c>
      <c r="T36">
        <v>316</v>
      </c>
      <c r="AA36" s="27">
        <v>14</v>
      </c>
      <c r="AB36">
        <v>32</v>
      </c>
      <c r="AC36">
        <v>72</v>
      </c>
      <c r="AD36">
        <v>140</v>
      </c>
      <c r="AE36">
        <v>167</v>
      </c>
      <c r="AF36">
        <v>233</v>
      </c>
      <c r="AG36">
        <v>249</v>
      </c>
      <c r="AH36">
        <v>234</v>
      </c>
      <c r="AI36">
        <v>294</v>
      </c>
      <c r="AJ36">
        <v>333</v>
      </c>
      <c r="AK36">
        <v>319</v>
      </c>
      <c r="AL36" s="26">
        <v>403</v>
      </c>
      <c r="AM36">
        <v>21</v>
      </c>
      <c r="AN36">
        <v>47</v>
      </c>
      <c r="AO36">
        <v>87</v>
      </c>
      <c r="AP36">
        <v>123</v>
      </c>
      <c r="AQ36">
        <v>168</v>
      </c>
      <c r="AR36">
        <v>215</v>
      </c>
      <c r="AS36">
        <v>260</v>
      </c>
      <c r="AT36">
        <v>260</v>
      </c>
      <c r="AU36">
        <v>300</v>
      </c>
      <c r="AV36">
        <v>340</v>
      </c>
      <c r="AW36">
        <v>376</v>
      </c>
      <c r="AX36">
        <v>375</v>
      </c>
    </row>
    <row r="37" spans="5:50" x14ac:dyDescent="0.2">
      <c r="E37" t="s">
        <v>62</v>
      </c>
      <c r="F37">
        <v>6375</v>
      </c>
      <c r="G37">
        <v>192</v>
      </c>
      <c r="H37" s="26">
        <v>4741</v>
      </c>
      <c r="I37">
        <v>6945</v>
      </c>
      <c r="J37">
        <v>309</v>
      </c>
      <c r="K37" s="26">
        <v>5006</v>
      </c>
      <c r="L37">
        <v>5774</v>
      </c>
      <c r="M37">
        <v>350</v>
      </c>
      <c r="N37" s="26">
        <v>4447</v>
      </c>
      <c r="O37">
        <v>17</v>
      </c>
      <c r="P37">
        <v>50</v>
      </c>
      <c r="Q37">
        <v>67</v>
      </c>
      <c r="R37">
        <v>80</v>
      </c>
      <c r="S37">
        <v>122</v>
      </c>
      <c r="T37">
        <v>192</v>
      </c>
      <c r="AA37" s="27">
        <v>16</v>
      </c>
      <c r="AB37">
        <v>27</v>
      </c>
      <c r="AC37">
        <v>27</v>
      </c>
      <c r="AD37">
        <v>105</v>
      </c>
      <c r="AE37">
        <v>218</v>
      </c>
      <c r="AF37">
        <v>309</v>
      </c>
      <c r="AG37">
        <v>488</v>
      </c>
      <c r="AH37">
        <v>464</v>
      </c>
      <c r="AI37">
        <v>429</v>
      </c>
      <c r="AJ37">
        <v>430</v>
      </c>
      <c r="AK37">
        <v>432</v>
      </c>
      <c r="AL37" s="26">
        <v>435</v>
      </c>
      <c r="AM37">
        <v>22</v>
      </c>
      <c r="AN37">
        <v>52</v>
      </c>
      <c r="AO37">
        <v>90</v>
      </c>
      <c r="AP37">
        <v>150</v>
      </c>
      <c r="AQ37">
        <v>258</v>
      </c>
      <c r="AR37">
        <v>350</v>
      </c>
      <c r="AS37">
        <v>458</v>
      </c>
      <c r="AT37">
        <v>453</v>
      </c>
      <c r="AU37">
        <v>522</v>
      </c>
      <c r="AV37">
        <v>566</v>
      </c>
      <c r="AW37">
        <v>596</v>
      </c>
      <c r="AX37">
        <v>591</v>
      </c>
    </row>
    <row r="38" spans="5:50" x14ac:dyDescent="0.2">
      <c r="E38" t="s">
        <v>63</v>
      </c>
      <c r="F38">
        <v>189978.5</v>
      </c>
      <c r="G38">
        <v>8869.2000000000007</v>
      </c>
      <c r="H38" s="26">
        <v>91467.1</v>
      </c>
      <c r="I38">
        <v>187118.2</v>
      </c>
      <c r="J38">
        <v>7865.9000000000005</v>
      </c>
      <c r="K38" s="26">
        <v>97100.299999999988</v>
      </c>
      <c r="L38">
        <v>181464.8</v>
      </c>
      <c r="M38">
        <v>8122.2</v>
      </c>
      <c r="N38" s="26">
        <v>94780.800000000003</v>
      </c>
      <c r="O38">
        <v>1232.5999999999999</v>
      </c>
      <c r="P38">
        <v>2521.8000000000002</v>
      </c>
      <c r="Q38">
        <v>3867.8</v>
      </c>
      <c r="R38">
        <v>5348.4</v>
      </c>
      <c r="S38">
        <v>7289.8</v>
      </c>
      <c r="T38">
        <v>8869.2000000000007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27">
        <v>1081.8</v>
      </c>
      <c r="AB38">
        <v>1914.2</v>
      </c>
      <c r="AC38">
        <v>3013.9</v>
      </c>
      <c r="AD38">
        <v>4416.3999999999996</v>
      </c>
      <c r="AE38">
        <v>5770.1</v>
      </c>
      <c r="AF38">
        <v>7247.9000000000005</v>
      </c>
      <c r="AG38">
        <v>8752.2000000000007</v>
      </c>
      <c r="AH38">
        <v>9323.7999999999993</v>
      </c>
      <c r="AI38">
        <v>10122.5</v>
      </c>
      <c r="AJ38">
        <v>10897.7</v>
      </c>
      <c r="AK38">
        <v>11759</v>
      </c>
      <c r="AL38" s="26">
        <v>11946</v>
      </c>
      <c r="AM38">
        <v>1097.7</v>
      </c>
      <c r="AN38">
        <v>2174.8000000000002</v>
      </c>
      <c r="AO38">
        <v>3533.9</v>
      </c>
      <c r="AP38">
        <v>4717.1000000000004</v>
      </c>
      <c r="AQ38">
        <v>6398.7999999999993</v>
      </c>
      <c r="AR38">
        <v>7933.2</v>
      </c>
      <c r="AS38">
        <v>9431.5</v>
      </c>
      <c r="AT38">
        <v>9732.7999999999993</v>
      </c>
      <c r="AU38">
        <v>11196.7</v>
      </c>
      <c r="AV38">
        <v>12313.3</v>
      </c>
      <c r="AW38">
        <v>13505.4</v>
      </c>
      <c r="AX38">
        <v>13380.699999999999</v>
      </c>
    </row>
    <row r="39" spans="5:50" x14ac:dyDescent="0.2">
      <c r="E39" s="28" t="s">
        <v>64</v>
      </c>
      <c r="F39">
        <v>6353</v>
      </c>
      <c r="G39">
        <v>762</v>
      </c>
      <c r="H39" s="26">
        <v>7332</v>
      </c>
      <c r="I39">
        <v>5993</v>
      </c>
      <c r="J39">
        <v>674</v>
      </c>
      <c r="K39" s="26">
        <v>7167</v>
      </c>
      <c r="L39">
        <v>5275</v>
      </c>
      <c r="M39">
        <v>568</v>
      </c>
      <c r="N39" s="26">
        <v>7227</v>
      </c>
      <c r="O39">
        <v>56</v>
      </c>
      <c r="P39">
        <v>137</v>
      </c>
      <c r="Q39">
        <v>240</v>
      </c>
      <c r="R39">
        <v>396</v>
      </c>
      <c r="S39">
        <v>584</v>
      </c>
      <c r="T39">
        <v>762</v>
      </c>
      <c r="AA39" s="27">
        <v>48</v>
      </c>
      <c r="AB39">
        <v>123</v>
      </c>
      <c r="AC39">
        <v>218</v>
      </c>
      <c r="AD39">
        <v>294</v>
      </c>
      <c r="AE39">
        <v>499</v>
      </c>
      <c r="AF39">
        <v>674</v>
      </c>
      <c r="AG39">
        <v>934</v>
      </c>
      <c r="AH39">
        <v>996</v>
      </c>
      <c r="AI39">
        <v>1182</v>
      </c>
      <c r="AJ39">
        <v>1362</v>
      </c>
      <c r="AK39">
        <v>1507</v>
      </c>
      <c r="AL39" s="26">
        <v>1486</v>
      </c>
      <c r="AM39">
        <v>51</v>
      </c>
      <c r="AN39">
        <v>112</v>
      </c>
      <c r="AO39">
        <v>183</v>
      </c>
      <c r="AP39">
        <v>274</v>
      </c>
      <c r="AQ39">
        <v>432</v>
      </c>
      <c r="AR39">
        <v>568</v>
      </c>
      <c r="AS39">
        <v>726</v>
      </c>
      <c r="AT39">
        <v>750</v>
      </c>
      <c r="AU39">
        <v>867</v>
      </c>
      <c r="AV39">
        <v>953</v>
      </c>
      <c r="AW39">
        <v>1029</v>
      </c>
      <c r="AX39">
        <v>1079</v>
      </c>
    </row>
    <row r="40" spans="5:50" x14ac:dyDescent="0.2">
      <c r="E40" s="28" t="s">
        <v>65</v>
      </c>
      <c r="F40">
        <v>12373</v>
      </c>
      <c r="G40">
        <v>408</v>
      </c>
      <c r="H40" s="26">
        <v>3054</v>
      </c>
      <c r="I40">
        <v>12398</v>
      </c>
      <c r="J40">
        <v>341</v>
      </c>
      <c r="K40" s="26">
        <v>3033</v>
      </c>
      <c r="L40">
        <v>10472</v>
      </c>
      <c r="M40">
        <v>461</v>
      </c>
      <c r="N40" s="26">
        <v>2910</v>
      </c>
      <c r="O40">
        <v>82</v>
      </c>
      <c r="P40">
        <v>134</v>
      </c>
      <c r="Q40">
        <v>187</v>
      </c>
      <c r="R40">
        <v>244</v>
      </c>
      <c r="S40">
        <v>338</v>
      </c>
      <c r="T40">
        <v>408</v>
      </c>
      <c r="AA40" s="27">
        <v>2</v>
      </c>
      <c r="AB40">
        <v>38</v>
      </c>
      <c r="AC40">
        <v>89</v>
      </c>
      <c r="AD40">
        <v>179</v>
      </c>
      <c r="AE40">
        <v>234</v>
      </c>
      <c r="AF40">
        <v>341</v>
      </c>
      <c r="AG40">
        <v>459</v>
      </c>
      <c r="AH40">
        <v>536</v>
      </c>
      <c r="AI40">
        <v>629</v>
      </c>
      <c r="AJ40">
        <v>656</v>
      </c>
      <c r="AK40">
        <v>641</v>
      </c>
      <c r="AL40" s="26">
        <v>550</v>
      </c>
      <c r="AM40">
        <v>71</v>
      </c>
      <c r="AN40">
        <v>142</v>
      </c>
      <c r="AO40">
        <v>247</v>
      </c>
      <c r="AP40">
        <v>307</v>
      </c>
      <c r="AQ40">
        <v>395</v>
      </c>
      <c r="AR40">
        <v>461</v>
      </c>
      <c r="AS40">
        <v>564</v>
      </c>
      <c r="AT40">
        <v>645</v>
      </c>
      <c r="AU40">
        <v>688</v>
      </c>
      <c r="AV40">
        <v>706</v>
      </c>
      <c r="AW40">
        <v>664</v>
      </c>
      <c r="AX40">
        <v>593</v>
      </c>
    </row>
    <row r="41" spans="5:50" x14ac:dyDescent="0.2">
      <c r="E41" s="28" t="s">
        <v>66</v>
      </c>
      <c r="F41">
        <v>17760</v>
      </c>
      <c r="G41">
        <v>800</v>
      </c>
      <c r="H41" s="26">
        <v>6488</v>
      </c>
      <c r="I41">
        <v>17025</v>
      </c>
      <c r="J41">
        <v>568</v>
      </c>
      <c r="K41" s="26">
        <v>7469</v>
      </c>
      <c r="L41">
        <v>16854</v>
      </c>
      <c r="M41">
        <v>572</v>
      </c>
      <c r="N41" s="26">
        <v>6611</v>
      </c>
      <c r="O41">
        <v>140</v>
      </c>
      <c r="P41">
        <v>274</v>
      </c>
      <c r="Q41">
        <v>416</v>
      </c>
      <c r="R41">
        <v>544</v>
      </c>
      <c r="S41">
        <v>685</v>
      </c>
      <c r="T41">
        <v>800</v>
      </c>
      <c r="AA41" s="27">
        <v>141</v>
      </c>
      <c r="AB41">
        <v>254</v>
      </c>
      <c r="AC41">
        <v>347</v>
      </c>
      <c r="AD41">
        <v>440</v>
      </c>
      <c r="AE41">
        <v>515</v>
      </c>
      <c r="AF41">
        <v>568</v>
      </c>
      <c r="AG41">
        <v>623</v>
      </c>
      <c r="AH41">
        <v>633</v>
      </c>
      <c r="AI41">
        <v>702</v>
      </c>
      <c r="AJ41">
        <v>754</v>
      </c>
      <c r="AK41">
        <v>816</v>
      </c>
      <c r="AL41" s="26">
        <v>894</v>
      </c>
      <c r="AM41">
        <v>116</v>
      </c>
      <c r="AN41">
        <v>225</v>
      </c>
      <c r="AO41">
        <v>357</v>
      </c>
      <c r="AP41">
        <v>356</v>
      </c>
      <c r="AQ41">
        <v>470</v>
      </c>
      <c r="AR41">
        <v>572</v>
      </c>
      <c r="AS41">
        <v>650</v>
      </c>
      <c r="AT41">
        <v>606</v>
      </c>
      <c r="AU41">
        <v>732</v>
      </c>
      <c r="AV41">
        <v>744</v>
      </c>
      <c r="AW41">
        <v>865</v>
      </c>
      <c r="AX41">
        <v>810</v>
      </c>
    </row>
    <row r="42" spans="5:50" x14ac:dyDescent="0.2">
      <c r="E42" s="28" t="s">
        <v>67</v>
      </c>
      <c r="F42">
        <v>30399.599999999999</v>
      </c>
      <c r="G42">
        <v>786.8</v>
      </c>
      <c r="H42" s="26">
        <v>12308.8</v>
      </c>
      <c r="I42">
        <v>29531.599999999999</v>
      </c>
      <c r="J42">
        <v>786.8</v>
      </c>
      <c r="K42" s="26">
        <v>13941.199999999999</v>
      </c>
      <c r="L42">
        <v>30237.199999999997</v>
      </c>
      <c r="M42">
        <v>932.4</v>
      </c>
      <c r="N42" s="26">
        <v>13381.199999999999</v>
      </c>
      <c r="O42">
        <v>165.2</v>
      </c>
      <c r="P42">
        <v>305.2</v>
      </c>
      <c r="Q42">
        <v>383.59999999999997</v>
      </c>
      <c r="R42">
        <v>534.79999999999995</v>
      </c>
      <c r="S42">
        <v>649.59999999999991</v>
      </c>
      <c r="T42">
        <v>786.8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27">
        <v>190.39999999999998</v>
      </c>
      <c r="AB42">
        <v>243.6</v>
      </c>
      <c r="AC42">
        <v>383.59999999999997</v>
      </c>
      <c r="AD42">
        <v>492.79999999999995</v>
      </c>
      <c r="AE42">
        <v>613.19999999999993</v>
      </c>
      <c r="AF42">
        <v>786.8</v>
      </c>
      <c r="AG42">
        <v>826</v>
      </c>
      <c r="AH42">
        <v>949.19999999999993</v>
      </c>
      <c r="AI42">
        <v>1000</v>
      </c>
      <c r="AJ42">
        <v>1100</v>
      </c>
      <c r="AK42">
        <v>1300</v>
      </c>
      <c r="AL42" s="26">
        <v>1400</v>
      </c>
      <c r="AM42">
        <v>196</v>
      </c>
      <c r="AN42">
        <v>327.59999999999997</v>
      </c>
      <c r="AO42">
        <v>422.79999999999995</v>
      </c>
      <c r="AP42">
        <v>599.19999999999993</v>
      </c>
      <c r="AQ42">
        <v>739.19999999999993</v>
      </c>
      <c r="AR42">
        <v>932.4</v>
      </c>
      <c r="AS42">
        <v>1047.2</v>
      </c>
      <c r="AT42">
        <v>1083.5999999999999</v>
      </c>
      <c r="AU42">
        <v>1285.1999999999998</v>
      </c>
      <c r="AV42">
        <v>1489.6</v>
      </c>
      <c r="AW42">
        <v>1696.8</v>
      </c>
      <c r="AX42">
        <v>1744.3999999999999</v>
      </c>
    </row>
    <row r="43" spans="5:50" x14ac:dyDescent="0.2">
      <c r="E43" s="28" t="s">
        <v>68</v>
      </c>
      <c r="F43">
        <v>20400</v>
      </c>
      <c r="G43">
        <v>614.40000000000009</v>
      </c>
      <c r="H43" s="26">
        <v>15171.2</v>
      </c>
      <c r="I43">
        <v>22224</v>
      </c>
      <c r="J43">
        <v>988.80000000000007</v>
      </c>
      <c r="K43" s="26">
        <v>16019.2</v>
      </c>
      <c r="L43">
        <v>18476.8</v>
      </c>
      <c r="M43">
        <v>1120</v>
      </c>
      <c r="N43" s="26">
        <v>14230.400000000001</v>
      </c>
      <c r="O43">
        <v>54.400000000000006</v>
      </c>
      <c r="P43">
        <v>160</v>
      </c>
      <c r="Q43">
        <v>214.4</v>
      </c>
      <c r="R43">
        <v>256</v>
      </c>
      <c r="S43">
        <v>390.40000000000003</v>
      </c>
      <c r="T43">
        <v>614.40000000000009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27">
        <v>51.2</v>
      </c>
      <c r="AB43">
        <v>86.4</v>
      </c>
      <c r="AC43">
        <v>86.4</v>
      </c>
      <c r="AD43">
        <v>336</v>
      </c>
      <c r="AE43">
        <v>697.6</v>
      </c>
      <c r="AF43">
        <v>988.80000000000007</v>
      </c>
      <c r="AG43">
        <v>1561.6000000000001</v>
      </c>
      <c r="AH43">
        <v>1484.8000000000002</v>
      </c>
      <c r="AI43">
        <v>1372.8000000000002</v>
      </c>
      <c r="AJ43">
        <v>1370</v>
      </c>
      <c r="AK43">
        <v>1375</v>
      </c>
      <c r="AL43" s="26">
        <v>1410</v>
      </c>
      <c r="AM43">
        <v>70.400000000000006</v>
      </c>
      <c r="AN43">
        <v>166.4</v>
      </c>
      <c r="AO43">
        <v>288</v>
      </c>
      <c r="AP43">
        <v>480</v>
      </c>
      <c r="AQ43">
        <v>825.6</v>
      </c>
      <c r="AR43">
        <v>1120</v>
      </c>
      <c r="AS43">
        <v>1465.6000000000001</v>
      </c>
      <c r="AT43">
        <v>1449.6000000000001</v>
      </c>
      <c r="AU43">
        <v>1670.4</v>
      </c>
      <c r="AV43">
        <v>1811.2</v>
      </c>
      <c r="AW43">
        <v>1907.2</v>
      </c>
      <c r="AX43">
        <v>1891.2</v>
      </c>
    </row>
    <row r="44" spans="5:50" x14ac:dyDescent="0.2">
      <c r="E44" s="28" t="s">
        <v>69</v>
      </c>
      <c r="F44">
        <v>21088</v>
      </c>
      <c r="G44">
        <v>1264</v>
      </c>
      <c r="H44" s="26">
        <v>4828</v>
      </c>
      <c r="I44">
        <v>19736</v>
      </c>
      <c r="J44">
        <v>932</v>
      </c>
      <c r="K44" s="26">
        <v>5940</v>
      </c>
      <c r="L44">
        <v>19156</v>
      </c>
      <c r="M44">
        <v>860</v>
      </c>
      <c r="N44" s="26">
        <v>7744</v>
      </c>
      <c r="O44">
        <v>112</v>
      </c>
      <c r="P44">
        <v>276</v>
      </c>
      <c r="Q44">
        <v>524</v>
      </c>
      <c r="R44">
        <v>744</v>
      </c>
      <c r="S44">
        <v>984</v>
      </c>
      <c r="T44">
        <v>1264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27">
        <v>56</v>
      </c>
      <c r="AB44">
        <v>128</v>
      </c>
      <c r="AC44">
        <v>288</v>
      </c>
      <c r="AD44">
        <v>560</v>
      </c>
      <c r="AE44">
        <v>668</v>
      </c>
      <c r="AF44">
        <v>932</v>
      </c>
      <c r="AG44">
        <v>996</v>
      </c>
      <c r="AH44">
        <v>936</v>
      </c>
      <c r="AI44">
        <v>1176</v>
      </c>
      <c r="AJ44">
        <v>1332</v>
      </c>
      <c r="AK44">
        <v>1276</v>
      </c>
      <c r="AL44" s="26">
        <v>1400</v>
      </c>
      <c r="AM44">
        <v>84</v>
      </c>
      <c r="AN44">
        <v>188</v>
      </c>
      <c r="AO44">
        <v>348</v>
      </c>
      <c r="AP44">
        <v>492</v>
      </c>
      <c r="AQ44">
        <v>672</v>
      </c>
      <c r="AR44">
        <v>860</v>
      </c>
      <c r="AS44">
        <v>1040</v>
      </c>
      <c r="AT44">
        <v>1040</v>
      </c>
      <c r="AU44">
        <v>1200</v>
      </c>
      <c r="AV44">
        <v>1360</v>
      </c>
      <c r="AW44">
        <v>1504</v>
      </c>
      <c r="AX44">
        <v>1500</v>
      </c>
    </row>
    <row r="45" spans="5:50" x14ac:dyDescent="0.2">
      <c r="E45" t="s">
        <v>70</v>
      </c>
      <c r="F45">
        <v>23736.9</v>
      </c>
      <c r="G45">
        <v>1012.0000000000001</v>
      </c>
      <c r="H45" s="26">
        <v>8207.1</v>
      </c>
      <c r="I45">
        <v>22754.600000000002</v>
      </c>
      <c r="J45">
        <v>718.30000000000007</v>
      </c>
      <c r="K45" s="26">
        <v>9447.9000000000015</v>
      </c>
      <c r="L45">
        <v>22525.800000000003</v>
      </c>
      <c r="M45">
        <v>723.80000000000007</v>
      </c>
      <c r="N45" s="26">
        <v>8362.2000000000007</v>
      </c>
      <c r="O45">
        <v>187.00000000000003</v>
      </c>
      <c r="P45">
        <v>347.6</v>
      </c>
      <c r="Q45">
        <v>525.80000000000007</v>
      </c>
      <c r="R45">
        <v>688.6</v>
      </c>
      <c r="S45">
        <v>866.80000000000007</v>
      </c>
      <c r="T45">
        <v>1012.0000000000001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27">
        <v>178.20000000000002</v>
      </c>
      <c r="AB45">
        <v>321.20000000000005</v>
      </c>
      <c r="AC45">
        <v>438.90000000000003</v>
      </c>
      <c r="AD45">
        <v>556.6</v>
      </c>
      <c r="AE45">
        <v>652.30000000000007</v>
      </c>
      <c r="AF45">
        <v>718.30000000000007</v>
      </c>
      <c r="AG45">
        <v>787.6</v>
      </c>
      <c r="AH45">
        <v>800.80000000000007</v>
      </c>
      <c r="AI45">
        <v>887.7</v>
      </c>
      <c r="AJ45">
        <v>953.7</v>
      </c>
      <c r="AK45">
        <v>1100</v>
      </c>
      <c r="AL45" s="26">
        <v>1120</v>
      </c>
      <c r="AM45">
        <v>146.30000000000001</v>
      </c>
      <c r="AN45">
        <v>283.8</v>
      </c>
      <c r="AO45">
        <v>452.1</v>
      </c>
      <c r="AP45">
        <v>449.90000000000003</v>
      </c>
      <c r="AQ45">
        <v>594</v>
      </c>
      <c r="AR45">
        <v>723.80000000000007</v>
      </c>
      <c r="AS45">
        <v>821.7</v>
      </c>
      <c r="AT45">
        <v>765.6</v>
      </c>
      <c r="AU45">
        <v>925.1</v>
      </c>
      <c r="AV45">
        <v>940.50000000000011</v>
      </c>
      <c r="AW45">
        <v>1093.4000000000001</v>
      </c>
      <c r="AX45">
        <v>1024.1000000000001</v>
      </c>
    </row>
    <row r="46" spans="5:50" x14ac:dyDescent="0.2">
      <c r="E46" s="28" t="s">
        <v>71</v>
      </c>
      <c r="F46">
        <v>6302</v>
      </c>
      <c r="G46">
        <v>240</v>
      </c>
      <c r="H46" s="26">
        <v>4655</v>
      </c>
      <c r="I46">
        <v>5400</v>
      </c>
      <c r="J46">
        <v>190</v>
      </c>
      <c r="K46" s="26">
        <v>4096</v>
      </c>
      <c r="L46">
        <v>5293</v>
      </c>
      <c r="M46">
        <v>156</v>
      </c>
      <c r="N46" s="26">
        <v>4514</v>
      </c>
      <c r="O46">
        <v>36</v>
      </c>
      <c r="P46">
        <v>81</v>
      </c>
      <c r="Q46">
        <v>100</v>
      </c>
      <c r="R46">
        <v>143</v>
      </c>
      <c r="S46">
        <v>205</v>
      </c>
      <c r="T46">
        <v>240</v>
      </c>
      <c r="AA46" s="27">
        <v>20</v>
      </c>
      <c r="AB46">
        <v>22</v>
      </c>
      <c r="AC46">
        <v>35</v>
      </c>
      <c r="AD46">
        <v>68</v>
      </c>
      <c r="AE46">
        <v>78</v>
      </c>
      <c r="AF46">
        <v>80</v>
      </c>
      <c r="AG46">
        <v>98</v>
      </c>
      <c r="AH46">
        <v>101</v>
      </c>
      <c r="AI46">
        <v>101</v>
      </c>
      <c r="AJ46">
        <v>110</v>
      </c>
      <c r="AK46">
        <v>126</v>
      </c>
      <c r="AL46" s="26">
        <v>127</v>
      </c>
      <c r="AM46">
        <v>8</v>
      </c>
      <c r="AN46">
        <v>12</v>
      </c>
      <c r="AO46">
        <v>44</v>
      </c>
      <c r="AP46">
        <v>94</v>
      </c>
      <c r="AQ46">
        <v>143</v>
      </c>
      <c r="AR46">
        <v>156</v>
      </c>
      <c r="AS46">
        <v>197</v>
      </c>
      <c r="AT46">
        <v>204</v>
      </c>
      <c r="AU46">
        <v>216</v>
      </c>
      <c r="AV46">
        <v>239</v>
      </c>
      <c r="AW46">
        <v>246</v>
      </c>
      <c r="AX46">
        <v>257</v>
      </c>
    </row>
    <row r="47" spans="5:50" x14ac:dyDescent="0.2">
      <c r="E47" s="28" t="s">
        <v>72</v>
      </c>
      <c r="F47">
        <v>10675</v>
      </c>
      <c r="G47">
        <v>128</v>
      </c>
      <c r="H47" s="26">
        <v>8210</v>
      </c>
      <c r="I47">
        <v>10133</v>
      </c>
      <c r="J47">
        <v>89</v>
      </c>
      <c r="K47" s="26">
        <v>8179</v>
      </c>
      <c r="L47">
        <v>11178</v>
      </c>
      <c r="M47">
        <v>190</v>
      </c>
      <c r="N47" s="26">
        <v>8010</v>
      </c>
      <c r="O47">
        <v>17</v>
      </c>
      <c r="P47">
        <v>49</v>
      </c>
      <c r="Q47">
        <v>126</v>
      </c>
      <c r="R47">
        <v>190</v>
      </c>
      <c r="S47">
        <v>164</v>
      </c>
      <c r="T47">
        <v>128</v>
      </c>
      <c r="AA47" s="27">
        <v>55</v>
      </c>
      <c r="AB47">
        <v>59</v>
      </c>
      <c r="AC47">
        <v>66</v>
      </c>
      <c r="AD47">
        <v>78</v>
      </c>
      <c r="AE47">
        <v>88</v>
      </c>
      <c r="AF47">
        <v>89</v>
      </c>
      <c r="AG47">
        <v>98</v>
      </c>
      <c r="AH47">
        <v>102</v>
      </c>
      <c r="AI47">
        <v>110</v>
      </c>
      <c r="AJ47">
        <v>141</v>
      </c>
      <c r="AK47">
        <v>204</v>
      </c>
      <c r="AL47" s="26">
        <v>204</v>
      </c>
      <c r="AM47">
        <v>36</v>
      </c>
      <c r="AN47">
        <v>68</v>
      </c>
      <c r="AO47">
        <v>121</v>
      </c>
      <c r="AP47">
        <v>168</v>
      </c>
      <c r="AQ47">
        <v>221</v>
      </c>
      <c r="AR47">
        <v>269</v>
      </c>
      <c r="AS47">
        <v>313</v>
      </c>
      <c r="AT47">
        <v>357</v>
      </c>
      <c r="AU47">
        <v>396</v>
      </c>
      <c r="AV47">
        <v>449</v>
      </c>
      <c r="AW47">
        <v>497</v>
      </c>
      <c r="AX47">
        <v>430</v>
      </c>
    </row>
    <row r="48" spans="5:50" x14ac:dyDescent="0.2">
      <c r="E48" s="28" t="s">
        <v>73</v>
      </c>
      <c r="F48">
        <v>13307</v>
      </c>
      <c r="G48">
        <v>862</v>
      </c>
      <c r="H48" s="26">
        <v>5279</v>
      </c>
      <c r="I48">
        <v>12127</v>
      </c>
      <c r="J48">
        <v>742</v>
      </c>
      <c r="K48" s="26">
        <v>5491</v>
      </c>
      <c r="L48">
        <v>13448</v>
      </c>
      <c r="M48">
        <v>905</v>
      </c>
      <c r="N48" s="26">
        <v>6062</v>
      </c>
      <c r="O48">
        <v>126</v>
      </c>
      <c r="P48">
        <v>242</v>
      </c>
      <c r="Q48">
        <v>379</v>
      </c>
      <c r="R48">
        <v>542</v>
      </c>
      <c r="S48">
        <v>696</v>
      </c>
      <c r="T48">
        <v>862</v>
      </c>
      <c r="AA48" s="27">
        <v>110</v>
      </c>
      <c r="AB48">
        <v>202</v>
      </c>
      <c r="AC48">
        <v>363</v>
      </c>
      <c r="AD48">
        <v>474</v>
      </c>
      <c r="AE48">
        <v>609</v>
      </c>
      <c r="AF48">
        <v>742</v>
      </c>
      <c r="AG48">
        <v>861</v>
      </c>
      <c r="AH48">
        <v>941</v>
      </c>
      <c r="AI48">
        <v>1032</v>
      </c>
      <c r="AJ48">
        <v>1138</v>
      </c>
      <c r="AK48">
        <v>1266</v>
      </c>
      <c r="AL48" s="26">
        <v>1270</v>
      </c>
      <c r="AM48">
        <v>112</v>
      </c>
      <c r="AN48">
        <v>224</v>
      </c>
      <c r="AO48">
        <v>405</v>
      </c>
      <c r="AP48">
        <v>571</v>
      </c>
      <c r="AQ48">
        <v>741</v>
      </c>
      <c r="AR48">
        <v>905</v>
      </c>
      <c r="AS48">
        <v>1037</v>
      </c>
      <c r="AT48">
        <v>1115</v>
      </c>
      <c r="AU48">
        <v>1275</v>
      </c>
      <c r="AV48">
        <v>1462</v>
      </c>
      <c r="AW48">
        <v>1620</v>
      </c>
      <c r="AX48">
        <v>1656</v>
      </c>
    </row>
    <row r="49" spans="5:50" x14ac:dyDescent="0.2">
      <c r="E49" s="28" t="s">
        <v>74</v>
      </c>
      <c r="F49">
        <v>11182</v>
      </c>
      <c r="G49">
        <v>1193</v>
      </c>
      <c r="H49" s="26">
        <v>4311</v>
      </c>
      <c r="I49">
        <v>10457</v>
      </c>
      <c r="J49">
        <v>890</v>
      </c>
      <c r="K49" s="26">
        <v>4595</v>
      </c>
      <c r="L49">
        <v>9952</v>
      </c>
      <c r="M49">
        <v>810</v>
      </c>
      <c r="N49" s="26">
        <v>4298</v>
      </c>
      <c r="O49">
        <v>111</v>
      </c>
      <c r="P49">
        <v>233</v>
      </c>
      <c r="Q49">
        <v>397</v>
      </c>
      <c r="R49">
        <v>588</v>
      </c>
      <c r="S49">
        <v>1030</v>
      </c>
      <c r="T49">
        <v>1193</v>
      </c>
      <c r="AA49" s="27">
        <v>34</v>
      </c>
      <c r="AB49">
        <v>107</v>
      </c>
      <c r="AC49">
        <v>198</v>
      </c>
      <c r="AD49">
        <v>265</v>
      </c>
      <c r="AE49">
        <v>318</v>
      </c>
      <c r="AF49">
        <v>382</v>
      </c>
      <c r="AG49">
        <v>450</v>
      </c>
      <c r="AH49">
        <v>525</v>
      </c>
      <c r="AI49">
        <v>589</v>
      </c>
      <c r="AJ49">
        <v>640</v>
      </c>
      <c r="AK49">
        <v>733</v>
      </c>
      <c r="AL49" s="26">
        <v>806</v>
      </c>
      <c r="AM49">
        <v>95</v>
      </c>
      <c r="AN49">
        <v>176</v>
      </c>
      <c r="AO49">
        <v>270</v>
      </c>
      <c r="AP49">
        <v>362</v>
      </c>
      <c r="AQ49">
        <v>454</v>
      </c>
      <c r="AR49">
        <v>542</v>
      </c>
      <c r="AS49">
        <v>639</v>
      </c>
      <c r="AT49">
        <v>734</v>
      </c>
      <c r="AU49">
        <v>835</v>
      </c>
      <c r="AV49">
        <v>939</v>
      </c>
      <c r="AW49">
        <v>1038</v>
      </c>
      <c r="AX49">
        <v>1080</v>
      </c>
    </row>
    <row r="50" spans="5:50" x14ac:dyDescent="0.2">
      <c r="E50" s="28" t="s">
        <v>75</v>
      </c>
      <c r="F50">
        <v>8250</v>
      </c>
      <c r="G50">
        <v>541</v>
      </c>
      <c r="H50" s="26">
        <v>5923</v>
      </c>
      <c r="I50">
        <v>8507</v>
      </c>
      <c r="J50">
        <v>369</v>
      </c>
      <c r="K50" s="26">
        <v>6622</v>
      </c>
      <c r="L50">
        <v>8899</v>
      </c>
      <c r="M50">
        <v>474</v>
      </c>
      <c r="N50" s="26">
        <v>6231</v>
      </c>
      <c r="O50">
        <v>100</v>
      </c>
      <c r="P50">
        <v>177</v>
      </c>
      <c r="Q50">
        <v>252</v>
      </c>
      <c r="R50">
        <v>329</v>
      </c>
      <c r="S50">
        <v>461</v>
      </c>
      <c r="T50">
        <v>541</v>
      </c>
      <c r="AA50" s="27">
        <v>88</v>
      </c>
      <c r="AB50">
        <v>103</v>
      </c>
      <c r="AC50">
        <v>181</v>
      </c>
      <c r="AD50">
        <v>259</v>
      </c>
      <c r="AE50">
        <v>303</v>
      </c>
      <c r="AF50">
        <v>369</v>
      </c>
      <c r="AG50">
        <v>404</v>
      </c>
      <c r="AH50">
        <v>385</v>
      </c>
      <c r="AI50">
        <v>407</v>
      </c>
      <c r="AJ50">
        <v>407</v>
      </c>
      <c r="AK50">
        <v>424</v>
      </c>
      <c r="AL50" s="26">
        <v>349</v>
      </c>
      <c r="AM50">
        <v>85</v>
      </c>
      <c r="AN50">
        <v>136</v>
      </c>
      <c r="AO50">
        <v>213</v>
      </c>
      <c r="AP50">
        <v>298</v>
      </c>
      <c r="AQ50">
        <v>386</v>
      </c>
      <c r="AR50">
        <v>474</v>
      </c>
      <c r="AS50">
        <v>543</v>
      </c>
      <c r="AT50">
        <v>549</v>
      </c>
      <c r="AU50">
        <v>627</v>
      </c>
      <c r="AV50">
        <v>707</v>
      </c>
      <c r="AW50">
        <v>788</v>
      </c>
      <c r="AX50">
        <v>788</v>
      </c>
    </row>
    <row r="51" spans="5:50" x14ac:dyDescent="0.2">
      <c r="E51" s="28" t="s">
        <v>76</v>
      </c>
      <c r="F51">
        <v>8152</v>
      </c>
      <c r="G51">
        <v>258</v>
      </c>
      <c r="H51" s="26">
        <v>5700</v>
      </c>
      <c r="I51">
        <v>10832</v>
      </c>
      <c r="J51">
        <v>577</v>
      </c>
      <c r="K51" s="26">
        <v>5100</v>
      </c>
      <c r="L51">
        <v>9698</v>
      </c>
      <c r="M51">
        <v>350</v>
      </c>
      <c r="N51" s="26">
        <v>5200</v>
      </c>
      <c r="O51">
        <v>46</v>
      </c>
      <c r="P51">
        <v>106</v>
      </c>
      <c r="Q51">
        <v>123</v>
      </c>
      <c r="R51">
        <v>149</v>
      </c>
      <c r="S51">
        <v>236</v>
      </c>
      <c r="T51">
        <v>258</v>
      </c>
      <c r="AA51" s="27">
        <v>108</v>
      </c>
      <c r="AB51">
        <v>227</v>
      </c>
      <c r="AC51">
        <v>320</v>
      </c>
      <c r="AD51">
        <v>414</v>
      </c>
      <c r="AE51">
        <v>495</v>
      </c>
      <c r="AF51">
        <v>577</v>
      </c>
      <c r="AG51">
        <v>654</v>
      </c>
      <c r="AH51">
        <v>934</v>
      </c>
      <c r="AI51">
        <v>934</v>
      </c>
      <c r="AJ51">
        <v>934</v>
      </c>
      <c r="AK51">
        <v>991</v>
      </c>
      <c r="AL51" s="26">
        <v>930</v>
      </c>
      <c r="AM51">
        <v>27</v>
      </c>
      <c r="AN51">
        <v>114</v>
      </c>
      <c r="AO51">
        <v>183</v>
      </c>
      <c r="AP51">
        <v>266</v>
      </c>
      <c r="AQ51">
        <v>326</v>
      </c>
      <c r="AR51">
        <v>350</v>
      </c>
      <c r="AS51">
        <v>388</v>
      </c>
      <c r="AT51">
        <v>434</v>
      </c>
      <c r="AU51">
        <v>480</v>
      </c>
      <c r="AV51">
        <v>513</v>
      </c>
      <c r="AW51">
        <v>557</v>
      </c>
      <c r="AX51">
        <v>528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WireFrame</vt:lpstr>
      <vt:lpstr>Control</vt:lpstr>
      <vt:lpstr>Dashboard</vt:lpstr>
      <vt:lpstr>Calculation</vt:lpstr>
      <vt:lpstr>Data</vt:lpstr>
      <vt:lpstr>cur_mnth</vt:lpstr>
      <vt:lpstr>cur_month</vt:lpstr>
      <vt:lpstr>cur_year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 Akylbekov</dc:creator>
  <cp:lastModifiedBy>Microsoft Office User</cp:lastModifiedBy>
  <cp:lastPrinted>2022-10-21T18:05:26Z</cp:lastPrinted>
  <dcterms:created xsi:type="dcterms:W3CDTF">2022-10-06T14:05:38Z</dcterms:created>
  <dcterms:modified xsi:type="dcterms:W3CDTF">2023-08-16T12:26:58Z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SparklinesGroupSelected" visible="true"/>
        <mso:control idQ="mso:ObjectAlignMenu" visible="true"/>
      </mso:documentControls>
    </mso:qat>
  </mso:ribbon>
</mso:customUI>
</file>