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urik\Desktop\курс Python\Тестовое задание\"/>
    </mc:Choice>
  </mc:AlternateContent>
  <xr:revisionPtr revIDLastSave="0" documentId="13_ncr:1_{227FD152-DE7B-400F-8C47-216CD11C6501}" xr6:coauthVersionLast="47" xr6:coauthVersionMax="47" xr10:uidLastSave="{00000000-0000-0000-0000-000000000000}"/>
  <bookViews>
    <workbookView xWindow="-120" yWindow="-120" windowWidth="29040" windowHeight="15720" activeTab="3" xr2:uid="{9B8C9A86-0837-A84A-80A5-61217BBA1437}"/>
  </bookViews>
  <sheets>
    <sheet name="цессия" sheetId="1" r:id="rId1"/>
    <sheet name="отчет 2" sheetId="5" r:id="rId2"/>
    <sheet name="отчет 1" sheetId="4" r:id="rId3"/>
    <sheet name="задание" sheetId="6" r:id="rId4"/>
    <sheet name="Сводная таблица" sheetId="10" r:id="rId5"/>
  </sheets>
  <definedNames>
    <definedName name="_xlnm._FilterDatabase" localSheetId="2" hidden="1">'отчет 1'!$A$1:$P$23</definedName>
    <definedName name="_xlnm._FilterDatabase" localSheetId="1" hidden="1">'отчет 2'!$A$1:$K$64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5" l="1" a="1"/>
  <c r="R3" i="5"/>
  <c r="R4" i="5" a="1"/>
  <c r="R4" i="5"/>
  <c r="R5" i="5" a="1"/>
  <c r="R5" i="5" s="1"/>
  <c r="R6" i="5" a="1"/>
  <c r="R6" i="5"/>
  <c r="R7" i="5" a="1"/>
  <c r="R7" i="5"/>
  <c r="R8" i="5" a="1"/>
  <c r="R8" i="5"/>
  <c r="R9" i="5" a="1"/>
  <c r="R9" i="5"/>
  <c r="R10" i="5" a="1"/>
  <c r="R10" i="5"/>
  <c r="R11" i="5" a="1"/>
  <c r="R11" i="5"/>
  <c r="R12" i="5" a="1"/>
  <c r="R12" i="5"/>
  <c r="R13" i="5" a="1"/>
  <c r="R13" i="5" s="1"/>
  <c r="R14" i="5" a="1"/>
  <c r="R14" i="5"/>
  <c r="R15" i="5" a="1"/>
  <c r="R15" i="5"/>
  <c r="B7" i="6" s="1" a="1"/>
  <c r="B7" i="6" s="1"/>
  <c r="I7" i="6" s="1"/>
  <c r="R16" i="5" a="1"/>
  <c r="R16" i="5"/>
  <c r="R17" i="5" a="1"/>
  <c r="R17" i="5"/>
  <c r="R18" i="5" a="1"/>
  <c r="R18" i="5"/>
  <c r="R19" i="5" a="1"/>
  <c r="R19" i="5"/>
  <c r="R20" i="5" a="1"/>
  <c r="R20" i="5"/>
  <c r="R21" i="5" a="1"/>
  <c r="R21" i="5" s="1"/>
  <c r="R22" i="5" a="1"/>
  <c r="R22" i="5"/>
  <c r="R23" i="5" a="1"/>
  <c r="R23" i="5"/>
  <c r="R24" i="5" a="1"/>
  <c r="R24" i="5"/>
  <c r="R25" i="5" a="1"/>
  <c r="R25" i="5"/>
  <c r="R26" i="5" a="1"/>
  <c r="R26" i="5"/>
  <c r="R27" i="5" a="1"/>
  <c r="R27" i="5"/>
  <c r="R28" i="5" a="1"/>
  <c r="R28" i="5"/>
  <c r="R29" i="5" a="1"/>
  <c r="R29" i="5" s="1"/>
  <c r="R30" i="5" a="1"/>
  <c r="R30" i="5"/>
  <c r="R31" i="5" a="1"/>
  <c r="R31" i="5"/>
  <c r="R32" i="5" a="1"/>
  <c r="R32" i="5"/>
  <c r="R33" i="5" a="1"/>
  <c r="R33" i="5"/>
  <c r="R34" i="5" a="1"/>
  <c r="R34" i="5"/>
  <c r="R35" i="5" a="1"/>
  <c r="R35" i="5"/>
  <c r="R36" i="5" a="1"/>
  <c r="R36" i="5"/>
  <c r="R37" i="5" a="1"/>
  <c r="R37" i="5" s="1"/>
  <c r="R38" i="5" a="1"/>
  <c r="R38" i="5"/>
  <c r="R39" i="5" a="1"/>
  <c r="R39" i="5"/>
  <c r="R40" i="5" a="1"/>
  <c r="R40" i="5"/>
  <c r="R2" i="5" a="1"/>
  <c r="R2" i="5" s="1"/>
  <c r="Q21" i="5" a="1"/>
  <c r="Q21" i="5" s="1"/>
  <c r="Q33" i="5" a="1"/>
  <c r="Q33" i="5" s="1"/>
  <c r="N2" i="5" a="1"/>
  <c r="N2" i="5" s="1"/>
  <c r="P3" i="5"/>
  <c r="Q3" i="5" s="1" a="1"/>
  <c r="Q3" i="5" s="1"/>
  <c r="P4" i="5"/>
  <c r="Q4" i="5" s="1" a="1"/>
  <c r="Q4" i="5" s="1"/>
  <c r="P5" i="5"/>
  <c r="Q5" i="5" s="1" a="1"/>
  <c r="Q5" i="5" s="1"/>
  <c r="P6" i="5"/>
  <c r="Q6" i="5" s="1" a="1"/>
  <c r="Q6" i="5" s="1"/>
  <c r="P7" i="5"/>
  <c r="Q7" i="5" s="1" a="1"/>
  <c r="Q7" i="5" s="1"/>
  <c r="P8" i="5"/>
  <c r="Q8" i="5" s="1" a="1"/>
  <c r="Q8" i="5" s="1"/>
  <c r="P9" i="5"/>
  <c r="Q9" i="5" s="1" a="1"/>
  <c r="Q9" i="5" s="1"/>
  <c r="P10" i="5"/>
  <c r="Q10" i="5" s="1" a="1"/>
  <c r="Q10" i="5" s="1"/>
  <c r="P11" i="5"/>
  <c r="Q11" i="5" s="1" a="1"/>
  <c r="Q11" i="5" s="1"/>
  <c r="P12" i="5"/>
  <c r="Q12" i="5" s="1" a="1"/>
  <c r="Q12" i="5" s="1"/>
  <c r="P13" i="5"/>
  <c r="Q13" i="5" s="1" a="1"/>
  <c r="Q13" i="5" s="1"/>
  <c r="P14" i="5"/>
  <c r="Q14" i="5" s="1" a="1"/>
  <c r="Q14" i="5" s="1"/>
  <c r="P15" i="5"/>
  <c r="Q15" i="5" s="1" a="1"/>
  <c r="Q15" i="5" s="1"/>
  <c r="P16" i="5"/>
  <c r="Q16" i="5" s="1" a="1"/>
  <c r="Q16" i="5" s="1"/>
  <c r="P17" i="5"/>
  <c r="Q17" i="5" s="1" a="1"/>
  <c r="Q17" i="5" s="1"/>
  <c r="P18" i="5"/>
  <c r="Q18" i="5" s="1" a="1"/>
  <c r="Q18" i="5" s="1"/>
  <c r="P19" i="5"/>
  <c r="Q19" i="5" s="1" a="1"/>
  <c r="Q19" i="5" s="1"/>
  <c r="P20" i="5"/>
  <c r="Q20" i="5" s="1" a="1"/>
  <c r="Q20" i="5" s="1"/>
  <c r="P21" i="5"/>
  <c r="P22" i="5"/>
  <c r="Q22" i="5" s="1" a="1"/>
  <c r="Q22" i="5" s="1"/>
  <c r="P23" i="5"/>
  <c r="Q23" i="5" s="1" a="1"/>
  <c r="Q23" i="5" s="1"/>
  <c r="P24" i="5"/>
  <c r="Q24" i="5" s="1" a="1"/>
  <c r="Q24" i="5" s="1"/>
  <c r="P25" i="5"/>
  <c r="Q25" i="5" s="1" a="1"/>
  <c r="Q25" i="5" s="1"/>
  <c r="P26" i="5"/>
  <c r="Q26" i="5" s="1" a="1"/>
  <c r="Q26" i="5" s="1"/>
  <c r="P27" i="5"/>
  <c r="Q27" i="5" s="1" a="1"/>
  <c r="Q27" i="5" s="1"/>
  <c r="P28" i="5"/>
  <c r="Q28" i="5" s="1" a="1"/>
  <c r="Q28" i="5" s="1"/>
  <c r="P29" i="5"/>
  <c r="Q29" i="5" s="1" a="1"/>
  <c r="Q29" i="5" s="1"/>
  <c r="P30" i="5"/>
  <c r="Q30" i="5" s="1" a="1"/>
  <c r="Q30" i="5" s="1"/>
  <c r="P31" i="5"/>
  <c r="Q31" i="5" s="1" a="1"/>
  <c r="Q31" i="5" s="1"/>
  <c r="P32" i="5"/>
  <c r="Q32" i="5" s="1" a="1"/>
  <c r="Q32" i="5" s="1"/>
  <c r="P33" i="5"/>
  <c r="P34" i="5"/>
  <c r="Q34" i="5" s="1" a="1"/>
  <c r="Q34" i="5" s="1"/>
  <c r="P35" i="5"/>
  <c r="Q35" i="5" s="1" a="1"/>
  <c r="Q35" i="5" s="1"/>
  <c r="P36" i="5"/>
  <c r="Q36" i="5" s="1" a="1"/>
  <c r="Q36" i="5" s="1"/>
  <c r="P37" i="5"/>
  <c r="Q37" i="5" s="1" a="1"/>
  <c r="Q37" i="5" s="1"/>
  <c r="P38" i="5"/>
  <c r="Q38" i="5" s="1" a="1"/>
  <c r="Q38" i="5" s="1"/>
  <c r="P39" i="5"/>
  <c r="Q39" i="5" s="1" a="1"/>
  <c r="Q39" i="5" s="1"/>
  <c r="P40" i="5"/>
  <c r="Q40" i="5" s="1" a="1"/>
  <c r="Q40" i="5" s="1"/>
  <c r="P2" i="5"/>
  <c r="Q2" i="5" s="1" a="1"/>
  <c r="Q2" i="5" s="1"/>
  <c r="H2" i="4"/>
  <c r="A41" i="5" s="1"/>
  <c r="A43" i="5"/>
  <c r="A44" i="5"/>
  <c r="A46" i="5"/>
  <c r="A48" i="5"/>
  <c r="A49" i="5"/>
  <c r="A57" i="5"/>
  <c r="A59" i="5"/>
  <c r="A60" i="5"/>
  <c r="A62" i="5"/>
  <c r="H22" i="4"/>
  <c r="A61" i="5" s="1"/>
  <c r="H23" i="4"/>
  <c r="H21" i="4"/>
  <c r="H20" i="4"/>
  <c r="H19" i="4"/>
  <c r="A58" i="5" s="1"/>
  <c r="H18" i="4"/>
  <c r="H17" i="4"/>
  <c r="A56" i="5" s="1"/>
  <c r="H16" i="4"/>
  <c r="A55" i="5" s="1"/>
  <c r="H15" i="4"/>
  <c r="A54" i="5" s="1"/>
  <c r="H14" i="4"/>
  <c r="A53" i="5" s="1"/>
  <c r="H13" i="4"/>
  <c r="A52" i="5" s="1"/>
  <c r="H12" i="4"/>
  <c r="A51" i="5" s="1"/>
  <c r="H11" i="4"/>
  <c r="A50" i="5" s="1"/>
  <c r="H9" i="4"/>
  <c r="H8" i="4"/>
  <c r="A47" i="5" s="1"/>
  <c r="H6" i="4"/>
  <c r="A45" i="5" s="1"/>
  <c r="H7" i="4"/>
  <c r="H5" i="4"/>
  <c r="H4" i="4"/>
  <c r="H3" i="4"/>
  <c r="A42" i="5" s="1"/>
  <c r="H10" i="4"/>
  <c r="L22" i="6" l="1"/>
  <c r="L18" i="6"/>
  <c r="L15" i="6"/>
  <c r="L14" i="6"/>
  <c r="L23" i="6"/>
  <c r="J7" i="6"/>
  <c r="K7" i="6" s="1"/>
  <c r="L21" i="6"/>
  <c r="L17" i="6"/>
  <c r="J15" i="6"/>
  <c r="K15" i="6" s="1"/>
  <c r="L7" i="6"/>
  <c r="J25" i="6"/>
  <c r="K25" i="6" s="1"/>
  <c r="J9" i="6"/>
  <c r="K9" i="6" s="1"/>
  <c r="J24" i="6"/>
  <c r="K24" i="6" s="1"/>
  <c r="J8" i="6"/>
  <c r="K8" i="6" s="1"/>
  <c r="J23" i="6"/>
  <c r="K23" i="6" s="1"/>
  <c r="J22" i="6"/>
  <c r="K22" i="6" s="1"/>
  <c r="J21" i="6"/>
  <c r="K21" i="6" s="1"/>
  <c r="L20" i="6"/>
  <c r="J20" i="6"/>
  <c r="K20" i="6" s="1"/>
  <c r="L19" i="6"/>
  <c r="J19" i="6"/>
  <c r="K19" i="6" s="1"/>
  <c r="J18" i="6"/>
  <c r="K18" i="6" s="1"/>
  <c r="J17" i="6"/>
  <c r="K17" i="6" s="1"/>
  <c r="L16" i="6"/>
  <c r="J14" i="6"/>
  <c r="K14" i="6" s="1"/>
  <c r="L29" i="6"/>
  <c r="L13" i="6"/>
  <c r="J29" i="6"/>
  <c r="K29" i="6" s="1"/>
  <c r="J13" i="6"/>
  <c r="K13" i="6" s="1"/>
  <c r="L28" i="6"/>
  <c r="L12" i="6"/>
  <c r="J28" i="6"/>
  <c r="K28" i="6" s="1"/>
  <c r="J12" i="6"/>
  <c r="K12" i="6" s="1"/>
  <c r="L27" i="6"/>
  <c r="L11" i="6"/>
  <c r="J27" i="6"/>
  <c r="K27" i="6" s="1"/>
  <c r="J11" i="6"/>
  <c r="K11" i="6" s="1"/>
  <c r="L26" i="6"/>
  <c r="L10" i="6"/>
  <c r="J26" i="6"/>
  <c r="K26" i="6" s="1"/>
  <c r="J10" i="6"/>
  <c r="K10" i="6" s="1"/>
  <c r="L25" i="6"/>
  <c r="L9" i="6"/>
  <c r="J16" i="6"/>
  <c r="K16" i="6" s="1"/>
  <c r="L24" i="6"/>
  <c r="L8" i="6"/>
  <c r="H23" i="6"/>
  <c r="F18" i="6"/>
  <c r="F10" i="6"/>
  <c r="G23" i="6"/>
  <c r="C13" i="6"/>
  <c r="H28" i="6"/>
  <c r="D26" i="6"/>
  <c r="H20" i="6"/>
  <c r="D18" i="6"/>
  <c r="F15" i="6"/>
  <c r="H12" i="6"/>
  <c r="D10" i="6"/>
  <c r="C26" i="6"/>
  <c r="E23" i="6"/>
  <c r="G20" i="6"/>
  <c r="C18" i="6"/>
  <c r="E15" i="6"/>
  <c r="G12" i="6"/>
  <c r="C10" i="6"/>
  <c r="I20" i="6"/>
  <c r="F28" i="6"/>
  <c r="H25" i="6"/>
  <c r="D23" i="6"/>
  <c r="F20" i="6"/>
  <c r="H17" i="6"/>
  <c r="D15" i="6"/>
  <c r="F12" i="6"/>
  <c r="H9" i="6"/>
  <c r="I19" i="6"/>
  <c r="E28" i="6"/>
  <c r="G25" i="6"/>
  <c r="C23" i="6"/>
  <c r="E20" i="6"/>
  <c r="G17" i="6"/>
  <c r="C15" i="6"/>
  <c r="E12" i="6"/>
  <c r="G9" i="6"/>
  <c r="I18" i="6"/>
  <c r="D28" i="6"/>
  <c r="F25" i="6"/>
  <c r="H22" i="6"/>
  <c r="D20" i="6"/>
  <c r="F17" i="6"/>
  <c r="H14" i="6"/>
  <c r="D12" i="6"/>
  <c r="F9" i="6"/>
  <c r="I17" i="6"/>
  <c r="D29" i="6"/>
  <c r="D21" i="6"/>
  <c r="D13" i="6"/>
  <c r="C29" i="6"/>
  <c r="E18" i="6"/>
  <c r="E10" i="6"/>
  <c r="C12" i="6"/>
  <c r="F26" i="6"/>
  <c r="H15" i="6"/>
  <c r="I23" i="6"/>
  <c r="E26" i="6"/>
  <c r="C21" i="6"/>
  <c r="G15" i="6"/>
  <c r="I22" i="6"/>
  <c r="F23" i="6"/>
  <c r="I21" i="6"/>
  <c r="G28" i="6"/>
  <c r="C28" i="6"/>
  <c r="E25" i="6"/>
  <c r="G22" i="6"/>
  <c r="C20" i="6"/>
  <c r="E17" i="6"/>
  <c r="G14" i="6"/>
  <c r="E9" i="6"/>
  <c r="I16" i="6"/>
  <c r="H27" i="6"/>
  <c r="D25" i="6"/>
  <c r="F22" i="6"/>
  <c r="H19" i="6"/>
  <c r="D17" i="6"/>
  <c r="F14" i="6"/>
  <c r="H11" i="6"/>
  <c r="D9" i="6"/>
  <c r="F27" i="6"/>
  <c r="I15" i="6"/>
  <c r="G27" i="6"/>
  <c r="C25" i="6"/>
  <c r="E22" i="6"/>
  <c r="G19" i="6"/>
  <c r="C17" i="6"/>
  <c r="E14" i="6"/>
  <c r="G11" i="6"/>
  <c r="C9" i="6"/>
  <c r="I14" i="6"/>
  <c r="H24" i="6"/>
  <c r="D22" i="6"/>
  <c r="F19" i="6"/>
  <c r="H16" i="6"/>
  <c r="D14" i="6"/>
  <c r="F11" i="6"/>
  <c r="H8" i="6"/>
  <c r="I29" i="6"/>
  <c r="I13" i="6"/>
  <c r="E27" i="6"/>
  <c r="G24" i="6"/>
  <c r="C22" i="6"/>
  <c r="E19" i="6"/>
  <c r="G16" i="6"/>
  <c r="C14" i="6"/>
  <c r="E11" i="6"/>
  <c r="G8" i="6"/>
  <c r="I28" i="6"/>
  <c r="I12" i="6"/>
  <c r="H29" i="6"/>
  <c r="D27" i="6"/>
  <c r="F24" i="6"/>
  <c r="H21" i="6"/>
  <c r="D19" i="6"/>
  <c r="F16" i="6"/>
  <c r="H13" i="6"/>
  <c r="D11" i="6"/>
  <c r="F8" i="6"/>
  <c r="I27" i="6"/>
  <c r="I11" i="6"/>
  <c r="G29" i="6"/>
  <c r="C27" i="6"/>
  <c r="E24" i="6"/>
  <c r="G21" i="6"/>
  <c r="C19" i="6"/>
  <c r="E16" i="6"/>
  <c r="G13" i="6"/>
  <c r="C11" i="6"/>
  <c r="E8" i="6"/>
  <c r="I26" i="6"/>
  <c r="I10" i="6"/>
  <c r="F29" i="6"/>
  <c r="H26" i="6"/>
  <c r="D24" i="6"/>
  <c r="F21" i="6"/>
  <c r="H18" i="6"/>
  <c r="D16" i="6"/>
  <c r="F13" i="6"/>
  <c r="H10" i="6"/>
  <c r="D8" i="6"/>
  <c r="I25" i="6"/>
  <c r="I9" i="6"/>
  <c r="E29" i="6"/>
  <c r="G26" i="6"/>
  <c r="C24" i="6"/>
  <c r="E21" i="6"/>
  <c r="G18" i="6"/>
  <c r="C16" i="6"/>
  <c r="E13" i="6"/>
  <c r="G10" i="6"/>
  <c r="C8" i="6"/>
  <c r="I24" i="6"/>
  <c r="I8" i="6"/>
  <c r="C7" i="6"/>
  <c r="D7" i="6"/>
  <c r="E7" i="6"/>
  <c r="F7" i="6"/>
  <c r="G7" i="6"/>
  <c r="H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<sst xmlns="http://schemas.openxmlformats.org/spreadsheetml/2006/main" count="216" uniqueCount="102">
  <si>
    <t>Id</t>
  </si>
  <si>
    <t>ContractID</t>
  </si>
  <si>
    <t>Date</t>
  </si>
  <si>
    <t>CessionArticleID</t>
  </si>
  <si>
    <t>Amount</t>
  </si>
  <si>
    <t>SellingPrice</t>
  </si>
  <si>
    <t>IsOutgoing</t>
  </si>
  <si>
    <t>Name</t>
  </si>
  <si>
    <t>Y</t>
  </si>
  <si>
    <t>№</t>
  </si>
  <si>
    <t>RepaymentPlanDate</t>
  </si>
  <si>
    <t>SubdivisionName</t>
  </si>
  <si>
    <t>Status</t>
  </si>
  <si>
    <t>DateStatus</t>
  </si>
  <si>
    <t>SumLastPay</t>
  </si>
  <si>
    <t>дата выдачи</t>
  </si>
  <si>
    <t>Сумма выдачи</t>
  </si>
  <si>
    <t>Задолженность по ОД</t>
  </si>
  <si>
    <t>Задолженность по %%</t>
  </si>
  <si>
    <t>Кол-во дней просрочки, фактическое</t>
  </si>
  <si>
    <t>Электросталь</t>
  </si>
  <si>
    <t>COLLECTOR</t>
  </si>
  <si>
    <t>ACTIVE_SB</t>
  </si>
  <si>
    <t>Белгород</t>
  </si>
  <si>
    <t>DELINQUENT</t>
  </si>
  <si>
    <t>Волгоград</t>
  </si>
  <si>
    <t>Красногорск</t>
  </si>
  <si>
    <t>Пенза</t>
  </si>
  <si>
    <t>Онлайн</t>
  </si>
  <si>
    <t>\N</t>
  </si>
  <si>
    <t>Орел</t>
  </si>
  <si>
    <t>Рязань</t>
  </si>
  <si>
    <t>Вологда</t>
  </si>
  <si>
    <t>Астрахань</t>
  </si>
  <si>
    <t>Курск</t>
  </si>
  <si>
    <t>Санкт-Петербург</t>
  </si>
  <si>
    <t>Чебоксары</t>
  </si>
  <si>
    <t>Иваново</t>
  </si>
  <si>
    <t>003547</t>
  </si>
  <si>
    <t>000068</t>
  </si>
  <si>
    <t>000389</t>
  </si>
  <si>
    <t>001393</t>
  </si>
  <si>
    <t>002050</t>
  </si>
  <si>
    <t>002154</t>
  </si>
  <si>
    <t>002148</t>
  </si>
  <si>
    <t>003211</t>
  </si>
  <si>
    <t>003512</t>
  </si>
  <si>
    <t>006081</t>
  </si>
  <si>
    <t>007524</t>
  </si>
  <si>
    <t>012728</t>
  </si>
  <si>
    <t>023629</t>
  </si>
  <si>
    <t>026146</t>
  </si>
  <si>
    <t>027112</t>
  </si>
  <si>
    <t>029454</t>
  </si>
  <si>
    <t>035084</t>
  </si>
  <si>
    <t>037654</t>
  </si>
  <si>
    <t>039952</t>
  </si>
  <si>
    <t>042997</t>
  </si>
  <si>
    <t>070431</t>
  </si>
  <si>
    <t>068701</t>
  </si>
  <si>
    <t>ProviderID</t>
  </si>
  <si>
    <t>1НБЦ от 21.01.2021</t>
  </si>
  <si>
    <t>3НБЦ от 23.03.2023</t>
  </si>
  <si>
    <t>NumContract</t>
  </si>
  <si>
    <t>ClientID</t>
  </si>
  <si>
    <t>inner_lead_id</t>
  </si>
  <si>
    <t>issueDateTimestamp</t>
  </si>
  <si>
    <t>LoanAmount</t>
  </si>
  <si>
    <t>EARLY_REPAID</t>
  </si>
  <si>
    <t>REPAID</t>
  </si>
  <si>
    <t>SOLD</t>
  </si>
  <si>
    <t>CANCELED</t>
  </si>
  <si>
    <t>BANKRUPTCY</t>
  </si>
  <si>
    <t>Номер контракта</t>
  </si>
  <si>
    <t>Регион выдачи</t>
  </si>
  <si>
    <t>ID договора</t>
  </si>
  <si>
    <t>Дата выдачи</t>
  </si>
  <si>
    <t>Статус</t>
  </si>
  <si>
    <t>Дата последнего платежа</t>
  </si>
  <si>
    <t>Сумма последнего платежа</t>
  </si>
  <si>
    <t>1. Составить реестр, в который войдут все клиенты из отчета 1</t>
  </si>
  <si>
    <t>2. Недостающие поля взять из отчета 2</t>
  </si>
  <si>
    <t>4. из полученного реестра построить сводную таблицу по регионам, количеством клиентов по регионам и суммой выданных займов по регионам</t>
  </si>
  <si>
    <t>3. из сформированного реестра исключить клиентов из вкладки "цессия" и со статусом "банкрот", "погашен", "досрочно погашен"</t>
  </si>
  <si>
    <t>исключить</t>
  </si>
  <si>
    <t>отчет 1 и отчет 2 уникальные</t>
  </si>
  <si>
    <t>номера контрактов без цессии</t>
  </si>
  <si>
    <t xml:space="preserve">Исключены ненужные статусы </t>
  </si>
  <si>
    <t>Общий итог</t>
  </si>
  <si>
    <t>Названия строк</t>
  </si>
  <si>
    <t xml:space="preserve">Количество выданных </t>
  </si>
  <si>
    <t>(Все)</t>
  </si>
  <si>
    <t>Сумма выданных займов</t>
  </si>
  <si>
    <t>«EARLY_REPAID» и «BANKRUPTCY». Остальные столбцы в реестре заполнял при помощи ВПР и ПРОСМОТРХ (использовал оба для наглядности моего понимания). В столбцах и строках, где данных не хватает, использовал формулу «ЕСЛИОШИБКА», чтобы вместо</t>
  </si>
  <si>
    <t>При первичном обзоре данных всего файла сделал предположение, что данные из «отчет 1» могут быть включены в лист «отчет 2». Для проверки этой гипотезы на листе «отчет 1» сделал вспомогательный столбец, внутри которого все данные ниже 'B2'</t>
  </si>
  <si>
    <t>преобразовал в числовой формат ('H2' и ниже). Далее номера контрактов 'H2' из листа «отчет 1» продолжил на листе «отчет 2» ('A41' и ниже). Далее провел проверку на уникальность значений ("отчет 2", 'N2' и ниже). Было обнаружено, что все данные из листа</t>
  </si>
  <si>
    <t>«отчет 1» входят в лист «отчет 2» (проверил также вручную, т.к. выборка небольшая). После подтверждения идеи в следующем столбце 'P2' и ниже привел формулу, которая отметит словом «Исключить» все строки, в которые были включены «ContractID»</t>
  </si>
  <si>
    <t>из листа «цессия». Далее в столбце 'Q2' и ниже (лист «отчет 2») я вывел все номера контрактов с фильтрацией, которая НЕ включает данные из столбца 'P2' (получил все номера контрактов без данных из листа «цессия»). После в столбце 'R2' и ниже я вывел все</t>
  </si>
  <si>
    <t>номера контрактов, сделав сортировку, которая также заполнит пустым значением строки, которые включали в себя «банкрот», «погашен» и «досрочно погашен». После этого приступаю к заполнению основного реестра листа «Задание». В столбце 'B7' привожу формулу</t>
  </si>
  <si>
    <t>которая возьмет все данные из столбца 'R2' и ниже листа «отчет 2», при этом сделает сортировку от меньшего к большему. Таким образом мы получили все номера контрактов, исключив контракты из листа «цессия» и избавившись от строк со статусами «REPAID»,</t>
  </si>
  <si>
    <t>ошибки заполнять поля строками «Нет данных». Столбец «Дата последнего платежа» заполнил следующим образом: для строк, у которых есть количество дней просрочки, от текущей даты отнял дни просрочки.</t>
  </si>
  <si>
    <t>Для строк, где нет информации о днях просрочки, перетянул информацию из столбца 'J' листа «отчет 2». Явного столбца с датой последнего платежа не было найдено. Сумма последнего платежа была вытянута из листа «отчет 2», столбца 'K', с исправлением некорректных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</si>
</sst>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dd\.mm\.yyyy"/>
    <numFmt numFmtId="166" formatCode="#,##0.00\ &quot;₽&quot;"/>
    <numFmt numFmtId="167" formatCode="#,##0\ &quot;₽&quot;"/>
    <numFmt numFmtId="168" formatCode="_-* #,##0.00\ [$₽-419]_-;\-* #,##0.00\ [$₽-419]_-;_-* &quot;-&quot;??\ [$₽-419]_-;_-@_-"/>
  </numFmts>
  <fonts count="4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  <font>
      <sz val="9"/>
      <name val="Arial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" fontId="2" fillId="0" borderId="0" xfId="0" applyNumberFormat="1" applyFont="1" applyAlignment="1">
      <alignment vertical="top" wrapText="1"/>
    </xf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0" fontId="0" fillId="0" borderId="1" xfId="0" applyBorder="1"/>
    <xf numFmtId="0" fontId="3" fillId="0" borderId="0" xfId="0" applyFont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1" fontId="0" fillId="0" borderId="0" xfId="0" applyNumberFormat="1"/>
    <xf numFmtId="166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Нур Мам" refreshedDate="45699.864936574071" createdVersion="8" refreshedVersion="8" minRefreshableVersion="3" recordCount="23" xr:uid="{411251D0-EE71-4496-99B1-2B6059DB0F9D}">
  <cacheSource type="worksheet">
    <worksheetSource ref="A6:L29" sheet="задание"/>
  </cacheSource>
  <cacheFields count="12">
    <cacheField name="№" numFmtId="0">
      <sharedItems containsSemiMixedTypes="0" containsString="0" containsNumber="1" containsInteger="1" minValue="1" maxValue="23"/>
    </cacheField>
    <cacheField name="Номер контракта" numFmtId="0">
      <sharedItems containsSemiMixedTypes="0" containsString="0" containsNumber="1" containsInteger="1" minValue="68" maxValue="70431" count="23">
        <n v="68"/>
        <n v="389"/>
        <n v="864"/>
        <n v="1097"/>
        <n v="1370"/>
        <n v="1393"/>
        <n v="1612"/>
        <n v="2050"/>
        <n v="2148"/>
        <n v="2154"/>
        <n v="2369"/>
        <n v="2674"/>
        <n v="2952"/>
        <n v="3211"/>
        <n v="3512"/>
        <n v="3547"/>
        <n v="6081"/>
        <n v="7524"/>
        <n v="12728"/>
        <n v="36943"/>
        <n v="37392"/>
        <n v="68701"/>
        <n v="70431"/>
      </sharedItems>
    </cacheField>
    <cacheField name="ID договора" numFmtId="0">
      <sharedItems containsSemiMixedTypes="0" containsString="0" containsNumber="1" containsInteger="1" minValue="183" maxValue="208219" count="23">
        <n v="183"/>
        <n v="1146"/>
        <n v="2573"/>
        <n v="3272"/>
        <n v="4088"/>
        <n v="4157"/>
        <n v="4814"/>
        <n v="6127"/>
        <n v="6421"/>
        <n v="6439"/>
        <n v="7084"/>
        <n v="7999"/>
        <n v="8833"/>
        <n v="9610"/>
        <n v="10509"/>
        <n v="10614"/>
        <n v="18155"/>
        <n v="22472"/>
        <n v="38081"/>
        <n v="107766"/>
        <n v="109111"/>
        <n v="203029"/>
        <n v="208219"/>
      </sharedItems>
    </cacheField>
    <cacheField name="Регион выдачи" numFmtId="0">
      <sharedItems count="12">
        <s v="Белгород"/>
        <s v="Вологда"/>
        <s v="Иваново"/>
        <s v="Орел"/>
        <s v="Электросталь"/>
        <s v="Санкт-Петербург"/>
        <s v="Пенза"/>
        <s v="Курск"/>
        <s v="Волгоград"/>
        <s v="Рязань"/>
        <s v="Астрахань"/>
        <s v="Онлайн"/>
      </sharedItems>
    </cacheField>
    <cacheField name="Дата выдачи" numFmtId="14">
      <sharedItems containsSemiMixedTypes="0" containsNonDate="0" containsDate="1" containsString="0" minDate="2022-09-30T00:00:00" maxDate="2024-06-23T00:00:00"/>
    </cacheField>
    <cacheField name="Сумма выдачи" numFmtId="0">
      <sharedItems containsSemiMixedTypes="0" containsString="0" containsNumber="1" containsInteger="1" minValue="6000" maxValue="70000" count="11">
        <n v="35000"/>
        <n v="30000"/>
        <n v="70000"/>
        <n v="20000"/>
        <n v="40000"/>
        <n v="50000"/>
        <n v="55000"/>
        <n v="60000"/>
        <n v="9500"/>
        <n v="9900"/>
        <n v="6000"/>
      </sharedItems>
    </cacheField>
    <cacheField name="Статус" numFmtId="0">
      <sharedItems count="5">
        <s v="COLLECTOR"/>
        <s v="DELINQUENT"/>
        <s v="SOLD"/>
        <s v="CANCELED"/>
        <s v="ACTIVE_SB"/>
      </sharedItems>
    </cacheField>
    <cacheField name="Задолженность по ОД" numFmtId="0">
      <sharedItems containsMixedTypes="1" containsNumber="1" containsInteger="1" minValue="6000" maxValue="60000"/>
    </cacheField>
    <cacheField name="Задолженность по %%" numFmtId="0">
      <sharedItems containsMixedTypes="1" containsNumber="1" minValue="249.72" maxValue="30483.14"/>
    </cacheField>
    <cacheField name="Кол-во дней просрочки, фактическое" numFmtId="0">
      <sharedItems containsMixedTypes="1" containsNumber="1" containsInteger="1" minValue="208" maxValue="609"/>
    </cacheField>
    <cacheField name="Дата последнего платежа" numFmtId="14">
      <sharedItems containsSemiMixedTypes="0" containsNonDate="0" containsDate="1" containsString="0" minDate="1900-02-23T08:25:23" maxDate="2024-07-19T00:00:00"/>
    </cacheField>
    <cacheField name="Сумма последнего платежа" numFmtId="0">
      <sharedItems containsMixedTypes="1" containsNumber="1" minValue="50" maxValue="10868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n v="1"/>
    <x v="0"/>
    <x v="0"/>
    <x v="0"/>
    <d v="2022-09-30T00:00:00"/>
    <x v="0"/>
    <x v="0"/>
    <n v="35000"/>
    <n v="1300.06"/>
    <n v="552"/>
    <d v="2023-08-09T00:00:00"/>
    <n v="1950"/>
  </r>
  <r>
    <n v="2"/>
    <x v="1"/>
    <x v="1"/>
    <x v="1"/>
    <d v="2022-10-28T00:00:00"/>
    <x v="1"/>
    <x v="1"/>
    <n v="30000"/>
    <n v="249.72"/>
    <n v="482"/>
    <d v="2023-10-18T00:00:00"/>
    <n v="1200"/>
  </r>
  <r>
    <n v="3"/>
    <x v="2"/>
    <x v="2"/>
    <x v="2"/>
    <d v="2022-11-24T16:50:31"/>
    <x v="2"/>
    <x v="2"/>
    <s v="Нет данных"/>
    <s v="Нет данных"/>
    <s v="Нет данных"/>
    <d v="1901-09-27T07:29:55"/>
    <n v="2500"/>
  </r>
  <r>
    <n v="4"/>
    <x v="3"/>
    <x v="3"/>
    <x v="0"/>
    <d v="2022-12-06T16:08:16"/>
    <x v="1"/>
    <x v="3"/>
    <s v="Нет данных"/>
    <s v="Нет данных"/>
    <s v="Нет данных"/>
    <d v="1901-05-07T00:00:00"/>
    <s v="Нет данных"/>
  </r>
  <r>
    <n v="5"/>
    <x v="4"/>
    <x v="4"/>
    <x v="3"/>
    <d v="2022-12-19T14:40:28"/>
    <x v="3"/>
    <x v="2"/>
    <s v="Нет данных"/>
    <s v="Нет данных"/>
    <s v="Нет данных"/>
    <d v="1901-08-28T08:44:58"/>
    <n v="1070"/>
  </r>
  <r>
    <n v="6"/>
    <x v="5"/>
    <x v="5"/>
    <x v="4"/>
    <d v="2022-12-20T00:00:00"/>
    <x v="4"/>
    <x v="4"/>
    <n v="40000"/>
    <n v="1482.47"/>
    <n v="457"/>
    <d v="2023-11-12T00:00:00"/>
    <n v="3000"/>
  </r>
  <r>
    <n v="7"/>
    <x v="6"/>
    <x v="6"/>
    <x v="2"/>
    <d v="2022-12-28T13:10:52"/>
    <x v="1"/>
    <x v="2"/>
    <s v="Нет данных"/>
    <s v="Нет данных"/>
    <s v="Нет данных"/>
    <d v="1901-02-15T00:15:00"/>
    <n v="1600"/>
  </r>
  <r>
    <n v="8"/>
    <x v="7"/>
    <x v="7"/>
    <x v="5"/>
    <d v="2023-01-26T00:00:00"/>
    <x v="5"/>
    <x v="0"/>
    <n v="50000"/>
    <n v="30483.14"/>
    <n v="609"/>
    <d v="2023-06-13T00:00:00"/>
    <n v="2200"/>
  </r>
  <r>
    <n v="9"/>
    <x v="8"/>
    <x v="8"/>
    <x v="6"/>
    <d v="2023-01-31T00:00:00"/>
    <x v="1"/>
    <x v="4"/>
    <n v="30000"/>
    <n v="1169.45"/>
    <n v="415"/>
    <d v="2023-12-24T00:00:00"/>
    <n v="9000"/>
  </r>
  <r>
    <n v="10"/>
    <x v="9"/>
    <x v="9"/>
    <x v="7"/>
    <d v="2023-01-31T00:00:00"/>
    <x v="3"/>
    <x v="0"/>
    <n v="20000"/>
    <n v="864.92"/>
    <n v="583"/>
    <d v="2023-07-09T00:00:00"/>
    <n v="6652.05"/>
  </r>
  <r>
    <n v="11"/>
    <x v="10"/>
    <x v="10"/>
    <x v="8"/>
    <d v="2023-02-07T18:10:20"/>
    <x v="6"/>
    <x v="0"/>
    <s v="Нет данных"/>
    <s v="Нет данных"/>
    <s v="Нет данных"/>
    <d v="1901-02-15T00:15:00"/>
    <n v="4700"/>
  </r>
  <r>
    <n v="12"/>
    <x v="11"/>
    <x v="11"/>
    <x v="1"/>
    <d v="2023-02-16T16:42:14"/>
    <x v="3"/>
    <x v="0"/>
    <s v="Нет данных"/>
    <s v="Нет данных"/>
    <s v="Нет данных"/>
    <d v="1901-01-18T04:49:14"/>
    <n v="1584.96"/>
  </r>
  <r>
    <n v="13"/>
    <x v="12"/>
    <x v="12"/>
    <x v="9"/>
    <d v="2023-02-27T20:04:13"/>
    <x v="3"/>
    <x v="0"/>
    <s v="Нет данных"/>
    <s v="Нет данных"/>
    <s v="Нет данных"/>
    <d v="1900-02-23T08:25:23"/>
    <n v="10868.3"/>
  </r>
  <r>
    <n v="14"/>
    <x v="13"/>
    <x v="13"/>
    <x v="0"/>
    <d v="2023-03-10T00:00:00"/>
    <x v="1"/>
    <x v="0"/>
    <n v="30000"/>
    <n v="19657.32"/>
    <n v="573"/>
    <d v="2023-07-19T00:00:00"/>
    <n v="4250"/>
  </r>
  <r>
    <n v="15"/>
    <x v="14"/>
    <x v="14"/>
    <x v="10"/>
    <d v="2023-03-21T00:00:00"/>
    <x v="1"/>
    <x v="0"/>
    <n v="30000"/>
    <n v="21091.66"/>
    <n v="569"/>
    <d v="2023-07-23T00:00:00"/>
    <n v="1100"/>
  </r>
  <r>
    <n v="16"/>
    <x v="15"/>
    <x v="15"/>
    <x v="4"/>
    <d v="2023-03-23T00:00:00"/>
    <x v="7"/>
    <x v="0"/>
    <n v="60000"/>
    <n v="23926.86"/>
    <n v="525"/>
    <d v="2023-09-05T00:00:00"/>
    <n v="1775"/>
  </r>
  <r>
    <n v="17"/>
    <x v="16"/>
    <x v="16"/>
    <x v="11"/>
    <d v="2023-06-18T00:00:00"/>
    <x v="8"/>
    <x v="0"/>
    <n v="9500"/>
    <n v="5157.97"/>
    <n v="578"/>
    <d v="2023-07-14T00:00:00"/>
    <s v="Нет данных"/>
  </r>
  <r>
    <n v="18"/>
    <x v="17"/>
    <x v="17"/>
    <x v="11"/>
    <d v="2023-07-05T00:00:00"/>
    <x v="8"/>
    <x v="0"/>
    <n v="9500"/>
    <n v="4051.18"/>
    <n v="561"/>
    <d v="2023-07-31T00:00:00"/>
    <s v="Нет данных"/>
  </r>
  <r>
    <n v="19"/>
    <x v="18"/>
    <x v="18"/>
    <x v="11"/>
    <d v="2023-08-26T00:00:00"/>
    <x v="9"/>
    <x v="0"/>
    <n v="9900"/>
    <n v="3112.94"/>
    <n v="495"/>
    <d v="2023-10-05T00:00:00"/>
    <n v="2353.63"/>
  </r>
  <r>
    <n v="20"/>
    <x v="19"/>
    <x v="19"/>
    <x v="11"/>
    <d v="2024-01-11T23:17:09"/>
    <x v="9"/>
    <x v="2"/>
    <s v="Нет данных"/>
    <s v="Нет данных"/>
    <s v="Нет данных"/>
    <d v="1901-06-01T14:44:16"/>
    <n v="2340"/>
  </r>
  <r>
    <n v="21"/>
    <x v="20"/>
    <x v="20"/>
    <x v="11"/>
    <d v="2024-01-14T08:17:10"/>
    <x v="9"/>
    <x v="2"/>
    <s v="Нет данных"/>
    <s v="Нет данных"/>
    <s v="Нет данных"/>
    <d v="1901-10-31T03:32:12"/>
    <n v="2353.63"/>
  </r>
  <r>
    <n v="22"/>
    <x v="21"/>
    <x v="21"/>
    <x v="11"/>
    <d v="2024-06-14T00:00:00"/>
    <x v="9"/>
    <x v="1"/>
    <n v="9900"/>
    <n v="4166.08"/>
    <n v="216"/>
    <d v="2024-07-10T00:00:00"/>
    <n v="50"/>
  </r>
  <r>
    <n v="23"/>
    <x v="22"/>
    <x v="22"/>
    <x v="11"/>
    <d v="2024-06-22T00:00:00"/>
    <x v="10"/>
    <x v="4"/>
    <n v="6000"/>
    <n v="2889.34"/>
    <n v="208"/>
    <d v="2024-07-18T00:00:00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9385BE-D34C-45B3-A664-82479F88BE26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4:C17" firstHeaderRow="0" firstDataRow="1" firstDataCol="1" rowPageCount="1" colPageCount="1"/>
  <pivotFields count="12">
    <pivotField showAll="0"/>
    <pivotField dataField="1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showAll="0" sortType="ascending">
      <items count="13">
        <item x="10"/>
        <item x="0"/>
        <item x="8"/>
        <item x="1"/>
        <item x="2"/>
        <item x="7"/>
        <item x="11"/>
        <item x="3"/>
        <item x="6"/>
        <item x="9"/>
        <item x="5"/>
        <item x="4"/>
        <item t="default"/>
      </items>
    </pivotField>
    <pivotField numFmtId="14" showAll="0"/>
    <pivotField dataField="1" showAll="0" defaultSubtotal="0">
      <items count="11">
        <item x="10"/>
        <item x="8"/>
        <item x="9"/>
        <item x="3"/>
        <item x="1"/>
        <item x="0"/>
        <item x="4"/>
        <item x="5"/>
        <item x="6"/>
        <item x="7"/>
        <item x="2"/>
      </items>
    </pivotField>
    <pivotField axis="axisPage" multipleItemSelectionAllowed="1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showAll="0"/>
    <pivotField numFmtId="14"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Количество выданных " fld="1" subtotal="count" baseField="3" baseItem="0" numFmtId="1"/>
    <dataField name="Сумма выданных займов" fld="5" baseField="3" baseItem="0" numFmtId="167"/>
  </dataFields>
  <conditionalFormats count="4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C395-BEDA-8B4B-A112-1619977F9EB9}">
  <dimension ref="A1:J9"/>
  <sheetViews>
    <sheetView workbookViewId="0">
      <selection activeCell="D17" sqref="D17"/>
    </sheetView>
  </sheetViews>
  <sheetFormatPr defaultColWidth="11" defaultRowHeight="15.75" x14ac:dyDescent="0.25"/>
  <cols>
    <col min="1" max="1" width="5.125" bestFit="1" customWidth="1"/>
    <col min="2" max="2" width="10.375" bestFit="1" customWidth="1"/>
    <col min="3" max="3" width="10.125" bestFit="1" customWidth="1"/>
    <col min="4" max="4" width="14.875" bestFit="1" customWidth="1"/>
    <col min="5" max="5" width="7.375" bestFit="1" customWidth="1"/>
    <col min="6" max="6" width="10.625" bestFit="1" customWidth="1"/>
    <col min="7" max="7" width="9.625" bestFit="1" customWidth="1"/>
    <col min="8" max="8" width="14.875" bestFit="1" customWidth="1"/>
    <col min="9" max="9" width="17.625" bestFit="1" customWidth="1"/>
    <col min="10" max="10" width="9.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60</v>
      </c>
    </row>
    <row r="2" spans="1:10" x14ac:dyDescent="0.25">
      <c r="A2">
        <v>6</v>
      </c>
      <c r="B2">
        <v>125922</v>
      </c>
      <c r="C2" s="7">
        <v>45469</v>
      </c>
      <c r="D2">
        <v>10</v>
      </c>
      <c r="E2">
        <v>1000</v>
      </c>
      <c r="F2">
        <v>0</v>
      </c>
      <c r="G2" t="s">
        <v>8</v>
      </c>
      <c r="H2" s="1">
        <v>125922</v>
      </c>
      <c r="I2" t="s">
        <v>61</v>
      </c>
      <c r="J2" s="1">
        <v>4</v>
      </c>
    </row>
    <row r="3" spans="1:10" x14ac:dyDescent="0.25">
      <c r="A3">
        <v>1</v>
      </c>
      <c r="B3">
        <v>116791</v>
      </c>
      <c r="C3" s="7">
        <v>45469</v>
      </c>
      <c r="D3">
        <v>10</v>
      </c>
      <c r="E3">
        <v>2000</v>
      </c>
      <c r="F3">
        <v>0</v>
      </c>
      <c r="G3" t="s">
        <v>8</v>
      </c>
      <c r="H3" s="1">
        <v>116791</v>
      </c>
      <c r="I3" t="s">
        <v>61</v>
      </c>
      <c r="J3" s="1">
        <v>4</v>
      </c>
    </row>
    <row r="4" spans="1:10" x14ac:dyDescent="0.25">
      <c r="A4">
        <v>10</v>
      </c>
      <c r="B4">
        <v>109897</v>
      </c>
      <c r="C4" s="7">
        <v>45469</v>
      </c>
      <c r="D4">
        <v>10</v>
      </c>
      <c r="E4">
        <v>3000</v>
      </c>
      <c r="F4">
        <v>0</v>
      </c>
      <c r="G4" t="s">
        <v>8</v>
      </c>
      <c r="H4" s="1">
        <v>109897</v>
      </c>
      <c r="I4" t="s">
        <v>61</v>
      </c>
      <c r="J4" s="1">
        <v>4</v>
      </c>
    </row>
    <row r="5" spans="1:10" x14ac:dyDescent="0.25">
      <c r="A5">
        <v>5432</v>
      </c>
      <c r="B5">
        <v>104036</v>
      </c>
      <c r="C5" s="7">
        <v>45469</v>
      </c>
      <c r="D5">
        <v>10</v>
      </c>
      <c r="E5">
        <v>4000</v>
      </c>
      <c r="F5">
        <v>0</v>
      </c>
      <c r="G5" t="s">
        <v>8</v>
      </c>
      <c r="H5" s="1">
        <v>104036</v>
      </c>
      <c r="I5" t="s">
        <v>61</v>
      </c>
      <c r="J5" s="1">
        <v>4</v>
      </c>
    </row>
    <row r="6" spans="1:10" x14ac:dyDescent="0.25">
      <c r="A6">
        <v>7886</v>
      </c>
      <c r="B6">
        <v>88259</v>
      </c>
      <c r="C6" s="7">
        <v>45405</v>
      </c>
      <c r="D6">
        <v>4</v>
      </c>
      <c r="E6">
        <v>5000</v>
      </c>
      <c r="F6">
        <v>0</v>
      </c>
      <c r="G6" t="s">
        <v>8</v>
      </c>
      <c r="H6" s="1">
        <v>88259</v>
      </c>
      <c r="I6" t="s">
        <v>62</v>
      </c>
      <c r="J6" s="1">
        <v>4</v>
      </c>
    </row>
    <row r="7" spans="1:10" x14ac:dyDescent="0.25">
      <c r="A7">
        <v>431</v>
      </c>
      <c r="B7">
        <v>81233</v>
      </c>
      <c r="C7" s="7">
        <v>45405</v>
      </c>
      <c r="D7">
        <v>4</v>
      </c>
      <c r="E7">
        <v>6000</v>
      </c>
      <c r="F7">
        <v>0</v>
      </c>
      <c r="G7" t="s">
        <v>8</v>
      </c>
      <c r="H7" s="1">
        <v>81233</v>
      </c>
      <c r="I7" t="s">
        <v>62</v>
      </c>
      <c r="J7" s="1">
        <v>4</v>
      </c>
    </row>
    <row r="8" spans="1:10" x14ac:dyDescent="0.25">
      <c r="A8">
        <v>643</v>
      </c>
      <c r="B8">
        <v>78335</v>
      </c>
      <c r="C8" s="7">
        <v>45469</v>
      </c>
      <c r="D8">
        <v>10</v>
      </c>
      <c r="E8">
        <v>7000</v>
      </c>
      <c r="F8">
        <v>0</v>
      </c>
      <c r="G8" t="s">
        <v>8</v>
      </c>
      <c r="H8" s="1">
        <v>78335</v>
      </c>
      <c r="I8" t="s">
        <v>61</v>
      </c>
      <c r="J8" s="1">
        <v>4</v>
      </c>
    </row>
    <row r="9" spans="1:10" x14ac:dyDescent="0.25">
      <c r="A9">
        <v>6789</v>
      </c>
      <c r="B9">
        <v>70784</v>
      </c>
      <c r="C9" s="7">
        <v>45405</v>
      </c>
      <c r="D9">
        <v>4</v>
      </c>
      <c r="E9">
        <v>8000</v>
      </c>
      <c r="F9">
        <v>0</v>
      </c>
      <c r="G9" t="s">
        <v>8</v>
      </c>
      <c r="H9" s="1">
        <v>70784</v>
      </c>
      <c r="I9" t="s">
        <v>61</v>
      </c>
      <c r="J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7580-319A-1645-9932-BF09D4C8F64C}">
  <dimension ref="A1:R62"/>
  <sheetViews>
    <sheetView workbookViewId="0">
      <selection activeCell="K1" sqref="K1:K1048576"/>
    </sheetView>
  </sheetViews>
  <sheetFormatPr defaultColWidth="11" defaultRowHeight="15.75" x14ac:dyDescent="0.25"/>
  <cols>
    <col min="1" max="1" width="13.875" bestFit="1" customWidth="1"/>
    <col min="2" max="2" width="11.75" bestFit="1" customWidth="1"/>
    <col min="3" max="3" width="9.5" bestFit="1" customWidth="1"/>
    <col min="4" max="4" width="12" bestFit="1" customWidth="1"/>
    <col min="5" max="5" width="15.125" bestFit="1" customWidth="1"/>
    <col min="6" max="6" width="20.375" bestFit="1" customWidth="1"/>
    <col min="7" max="7" width="19.75" bestFit="1" customWidth="1"/>
    <col min="8" max="8" width="13.125" bestFit="1" customWidth="1"/>
    <col min="9" max="9" width="13" bestFit="1" customWidth="1"/>
    <col min="10" max="10" width="14.875" bestFit="1" customWidth="1"/>
    <col min="11" max="11" width="12.75" bestFit="1" customWidth="1"/>
    <col min="14" max="14" width="25" bestFit="1" customWidth="1"/>
    <col min="17" max="17" width="26.75" bestFit="1" customWidth="1"/>
    <col min="18" max="18" width="27.375" bestFit="1" customWidth="1"/>
  </cols>
  <sheetData>
    <row r="1" spans="1:18" x14ac:dyDescent="0.25">
      <c r="A1" t="s">
        <v>63</v>
      </c>
      <c r="B1" t="s">
        <v>1</v>
      </c>
      <c r="C1" t="s">
        <v>64</v>
      </c>
      <c r="D1" t="s">
        <v>65</v>
      </c>
      <c r="E1" t="s">
        <v>11</v>
      </c>
      <c r="F1" t="s">
        <v>66</v>
      </c>
      <c r="G1" t="s">
        <v>10</v>
      </c>
      <c r="H1" t="s">
        <v>67</v>
      </c>
      <c r="I1" t="s">
        <v>12</v>
      </c>
      <c r="J1" t="s">
        <v>13</v>
      </c>
      <c r="K1" t="s">
        <v>14</v>
      </c>
      <c r="N1" t="s">
        <v>85</v>
      </c>
      <c r="P1" t="s">
        <v>84</v>
      </c>
      <c r="Q1" t="s">
        <v>86</v>
      </c>
      <c r="R1" t="s">
        <v>87</v>
      </c>
    </row>
    <row r="2" spans="1:18" x14ac:dyDescent="0.25">
      <c r="A2" s="8">
        <v>68</v>
      </c>
      <c r="B2">
        <v>183</v>
      </c>
      <c r="C2">
        <v>219</v>
      </c>
      <c r="D2" t="s">
        <v>29</v>
      </c>
      <c r="E2" t="s">
        <v>23</v>
      </c>
      <c r="F2" s="9">
        <v>44834.637858796297</v>
      </c>
      <c r="G2" s="7">
        <v>45198</v>
      </c>
      <c r="H2">
        <v>35000</v>
      </c>
      <c r="I2" t="s">
        <v>21</v>
      </c>
      <c r="J2" s="9">
        <v>45568.606516203705</v>
      </c>
      <c r="K2">
        <v>1950</v>
      </c>
      <c r="N2" cm="1">
        <f t="array" ref="N2:N40">_xlfn.UNIQUE(A2:A62)</f>
        <v>68</v>
      </c>
      <c r="P2" t="str">
        <f>IF(COUNTIF(цессия!B:B,'отчет 2'!B2), "Исключить","Оставить")</f>
        <v>Оставить</v>
      </c>
      <c r="Q2" cm="1">
        <f t="array" ref="Q2">_xlfn._xlws.FILTER('отчет 2'!A2, 'отчет 2'!P2 = "Оставить", "")</f>
        <v>68</v>
      </c>
      <c r="R2" cm="1">
        <f t="array" ref="R2">_xlfn._xlws.FILTER(Q2,NOT(OR(I2="REPAID",I2="EARLY_REPAID",I2="BANKRUPTCY")), "")</f>
        <v>68</v>
      </c>
    </row>
    <row r="3" spans="1:18" x14ac:dyDescent="0.25">
      <c r="A3" s="8">
        <v>91</v>
      </c>
      <c r="B3">
        <v>252</v>
      </c>
      <c r="C3">
        <v>291</v>
      </c>
      <c r="D3" t="s">
        <v>29</v>
      </c>
      <c r="E3" t="s">
        <v>20</v>
      </c>
      <c r="F3" s="9">
        <v>44838.736770833333</v>
      </c>
      <c r="G3" s="7">
        <v>45202</v>
      </c>
      <c r="H3">
        <v>50000</v>
      </c>
      <c r="I3" t="s">
        <v>68</v>
      </c>
      <c r="J3" s="9">
        <v>45134.878981481481</v>
      </c>
      <c r="K3">
        <v>3078</v>
      </c>
      <c r="N3">
        <v>91</v>
      </c>
      <c r="P3" t="str">
        <f>IF(COUNTIF(цессия!B:B,'отчет 2'!B3), "Исключить","Оставить")</f>
        <v>Оставить</v>
      </c>
      <c r="Q3" cm="1">
        <f t="array" ref="Q3">_xlfn._xlws.FILTER('отчет 2'!A3, 'отчет 2'!P3 = "Оставить", "")</f>
        <v>91</v>
      </c>
      <c r="R3" t="str" cm="1">
        <f t="array" ref="R3">_xlfn._xlws.FILTER(Q3,NOT(OR(I3="REPAID",I3="EARLY_REPAID",I3="BANKRUPTCY")), "")</f>
        <v/>
      </c>
    </row>
    <row r="4" spans="1:18" x14ac:dyDescent="0.25">
      <c r="A4" s="8">
        <v>265</v>
      </c>
      <c r="B4">
        <v>774</v>
      </c>
      <c r="C4">
        <v>954</v>
      </c>
      <c r="D4" t="s">
        <v>29</v>
      </c>
      <c r="E4" t="s">
        <v>32</v>
      </c>
      <c r="F4" s="9">
        <v>44853.644618055558</v>
      </c>
      <c r="G4" s="7">
        <v>45105</v>
      </c>
      <c r="H4">
        <v>25000</v>
      </c>
      <c r="I4" t="s">
        <v>68</v>
      </c>
      <c r="J4" s="9">
        <v>45062.687557870369</v>
      </c>
      <c r="K4">
        <v>5700</v>
      </c>
      <c r="N4">
        <v>265</v>
      </c>
      <c r="P4" t="str">
        <f>IF(COUNTIF(цессия!B:B,'отчет 2'!B4), "Исключить","Оставить")</f>
        <v>Оставить</v>
      </c>
      <c r="Q4" cm="1">
        <f t="array" ref="Q4">_xlfn._xlws.FILTER('отчет 2'!A4, 'отчет 2'!P4 = "Оставить", "")</f>
        <v>265</v>
      </c>
      <c r="R4" t="str" cm="1">
        <f t="array" ref="R4">_xlfn._xlws.FILTER(Q4,NOT(OR(I4="REPAID",I4="EARLY_REPAID",I4="BANKRUPTCY")), "")</f>
        <v/>
      </c>
    </row>
    <row r="5" spans="1:18" x14ac:dyDescent="0.25">
      <c r="A5" s="8">
        <v>389</v>
      </c>
      <c r="B5">
        <v>1146</v>
      </c>
      <c r="C5">
        <v>1344</v>
      </c>
      <c r="D5" t="s">
        <v>29</v>
      </c>
      <c r="E5" t="s">
        <v>32</v>
      </c>
      <c r="F5" s="9">
        <v>44862.5309837963</v>
      </c>
      <c r="G5" s="7">
        <v>45226</v>
      </c>
      <c r="H5">
        <v>30000</v>
      </c>
      <c r="I5" t="s">
        <v>24</v>
      </c>
      <c r="J5" s="9">
        <v>45206</v>
      </c>
      <c r="K5">
        <v>1200</v>
      </c>
      <c r="N5">
        <v>389</v>
      </c>
      <c r="P5" t="str">
        <f>IF(COUNTIF(цессия!B:B,'отчет 2'!B5), "Исключить","Оставить")</f>
        <v>Оставить</v>
      </c>
      <c r="Q5" cm="1">
        <f t="array" ref="Q5">_xlfn._xlws.FILTER('отчет 2'!A5, 'отчет 2'!P5 = "Оставить", "")</f>
        <v>389</v>
      </c>
      <c r="R5" cm="1">
        <f t="array" ref="R5">_xlfn._xlws.FILTER(Q5,NOT(OR(I5="REPAID",I5="EARLY_REPAID",I5="BANKRUPTCY")), "")</f>
        <v>389</v>
      </c>
    </row>
    <row r="6" spans="1:18" x14ac:dyDescent="0.25">
      <c r="A6" s="8">
        <v>457</v>
      </c>
      <c r="B6">
        <v>1352</v>
      </c>
      <c r="C6">
        <v>1557</v>
      </c>
      <c r="D6" t="s">
        <v>29</v>
      </c>
      <c r="E6" t="s">
        <v>23</v>
      </c>
      <c r="F6" s="9">
        <v>44867.571759259263</v>
      </c>
      <c r="G6" s="7">
        <v>45119</v>
      </c>
      <c r="H6">
        <v>30000</v>
      </c>
      <c r="I6" t="s">
        <v>69</v>
      </c>
      <c r="J6" s="9">
        <v>45092.635439814818</v>
      </c>
      <c r="K6">
        <v>3000</v>
      </c>
      <c r="N6">
        <v>457</v>
      </c>
      <c r="P6" t="str">
        <f>IF(COUNTIF(цессия!B:B,'отчет 2'!B6), "Исключить","Оставить")</f>
        <v>Оставить</v>
      </c>
      <c r="Q6" cm="1">
        <f t="array" ref="Q6">_xlfn._xlws.FILTER('отчет 2'!A6, 'отчет 2'!P6 = "Оставить", "")</f>
        <v>457</v>
      </c>
      <c r="R6" t="str" cm="1">
        <f t="array" ref="R6">_xlfn._xlws.FILTER(Q6,NOT(OR(I6="REPAID",I6="EARLY_REPAID",I6="BANKRUPTCY")), "")</f>
        <v/>
      </c>
    </row>
    <row r="7" spans="1:18" x14ac:dyDescent="0.25">
      <c r="A7" s="8">
        <v>640</v>
      </c>
      <c r="B7">
        <v>1901</v>
      </c>
      <c r="C7">
        <v>3680</v>
      </c>
      <c r="D7" t="s">
        <v>29</v>
      </c>
      <c r="E7" t="s">
        <v>36</v>
      </c>
      <c r="F7" s="9">
        <v>44880.632094907407</v>
      </c>
      <c r="G7" s="7">
        <v>45244</v>
      </c>
      <c r="H7">
        <v>20000</v>
      </c>
      <c r="I7" t="s">
        <v>68</v>
      </c>
      <c r="J7" s="9">
        <v>45139.996527777781</v>
      </c>
      <c r="K7">
        <v>11642</v>
      </c>
      <c r="N7">
        <v>640</v>
      </c>
      <c r="P7" t="str">
        <f>IF(COUNTIF(цессия!B:B,'отчет 2'!B7), "Исключить","Оставить")</f>
        <v>Оставить</v>
      </c>
      <c r="Q7" cm="1">
        <f t="array" ref="Q7">_xlfn._xlws.FILTER('отчет 2'!A7, 'отчет 2'!P7 = "Оставить", "")</f>
        <v>640</v>
      </c>
      <c r="R7" t="str" cm="1">
        <f t="array" ref="R7">_xlfn._xlws.FILTER(Q7,NOT(OR(I7="REPAID",I7="EARLY_REPAID",I7="BANKRUPTCY")), "")</f>
        <v/>
      </c>
    </row>
    <row r="8" spans="1:18" x14ac:dyDescent="0.25">
      <c r="A8" s="8">
        <v>864</v>
      </c>
      <c r="B8">
        <v>2573</v>
      </c>
      <c r="C8">
        <v>4640</v>
      </c>
      <c r="D8" t="s">
        <v>29</v>
      </c>
      <c r="E8" t="s">
        <v>37</v>
      </c>
      <c r="F8" s="9">
        <v>44889.701747685183</v>
      </c>
      <c r="G8" s="7">
        <v>45253</v>
      </c>
      <c r="H8">
        <v>70000</v>
      </c>
      <c r="I8" t="s">
        <v>70</v>
      </c>
      <c r="J8" s="9">
        <v>45286.989583333336</v>
      </c>
      <c r="K8">
        <v>2500</v>
      </c>
      <c r="N8">
        <v>864</v>
      </c>
      <c r="P8" t="str">
        <f>IF(COUNTIF(цессия!B:B,'отчет 2'!B8), "Исключить","Оставить")</f>
        <v>Оставить</v>
      </c>
      <c r="Q8" cm="1">
        <f t="array" ref="Q8">_xlfn._xlws.FILTER('отчет 2'!A8, 'отчет 2'!P8 = "Оставить", "")</f>
        <v>864</v>
      </c>
      <c r="R8" cm="1">
        <f t="array" ref="R8">_xlfn._xlws.FILTER(Q8,NOT(OR(I8="REPAID",I8="EARLY_REPAID",I8="BANKRUPTCY")), "")</f>
        <v>864</v>
      </c>
    </row>
    <row r="9" spans="1:18" x14ac:dyDescent="0.25">
      <c r="A9" s="8">
        <v>1097</v>
      </c>
      <c r="B9">
        <v>3272</v>
      </c>
      <c r="C9">
        <v>5777</v>
      </c>
      <c r="D9" t="s">
        <v>29</v>
      </c>
      <c r="E9" t="s">
        <v>23</v>
      </c>
      <c r="F9" s="9">
        <v>44901.672407407408</v>
      </c>
      <c r="G9" s="7">
        <v>45153</v>
      </c>
      <c r="H9">
        <v>30000</v>
      </c>
      <c r="I9" t="s">
        <v>71</v>
      </c>
      <c r="J9" s="9">
        <v>44901.6875</v>
      </c>
      <c r="K9" t="s">
        <v>29</v>
      </c>
      <c r="N9">
        <v>1097</v>
      </c>
      <c r="P9" t="str">
        <f>IF(COUNTIF(цессия!B:B,'отчет 2'!B9), "Исключить","Оставить")</f>
        <v>Оставить</v>
      </c>
      <c r="Q9" cm="1">
        <f t="array" ref="Q9">_xlfn._xlws.FILTER('отчет 2'!A9, 'отчет 2'!P9 = "Оставить", "")</f>
        <v>1097</v>
      </c>
      <c r="R9" cm="1">
        <f t="array" ref="R9">_xlfn._xlws.FILTER(Q9,NOT(OR(I9="REPAID",I9="EARLY_REPAID",I9="BANKRUPTCY")), "")</f>
        <v>1097</v>
      </c>
    </row>
    <row r="10" spans="1:18" x14ac:dyDescent="0.25">
      <c r="A10" s="8">
        <v>1370</v>
      </c>
      <c r="B10">
        <v>4088</v>
      </c>
      <c r="C10">
        <v>7454</v>
      </c>
      <c r="D10" t="s">
        <v>29</v>
      </c>
      <c r="E10" t="s">
        <v>30</v>
      </c>
      <c r="F10" s="9">
        <v>44914.611435185187</v>
      </c>
      <c r="G10" s="7">
        <v>45166</v>
      </c>
      <c r="H10">
        <v>20000</v>
      </c>
      <c r="I10" t="s">
        <v>70</v>
      </c>
      <c r="J10" s="9">
        <v>45286.989583333336</v>
      </c>
      <c r="K10">
        <v>1070</v>
      </c>
      <c r="N10">
        <v>1370</v>
      </c>
      <c r="P10" t="str">
        <f>IF(COUNTIF(цессия!B:B,'отчет 2'!B10), "Исключить","Оставить")</f>
        <v>Оставить</v>
      </c>
      <c r="Q10" cm="1">
        <f t="array" ref="Q10">_xlfn._xlws.FILTER('отчет 2'!A10, 'отчет 2'!P10 = "Оставить", "")</f>
        <v>1370</v>
      </c>
      <c r="R10" cm="1">
        <f t="array" ref="R10">_xlfn._xlws.FILTER(Q10,NOT(OR(I10="REPAID",I10="EARLY_REPAID",I10="BANKRUPTCY")), "")</f>
        <v>1370</v>
      </c>
    </row>
    <row r="11" spans="1:18" x14ac:dyDescent="0.25">
      <c r="A11" s="8">
        <v>1393</v>
      </c>
      <c r="B11">
        <v>4157</v>
      </c>
      <c r="C11">
        <v>9776</v>
      </c>
      <c r="D11" t="s">
        <v>29</v>
      </c>
      <c r="E11" t="s">
        <v>20</v>
      </c>
      <c r="F11" s="9">
        <v>44915.600266203706</v>
      </c>
      <c r="G11" s="7">
        <v>45279</v>
      </c>
      <c r="H11">
        <v>40000</v>
      </c>
      <c r="I11" t="s">
        <v>22</v>
      </c>
      <c r="J11" s="9">
        <v>45272.958333333336</v>
      </c>
      <c r="K11">
        <v>3000</v>
      </c>
      <c r="N11">
        <v>1393</v>
      </c>
      <c r="P11" t="str">
        <f>IF(COUNTIF(цессия!B:B,'отчет 2'!B11), "Исключить","Оставить")</f>
        <v>Оставить</v>
      </c>
      <c r="Q11" cm="1">
        <f t="array" ref="Q11">_xlfn._xlws.FILTER('отчет 2'!A11, 'отчет 2'!P11 = "Оставить", "")</f>
        <v>1393</v>
      </c>
      <c r="R11" cm="1">
        <f t="array" ref="R11">_xlfn._xlws.FILTER(Q11,NOT(OR(I11="REPAID",I11="EARLY_REPAID",I11="BANKRUPTCY")), "")</f>
        <v>1393</v>
      </c>
    </row>
    <row r="12" spans="1:18" x14ac:dyDescent="0.25">
      <c r="A12" s="8">
        <v>1612</v>
      </c>
      <c r="B12">
        <v>4814</v>
      </c>
      <c r="C12">
        <v>12794</v>
      </c>
      <c r="D12" t="s">
        <v>29</v>
      </c>
      <c r="E12" t="s">
        <v>37</v>
      </c>
      <c r="F12" s="9">
        <v>44923.549212962964</v>
      </c>
      <c r="G12" s="7">
        <v>45175</v>
      </c>
      <c r="H12">
        <v>30000</v>
      </c>
      <c r="I12" t="s">
        <v>70</v>
      </c>
      <c r="J12" s="9">
        <v>45286.989583333336</v>
      </c>
      <c r="K12">
        <v>1600</v>
      </c>
      <c r="N12">
        <v>1612</v>
      </c>
      <c r="P12" t="str">
        <f>IF(COUNTIF(цессия!B:B,'отчет 2'!B12), "Исключить","Оставить")</f>
        <v>Оставить</v>
      </c>
      <c r="Q12" cm="1">
        <f t="array" ref="Q12">_xlfn._xlws.FILTER('отчет 2'!A12, 'отчет 2'!P12 = "Оставить", "")</f>
        <v>1612</v>
      </c>
      <c r="R12" cm="1">
        <f t="array" ref="R12">_xlfn._xlws.FILTER(Q12,NOT(OR(I12="REPAID",I12="EARLY_REPAID",I12="BANKRUPTCY")), "")</f>
        <v>1612</v>
      </c>
    </row>
    <row r="13" spans="1:18" x14ac:dyDescent="0.25">
      <c r="A13" s="8">
        <v>1851</v>
      </c>
      <c r="B13">
        <v>5530</v>
      </c>
      <c r="C13">
        <v>26824</v>
      </c>
      <c r="D13" t="s">
        <v>29</v>
      </c>
      <c r="E13" t="s">
        <v>31</v>
      </c>
      <c r="F13" s="9">
        <v>44944.656504629631</v>
      </c>
      <c r="G13" s="7">
        <v>45308</v>
      </c>
      <c r="H13">
        <v>52000</v>
      </c>
      <c r="I13" t="s">
        <v>69</v>
      </c>
      <c r="J13" s="9">
        <v>45314.799143518518</v>
      </c>
      <c r="K13">
        <v>40</v>
      </c>
      <c r="N13">
        <v>1851</v>
      </c>
      <c r="P13" t="str">
        <f>IF(COUNTIF(цессия!B:B,'отчет 2'!B13), "Исключить","Оставить")</f>
        <v>Оставить</v>
      </c>
      <c r="Q13" cm="1">
        <f t="array" ref="Q13">_xlfn._xlws.FILTER('отчет 2'!A13, 'отчет 2'!P13 = "Оставить", "")</f>
        <v>1851</v>
      </c>
      <c r="R13" t="str" cm="1">
        <f t="array" ref="R13">_xlfn._xlws.FILTER(Q13,NOT(OR(I13="REPAID",I13="EARLY_REPAID",I13="BANKRUPTCY")), "")</f>
        <v/>
      </c>
    </row>
    <row r="14" spans="1:18" x14ac:dyDescent="0.25">
      <c r="A14" s="8">
        <v>2050</v>
      </c>
      <c r="B14">
        <v>6127</v>
      </c>
      <c r="C14">
        <v>35551</v>
      </c>
      <c r="D14" t="s">
        <v>29</v>
      </c>
      <c r="E14" t="s">
        <v>35</v>
      </c>
      <c r="F14" s="9">
        <v>44952.751296296294</v>
      </c>
      <c r="G14" s="7">
        <v>45316</v>
      </c>
      <c r="H14">
        <v>50000</v>
      </c>
      <c r="I14" t="s">
        <v>21</v>
      </c>
      <c r="J14" s="9">
        <v>45643.649039351854</v>
      </c>
      <c r="K14">
        <v>2200</v>
      </c>
      <c r="N14">
        <v>2050</v>
      </c>
      <c r="P14" t="str">
        <f>IF(COUNTIF(цессия!B:B,'отчет 2'!B14), "Исключить","Оставить")</f>
        <v>Оставить</v>
      </c>
      <c r="Q14" cm="1">
        <f t="array" ref="Q14">_xlfn._xlws.FILTER('отчет 2'!A14, 'отчет 2'!P14 = "Оставить", "")</f>
        <v>2050</v>
      </c>
      <c r="R14" cm="1">
        <f t="array" ref="R14">_xlfn._xlws.FILTER(Q14,NOT(OR(I14="REPAID",I14="EARLY_REPAID",I14="BANKRUPTCY")), "")</f>
        <v>2050</v>
      </c>
    </row>
    <row r="15" spans="1:18" x14ac:dyDescent="0.25">
      <c r="A15" s="8">
        <v>2075</v>
      </c>
      <c r="B15">
        <v>6202</v>
      </c>
      <c r="C15">
        <v>42364</v>
      </c>
      <c r="D15" t="s">
        <v>29</v>
      </c>
      <c r="E15" t="s">
        <v>27</v>
      </c>
      <c r="F15" s="9">
        <v>44953.646099537036</v>
      </c>
      <c r="G15" s="7">
        <v>45317</v>
      </c>
      <c r="H15">
        <v>36000</v>
      </c>
      <c r="I15" t="s">
        <v>72</v>
      </c>
      <c r="J15" s="9">
        <v>45561.595879629633</v>
      </c>
      <c r="K15">
        <v>3100</v>
      </c>
      <c r="N15">
        <v>2075</v>
      </c>
      <c r="P15" t="str">
        <f>IF(COUNTIF(цессия!B:B,'отчет 2'!B15), "Исключить","Оставить")</f>
        <v>Оставить</v>
      </c>
      <c r="Q15" cm="1">
        <f t="array" ref="Q15">_xlfn._xlws.FILTER('отчет 2'!A15, 'отчет 2'!P15 = "Оставить", "")</f>
        <v>2075</v>
      </c>
      <c r="R15" t="str" cm="1">
        <f t="array" ref="R15">_xlfn._xlws.FILTER(Q15,NOT(OR(I15="REPAID",I15="EARLY_REPAID",I15="BANKRUPTCY")), "")</f>
        <v/>
      </c>
    </row>
    <row r="16" spans="1:18" x14ac:dyDescent="0.25">
      <c r="A16" s="8">
        <v>2148</v>
      </c>
      <c r="B16">
        <v>6421</v>
      </c>
      <c r="C16">
        <v>52735</v>
      </c>
      <c r="D16" t="s">
        <v>29</v>
      </c>
      <c r="E16" t="s">
        <v>27</v>
      </c>
      <c r="F16" s="9">
        <v>44957.566238425927</v>
      </c>
      <c r="G16" s="7">
        <v>45321</v>
      </c>
      <c r="H16">
        <v>30000</v>
      </c>
      <c r="I16" t="s">
        <v>22</v>
      </c>
      <c r="J16" s="9">
        <v>45314.958333333336</v>
      </c>
      <c r="K16">
        <v>9000</v>
      </c>
      <c r="N16">
        <v>2148</v>
      </c>
      <c r="P16" t="str">
        <f>IF(COUNTIF(цессия!B:B,'отчет 2'!B16), "Исключить","Оставить")</f>
        <v>Оставить</v>
      </c>
      <c r="Q16" cm="1">
        <f t="array" ref="Q16">_xlfn._xlws.FILTER('отчет 2'!A16, 'отчет 2'!P16 = "Оставить", "")</f>
        <v>2148</v>
      </c>
      <c r="R16" cm="1">
        <f t="array" ref="R16">_xlfn._xlws.FILTER(Q16,NOT(OR(I16="REPAID",I16="EARLY_REPAID",I16="BANKRUPTCY")), "")</f>
        <v>2148</v>
      </c>
    </row>
    <row r="17" spans="1:18" x14ac:dyDescent="0.25">
      <c r="A17" s="8">
        <v>2154</v>
      </c>
      <c r="B17">
        <v>6439</v>
      </c>
      <c r="C17">
        <v>47875</v>
      </c>
      <c r="D17" t="s">
        <v>29</v>
      </c>
      <c r="E17" t="s">
        <v>34</v>
      </c>
      <c r="F17" s="9">
        <v>44957.618344907409</v>
      </c>
      <c r="G17" s="7">
        <v>45132</v>
      </c>
      <c r="H17">
        <v>20000</v>
      </c>
      <c r="I17" t="s">
        <v>21</v>
      </c>
      <c r="J17" s="9">
        <v>45643.649050925924</v>
      </c>
      <c r="K17">
        <v>6652.05</v>
      </c>
      <c r="N17">
        <v>2154</v>
      </c>
      <c r="P17" t="str">
        <f>IF(COUNTIF(цессия!B:B,'отчет 2'!B17), "Исключить","Оставить")</f>
        <v>Оставить</v>
      </c>
      <c r="Q17" cm="1">
        <f t="array" ref="Q17">_xlfn._xlws.FILTER('отчет 2'!A17, 'отчет 2'!P17 = "Оставить", "")</f>
        <v>2154</v>
      </c>
      <c r="R17" cm="1">
        <f t="array" ref="R17">_xlfn._xlws.FILTER(Q17,NOT(OR(I17="REPAID",I17="EARLY_REPAID",I17="BANKRUPTCY")), "")</f>
        <v>2154</v>
      </c>
    </row>
    <row r="18" spans="1:18" x14ac:dyDescent="0.25">
      <c r="A18" s="8">
        <v>2369</v>
      </c>
      <c r="B18">
        <v>7084</v>
      </c>
      <c r="C18">
        <v>67927</v>
      </c>
      <c r="D18" t="s">
        <v>29</v>
      </c>
      <c r="E18" t="s">
        <v>25</v>
      </c>
      <c r="F18" s="9">
        <v>44964.757175925923</v>
      </c>
      <c r="G18" s="7">
        <v>45328</v>
      </c>
      <c r="H18">
        <v>55000</v>
      </c>
      <c r="I18" t="s">
        <v>21</v>
      </c>
      <c r="J18" s="9">
        <v>45497.621689814812</v>
      </c>
      <c r="K18">
        <v>4700</v>
      </c>
      <c r="N18">
        <v>2369</v>
      </c>
      <c r="P18" t="str">
        <f>IF(COUNTIF(цессия!B:B,'отчет 2'!B18), "Исключить","Оставить")</f>
        <v>Оставить</v>
      </c>
      <c r="Q18" cm="1">
        <f t="array" ref="Q18">_xlfn._xlws.FILTER('отчет 2'!A18, 'отчет 2'!P18 = "Оставить", "")</f>
        <v>2369</v>
      </c>
      <c r="R18" cm="1">
        <f t="array" ref="R18">_xlfn._xlws.FILTER(Q18,NOT(OR(I18="REPAID",I18="EARLY_REPAID",I18="BANKRUPTCY")), "")</f>
        <v>2369</v>
      </c>
    </row>
    <row r="19" spans="1:18" x14ac:dyDescent="0.25">
      <c r="A19" s="8">
        <v>2674</v>
      </c>
      <c r="B19">
        <v>7999</v>
      </c>
      <c r="C19">
        <v>89515</v>
      </c>
      <c r="D19" t="s">
        <v>29</v>
      </c>
      <c r="E19" t="s">
        <v>32</v>
      </c>
      <c r="F19" s="9">
        <v>44973.69599537037</v>
      </c>
      <c r="G19" s="7">
        <v>45148</v>
      </c>
      <c r="H19">
        <v>20000</v>
      </c>
      <c r="I19" t="s">
        <v>21</v>
      </c>
      <c r="J19" s="9">
        <v>45579.497164351851</v>
      </c>
      <c r="K19">
        <v>1584.96</v>
      </c>
      <c r="N19">
        <v>2674</v>
      </c>
      <c r="P19" t="str">
        <f>IF(COUNTIF(цессия!B:B,'отчет 2'!B19), "Исключить","Оставить")</f>
        <v>Оставить</v>
      </c>
      <c r="Q19" cm="1">
        <f t="array" ref="Q19">_xlfn._xlws.FILTER('отчет 2'!A19, 'отчет 2'!P19 = "Оставить", "")</f>
        <v>2674</v>
      </c>
      <c r="R19" cm="1">
        <f t="array" ref="R19">_xlfn._xlws.FILTER(Q19,NOT(OR(I19="REPAID",I19="EARLY_REPAID",I19="BANKRUPTCY")), "")</f>
        <v>2674</v>
      </c>
    </row>
    <row r="20" spans="1:18" x14ac:dyDescent="0.25">
      <c r="A20" s="8">
        <v>2952</v>
      </c>
      <c r="B20">
        <v>8833</v>
      </c>
      <c r="C20">
        <v>106015</v>
      </c>
      <c r="D20">
        <v>1333</v>
      </c>
      <c r="E20" t="s">
        <v>31</v>
      </c>
      <c r="F20" s="9">
        <v>44984.836261574077</v>
      </c>
      <c r="G20" s="7">
        <v>45159</v>
      </c>
      <c r="H20">
        <v>20000</v>
      </c>
      <c r="I20" t="s">
        <v>21</v>
      </c>
      <c r="J20" s="9">
        <v>45191.393171296295</v>
      </c>
      <c r="K20">
        <v>10868.3</v>
      </c>
      <c r="N20">
        <v>2952</v>
      </c>
      <c r="P20" t="str">
        <f>IF(COUNTIF(цессия!B:B,'отчет 2'!B20), "Исключить","Оставить")</f>
        <v>Оставить</v>
      </c>
      <c r="Q20" cm="1">
        <f t="array" ref="Q20">_xlfn._xlws.FILTER('отчет 2'!A20, 'отчет 2'!P20 = "Оставить", "")</f>
        <v>2952</v>
      </c>
      <c r="R20" cm="1">
        <f t="array" ref="R20">_xlfn._xlws.FILTER(Q20,NOT(OR(I20="REPAID",I20="EARLY_REPAID",I20="BANKRUPTCY")), "")</f>
        <v>2952</v>
      </c>
    </row>
    <row r="21" spans="1:18" x14ac:dyDescent="0.25">
      <c r="A21" s="8">
        <v>3211</v>
      </c>
      <c r="B21">
        <v>9610</v>
      </c>
      <c r="C21">
        <v>114331</v>
      </c>
      <c r="D21" t="s">
        <v>29</v>
      </c>
      <c r="E21" t="s">
        <v>23</v>
      </c>
      <c r="F21" s="9">
        <v>44995.500833333332</v>
      </c>
      <c r="G21" s="7">
        <v>45359</v>
      </c>
      <c r="H21">
        <v>30000</v>
      </c>
      <c r="I21" t="s">
        <v>21</v>
      </c>
      <c r="J21" s="9">
        <v>45180.385925925926</v>
      </c>
      <c r="K21">
        <v>4250</v>
      </c>
      <c r="N21">
        <v>3211</v>
      </c>
      <c r="P21" t="str">
        <f>IF(COUNTIF(цессия!B:B,'отчет 2'!B21), "Исключить","Оставить")</f>
        <v>Оставить</v>
      </c>
      <c r="Q21" cm="1">
        <f t="array" ref="Q21">_xlfn._xlws.FILTER('отчет 2'!A21, 'отчет 2'!P21 = "Оставить", "")</f>
        <v>3211</v>
      </c>
      <c r="R21" cm="1">
        <f t="array" ref="R21">_xlfn._xlws.FILTER(Q21,NOT(OR(I21="REPAID",I21="EARLY_REPAID",I21="BANKRUPTCY")), "")</f>
        <v>3211</v>
      </c>
    </row>
    <row r="22" spans="1:18" x14ac:dyDescent="0.25">
      <c r="A22" s="8">
        <v>3219</v>
      </c>
      <c r="B22">
        <v>9631</v>
      </c>
      <c r="C22">
        <v>129067</v>
      </c>
      <c r="D22">
        <v>7408</v>
      </c>
      <c r="E22" t="s">
        <v>26</v>
      </c>
      <c r="F22" s="9">
        <v>44995.677824074075</v>
      </c>
      <c r="G22" s="7">
        <v>45359</v>
      </c>
      <c r="H22">
        <v>45000</v>
      </c>
      <c r="I22" t="s">
        <v>68</v>
      </c>
      <c r="J22" s="9">
        <v>45028.852638888886</v>
      </c>
      <c r="K22">
        <v>42982</v>
      </c>
      <c r="N22">
        <v>3219</v>
      </c>
      <c r="P22" t="str">
        <f>IF(COUNTIF(цессия!B:B,'отчет 2'!B22), "Исключить","Оставить")</f>
        <v>Оставить</v>
      </c>
      <c r="Q22" cm="1">
        <f t="array" ref="Q22">_xlfn._xlws.FILTER('отчет 2'!A22, 'отчет 2'!P22 = "Оставить", "")</f>
        <v>3219</v>
      </c>
      <c r="R22" t="str" cm="1">
        <f t="array" ref="R22">_xlfn._xlws.FILTER(Q22,NOT(OR(I22="REPAID",I22="EARLY_REPAID",I22="BANKRUPTCY")), "")</f>
        <v/>
      </c>
    </row>
    <row r="23" spans="1:18" x14ac:dyDescent="0.25">
      <c r="A23" s="8">
        <v>3512</v>
      </c>
      <c r="B23">
        <v>10509</v>
      </c>
      <c r="C23">
        <v>137712</v>
      </c>
      <c r="D23" t="s">
        <v>29</v>
      </c>
      <c r="E23" t="s">
        <v>33</v>
      </c>
      <c r="F23" s="9">
        <v>45006.667002314818</v>
      </c>
      <c r="G23" s="7">
        <v>45370</v>
      </c>
      <c r="H23">
        <v>30000</v>
      </c>
      <c r="I23" t="s">
        <v>21</v>
      </c>
      <c r="J23" s="9">
        <v>45182.365381944444</v>
      </c>
      <c r="K23">
        <v>1100</v>
      </c>
      <c r="N23">
        <v>3512</v>
      </c>
      <c r="P23" t="str">
        <f>IF(COUNTIF(цессия!B:B,'отчет 2'!B23), "Исключить","Оставить")</f>
        <v>Оставить</v>
      </c>
      <c r="Q23" cm="1">
        <f t="array" ref="Q23">_xlfn._xlws.FILTER('отчет 2'!A23, 'отчет 2'!P23 = "Оставить", "")</f>
        <v>3512</v>
      </c>
      <c r="R23" cm="1">
        <f t="array" ref="R23">_xlfn._xlws.FILTER(Q23,NOT(OR(I23="REPAID",I23="EARLY_REPAID",I23="BANKRUPTCY")), "")</f>
        <v>3512</v>
      </c>
    </row>
    <row r="24" spans="1:18" x14ac:dyDescent="0.25">
      <c r="A24" s="8">
        <v>3547</v>
      </c>
      <c r="B24">
        <v>10614</v>
      </c>
      <c r="C24">
        <v>75</v>
      </c>
      <c r="D24">
        <v>12098</v>
      </c>
      <c r="E24" t="s">
        <v>20</v>
      </c>
      <c r="F24" s="9">
        <v>45008.575833333336</v>
      </c>
      <c r="G24" s="7">
        <v>45372</v>
      </c>
      <c r="H24">
        <v>60000</v>
      </c>
      <c r="I24" t="s">
        <v>21</v>
      </c>
      <c r="J24" s="9">
        <v>45251.958333333336</v>
      </c>
      <c r="K24">
        <v>1775</v>
      </c>
      <c r="N24">
        <v>3547</v>
      </c>
      <c r="P24" t="str">
        <f>IF(COUNTIF(цессия!B:B,'отчет 2'!B24), "Исключить","Оставить")</f>
        <v>Оставить</v>
      </c>
      <c r="Q24" cm="1">
        <f t="array" ref="Q24">_xlfn._xlws.FILTER('отчет 2'!A24, 'отчет 2'!P24 = "Оставить", "")</f>
        <v>3547</v>
      </c>
      <c r="R24" cm="1">
        <f t="array" ref="R24">_xlfn._xlws.FILTER(Q24,NOT(OR(I24="REPAID",I24="EARLY_REPAID",I24="BANKRUPTCY")), "")</f>
        <v>3547</v>
      </c>
    </row>
    <row r="25" spans="1:18" x14ac:dyDescent="0.25">
      <c r="A25" s="8">
        <v>6081</v>
      </c>
      <c r="B25">
        <v>18155</v>
      </c>
      <c r="C25">
        <v>247823</v>
      </c>
      <c r="D25">
        <v>61302</v>
      </c>
      <c r="E25" t="s">
        <v>28</v>
      </c>
      <c r="F25" s="9">
        <v>45095.161874999998</v>
      </c>
      <c r="G25" s="7">
        <v>45179</v>
      </c>
      <c r="H25">
        <v>9500</v>
      </c>
      <c r="I25" t="s">
        <v>21</v>
      </c>
      <c r="J25" s="9">
        <v>45643.649108796293</v>
      </c>
      <c r="K25" t="s">
        <v>29</v>
      </c>
      <c r="N25">
        <v>6081</v>
      </c>
      <c r="P25" t="str">
        <f>IF(COUNTIF(цессия!B:B,'отчет 2'!B25), "Исключить","Оставить")</f>
        <v>Оставить</v>
      </c>
      <c r="Q25" cm="1">
        <f t="array" ref="Q25">_xlfn._xlws.FILTER('отчет 2'!A25, 'отчет 2'!P25 = "Оставить", "")</f>
        <v>6081</v>
      </c>
      <c r="R25" cm="1">
        <f t="array" ref="R25">_xlfn._xlws.FILTER(Q25,NOT(OR(I25="REPAID",I25="EARLY_REPAID",I25="BANKRUPTCY")), "")</f>
        <v>6081</v>
      </c>
    </row>
    <row r="26" spans="1:18" x14ac:dyDescent="0.25">
      <c r="A26" s="8">
        <v>7524</v>
      </c>
      <c r="B26">
        <v>22472</v>
      </c>
      <c r="C26">
        <v>252860</v>
      </c>
      <c r="D26">
        <v>85612</v>
      </c>
      <c r="E26" t="s">
        <v>28</v>
      </c>
      <c r="F26" s="9">
        <v>45112.357048611113</v>
      </c>
      <c r="G26" s="7">
        <v>45196</v>
      </c>
      <c r="H26">
        <v>9500</v>
      </c>
      <c r="I26" t="s">
        <v>21</v>
      </c>
      <c r="J26" s="9">
        <v>45579.497187499997</v>
      </c>
      <c r="K26" t="s">
        <v>29</v>
      </c>
      <c r="N26">
        <v>7524</v>
      </c>
      <c r="P26" t="str">
        <f>IF(COUNTIF(цессия!B:B,'отчет 2'!B26), "Исключить","Оставить")</f>
        <v>Оставить</v>
      </c>
      <c r="Q26" cm="1">
        <f t="array" ref="Q26">_xlfn._xlws.FILTER('отчет 2'!A26, 'отчет 2'!P26 = "Оставить", "")</f>
        <v>7524</v>
      </c>
      <c r="R26" cm="1">
        <f t="array" ref="R26">_xlfn._xlws.FILTER(Q26,NOT(OR(I26="REPAID",I26="EARLY_REPAID",I26="BANKRUPTCY")), "")</f>
        <v>7524</v>
      </c>
    </row>
    <row r="27" spans="1:18" x14ac:dyDescent="0.25">
      <c r="A27" s="8">
        <v>12728</v>
      </c>
      <c r="B27">
        <v>38081</v>
      </c>
      <c r="C27">
        <v>272921</v>
      </c>
      <c r="D27">
        <v>143198</v>
      </c>
      <c r="E27" t="s">
        <v>28</v>
      </c>
      <c r="F27" s="9">
        <v>45164.985520833332</v>
      </c>
      <c r="G27" s="7">
        <v>45248</v>
      </c>
      <c r="H27">
        <v>9900</v>
      </c>
      <c r="I27" t="s">
        <v>21</v>
      </c>
      <c r="J27" s="9">
        <v>45604.598865740743</v>
      </c>
      <c r="K27">
        <v>2353.63</v>
      </c>
      <c r="N27">
        <v>12728</v>
      </c>
      <c r="P27" t="str">
        <f>IF(COUNTIF(цессия!B:B,'отчет 2'!B27), "Исключить","Оставить")</f>
        <v>Оставить</v>
      </c>
      <c r="Q27" cm="1">
        <f t="array" ref="Q27">_xlfn._xlws.FILTER('отчет 2'!A27, 'отчет 2'!P27 = "Оставить", "")</f>
        <v>12728</v>
      </c>
      <c r="R27" cm="1">
        <f t="array" ref="R27">_xlfn._xlws.FILTER(Q27,NOT(OR(I27="REPAID",I27="EARLY_REPAID",I27="BANKRUPTCY")), "")</f>
        <v>12728</v>
      </c>
    </row>
    <row r="28" spans="1:18" x14ac:dyDescent="0.25">
      <c r="A28" s="8">
        <v>23629</v>
      </c>
      <c r="B28">
        <v>70784</v>
      </c>
      <c r="C28">
        <v>304811</v>
      </c>
      <c r="D28">
        <v>224372</v>
      </c>
      <c r="E28" t="s">
        <v>28</v>
      </c>
      <c r="F28" s="9">
        <v>45237.626516203702</v>
      </c>
      <c r="G28" s="7">
        <v>45321</v>
      </c>
      <c r="H28">
        <v>9900</v>
      </c>
      <c r="I28" t="s">
        <v>21</v>
      </c>
      <c r="J28" s="9">
        <v>45568.527465277781</v>
      </c>
      <c r="K28" t="s">
        <v>29</v>
      </c>
      <c r="N28">
        <v>23629</v>
      </c>
      <c r="P28" t="str">
        <f>IF(COUNTIF(цессия!B:B,'отчет 2'!B28), "Исключить","Оставить")</f>
        <v>Исключить</v>
      </c>
      <c r="Q28" t="str" cm="1">
        <f t="array" ref="Q28">_xlfn._xlws.FILTER('отчет 2'!A28, 'отчет 2'!P28 = "Оставить", "")</f>
        <v/>
      </c>
      <c r="R28" t="str" cm="1">
        <f t="array" ref="R28">_xlfn._xlws.FILTER(Q28,NOT(OR(I28="REPAID",I28="EARLY_REPAID",I28="BANKRUPTCY")), "")</f>
        <v/>
      </c>
    </row>
    <row r="29" spans="1:18" x14ac:dyDescent="0.25">
      <c r="A29" s="8">
        <v>26146</v>
      </c>
      <c r="B29">
        <v>78335</v>
      </c>
      <c r="C29">
        <v>310499</v>
      </c>
      <c r="D29">
        <v>238618</v>
      </c>
      <c r="E29" t="s">
        <v>28</v>
      </c>
      <c r="F29" s="9">
        <v>45249.641817129632</v>
      </c>
      <c r="G29" s="7">
        <v>45333</v>
      </c>
      <c r="H29">
        <v>9900</v>
      </c>
      <c r="I29" t="s">
        <v>21</v>
      </c>
      <c r="J29" s="9">
        <v>45568.55195601852</v>
      </c>
      <c r="K29">
        <v>2400</v>
      </c>
      <c r="N29">
        <v>26146</v>
      </c>
      <c r="P29" t="str">
        <f>IF(COUNTIF(цессия!B:B,'отчет 2'!B29), "Исключить","Оставить")</f>
        <v>Исключить</v>
      </c>
      <c r="Q29" t="str" cm="1">
        <f t="array" ref="Q29">_xlfn._xlws.FILTER('отчет 2'!A29, 'отчет 2'!P29 = "Оставить", "")</f>
        <v/>
      </c>
      <c r="R29" t="str" cm="1">
        <f t="array" ref="R29">_xlfn._xlws.FILTER(Q29,NOT(OR(I29="REPAID",I29="EARLY_REPAID",I29="BANKRUPTCY")), "")</f>
        <v/>
      </c>
    </row>
    <row r="30" spans="1:18" x14ac:dyDescent="0.25">
      <c r="A30" s="8">
        <v>27112</v>
      </c>
      <c r="B30">
        <v>81233</v>
      </c>
      <c r="C30">
        <v>312539</v>
      </c>
      <c r="D30">
        <v>244106</v>
      </c>
      <c r="E30" t="s">
        <v>28</v>
      </c>
      <c r="F30" s="9">
        <v>45253.864027777781</v>
      </c>
      <c r="G30" s="7">
        <v>45337</v>
      </c>
      <c r="H30">
        <v>9900</v>
      </c>
      <c r="I30" t="s">
        <v>21</v>
      </c>
      <c r="J30" s="9">
        <v>45568.527465277781</v>
      </c>
      <c r="K30" t="s">
        <v>29</v>
      </c>
      <c r="N30">
        <v>27112</v>
      </c>
      <c r="P30" t="str">
        <f>IF(COUNTIF(цессия!B:B,'отчет 2'!B30), "Исключить","Оставить")</f>
        <v>Исключить</v>
      </c>
      <c r="Q30" t="str" cm="1">
        <f t="array" ref="Q30">_xlfn._xlws.FILTER('отчет 2'!A30, 'отчет 2'!P30 = "Оставить", "")</f>
        <v/>
      </c>
      <c r="R30" t="str" cm="1">
        <f t="array" ref="R30">_xlfn._xlws.FILTER(Q30,NOT(OR(I30="REPAID",I30="EARLY_REPAID",I30="BANKRUPTCY")), "")</f>
        <v/>
      </c>
    </row>
    <row r="31" spans="1:18" x14ac:dyDescent="0.25">
      <c r="A31" s="8">
        <v>29454</v>
      </c>
      <c r="B31">
        <v>88259</v>
      </c>
      <c r="C31">
        <v>317474</v>
      </c>
      <c r="D31">
        <v>259354</v>
      </c>
      <c r="E31" t="s">
        <v>28</v>
      </c>
      <c r="F31" s="9">
        <v>45265.785532407404</v>
      </c>
      <c r="G31" s="7">
        <v>45349</v>
      </c>
      <c r="H31">
        <v>9900</v>
      </c>
      <c r="I31" t="s">
        <v>21</v>
      </c>
      <c r="J31" s="9">
        <v>45568.527465277781</v>
      </c>
      <c r="K31">
        <v>2353.63</v>
      </c>
      <c r="N31">
        <v>29454</v>
      </c>
      <c r="P31" t="str">
        <f>IF(COUNTIF(цессия!B:B,'отчет 2'!B31), "Исключить","Оставить")</f>
        <v>Исключить</v>
      </c>
      <c r="Q31" t="str" cm="1">
        <f t="array" ref="Q31">_xlfn._xlws.FILTER('отчет 2'!A31, 'отчет 2'!P31 = "Оставить", "")</f>
        <v/>
      </c>
      <c r="R31" t="str" cm="1">
        <f t="array" ref="R31">_xlfn._xlws.FILTER(Q31,NOT(OR(I31="REPAID",I31="EARLY_REPAID",I31="BANKRUPTCY")), "")</f>
        <v/>
      </c>
    </row>
    <row r="32" spans="1:18" x14ac:dyDescent="0.25">
      <c r="A32" s="8">
        <v>35084</v>
      </c>
      <c r="B32">
        <v>104036</v>
      </c>
      <c r="C32">
        <v>327624</v>
      </c>
      <c r="D32">
        <v>291631</v>
      </c>
      <c r="E32" t="s">
        <v>28</v>
      </c>
      <c r="F32" s="9">
        <v>45295.500821759262</v>
      </c>
      <c r="G32" s="7">
        <v>45379</v>
      </c>
      <c r="H32">
        <v>9900</v>
      </c>
      <c r="I32" t="s">
        <v>21</v>
      </c>
      <c r="J32" s="9">
        <v>45568.55195601852</v>
      </c>
      <c r="K32">
        <v>2347.2600000000002</v>
      </c>
      <c r="N32">
        <v>35084</v>
      </c>
      <c r="P32" t="str">
        <f>IF(COUNTIF(цессия!B:B,'отчет 2'!B32), "Исключить","Оставить")</f>
        <v>Исключить</v>
      </c>
      <c r="Q32" t="str" cm="1">
        <f t="array" ref="Q32">_xlfn._xlws.FILTER('отчет 2'!A32, 'отчет 2'!P32 = "Оставить", "")</f>
        <v/>
      </c>
      <c r="R32" t="str" cm="1">
        <f t="array" ref="R32">_xlfn._xlws.FILTER(Q32,NOT(OR(I32="REPAID",I32="EARLY_REPAID",I32="BANKRUPTCY")), "")</f>
        <v/>
      </c>
    </row>
    <row r="33" spans="1:18" x14ac:dyDescent="0.25">
      <c r="A33" s="8">
        <v>36943</v>
      </c>
      <c r="B33">
        <v>107766</v>
      </c>
      <c r="C33">
        <v>330366</v>
      </c>
      <c r="D33">
        <v>302295</v>
      </c>
      <c r="E33" t="s">
        <v>28</v>
      </c>
      <c r="F33" s="9">
        <v>45302.970243055555</v>
      </c>
      <c r="G33" s="7">
        <v>45386</v>
      </c>
      <c r="H33">
        <v>9900</v>
      </c>
      <c r="I33" t="s">
        <v>70</v>
      </c>
      <c r="J33" s="9">
        <v>45495.545358796298</v>
      </c>
      <c r="K33">
        <v>2340</v>
      </c>
      <c r="N33">
        <v>36943</v>
      </c>
      <c r="P33" t="str">
        <f>IF(COUNTIF(цессия!B:B,'отчет 2'!B33), "Исключить","Оставить")</f>
        <v>Оставить</v>
      </c>
      <c r="Q33" cm="1">
        <f t="array" ref="Q33">_xlfn._xlws.FILTER('отчет 2'!A33, 'отчет 2'!P33 = "Оставить", "")</f>
        <v>36943</v>
      </c>
      <c r="R33" cm="1">
        <f t="array" ref="R33">_xlfn._xlws.FILTER(Q33,NOT(OR(I33="REPAID",I33="EARLY_REPAID",I33="BANKRUPTCY")), "")</f>
        <v>36943</v>
      </c>
    </row>
    <row r="34" spans="1:18" x14ac:dyDescent="0.25">
      <c r="A34" s="8">
        <v>37142</v>
      </c>
      <c r="B34">
        <v>108361</v>
      </c>
      <c r="C34">
        <v>330727</v>
      </c>
      <c r="D34">
        <v>303297</v>
      </c>
      <c r="E34" t="s">
        <v>28</v>
      </c>
      <c r="F34" s="9">
        <v>45303.908460648148</v>
      </c>
      <c r="G34" s="7">
        <v>45387</v>
      </c>
      <c r="H34">
        <v>8000</v>
      </c>
      <c r="I34" t="s">
        <v>69</v>
      </c>
      <c r="J34" s="9">
        <v>45359.917743055557</v>
      </c>
      <c r="K34">
        <v>5705.77</v>
      </c>
      <c r="N34">
        <v>37142</v>
      </c>
      <c r="P34" t="str">
        <f>IF(COUNTIF(цессия!B:B,'отчет 2'!B34), "Исключить","Оставить")</f>
        <v>Оставить</v>
      </c>
      <c r="Q34" cm="1">
        <f t="array" ref="Q34">_xlfn._xlws.FILTER('отчет 2'!A34, 'отчет 2'!P34 = "Оставить", "")</f>
        <v>37142</v>
      </c>
      <c r="R34" t="str" cm="1">
        <f t="array" ref="R34">_xlfn._xlws.FILTER(Q34,NOT(OR(I34="REPAID",I34="EARLY_REPAID",I34="BANKRUPTCY")), "")</f>
        <v/>
      </c>
    </row>
    <row r="35" spans="1:18" x14ac:dyDescent="0.25">
      <c r="A35" s="8">
        <v>37392</v>
      </c>
      <c r="B35">
        <v>109111</v>
      </c>
      <c r="C35">
        <v>331276</v>
      </c>
      <c r="D35">
        <v>303744</v>
      </c>
      <c r="E35" t="s">
        <v>28</v>
      </c>
      <c r="F35" s="9">
        <v>45305.345254629632</v>
      </c>
      <c r="G35" s="7">
        <v>45389</v>
      </c>
      <c r="H35">
        <v>9900</v>
      </c>
      <c r="I35" t="s">
        <v>70</v>
      </c>
      <c r="J35" s="9">
        <v>45469.655798611115</v>
      </c>
      <c r="K35">
        <v>2353.63</v>
      </c>
      <c r="N35">
        <v>37392</v>
      </c>
      <c r="P35" t="str">
        <f>IF(COUNTIF(цессия!B:B,'отчет 2'!B35), "Исключить","Оставить")</f>
        <v>Оставить</v>
      </c>
      <c r="Q35" cm="1">
        <f t="array" ref="Q35">_xlfn._xlws.FILTER('отчет 2'!A35, 'отчет 2'!P35 = "Оставить", "")</f>
        <v>37392</v>
      </c>
      <c r="R35" cm="1">
        <f t="array" ref="R35">_xlfn._xlws.FILTER(Q35,NOT(OR(I35="REPAID",I35="EARLY_REPAID",I35="BANKRUPTCY")), "")</f>
        <v>37392</v>
      </c>
    </row>
    <row r="36" spans="1:18" x14ac:dyDescent="0.25">
      <c r="A36" s="8">
        <v>37654</v>
      </c>
      <c r="B36">
        <v>109897</v>
      </c>
      <c r="C36">
        <v>331792</v>
      </c>
      <c r="D36">
        <v>306104</v>
      </c>
      <c r="E36" t="s">
        <v>28</v>
      </c>
      <c r="F36" s="9">
        <v>45306.574444444443</v>
      </c>
      <c r="G36" s="7">
        <v>45390</v>
      </c>
      <c r="H36">
        <v>9900</v>
      </c>
      <c r="I36" t="s">
        <v>21</v>
      </c>
      <c r="J36" s="9">
        <v>45568.55195601852</v>
      </c>
      <c r="K36">
        <v>2353.63</v>
      </c>
      <c r="N36">
        <v>37654</v>
      </c>
      <c r="P36" t="str">
        <f>IF(COUNTIF(цессия!B:B,'отчет 2'!B36), "Исключить","Оставить")</f>
        <v>Исключить</v>
      </c>
      <c r="Q36" t="str" cm="1">
        <f t="array" ref="Q36">_xlfn._xlws.FILTER('отчет 2'!A36, 'отчет 2'!P36 = "Оставить", "")</f>
        <v/>
      </c>
      <c r="R36" t="str" cm="1">
        <f t="array" ref="R36">_xlfn._xlws.FILTER(Q36,NOT(OR(I36="REPAID",I36="EARLY_REPAID",I36="BANKRUPTCY")), "")</f>
        <v/>
      </c>
    </row>
    <row r="37" spans="1:18" x14ac:dyDescent="0.25">
      <c r="A37" s="8">
        <v>39952</v>
      </c>
      <c r="B37">
        <v>116791</v>
      </c>
      <c r="C37">
        <v>336370</v>
      </c>
      <c r="D37">
        <v>318123</v>
      </c>
      <c r="E37" t="s">
        <v>28</v>
      </c>
      <c r="F37" s="9">
        <v>45316.788981481484</v>
      </c>
      <c r="G37" s="7">
        <v>45400</v>
      </c>
      <c r="H37">
        <v>9900</v>
      </c>
      <c r="I37" t="s">
        <v>21</v>
      </c>
      <c r="J37" s="9">
        <v>45568.55195601852</v>
      </c>
      <c r="K37">
        <v>2353.63</v>
      </c>
      <c r="N37">
        <v>39952</v>
      </c>
      <c r="P37" t="str">
        <f>IF(COUNTIF(цессия!B:B,'отчет 2'!B37), "Исключить","Оставить")</f>
        <v>Исключить</v>
      </c>
      <c r="Q37" t="str" cm="1">
        <f t="array" ref="Q37">_xlfn._xlws.FILTER('отчет 2'!A37, 'отчет 2'!P37 = "Оставить", "")</f>
        <v/>
      </c>
      <c r="R37" t="str" cm="1">
        <f t="array" ref="R37">_xlfn._xlws.FILTER(Q37,NOT(OR(I37="REPAID",I37="EARLY_REPAID",I37="BANKRUPTCY")), "")</f>
        <v/>
      </c>
    </row>
    <row r="38" spans="1:18" x14ac:dyDescent="0.25">
      <c r="A38" s="8">
        <v>42997</v>
      </c>
      <c r="B38">
        <v>125922</v>
      </c>
      <c r="C38">
        <v>342546</v>
      </c>
      <c r="D38">
        <v>334684</v>
      </c>
      <c r="E38" t="s">
        <v>28</v>
      </c>
      <c r="F38" s="9">
        <v>45330.855636574073</v>
      </c>
      <c r="G38" s="7">
        <v>45414</v>
      </c>
      <c r="H38">
        <v>13300</v>
      </c>
      <c r="I38" t="s">
        <v>21</v>
      </c>
      <c r="J38" s="9">
        <v>45568.55195601852</v>
      </c>
      <c r="K38">
        <v>2000</v>
      </c>
      <c r="N38">
        <v>42997</v>
      </c>
      <c r="P38" t="str">
        <f>IF(COUNTIF(цессия!B:B,'отчет 2'!B38), "Исключить","Оставить")</f>
        <v>Исключить</v>
      </c>
      <c r="Q38" t="str" cm="1">
        <f t="array" ref="Q38">_xlfn._xlws.FILTER('отчет 2'!A38, 'отчет 2'!P38 = "Оставить", "")</f>
        <v/>
      </c>
      <c r="R38" t="str" cm="1">
        <f t="array" ref="R38">_xlfn._xlws.FILTER(Q38,NOT(OR(I38="REPAID",I38="EARLY_REPAID",I38="BANKRUPTCY")), "")</f>
        <v/>
      </c>
    </row>
    <row r="39" spans="1:18" x14ac:dyDescent="0.25">
      <c r="A39" s="8">
        <v>68701</v>
      </c>
      <c r="B39">
        <v>203029</v>
      </c>
      <c r="C39">
        <v>392176</v>
      </c>
      <c r="D39">
        <v>475995</v>
      </c>
      <c r="E39" t="s">
        <v>28</v>
      </c>
      <c r="F39" s="9">
        <v>45457.381284722222</v>
      </c>
      <c r="G39" s="7">
        <v>45541</v>
      </c>
      <c r="H39">
        <v>9900</v>
      </c>
      <c r="I39" t="s">
        <v>24</v>
      </c>
      <c r="J39" s="9">
        <v>45472</v>
      </c>
      <c r="K39">
        <v>50</v>
      </c>
      <c r="N39">
        <v>68701</v>
      </c>
      <c r="P39" t="str">
        <f>IF(COUNTIF(цессия!B:B,'отчет 2'!B39), "Исключить","Оставить")</f>
        <v>Оставить</v>
      </c>
      <c r="Q39" cm="1">
        <f t="array" ref="Q39">_xlfn._xlws.FILTER('отчет 2'!A39, 'отчет 2'!P39 = "Оставить", "")</f>
        <v>68701</v>
      </c>
      <c r="R39" cm="1">
        <f t="array" ref="R39">_xlfn._xlws.FILTER(Q39,NOT(OR(I39="REPAID",I39="EARLY_REPAID",I39="BANKRUPTCY")), "")</f>
        <v>68701</v>
      </c>
    </row>
    <row r="40" spans="1:18" x14ac:dyDescent="0.25">
      <c r="A40" s="8">
        <v>70431</v>
      </c>
      <c r="B40">
        <v>208219</v>
      </c>
      <c r="C40">
        <v>361491</v>
      </c>
      <c r="D40">
        <v>486010</v>
      </c>
      <c r="E40" t="s">
        <v>28</v>
      </c>
      <c r="F40" s="9">
        <v>45465.449328703704</v>
      </c>
      <c r="G40" s="7">
        <v>45577</v>
      </c>
      <c r="H40">
        <v>6000</v>
      </c>
      <c r="I40" t="s">
        <v>22</v>
      </c>
      <c r="J40" s="9">
        <v>45559.958333333336</v>
      </c>
      <c r="K40">
        <v>500</v>
      </c>
      <c r="N40" s="11">
        <v>70431</v>
      </c>
      <c r="P40" t="str">
        <f>IF(COUNTIF(цессия!B:B,'отчет 2'!B40), "Исключить","Оставить")</f>
        <v>Оставить</v>
      </c>
      <c r="Q40" cm="1">
        <f t="array" ref="Q40">_xlfn._xlws.FILTER('отчет 2'!A40, 'отчет 2'!P40 = "Оставить", "")</f>
        <v>70431</v>
      </c>
      <c r="R40" cm="1">
        <f t="array" ref="R40">_xlfn._xlws.FILTER(Q40,NOT(OR(I40="REPAID",I40="EARLY_REPAID",I40="BANKRUPTCY")), "")</f>
        <v>70431</v>
      </c>
    </row>
    <row r="41" spans="1:18" x14ac:dyDescent="0.25">
      <c r="A41">
        <f>'отчет 1'!H2</f>
        <v>68</v>
      </c>
    </row>
    <row r="42" spans="1:18" x14ac:dyDescent="0.25">
      <c r="A42">
        <f>'отчет 1'!H3</f>
        <v>389</v>
      </c>
    </row>
    <row r="43" spans="1:18" x14ac:dyDescent="0.25">
      <c r="A43">
        <f>'отчет 1'!H4</f>
        <v>1393</v>
      </c>
    </row>
    <row r="44" spans="1:18" x14ac:dyDescent="0.25">
      <c r="A44">
        <f>'отчет 1'!H5</f>
        <v>2050</v>
      </c>
    </row>
    <row r="45" spans="1:18" x14ac:dyDescent="0.25">
      <c r="A45">
        <f>'отчет 1'!H6</f>
        <v>2148</v>
      </c>
    </row>
    <row r="46" spans="1:18" x14ac:dyDescent="0.25">
      <c r="A46">
        <f>'отчет 1'!H7</f>
        <v>2154</v>
      </c>
    </row>
    <row r="47" spans="1:18" x14ac:dyDescent="0.25">
      <c r="A47">
        <f>'отчет 1'!H8</f>
        <v>3211</v>
      </c>
    </row>
    <row r="48" spans="1:18" x14ac:dyDescent="0.25">
      <c r="A48">
        <f>'отчет 1'!H9</f>
        <v>3512</v>
      </c>
    </row>
    <row r="49" spans="1:1" x14ac:dyDescent="0.25">
      <c r="A49">
        <f>'отчет 1'!H10</f>
        <v>3547</v>
      </c>
    </row>
    <row r="50" spans="1:1" x14ac:dyDescent="0.25">
      <c r="A50">
        <f>'отчет 1'!H11</f>
        <v>6081</v>
      </c>
    </row>
    <row r="51" spans="1:1" x14ac:dyDescent="0.25">
      <c r="A51">
        <f>'отчет 1'!H12</f>
        <v>7524</v>
      </c>
    </row>
    <row r="52" spans="1:1" x14ac:dyDescent="0.25">
      <c r="A52">
        <f>'отчет 1'!H13</f>
        <v>12728</v>
      </c>
    </row>
    <row r="53" spans="1:1" x14ac:dyDescent="0.25">
      <c r="A53">
        <f>'отчет 1'!H14</f>
        <v>23629</v>
      </c>
    </row>
    <row r="54" spans="1:1" x14ac:dyDescent="0.25">
      <c r="A54">
        <f>'отчет 1'!H15</f>
        <v>26146</v>
      </c>
    </row>
    <row r="55" spans="1:1" x14ac:dyDescent="0.25">
      <c r="A55">
        <f>'отчет 1'!H16</f>
        <v>27112</v>
      </c>
    </row>
    <row r="56" spans="1:1" x14ac:dyDescent="0.25">
      <c r="A56">
        <f>'отчет 1'!H17</f>
        <v>29454</v>
      </c>
    </row>
    <row r="57" spans="1:1" x14ac:dyDescent="0.25">
      <c r="A57">
        <f>'отчет 1'!H18</f>
        <v>35084</v>
      </c>
    </row>
    <row r="58" spans="1:1" x14ac:dyDescent="0.25">
      <c r="A58">
        <f>'отчет 1'!H19</f>
        <v>37654</v>
      </c>
    </row>
    <row r="59" spans="1:1" x14ac:dyDescent="0.25">
      <c r="A59">
        <f>'отчет 1'!H20</f>
        <v>39952</v>
      </c>
    </row>
    <row r="60" spans="1:1" x14ac:dyDescent="0.25">
      <c r="A60">
        <f>'отчет 1'!H21</f>
        <v>42997</v>
      </c>
    </row>
    <row r="61" spans="1:1" x14ac:dyDescent="0.25">
      <c r="A61">
        <f>'отчет 1'!H22</f>
        <v>68701</v>
      </c>
    </row>
    <row r="62" spans="1:1" x14ac:dyDescent="0.25">
      <c r="A62">
        <f>'отчет 1'!H23</f>
        <v>70431</v>
      </c>
    </row>
  </sheetData>
  <autoFilter ref="A1:K64" xr:uid="{F6697580-319A-1645-9932-BF09D4C8F64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9F82-EB9D-EF4A-91C1-4D956760F3C9}">
  <dimension ref="A1:H23"/>
  <sheetViews>
    <sheetView workbookViewId="0">
      <selection activeCell="H2" sqref="H2"/>
    </sheetView>
  </sheetViews>
  <sheetFormatPr defaultColWidth="11" defaultRowHeight="15.75" x14ac:dyDescent="0.25"/>
  <cols>
    <col min="1" max="1" width="5.875" customWidth="1"/>
    <col min="2" max="2" width="14.5" bestFit="1" customWidth="1"/>
    <col min="3" max="7" width="15.625" customWidth="1"/>
  </cols>
  <sheetData>
    <row r="1" spans="1:8" ht="36" x14ac:dyDescent="0.25">
      <c r="A1" s="2" t="s">
        <v>9</v>
      </c>
      <c r="B1" s="2" t="s">
        <v>73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8" x14ac:dyDescent="0.25">
      <c r="A2" s="3">
        <v>2</v>
      </c>
      <c r="B2" s="5" t="s">
        <v>39</v>
      </c>
      <c r="C2" s="4">
        <v>44834</v>
      </c>
      <c r="D2" s="6">
        <v>35000</v>
      </c>
      <c r="E2" s="6">
        <v>11447.66</v>
      </c>
      <c r="F2" s="6">
        <v>1300.06</v>
      </c>
      <c r="G2" s="3">
        <v>552</v>
      </c>
      <c r="H2">
        <f t="shared" ref="H2:H23" si="0">VALUE(B2)</f>
        <v>68</v>
      </c>
    </row>
    <row r="3" spans="1:8" x14ac:dyDescent="0.25">
      <c r="A3" s="3">
        <v>3</v>
      </c>
      <c r="B3" s="5" t="s">
        <v>40</v>
      </c>
      <c r="C3" s="4">
        <v>44862</v>
      </c>
      <c r="D3" s="6">
        <v>30000</v>
      </c>
      <c r="E3" s="6">
        <v>4410.2</v>
      </c>
      <c r="F3" s="6">
        <v>249.72</v>
      </c>
      <c r="G3" s="3">
        <v>482</v>
      </c>
      <c r="H3">
        <f t="shared" si="0"/>
        <v>389</v>
      </c>
    </row>
    <row r="4" spans="1:8" x14ac:dyDescent="0.25">
      <c r="A4" s="3">
        <v>4</v>
      </c>
      <c r="B4" s="5" t="s">
        <v>41</v>
      </c>
      <c r="C4" s="4">
        <v>44915</v>
      </c>
      <c r="D4" s="6">
        <v>40000</v>
      </c>
      <c r="E4" s="6">
        <v>11088.24</v>
      </c>
      <c r="F4" s="6">
        <v>1482.47</v>
      </c>
      <c r="G4" s="3">
        <v>457</v>
      </c>
      <c r="H4">
        <f t="shared" si="0"/>
        <v>1393</v>
      </c>
    </row>
    <row r="5" spans="1:8" x14ac:dyDescent="0.25">
      <c r="A5" s="3">
        <v>5</v>
      </c>
      <c r="B5" s="5" t="s">
        <v>42</v>
      </c>
      <c r="C5" s="4">
        <v>44952</v>
      </c>
      <c r="D5" s="6">
        <v>50000</v>
      </c>
      <c r="E5" s="6">
        <v>42219.24</v>
      </c>
      <c r="F5" s="6">
        <v>30483.14</v>
      </c>
      <c r="G5" s="3">
        <v>609</v>
      </c>
      <c r="H5">
        <f t="shared" si="0"/>
        <v>2050</v>
      </c>
    </row>
    <row r="6" spans="1:8" x14ac:dyDescent="0.25">
      <c r="A6" s="3">
        <v>7</v>
      </c>
      <c r="B6" s="5" t="s">
        <v>44</v>
      </c>
      <c r="C6" s="4">
        <v>44957</v>
      </c>
      <c r="D6" s="6">
        <v>30000</v>
      </c>
      <c r="E6" s="6">
        <v>8796.44</v>
      </c>
      <c r="F6" s="6">
        <v>1169.45</v>
      </c>
      <c r="G6" s="3">
        <v>415</v>
      </c>
      <c r="H6">
        <f t="shared" si="0"/>
        <v>2148</v>
      </c>
    </row>
    <row r="7" spans="1:8" x14ac:dyDescent="0.25">
      <c r="A7" s="3">
        <v>6</v>
      </c>
      <c r="B7" s="5" t="s">
        <v>43</v>
      </c>
      <c r="C7" s="4">
        <v>44957</v>
      </c>
      <c r="D7" s="6">
        <v>20000</v>
      </c>
      <c r="E7" s="6">
        <v>6606.81</v>
      </c>
      <c r="F7" s="6">
        <v>864.92</v>
      </c>
      <c r="G7" s="3">
        <v>583</v>
      </c>
      <c r="H7">
        <f t="shared" si="0"/>
        <v>2154</v>
      </c>
    </row>
    <row r="8" spans="1:8" x14ac:dyDescent="0.25">
      <c r="A8" s="3">
        <v>8</v>
      </c>
      <c r="B8" s="5" t="s">
        <v>45</v>
      </c>
      <c r="C8" s="4">
        <v>44995</v>
      </c>
      <c r="D8" s="6">
        <v>30000</v>
      </c>
      <c r="E8" s="6">
        <v>25533.57</v>
      </c>
      <c r="F8" s="6">
        <v>19657.32</v>
      </c>
      <c r="G8" s="3">
        <v>573</v>
      </c>
      <c r="H8">
        <f t="shared" si="0"/>
        <v>3211</v>
      </c>
    </row>
    <row r="9" spans="1:8" x14ac:dyDescent="0.25">
      <c r="A9" s="3">
        <v>9</v>
      </c>
      <c r="B9" s="5" t="s">
        <v>46</v>
      </c>
      <c r="C9" s="4">
        <v>45006</v>
      </c>
      <c r="D9" s="6">
        <v>30000</v>
      </c>
      <c r="E9" s="6">
        <v>26037.23</v>
      </c>
      <c r="F9" s="6">
        <v>21091.66</v>
      </c>
      <c r="G9" s="3">
        <v>569</v>
      </c>
      <c r="H9">
        <f t="shared" si="0"/>
        <v>3512</v>
      </c>
    </row>
    <row r="10" spans="1:8" x14ac:dyDescent="0.25">
      <c r="A10" s="3">
        <v>1</v>
      </c>
      <c r="B10" s="5" t="s">
        <v>38</v>
      </c>
      <c r="C10" s="4">
        <v>45008</v>
      </c>
      <c r="D10" s="6">
        <v>60000</v>
      </c>
      <c r="E10" s="6">
        <v>47104.160000000003</v>
      </c>
      <c r="F10" s="6">
        <v>23926.86</v>
      </c>
      <c r="G10" s="3">
        <v>525</v>
      </c>
      <c r="H10">
        <f t="shared" si="0"/>
        <v>3547</v>
      </c>
    </row>
    <row r="11" spans="1:8" x14ac:dyDescent="0.25">
      <c r="A11" s="3">
        <v>10</v>
      </c>
      <c r="B11" s="5" t="s">
        <v>47</v>
      </c>
      <c r="C11" s="4">
        <v>45095</v>
      </c>
      <c r="D11" s="6">
        <v>9500</v>
      </c>
      <c r="E11" s="6">
        <v>9500</v>
      </c>
      <c r="F11" s="6">
        <v>5157.97</v>
      </c>
      <c r="G11" s="3">
        <v>578</v>
      </c>
      <c r="H11">
        <f t="shared" si="0"/>
        <v>6081</v>
      </c>
    </row>
    <row r="12" spans="1:8" x14ac:dyDescent="0.25">
      <c r="A12" s="3">
        <v>11</v>
      </c>
      <c r="B12" s="5" t="s">
        <v>48</v>
      </c>
      <c r="C12" s="4">
        <v>45112</v>
      </c>
      <c r="D12" s="6">
        <v>9500</v>
      </c>
      <c r="E12" s="6">
        <v>9500</v>
      </c>
      <c r="F12" s="6">
        <v>4051.18</v>
      </c>
      <c r="G12" s="3">
        <v>561</v>
      </c>
      <c r="H12">
        <f t="shared" si="0"/>
        <v>7524</v>
      </c>
    </row>
    <row r="13" spans="1:8" x14ac:dyDescent="0.25">
      <c r="A13" s="3">
        <v>12</v>
      </c>
      <c r="B13" s="5" t="s">
        <v>49</v>
      </c>
      <c r="C13" s="4">
        <v>45164</v>
      </c>
      <c r="D13" s="6">
        <v>9900</v>
      </c>
      <c r="E13" s="6">
        <v>8655.17</v>
      </c>
      <c r="F13" s="6">
        <v>3112.94</v>
      </c>
      <c r="G13" s="3">
        <v>495</v>
      </c>
      <c r="H13">
        <f t="shared" si="0"/>
        <v>12728</v>
      </c>
    </row>
    <row r="14" spans="1:8" x14ac:dyDescent="0.25">
      <c r="A14" s="3">
        <v>13</v>
      </c>
      <c r="B14" s="5" t="s">
        <v>50</v>
      </c>
      <c r="C14" s="4">
        <v>45237</v>
      </c>
      <c r="D14" s="6">
        <v>9900</v>
      </c>
      <c r="E14" s="6">
        <v>9900</v>
      </c>
      <c r="F14" s="6">
        <v>4221.74</v>
      </c>
      <c r="G14" s="3">
        <v>436</v>
      </c>
      <c r="H14">
        <f t="shared" si="0"/>
        <v>23629</v>
      </c>
    </row>
    <row r="15" spans="1:8" x14ac:dyDescent="0.25">
      <c r="A15" s="3">
        <v>14</v>
      </c>
      <c r="B15" s="5" t="s">
        <v>51</v>
      </c>
      <c r="C15" s="4">
        <v>45249</v>
      </c>
      <c r="D15" s="6">
        <v>9900</v>
      </c>
      <c r="E15" s="6">
        <v>4660.4799999999996</v>
      </c>
      <c r="F15" s="6">
        <v>0</v>
      </c>
      <c r="G15" s="3">
        <v>382</v>
      </c>
      <c r="H15">
        <f t="shared" si="0"/>
        <v>26146</v>
      </c>
    </row>
    <row r="16" spans="1:8" x14ac:dyDescent="0.25">
      <c r="A16" s="3">
        <v>15</v>
      </c>
      <c r="B16" s="5" t="s">
        <v>52</v>
      </c>
      <c r="C16" s="4">
        <v>45253</v>
      </c>
      <c r="D16" s="6">
        <v>9900</v>
      </c>
      <c r="E16" s="6">
        <v>9900</v>
      </c>
      <c r="F16" s="6">
        <v>4221.74</v>
      </c>
      <c r="G16" s="3">
        <v>420</v>
      </c>
      <c r="H16">
        <f t="shared" si="0"/>
        <v>27112</v>
      </c>
    </row>
    <row r="17" spans="1:8" x14ac:dyDescent="0.25">
      <c r="A17" s="3">
        <v>16</v>
      </c>
      <c r="B17" s="5" t="s">
        <v>53</v>
      </c>
      <c r="C17" s="4">
        <v>45265</v>
      </c>
      <c r="D17" s="6">
        <v>9900</v>
      </c>
      <c r="E17" s="6">
        <v>8655.17</v>
      </c>
      <c r="F17" s="6">
        <v>3112.94</v>
      </c>
      <c r="G17" s="3">
        <v>394</v>
      </c>
      <c r="H17">
        <f t="shared" si="0"/>
        <v>29454</v>
      </c>
    </row>
    <row r="18" spans="1:8" x14ac:dyDescent="0.25">
      <c r="A18" s="3">
        <v>17</v>
      </c>
      <c r="B18" s="5" t="s">
        <v>54</v>
      </c>
      <c r="C18" s="4">
        <v>45295</v>
      </c>
      <c r="D18" s="6">
        <v>9900</v>
      </c>
      <c r="E18" s="6">
        <v>7270.92</v>
      </c>
      <c r="F18" s="6">
        <v>2143.56</v>
      </c>
      <c r="G18" s="3">
        <v>350</v>
      </c>
      <c r="H18">
        <f t="shared" si="0"/>
        <v>35084</v>
      </c>
    </row>
    <row r="19" spans="1:8" x14ac:dyDescent="0.25">
      <c r="A19" s="3">
        <v>18</v>
      </c>
      <c r="B19" s="5" t="s">
        <v>55</v>
      </c>
      <c r="C19" s="4">
        <v>45306</v>
      </c>
      <c r="D19" s="6">
        <v>9900</v>
      </c>
      <c r="E19" s="6">
        <v>7270.92</v>
      </c>
      <c r="F19" s="6">
        <v>2143.56</v>
      </c>
      <c r="G19" s="3">
        <v>339</v>
      </c>
      <c r="H19">
        <f t="shared" si="0"/>
        <v>37654</v>
      </c>
    </row>
    <row r="20" spans="1:8" x14ac:dyDescent="0.25">
      <c r="A20" s="3">
        <v>19</v>
      </c>
      <c r="B20" s="5" t="s">
        <v>56</v>
      </c>
      <c r="C20" s="4">
        <v>45316</v>
      </c>
      <c r="D20" s="6">
        <v>9900</v>
      </c>
      <c r="E20" s="6">
        <v>8655.17</v>
      </c>
      <c r="F20" s="6">
        <v>3112.94</v>
      </c>
      <c r="G20" s="3">
        <v>343</v>
      </c>
      <c r="H20">
        <f t="shared" si="0"/>
        <v>39952</v>
      </c>
    </row>
    <row r="21" spans="1:8" x14ac:dyDescent="0.25">
      <c r="A21" s="3">
        <v>20</v>
      </c>
      <c r="B21" s="5" t="s">
        <v>57</v>
      </c>
      <c r="C21" s="4">
        <v>45330</v>
      </c>
      <c r="D21" s="6">
        <v>13300</v>
      </c>
      <c r="E21" s="6">
        <v>11627.66</v>
      </c>
      <c r="F21" s="6">
        <v>4182</v>
      </c>
      <c r="G21" s="3">
        <v>329</v>
      </c>
      <c r="H21">
        <f t="shared" si="0"/>
        <v>42997</v>
      </c>
    </row>
    <row r="22" spans="1:8" x14ac:dyDescent="0.25">
      <c r="A22" s="3">
        <v>22</v>
      </c>
      <c r="B22" s="5" t="s">
        <v>59</v>
      </c>
      <c r="C22" s="4">
        <v>45457</v>
      </c>
      <c r="D22" s="6">
        <v>9900</v>
      </c>
      <c r="E22" s="6">
        <v>9900</v>
      </c>
      <c r="F22" s="6">
        <v>4166.08</v>
      </c>
      <c r="G22" s="3">
        <v>216</v>
      </c>
      <c r="H22">
        <f t="shared" si="0"/>
        <v>68701</v>
      </c>
    </row>
    <row r="23" spans="1:8" x14ac:dyDescent="0.25">
      <c r="A23" s="3">
        <v>21</v>
      </c>
      <c r="B23" s="5" t="s">
        <v>58</v>
      </c>
      <c r="C23" s="4">
        <v>45465</v>
      </c>
      <c r="D23" s="6">
        <v>6000</v>
      </c>
      <c r="E23" s="6">
        <v>6000</v>
      </c>
      <c r="F23" s="6">
        <v>2889.34</v>
      </c>
      <c r="G23" s="3">
        <v>208</v>
      </c>
      <c r="H23">
        <f t="shared" si="0"/>
        <v>70431</v>
      </c>
    </row>
  </sheetData>
  <autoFilter ref="A1:P23" xr:uid="{46339F82-EB9D-EF4A-91C1-4D956760F3C9}">
    <sortState xmlns:xlrd2="http://schemas.microsoft.com/office/spreadsheetml/2017/richdata2" ref="A2:H23">
      <sortCondition ref="B1:B2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28DB-20F7-2148-863F-F3815F6CD537}">
  <dimension ref="A1:L46"/>
  <sheetViews>
    <sheetView tabSelected="1" topLeftCell="B22" workbookViewId="0">
      <selection activeCell="J45" sqref="J45"/>
    </sheetView>
  </sheetViews>
  <sheetFormatPr defaultColWidth="11" defaultRowHeight="15.75" x14ac:dyDescent="0.25"/>
  <cols>
    <col min="1" max="1" width="3.125" bestFit="1" customWidth="1"/>
    <col min="2" max="2" width="15.375" customWidth="1"/>
    <col min="3" max="3" width="10.625" bestFit="1" customWidth="1"/>
    <col min="4" max="4" width="15.125" bestFit="1" customWidth="1"/>
    <col min="5" max="5" width="11.375" bestFit="1" customWidth="1"/>
    <col min="6" max="6" width="13.375" bestFit="1" customWidth="1"/>
    <col min="7" max="7" width="13" bestFit="1" customWidth="1"/>
    <col min="8" max="8" width="19.625" bestFit="1" customWidth="1"/>
    <col min="9" max="9" width="20.125" bestFit="1" customWidth="1"/>
    <col min="10" max="10" width="32.875" bestFit="1" customWidth="1"/>
    <col min="11" max="11" width="22.875" bestFit="1" customWidth="1"/>
    <col min="12" max="12" width="24.5" bestFit="1" customWidth="1"/>
  </cols>
  <sheetData>
    <row r="1" spans="1:12" x14ac:dyDescent="0.25">
      <c r="B1" t="s">
        <v>80</v>
      </c>
    </row>
    <row r="2" spans="1:12" x14ac:dyDescent="0.25">
      <c r="B2" t="s">
        <v>81</v>
      </c>
    </row>
    <row r="3" spans="1:12" x14ac:dyDescent="0.25">
      <c r="B3" t="s">
        <v>83</v>
      </c>
    </row>
    <row r="4" spans="1:12" x14ac:dyDescent="0.25">
      <c r="B4" t="s">
        <v>82</v>
      </c>
    </row>
    <row r="6" spans="1:12" x14ac:dyDescent="0.25">
      <c r="A6" s="10" t="s">
        <v>9</v>
      </c>
      <c r="B6" s="10" t="s">
        <v>73</v>
      </c>
      <c r="C6" s="10" t="s">
        <v>75</v>
      </c>
      <c r="D6" s="10" t="s">
        <v>74</v>
      </c>
      <c r="E6" s="10" t="s">
        <v>76</v>
      </c>
      <c r="F6" s="10" t="s">
        <v>16</v>
      </c>
      <c r="G6" s="10" t="s">
        <v>77</v>
      </c>
      <c r="H6" s="10" t="s">
        <v>17</v>
      </c>
      <c r="I6" s="10" t="s">
        <v>18</v>
      </c>
      <c r="J6" s="10" t="s">
        <v>19</v>
      </c>
      <c r="K6" s="10" t="s">
        <v>78</v>
      </c>
      <c r="L6" s="10" t="s">
        <v>79</v>
      </c>
    </row>
    <row r="7" spans="1:12" x14ac:dyDescent="0.25">
      <c r="A7" s="10">
        <v>1</v>
      </c>
      <c r="B7" s="13" cm="1">
        <f t="array" ref="B7:B29">_xlfn._xlws.SORT(_xlfn._xlws.FILTER('отчет 2'!R2:R40,'отчет 2'!R2:R40 &lt;&gt; ""))</f>
        <v>68</v>
      </c>
      <c r="C7" s="13">
        <f>_xlfn.XLOOKUP(B7,'отчет 2'!A2:A40,'отчет 2'!B2:B40)</f>
        <v>183</v>
      </c>
      <c r="D7" s="13" t="str">
        <f>VLOOKUP(B7,'отчет 2'!A2:K40,5,FALSE)</f>
        <v>Белгород</v>
      </c>
      <c r="E7" s="14">
        <f>IFERROR(_xlfn.XLOOKUP(B7,'отчет 1'!$H$2:$H$23,'отчет 1'!$C$2:$C$23),_xlfn.XLOOKUP(B7,'отчет 2'!A2:A40,'отчет 2'!F2:F40))</f>
        <v>44834</v>
      </c>
      <c r="F7" s="13">
        <f>_xlfn.XLOOKUP(B7,'отчет 2'!A2:A40,'отчет 2'!H2:H40)</f>
        <v>35000</v>
      </c>
      <c r="G7" s="13" t="str">
        <f>_xlfn.XLOOKUP(B7,'отчет 2'!A2:A40,'отчет 2'!I2:I40)</f>
        <v>COLLECTOR</v>
      </c>
      <c r="H7" s="20">
        <f>IFERROR(_xlfn.XLOOKUP(B7,'отчет 1'!$H$2:$H$23,'отчет 1'!$D$2:$D$23),"Нет данных")</f>
        <v>35000</v>
      </c>
      <c r="I7" s="13">
        <f>IFERROR(_xlfn.XLOOKUP(B7,'отчет 1'!$H$2:$H$23,'отчет 1'!$F$2:$F$23), "Нет данных")</f>
        <v>1300.06</v>
      </c>
      <c r="J7" s="13">
        <f>IFERROR(_xlfn.XLOOKUP(задание!B7,'отчет 1'!$H$2:$H$23,'отчет 1'!$G$2:$G$23), "Нет данных")</f>
        <v>552</v>
      </c>
      <c r="K7" s="14">
        <f ca="1">IFERROR(TODAY()-J7,_xlfn.XLOOKUP(B7,'отчет 2'!$A$2:$A$40,'отчет 2'!$J$2:$J$40))</f>
        <v>45162</v>
      </c>
      <c r="L7" s="19">
        <f>IFERROR(_xlfn.NUMBERVALUE(_xlfn.XLOOKUP(B7, 'отчет 2'!$A$2:$A$40, 'отчет 2'!$K$2:$K$40)), "Нет данных")</f>
        <v>1950</v>
      </c>
    </row>
    <row r="8" spans="1:12" x14ac:dyDescent="0.25">
      <c r="A8" s="10">
        <v>2</v>
      </c>
      <c r="B8" s="13">
        <v>389</v>
      </c>
      <c r="C8" s="13">
        <f>_xlfn.XLOOKUP(B8,'отчет 2'!A3:A41,'отчет 2'!B3:B41)</f>
        <v>1146</v>
      </c>
      <c r="D8" s="13" t="str">
        <f>VLOOKUP(B8,'отчет 2'!A3:K41,5,FALSE)</f>
        <v>Вологда</v>
      </c>
      <c r="E8" s="14">
        <f>IFERROR(_xlfn.XLOOKUP(B8,'отчет 1'!$H$2:$H$23,'отчет 1'!$C$2:$C$23),_xlfn.XLOOKUP(B8,'отчет 2'!A3:A41,'отчет 2'!F3:F41))</f>
        <v>44862</v>
      </c>
      <c r="F8" s="13">
        <f>_xlfn.XLOOKUP(B8,'отчет 2'!A3:A41,'отчет 2'!H3:H41)</f>
        <v>30000</v>
      </c>
      <c r="G8" s="13" t="str">
        <f>_xlfn.XLOOKUP(B8,'отчет 2'!A3:A41,'отчет 2'!I3:I41)</f>
        <v>DELINQUENT</v>
      </c>
      <c r="H8" s="20">
        <f>IFERROR(_xlfn.XLOOKUP(B8,'отчет 1'!$H$2:$H$23,'отчет 1'!$D$2:$D$23),"Нет данных")</f>
        <v>30000</v>
      </c>
      <c r="I8" s="13">
        <f>IFERROR(_xlfn.XLOOKUP(B8,'отчет 1'!$H$2:$H$23,'отчет 1'!$F$2:$F$23), "Нет данных")</f>
        <v>249.72</v>
      </c>
      <c r="J8" s="13">
        <f>IFERROR(_xlfn.XLOOKUP(задание!B8,'отчет 1'!$H$2:$H$23,'отчет 1'!$G$2:$G$23), "Нет данных")</f>
        <v>482</v>
      </c>
      <c r="K8" s="14">
        <f ca="1">IFERROR(TODAY()-J8,_xlfn.XLOOKUP(B8,'отчет 2'!$A$2:$A$40,'отчет 2'!$J$2:$J$40))</f>
        <v>45232</v>
      </c>
      <c r="L8" s="19">
        <f>IFERROR(_xlfn.NUMBERVALUE(_xlfn.XLOOKUP(B8, 'отчет 2'!$A$2:$A$40, 'отчет 2'!$K$2:$K$40)), "Нет данных")</f>
        <v>1200</v>
      </c>
    </row>
    <row r="9" spans="1:12" x14ac:dyDescent="0.25">
      <c r="A9" s="10">
        <v>3</v>
      </c>
      <c r="B9" s="13">
        <v>864</v>
      </c>
      <c r="C9" s="13">
        <f>_xlfn.XLOOKUP(B9,'отчет 2'!A4:A42,'отчет 2'!B4:B42)</f>
        <v>2573</v>
      </c>
      <c r="D9" s="13" t="str">
        <f>VLOOKUP(B9,'отчет 2'!A4:K42,5,FALSE)</f>
        <v>Иваново</v>
      </c>
      <c r="E9" s="14">
        <f>IFERROR(_xlfn.XLOOKUP(B9,'отчет 1'!$H$2:$H$23,'отчет 1'!$C$2:$C$23),_xlfn.XLOOKUP(B9,'отчет 2'!A4:A42,'отчет 2'!F4:F42))</f>
        <v>44889.701747685183</v>
      </c>
      <c r="F9" s="13">
        <f>_xlfn.XLOOKUP(B9,'отчет 2'!A4:A42,'отчет 2'!H4:H42)</f>
        <v>70000</v>
      </c>
      <c r="G9" s="13" t="str">
        <f>_xlfn.XLOOKUP(B9,'отчет 2'!A4:A42,'отчет 2'!I4:I42)</f>
        <v>SOLD</v>
      </c>
      <c r="H9" s="20" t="str">
        <f>IFERROR(_xlfn.XLOOKUP(B9,'отчет 1'!$H$2:$H$23,'отчет 1'!$D$2:$D$23),"Нет данных")</f>
        <v>Нет данных</v>
      </c>
      <c r="I9" s="13" t="str">
        <f>IFERROR(_xlfn.XLOOKUP(B9,'отчет 1'!$H$2:$H$23,'отчет 1'!$F$2:$F$23), "Нет данных")</f>
        <v>Нет данных</v>
      </c>
      <c r="J9" s="13" t="str">
        <f>IFERROR(_xlfn.XLOOKUP(задание!B9,'отчет 1'!$H$2:$H$23,'отчет 1'!$G$2:$G$23), "Нет данных")</f>
        <v>Нет данных</v>
      </c>
      <c r="K9" s="14">
        <f ca="1">IFERROR(TODAY()-J9,_xlfn.XLOOKUP(B9,'отчет 2'!$A$2:$A$40,'отчет 2'!$J$2:$J$40))</f>
        <v>45286.989583333336</v>
      </c>
      <c r="L9" s="19">
        <f>IFERROR(_xlfn.NUMBERVALUE(_xlfn.XLOOKUP(B9, 'отчет 2'!$A$2:$A$40, 'отчет 2'!$K$2:$K$40)), "Нет данных")</f>
        <v>2500</v>
      </c>
    </row>
    <row r="10" spans="1:12" x14ac:dyDescent="0.25">
      <c r="A10" s="10">
        <v>4</v>
      </c>
      <c r="B10" s="13">
        <v>1097</v>
      </c>
      <c r="C10" s="13">
        <f>_xlfn.XLOOKUP(B10,'отчет 2'!A5:A43,'отчет 2'!B5:B43)</f>
        <v>3272</v>
      </c>
      <c r="D10" s="13" t="str">
        <f>VLOOKUP(B10,'отчет 2'!A5:K43,5,FALSE)</f>
        <v>Белгород</v>
      </c>
      <c r="E10" s="14">
        <f>IFERROR(_xlfn.XLOOKUP(B10,'отчет 1'!$H$2:$H$23,'отчет 1'!$C$2:$C$23),_xlfn.XLOOKUP(B10,'отчет 2'!A5:A43,'отчет 2'!F5:F43))</f>
        <v>44901.672407407408</v>
      </c>
      <c r="F10" s="13">
        <f>_xlfn.XLOOKUP(B10,'отчет 2'!A5:A43,'отчет 2'!H5:H43)</f>
        <v>30000</v>
      </c>
      <c r="G10" s="13" t="str">
        <f>_xlfn.XLOOKUP(B10,'отчет 2'!A5:A43,'отчет 2'!I5:I43)</f>
        <v>CANCELED</v>
      </c>
      <c r="H10" s="20" t="str">
        <f>IFERROR(_xlfn.XLOOKUP(B10,'отчет 1'!$H$2:$H$23,'отчет 1'!$D$2:$D$23),"Нет данных")</f>
        <v>Нет данных</v>
      </c>
      <c r="I10" s="13" t="str">
        <f>IFERROR(_xlfn.XLOOKUP(B10,'отчет 1'!$H$2:$H$23,'отчет 1'!$F$2:$F$23), "Нет данных")</f>
        <v>Нет данных</v>
      </c>
      <c r="J10" s="13" t="str">
        <f>IFERROR(_xlfn.XLOOKUP(задание!B10,'отчет 1'!$H$2:$H$23,'отчет 1'!$G$2:$G$23), "Нет данных")</f>
        <v>Нет данных</v>
      </c>
      <c r="K10" s="14">
        <f ca="1">IFERROR(TODAY()-J10,_xlfn.XLOOKUP(B10,'отчет 2'!$A$2:$A$40,'отчет 2'!$J$2:$J$40))</f>
        <v>44901.6875</v>
      </c>
      <c r="L10" s="19" t="str">
        <f>IFERROR(_xlfn.NUMBERVALUE(_xlfn.XLOOKUP(B10, 'отчет 2'!$A$2:$A$40, 'отчет 2'!$K$2:$K$40)), "Нет данных")</f>
        <v>Нет данных</v>
      </c>
    </row>
    <row r="11" spans="1:12" x14ac:dyDescent="0.25">
      <c r="A11" s="10">
        <v>5</v>
      </c>
      <c r="B11" s="13">
        <v>1370</v>
      </c>
      <c r="C11" s="13">
        <f>_xlfn.XLOOKUP(B11,'отчет 2'!A6:A44,'отчет 2'!B6:B44)</f>
        <v>4088</v>
      </c>
      <c r="D11" s="13" t="str">
        <f>VLOOKUP(B11,'отчет 2'!A6:K44,5,FALSE)</f>
        <v>Орел</v>
      </c>
      <c r="E11" s="14">
        <f>IFERROR(_xlfn.XLOOKUP(B11,'отчет 1'!$H$2:$H$23,'отчет 1'!$C$2:$C$23),_xlfn.XLOOKUP(B11,'отчет 2'!A6:A44,'отчет 2'!F6:F44))</f>
        <v>44914.611435185187</v>
      </c>
      <c r="F11" s="13">
        <f>_xlfn.XLOOKUP(B11,'отчет 2'!A6:A44,'отчет 2'!H6:H44)</f>
        <v>20000</v>
      </c>
      <c r="G11" s="13" t="str">
        <f>_xlfn.XLOOKUP(B11,'отчет 2'!A6:A44,'отчет 2'!I6:I44)</f>
        <v>SOLD</v>
      </c>
      <c r="H11" s="20" t="str">
        <f>IFERROR(_xlfn.XLOOKUP(B11,'отчет 1'!$H$2:$H$23,'отчет 1'!$D$2:$D$23),"Нет данных")</f>
        <v>Нет данных</v>
      </c>
      <c r="I11" s="13" t="str">
        <f>IFERROR(_xlfn.XLOOKUP(B11,'отчет 1'!$H$2:$H$23,'отчет 1'!$F$2:$F$23), "Нет данных")</f>
        <v>Нет данных</v>
      </c>
      <c r="J11" s="13" t="str">
        <f>IFERROR(_xlfn.XLOOKUP(задание!B11,'отчет 1'!$H$2:$H$23,'отчет 1'!$G$2:$G$23), "Нет данных")</f>
        <v>Нет данных</v>
      </c>
      <c r="K11" s="14">
        <f ca="1">IFERROR(TODAY()-J11,_xlfn.XLOOKUP(B11,'отчет 2'!$A$2:$A$40,'отчет 2'!$J$2:$J$40))</f>
        <v>45286.989583333336</v>
      </c>
      <c r="L11" s="19">
        <f>IFERROR(_xlfn.NUMBERVALUE(_xlfn.XLOOKUP(B11, 'отчет 2'!$A$2:$A$40, 'отчет 2'!$K$2:$K$40)), "Нет данных")</f>
        <v>1070</v>
      </c>
    </row>
    <row r="12" spans="1:12" x14ac:dyDescent="0.25">
      <c r="A12" s="10">
        <v>6</v>
      </c>
      <c r="B12" s="13">
        <v>1393</v>
      </c>
      <c r="C12" s="13">
        <f>_xlfn.XLOOKUP(B12,'отчет 2'!A7:A45,'отчет 2'!B7:B45)</f>
        <v>4157</v>
      </c>
      <c r="D12" s="13" t="str">
        <f>VLOOKUP(B12,'отчет 2'!A7:K45,5,FALSE)</f>
        <v>Электросталь</v>
      </c>
      <c r="E12" s="14">
        <f>IFERROR(_xlfn.XLOOKUP(B12,'отчет 1'!$H$2:$H$23,'отчет 1'!$C$2:$C$23),_xlfn.XLOOKUP(B12,'отчет 2'!A7:A45,'отчет 2'!F7:F45))</f>
        <v>44915</v>
      </c>
      <c r="F12" s="13">
        <f>_xlfn.XLOOKUP(B12,'отчет 2'!A7:A45,'отчет 2'!H7:H45)</f>
        <v>40000</v>
      </c>
      <c r="G12" s="13" t="str">
        <f>_xlfn.XLOOKUP(B12,'отчет 2'!A7:A45,'отчет 2'!I7:I45)</f>
        <v>ACTIVE_SB</v>
      </c>
      <c r="H12" s="20">
        <f>IFERROR(_xlfn.XLOOKUP(B12,'отчет 1'!$H$2:$H$23,'отчет 1'!$D$2:$D$23),"Нет данных")</f>
        <v>40000</v>
      </c>
      <c r="I12" s="13">
        <f>IFERROR(_xlfn.XLOOKUP(B12,'отчет 1'!$H$2:$H$23,'отчет 1'!$F$2:$F$23), "Нет данных")</f>
        <v>1482.47</v>
      </c>
      <c r="J12" s="13">
        <f>IFERROR(_xlfn.XLOOKUP(задание!B12,'отчет 1'!$H$2:$H$23,'отчет 1'!$G$2:$G$23), "Нет данных")</f>
        <v>457</v>
      </c>
      <c r="K12" s="14">
        <f ca="1">IFERROR(TODAY() - J12,  TODAY() - 'отчет 2'!J7)</f>
        <v>45257</v>
      </c>
      <c r="L12" s="19">
        <f>IFERROR(_xlfn.NUMBERVALUE(_xlfn.XLOOKUP(B12, 'отчет 2'!$A$2:$A$40, 'отчет 2'!$K$2:$K$40)), "Нет данных")</f>
        <v>3000</v>
      </c>
    </row>
    <row r="13" spans="1:12" x14ac:dyDescent="0.25">
      <c r="A13" s="10">
        <v>7</v>
      </c>
      <c r="B13" s="13">
        <v>1612</v>
      </c>
      <c r="C13" s="13">
        <f>_xlfn.XLOOKUP(B13,'отчет 2'!A8:A46,'отчет 2'!B8:B46)</f>
        <v>4814</v>
      </c>
      <c r="D13" s="13" t="str">
        <f>VLOOKUP(B13,'отчет 2'!A8:K46,5,FALSE)</f>
        <v>Иваново</v>
      </c>
      <c r="E13" s="14">
        <f>IFERROR(_xlfn.XLOOKUP(B13,'отчет 1'!$H$2:$H$23,'отчет 1'!$C$2:$C$23),_xlfn.XLOOKUP(B13,'отчет 2'!A8:A46,'отчет 2'!F8:F46))</f>
        <v>44923.549212962964</v>
      </c>
      <c r="F13" s="13">
        <f>_xlfn.XLOOKUP(B13,'отчет 2'!A8:A46,'отчет 2'!H8:H46)</f>
        <v>30000</v>
      </c>
      <c r="G13" s="13" t="str">
        <f>_xlfn.XLOOKUP(B13,'отчет 2'!A8:A46,'отчет 2'!I8:I46)</f>
        <v>SOLD</v>
      </c>
      <c r="H13" s="20" t="str">
        <f>IFERROR(_xlfn.XLOOKUP(B13,'отчет 1'!$H$2:$H$23,'отчет 1'!$D$2:$D$23),"Нет данных")</f>
        <v>Нет данных</v>
      </c>
      <c r="I13" s="13" t="str">
        <f>IFERROR(_xlfn.XLOOKUP(B13,'отчет 1'!$H$2:$H$23,'отчет 1'!$F$2:$F$23), "Нет данных")</f>
        <v>Нет данных</v>
      </c>
      <c r="J13" s="13" t="str">
        <f>IFERROR(_xlfn.XLOOKUP(задание!B13,'отчет 1'!$H$2:$H$23,'отчет 1'!$G$2:$G$23), "Нет данных")</f>
        <v>Нет данных</v>
      </c>
      <c r="K13" s="14">
        <f ca="1">IFERROR(TODAY() - J13,  TODAY() - 'отчет 2'!J8)</f>
        <v>427.01041666666424</v>
      </c>
      <c r="L13" s="19">
        <f>IFERROR(_xlfn.NUMBERVALUE(_xlfn.XLOOKUP(B13, 'отчет 2'!$A$2:$A$40, 'отчет 2'!$K$2:$K$40)), "Нет данных")</f>
        <v>1600</v>
      </c>
    </row>
    <row r="14" spans="1:12" x14ac:dyDescent="0.25">
      <c r="A14" s="10">
        <v>8</v>
      </c>
      <c r="B14" s="13">
        <v>2050</v>
      </c>
      <c r="C14" s="13">
        <f>_xlfn.XLOOKUP(B14,'отчет 2'!A9:A47,'отчет 2'!B9:B47)</f>
        <v>6127</v>
      </c>
      <c r="D14" s="13" t="str">
        <f>VLOOKUP(B14,'отчет 2'!A9:K47,5,FALSE)</f>
        <v>Санкт-Петербург</v>
      </c>
      <c r="E14" s="14">
        <f>IFERROR(_xlfn.XLOOKUP(B14,'отчет 1'!$H$2:$H$23,'отчет 1'!$C$2:$C$23),_xlfn.XLOOKUP(B14,'отчет 2'!A9:A47,'отчет 2'!F9:F47))</f>
        <v>44952</v>
      </c>
      <c r="F14" s="13">
        <f>_xlfn.XLOOKUP(B14,'отчет 2'!A9:A47,'отчет 2'!H9:H47)</f>
        <v>50000</v>
      </c>
      <c r="G14" s="13" t="str">
        <f>_xlfn.XLOOKUP(B14,'отчет 2'!A9:A47,'отчет 2'!I9:I47)</f>
        <v>COLLECTOR</v>
      </c>
      <c r="H14" s="20">
        <f>IFERROR(_xlfn.XLOOKUP(B14,'отчет 1'!$H$2:$H$23,'отчет 1'!$D$2:$D$23),"Нет данных")</f>
        <v>50000</v>
      </c>
      <c r="I14" s="13">
        <f>IFERROR(_xlfn.XLOOKUP(B14,'отчет 1'!$H$2:$H$23,'отчет 1'!$F$2:$F$23), "Нет данных")</f>
        <v>30483.14</v>
      </c>
      <c r="J14" s="13">
        <f>IFERROR(_xlfn.XLOOKUP(задание!B14,'отчет 1'!$H$2:$H$23,'отчет 1'!$G$2:$G$23), "Нет данных")</f>
        <v>609</v>
      </c>
      <c r="K14" s="14">
        <f ca="1">IFERROR(TODAY() - J14,  TODAY() - 'отчет 2'!J9)</f>
        <v>45105</v>
      </c>
      <c r="L14" s="19">
        <f>IFERROR(_xlfn.NUMBERVALUE(_xlfn.XLOOKUP(B14, 'отчет 2'!$A$2:$A$40, 'отчет 2'!$K$2:$K$40)), "Нет данных")</f>
        <v>2200</v>
      </c>
    </row>
    <row r="15" spans="1:12" x14ac:dyDescent="0.25">
      <c r="A15" s="10">
        <v>9</v>
      </c>
      <c r="B15" s="13">
        <v>2148</v>
      </c>
      <c r="C15" s="13">
        <f>_xlfn.XLOOKUP(B15,'отчет 2'!A10:A48,'отчет 2'!B10:B48)</f>
        <v>6421</v>
      </c>
      <c r="D15" s="13" t="str">
        <f>VLOOKUP(B15,'отчет 2'!A10:K48,5,FALSE)</f>
        <v>Пенза</v>
      </c>
      <c r="E15" s="14">
        <f>IFERROR(_xlfn.XLOOKUP(B15,'отчет 1'!$H$2:$H$23,'отчет 1'!$C$2:$C$23),_xlfn.XLOOKUP(B15,'отчет 2'!A10:A48,'отчет 2'!F10:F48))</f>
        <v>44957</v>
      </c>
      <c r="F15" s="13">
        <f>_xlfn.XLOOKUP(B15,'отчет 2'!A10:A48,'отчет 2'!H10:H48)</f>
        <v>30000</v>
      </c>
      <c r="G15" s="13" t="str">
        <f>_xlfn.XLOOKUP(B15,'отчет 2'!A10:A48,'отчет 2'!I10:I48)</f>
        <v>ACTIVE_SB</v>
      </c>
      <c r="H15" s="20">
        <f>IFERROR(_xlfn.XLOOKUP(B15,'отчет 1'!$H$2:$H$23,'отчет 1'!$D$2:$D$23),"Нет данных")</f>
        <v>30000</v>
      </c>
      <c r="I15" s="13">
        <f>IFERROR(_xlfn.XLOOKUP(B15,'отчет 1'!$H$2:$H$23,'отчет 1'!$F$2:$F$23), "Нет данных")</f>
        <v>1169.45</v>
      </c>
      <c r="J15" s="13">
        <f>IFERROR(_xlfn.XLOOKUP(задание!B15,'отчет 1'!$H$2:$H$23,'отчет 1'!$G$2:$G$23), "Нет данных")</f>
        <v>415</v>
      </c>
      <c r="K15" s="14">
        <f ca="1">IFERROR(TODAY() - J15,  TODAY() - 'отчет 2'!J10)</f>
        <v>45299</v>
      </c>
      <c r="L15" s="19">
        <f>IFERROR(_xlfn.NUMBERVALUE(_xlfn.XLOOKUP(B15, 'отчет 2'!$A$2:$A$40, 'отчет 2'!$K$2:$K$40)), "Нет данных")</f>
        <v>9000</v>
      </c>
    </row>
    <row r="16" spans="1:12" x14ac:dyDescent="0.25">
      <c r="A16" s="10">
        <v>10</v>
      </c>
      <c r="B16" s="13">
        <v>2154</v>
      </c>
      <c r="C16" s="13">
        <f>_xlfn.XLOOKUP(B16,'отчет 2'!A11:A49,'отчет 2'!B11:B49)</f>
        <v>6439</v>
      </c>
      <c r="D16" s="13" t="str">
        <f>VLOOKUP(B16,'отчет 2'!A11:K49,5,FALSE)</f>
        <v>Курск</v>
      </c>
      <c r="E16" s="14">
        <f>IFERROR(_xlfn.XLOOKUP(B16,'отчет 1'!$H$2:$H$23,'отчет 1'!$C$2:$C$23),_xlfn.XLOOKUP(B16,'отчет 2'!A11:A49,'отчет 2'!F11:F49))</f>
        <v>44957</v>
      </c>
      <c r="F16" s="13">
        <f>_xlfn.XLOOKUP(B16,'отчет 2'!A11:A49,'отчет 2'!H11:H49)</f>
        <v>20000</v>
      </c>
      <c r="G16" s="13" t="str">
        <f>_xlfn.XLOOKUP(B16,'отчет 2'!A11:A49,'отчет 2'!I11:I49)</f>
        <v>COLLECTOR</v>
      </c>
      <c r="H16" s="20">
        <f>IFERROR(_xlfn.XLOOKUP(B16,'отчет 1'!$H$2:$H$23,'отчет 1'!$D$2:$D$23),"Нет данных")</f>
        <v>20000</v>
      </c>
      <c r="I16" s="13">
        <f>IFERROR(_xlfn.XLOOKUP(B16,'отчет 1'!$H$2:$H$23,'отчет 1'!$F$2:$F$23), "Нет данных")</f>
        <v>864.92</v>
      </c>
      <c r="J16" s="13">
        <f>IFERROR(_xlfn.XLOOKUP(задание!B16,'отчет 1'!$H$2:$H$23,'отчет 1'!$G$2:$G$23), "Нет данных")</f>
        <v>583</v>
      </c>
      <c r="K16" s="14">
        <f ca="1">IFERROR(TODAY() - J16,  TODAY() - 'отчет 2'!J11)</f>
        <v>45131</v>
      </c>
      <c r="L16" s="19">
        <f>IFERROR(_xlfn.NUMBERVALUE(_xlfn.XLOOKUP(B16, 'отчет 2'!$A$2:$A$40, 'отчет 2'!$K$2:$K$40)), "Нет данных")</f>
        <v>6652.05</v>
      </c>
    </row>
    <row r="17" spans="1:12" x14ac:dyDescent="0.25">
      <c r="A17" s="10">
        <v>11</v>
      </c>
      <c r="B17" s="13">
        <v>2369</v>
      </c>
      <c r="C17" s="13">
        <f>_xlfn.XLOOKUP(B17,'отчет 2'!A12:A50,'отчет 2'!B12:B50)</f>
        <v>7084</v>
      </c>
      <c r="D17" s="13" t="str">
        <f>VLOOKUP(B17,'отчет 2'!A12:K50,5,FALSE)</f>
        <v>Волгоград</v>
      </c>
      <c r="E17" s="14">
        <f>IFERROR(_xlfn.XLOOKUP(B17,'отчет 1'!$H$2:$H$23,'отчет 1'!$C$2:$C$23),_xlfn.XLOOKUP(B17,'отчет 2'!A12:A50,'отчет 2'!F12:F50))</f>
        <v>44964.757175925923</v>
      </c>
      <c r="F17" s="13">
        <f>_xlfn.XLOOKUP(B17,'отчет 2'!A12:A50,'отчет 2'!H12:H50)</f>
        <v>55000</v>
      </c>
      <c r="G17" s="13" t="str">
        <f>_xlfn.XLOOKUP(B17,'отчет 2'!A12:A50,'отчет 2'!I12:I50)</f>
        <v>COLLECTOR</v>
      </c>
      <c r="H17" s="20" t="str">
        <f>IFERROR(_xlfn.XLOOKUP(B17,'отчет 1'!$H$2:$H$23,'отчет 1'!$D$2:$D$23),"Нет данных")</f>
        <v>Нет данных</v>
      </c>
      <c r="I17" s="13" t="str">
        <f>IFERROR(_xlfn.XLOOKUP(B17,'отчет 1'!$H$2:$H$23,'отчет 1'!$F$2:$F$23), "Нет данных")</f>
        <v>Нет данных</v>
      </c>
      <c r="J17" s="13" t="str">
        <f>IFERROR(_xlfn.XLOOKUP(задание!B17,'отчет 1'!$H$2:$H$23,'отчет 1'!$G$2:$G$23), "Нет данных")</f>
        <v>Нет данных</v>
      </c>
      <c r="K17" s="14">
        <f ca="1">IFERROR(TODAY() - J17,  TODAY() - 'отчет 2'!J12)</f>
        <v>427.01041666666424</v>
      </c>
      <c r="L17" s="19">
        <f>IFERROR(_xlfn.NUMBERVALUE(_xlfn.XLOOKUP(B17, 'отчет 2'!$A$2:$A$40, 'отчет 2'!$K$2:$K$40)), "Нет данных")</f>
        <v>4700</v>
      </c>
    </row>
    <row r="18" spans="1:12" x14ac:dyDescent="0.25">
      <c r="A18" s="10">
        <v>12</v>
      </c>
      <c r="B18" s="13">
        <v>2674</v>
      </c>
      <c r="C18" s="13">
        <f>_xlfn.XLOOKUP(B18,'отчет 2'!A13:A51,'отчет 2'!B13:B51)</f>
        <v>7999</v>
      </c>
      <c r="D18" s="13" t="str">
        <f>VLOOKUP(B18,'отчет 2'!A13:K51,5,FALSE)</f>
        <v>Вологда</v>
      </c>
      <c r="E18" s="14">
        <f>IFERROR(_xlfn.XLOOKUP(B18,'отчет 1'!$H$2:$H$23,'отчет 1'!$C$2:$C$23),_xlfn.XLOOKUP(B18,'отчет 2'!A13:A51,'отчет 2'!F13:F51))</f>
        <v>44973.69599537037</v>
      </c>
      <c r="F18" s="13">
        <f>_xlfn.XLOOKUP(B18,'отчет 2'!A13:A51,'отчет 2'!H13:H51)</f>
        <v>20000</v>
      </c>
      <c r="G18" s="13" t="str">
        <f>_xlfn.XLOOKUP(B18,'отчет 2'!A13:A51,'отчет 2'!I13:I51)</f>
        <v>COLLECTOR</v>
      </c>
      <c r="H18" s="20" t="str">
        <f>IFERROR(_xlfn.XLOOKUP(B18,'отчет 1'!$H$2:$H$23,'отчет 1'!$D$2:$D$23),"Нет данных")</f>
        <v>Нет данных</v>
      </c>
      <c r="I18" s="13" t="str">
        <f>IFERROR(_xlfn.XLOOKUP(B18,'отчет 1'!$H$2:$H$23,'отчет 1'!$F$2:$F$23), "Нет данных")</f>
        <v>Нет данных</v>
      </c>
      <c r="J18" s="13" t="str">
        <f>IFERROR(_xlfn.XLOOKUP(задание!B18,'отчет 1'!$H$2:$H$23,'отчет 1'!$G$2:$G$23), "Нет данных")</f>
        <v>Нет данных</v>
      </c>
      <c r="K18" s="14">
        <f ca="1">IFERROR(TODAY() - J18,  TODAY() - 'отчет 2'!J13)</f>
        <v>399.20085648148233</v>
      </c>
      <c r="L18" s="19">
        <f>IFERROR(_xlfn.NUMBERVALUE(_xlfn.XLOOKUP(B18, 'отчет 2'!$A$2:$A$40, 'отчет 2'!$K$2:$K$40)), "Нет данных")</f>
        <v>1584.96</v>
      </c>
    </row>
    <row r="19" spans="1:12" x14ac:dyDescent="0.25">
      <c r="A19" s="10">
        <v>13</v>
      </c>
      <c r="B19" s="13">
        <v>2952</v>
      </c>
      <c r="C19" s="13">
        <f>_xlfn.XLOOKUP(B19,'отчет 2'!A14:A52,'отчет 2'!B14:B52)</f>
        <v>8833</v>
      </c>
      <c r="D19" s="13" t="str">
        <f>VLOOKUP(B19,'отчет 2'!A14:K52,5,FALSE)</f>
        <v>Рязань</v>
      </c>
      <c r="E19" s="14">
        <f>IFERROR(_xlfn.XLOOKUP(B19,'отчет 1'!$H$2:$H$23,'отчет 1'!$C$2:$C$23),_xlfn.XLOOKUP(B19,'отчет 2'!A14:A52,'отчет 2'!F14:F52))</f>
        <v>44984.836261574077</v>
      </c>
      <c r="F19" s="13">
        <f>_xlfn.XLOOKUP(B19,'отчет 2'!A14:A52,'отчет 2'!H14:H52)</f>
        <v>20000</v>
      </c>
      <c r="G19" s="13" t="str">
        <f>_xlfn.XLOOKUP(B19,'отчет 2'!A14:A52,'отчет 2'!I14:I52)</f>
        <v>COLLECTOR</v>
      </c>
      <c r="H19" s="20" t="str">
        <f>IFERROR(_xlfn.XLOOKUP(B19,'отчет 1'!$H$2:$H$23,'отчет 1'!$D$2:$D$23),"Нет данных")</f>
        <v>Нет данных</v>
      </c>
      <c r="I19" s="13" t="str">
        <f>IFERROR(_xlfn.XLOOKUP(B19,'отчет 1'!$H$2:$H$23,'отчет 1'!$F$2:$F$23), "Нет данных")</f>
        <v>Нет данных</v>
      </c>
      <c r="J19" s="13" t="str">
        <f>IFERROR(_xlfn.XLOOKUP(задание!B19,'отчет 1'!$H$2:$H$23,'отчет 1'!$G$2:$G$23), "Нет данных")</f>
        <v>Нет данных</v>
      </c>
      <c r="K19" s="14">
        <f ca="1">IFERROR(TODAY() - J19,  TODAY() - 'отчет 2'!J14)</f>
        <v>70.350960648145701</v>
      </c>
      <c r="L19" s="19">
        <f>IFERROR(_xlfn.NUMBERVALUE(_xlfn.XLOOKUP(B19, 'отчет 2'!$A$2:$A$40, 'отчет 2'!$K$2:$K$40)), "Нет данных")</f>
        <v>10868.3</v>
      </c>
    </row>
    <row r="20" spans="1:12" x14ac:dyDescent="0.25">
      <c r="A20" s="10">
        <v>14</v>
      </c>
      <c r="B20" s="13">
        <v>3211</v>
      </c>
      <c r="C20" s="13">
        <f>_xlfn.XLOOKUP(B20,'отчет 2'!A15:A53,'отчет 2'!B15:B53)</f>
        <v>9610</v>
      </c>
      <c r="D20" s="13" t="str">
        <f>VLOOKUP(B20,'отчет 2'!A15:K53,5,FALSE)</f>
        <v>Белгород</v>
      </c>
      <c r="E20" s="14">
        <f>IFERROR(_xlfn.XLOOKUP(B20,'отчет 1'!$H$2:$H$23,'отчет 1'!$C$2:$C$23),_xlfn.XLOOKUP(B20,'отчет 2'!A15:A53,'отчет 2'!F15:F53))</f>
        <v>44995</v>
      </c>
      <c r="F20" s="13">
        <f>_xlfn.XLOOKUP(B20,'отчет 2'!A15:A53,'отчет 2'!H15:H53)</f>
        <v>30000</v>
      </c>
      <c r="G20" s="13" t="str">
        <f>_xlfn.XLOOKUP(B20,'отчет 2'!A15:A53,'отчет 2'!I15:I53)</f>
        <v>COLLECTOR</v>
      </c>
      <c r="H20" s="20">
        <f>IFERROR(_xlfn.XLOOKUP(B20,'отчет 1'!$H$2:$H$23,'отчет 1'!$D$2:$D$23),"Нет данных")</f>
        <v>30000</v>
      </c>
      <c r="I20" s="13">
        <f>IFERROR(_xlfn.XLOOKUP(B20,'отчет 1'!$H$2:$H$23,'отчет 1'!$F$2:$F$23), "Нет данных")</f>
        <v>19657.32</v>
      </c>
      <c r="J20" s="13">
        <f>IFERROR(_xlfn.XLOOKUP(задание!B20,'отчет 1'!$H$2:$H$23,'отчет 1'!$G$2:$G$23), "Нет данных")</f>
        <v>573</v>
      </c>
      <c r="K20" s="14">
        <f ca="1">IFERROR(TODAY() - J20,  TODAY() - 'отчет 2'!J15)</f>
        <v>45141</v>
      </c>
      <c r="L20" s="19">
        <f>IFERROR(_xlfn.NUMBERVALUE(_xlfn.XLOOKUP(B20, 'отчет 2'!$A$2:$A$40, 'отчет 2'!$K$2:$K$40)), "Нет данных")</f>
        <v>4250</v>
      </c>
    </row>
    <row r="21" spans="1:12" x14ac:dyDescent="0.25">
      <c r="A21" s="10">
        <v>15</v>
      </c>
      <c r="B21" s="13">
        <v>3512</v>
      </c>
      <c r="C21" s="13">
        <f>_xlfn.XLOOKUP(B21,'отчет 2'!A16:A54,'отчет 2'!B16:B54)</f>
        <v>10509</v>
      </c>
      <c r="D21" s="13" t="str">
        <f>VLOOKUP(B21,'отчет 2'!A16:K54,5,FALSE)</f>
        <v>Астрахань</v>
      </c>
      <c r="E21" s="14">
        <f>IFERROR(_xlfn.XLOOKUP(B21,'отчет 1'!$H$2:$H$23,'отчет 1'!$C$2:$C$23),_xlfn.XLOOKUP(B21,'отчет 2'!A16:A54,'отчет 2'!F16:F54))</f>
        <v>45006</v>
      </c>
      <c r="F21" s="13">
        <f>_xlfn.XLOOKUP(B21,'отчет 2'!A16:A54,'отчет 2'!H16:H54)</f>
        <v>30000</v>
      </c>
      <c r="G21" s="13" t="str">
        <f>_xlfn.XLOOKUP(B21,'отчет 2'!A16:A54,'отчет 2'!I16:I54)</f>
        <v>COLLECTOR</v>
      </c>
      <c r="H21" s="20">
        <f>IFERROR(_xlfn.XLOOKUP(B21,'отчет 1'!$H$2:$H$23,'отчет 1'!$D$2:$D$23),"Нет данных")</f>
        <v>30000</v>
      </c>
      <c r="I21" s="13">
        <f>IFERROR(_xlfn.XLOOKUP(B21,'отчет 1'!$H$2:$H$23,'отчет 1'!$F$2:$F$23), "Нет данных")</f>
        <v>21091.66</v>
      </c>
      <c r="J21" s="13">
        <f>IFERROR(_xlfn.XLOOKUP(задание!B21,'отчет 1'!$H$2:$H$23,'отчет 1'!$G$2:$G$23), "Нет данных")</f>
        <v>569</v>
      </c>
      <c r="K21" s="14">
        <f ca="1">IFERROR(TODAY() - J21,  TODAY() - 'отчет 2'!J16)</f>
        <v>45145</v>
      </c>
      <c r="L21" s="19">
        <f>IFERROR(_xlfn.NUMBERVALUE(_xlfn.XLOOKUP(B21, 'отчет 2'!$A$2:$A$40, 'отчет 2'!$K$2:$K$40)), "Нет данных")</f>
        <v>1100</v>
      </c>
    </row>
    <row r="22" spans="1:12" x14ac:dyDescent="0.25">
      <c r="A22" s="10">
        <v>16</v>
      </c>
      <c r="B22" s="13">
        <v>3547</v>
      </c>
      <c r="C22" s="13">
        <f>_xlfn.XLOOKUP(B22,'отчет 2'!A17:A55,'отчет 2'!B17:B55)</f>
        <v>10614</v>
      </c>
      <c r="D22" s="13" t="str">
        <f>VLOOKUP(B22,'отчет 2'!A17:K55,5,FALSE)</f>
        <v>Электросталь</v>
      </c>
      <c r="E22" s="14">
        <f>IFERROR(_xlfn.XLOOKUP(B22,'отчет 1'!$H$2:$H$23,'отчет 1'!$C$2:$C$23),_xlfn.XLOOKUP(B22,'отчет 2'!A17:A55,'отчет 2'!F17:F55))</f>
        <v>45008</v>
      </c>
      <c r="F22" s="13">
        <f>_xlfn.XLOOKUP(B22,'отчет 2'!A17:A55,'отчет 2'!H17:H55)</f>
        <v>60000</v>
      </c>
      <c r="G22" s="13" t="str">
        <f>_xlfn.XLOOKUP(B22,'отчет 2'!A17:A55,'отчет 2'!I17:I55)</f>
        <v>COLLECTOR</v>
      </c>
      <c r="H22" s="20">
        <f>IFERROR(_xlfn.XLOOKUP(B22,'отчет 1'!$H$2:$H$23,'отчет 1'!$D$2:$D$23),"Нет данных")</f>
        <v>60000</v>
      </c>
      <c r="I22" s="13">
        <f>IFERROR(_xlfn.XLOOKUP(B22,'отчет 1'!$H$2:$H$23,'отчет 1'!$F$2:$F$23), "Нет данных")</f>
        <v>23926.86</v>
      </c>
      <c r="J22" s="13">
        <f>IFERROR(_xlfn.XLOOKUP(задание!B22,'отчет 1'!$H$2:$H$23,'отчет 1'!$G$2:$G$23), "Нет данных")</f>
        <v>525</v>
      </c>
      <c r="K22" s="14">
        <f ca="1">IFERROR(TODAY() - J22,  TODAY() - 'отчет 2'!J17)</f>
        <v>45189</v>
      </c>
      <c r="L22" s="19">
        <f>IFERROR(_xlfn.NUMBERVALUE(_xlfn.XLOOKUP(B22, 'отчет 2'!$A$2:$A$40, 'отчет 2'!$K$2:$K$40)), "Нет данных")</f>
        <v>1775</v>
      </c>
    </row>
    <row r="23" spans="1:12" x14ac:dyDescent="0.25">
      <c r="A23" s="10">
        <v>17</v>
      </c>
      <c r="B23" s="13">
        <v>6081</v>
      </c>
      <c r="C23" s="13">
        <f>_xlfn.XLOOKUP(B23,'отчет 2'!A18:A56,'отчет 2'!B18:B56)</f>
        <v>18155</v>
      </c>
      <c r="D23" s="13" t="str">
        <f>VLOOKUP(B23,'отчет 2'!A18:K56,5,FALSE)</f>
        <v>Онлайн</v>
      </c>
      <c r="E23" s="14">
        <f>IFERROR(_xlfn.XLOOKUP(B23,'отчет 1'!$H$2:$H$23,'отчет 1'!$C$2:$C$23),_xlfn.XLOOKUP(B23,'отчет 2'!A18:A56,'отчет 2'!F18:F56))</f>
        <v>45095</v>
      </c>
      <c r="F23" s="13">
        <f>_xlfn.XLOOKUP(B23,'отчет 2'!A18:A56,'отчет 2'!H18:H56)</f>
        <v>9500</v>
      </c>
      <c r="G23" s="13" t="str">
        <f>_xlfn.XLOOKUP(B23,'отчет 2'!A18:A56,'отчет 2'!I18:I56)</f>
        <v>COLLECTOR</v>
      </c>
      <c r="H23" s="20">
        <f>IFERROR(_xlfn.XLOOKUP(B23,'отчет 1'!$H$2:$H$23,'отчет 1'!$D$2:$D$23),"Нет данных")</f>
        <v>9500</v>
      </c>
      <c r="I23" s="13">
        <f>IFERROR(_xlfn.XLOOKUP(B23,'отчет 1'!$H$2:$H$23,'отчет 1'!$F$2:$F$23), "Нет данных")</f>
        <v>5157.97</v>
      </c>
      <c r="J23" s="13">
        <f>IFERROR(_xlfn.XLOOKUP(задание!B23,'отчет 1'!$H$2:$H$23,'отчет 1'!$G$2:$G$23), "Нет данных")</f>
        <v>578</v>
      </c>
      <c r="K23" s="14">
        <f ca="1">IFERROR(TODAY() - J23,  TODAY() - 'отчет 2'!J18)</f>
        <v>45136</v>
      </c>
      <c r="L23" s="19" t="str">
        <f>IFERROR(_xlfn.NUMBERVALUE(_xlfn.XLOOKUP(B23, 'отчет 2'!$A$2:$A$40, 'отчет 2'!$K$2:$K$40)), "Нет данных")</f>
        <v>Нет данных</v>
      </c>
    </row>
    <row r="24" spans="1:12" x14ac:dyDescent="0.25">
      <c r="A24" s="10">
        <v>18</v>
      </c>
      <c r="B24" s="13">
        <v>7524</v>
      </c>
      <c r="C24" s="13">
        <f>_xlfn.XLOOKUP(B24,'отчет 2'!A19:A57,'отчет 2'!B19:B57)</f>
        <v>22472</v>
      </c>
      <c r="D24" s="13" t="str">
        <f>VLOOKUP(B24,'отчет 2'!A19:K57,5,FALSE)</f>
        <v>Онлайн</v>
      </c>
      <c r="E24" s="14">
        <f>IFERROR(_xlfn.XLOOKUP(B24,'отчет 1'!$H$2:$H$23,'отчет 1'!$C$2:$C$23),_xlfn.XLOOKUP(B24,'отчет 2'!A19:A57,'отчет 2'!F19:F57))</f>
        <v>45112</v>
      </c>
      <c r="F24" s="13">
        <f>_xlfn.XLOOKUP(B24,'отчет 2'!A19:A57,'отчет 2'!H19:H57)</f>
        <v>9500</v>
      </c>
      <c r="G24" s="13" t="str">
        <f>_xlfn.XLOOKUP(B24,'отчет 2'!A19:A57,'отчет 2'!I19:I57)</f>
        <v>COLLECTOR</v>
      </c>
      <c r="H24" s="20">
        <f>IFERROR(_xlfn.XLOOKUP(B24,'отчет 1'!$H$2:$H$23,'отчет 1'!$D$2:$D$23),"Нет данных")</f>
        <v>9500</v>
      </c>
      <c r="I24" s="13">
        <f>IFERROR(_xlfn.XLOOKUP(B24,'отчет 1'!$H$2:$H$23,'отчет 1'!$F$2:$F$23), "Нет данных")</f>
        <v>4051.18</v>
      </c>
      <c r="J24" s="13">
        <f>IFERROR(_xlfn.XLOOKUP(задание!B24,'отчет 1'!$H$2:$H$23,'отчет 1'!$G$2:$G$23), "Нет данных")</f>
        <v>561</v>
      </c>
      <c r="K24" s="14">
        <f ca="1">IFERROR(TODAY() - J24,  TODAY() - 'отчет 2'!J19)</f>
        <v>45153</v>
      </c>
      <c r="L24" s="19" t="str">
        <f>IFERROR(_xlfn.NUMBERVALUE(_xlfn.XLOOKUP(B24, 'отчет 2'!$A$2:$A$40, 'отчет 2'!$K$2:$K$40)), "Нет данных")</f>
        <v>Нет данных</v>
      </c>
    </row>
    <row r="25" spans="1:12" x14ac:dyDescent="0.25">
      <c r="A25" s="10">
        <v>19</v>
      </c>
      <c r="B25" s="13">
        <v>12728</v>
      </c>
      <c r="C25" s="13">
        <f>_xlfn.XLOOKUP(B25,'отчет 2'!A20:A58,'отчет 2'!B20:B58)</f>
        <v>38081</v>
      </c>
      <c r="D25" s="13" t="str">
        <f>VLOOKUP(B25,'отчет 2'!A20:K58,5,FALSE)</f>
        <v>Онлайн</v>
      </c>
      <c r="E25" s="14">
        <f>IFERROR(_xlfn.XLOOKUP(B25,'отчет 1'!$H$2:$H$23,'отчет 1'!$C$2:$C$23),_xlfn.XLOOKUP(B25,'отчет 2'!A20:A58,'отчет 2'!F20:F58))</f>
        <v>45164</v>
      </c>
      <c r="F25" s="13">
        <f>_xlfn.XLOOKUP(B25,'отчет 2'!A20:A58,'отчет 2'!H20:H58)</f>
        <v>9900</v>
      </c>
      <c r="G25" s="13" t="str">
        <f>_xlfn.XLOOKUP(B25,'отчет 2'!A20:A58,'отчет 2'!I20:I58)</f>
        <v>COLLECTOR</v>
      </c>
      <c r="H25" s="20">
        <f>IFERROR(_xlfn.XLOOKUP(B25,'отчет 1'!$H$2:$H$23,'отчет 1'!$D$2:$D$23),"Нет данных")</f>
        <v>9900</v>
      </c>
      <c r="I25" s="13">
        <f>IFERROR(_xlfn.XLOOKUP(B25,'отчет 1'!$H$2:$H$23,'отчет 1'!$F$2:$F$23), "Нет данных")</f>
        <v>3112.94</v>
      </c>
      <c r="J25" s="13">
        <f>IFERROR(_xlfn.XLOOKUP(задание!B25,'отчет 1'!$H$2:$H$23,'отчет 1'!$G$2:$G$23), "Нет данных")</f>
        <v>495</v>
      </c>
      <c r="K25" s="14">
        <f ca="1">IFERROR(TODAY() - J25,  TODAY() - 'отчет 2'!J20)</f>
        <v>45219</v>
      </c>
      <c r="L25" s="19">
        <f>IFERROR(_xlfn.NUMBERVALUE(_xlfn.XLOOKUP(B25, 'отчет 2'!$A$2:$A$40, 'отчет 2'!$K$2:$K$40)), "Нет данных")</f>
        <v>2353.63</v>
      </c>
    </row>
    <row r="26" spans="1:12" x14ac:dyDescent="0.25">
      <c r="A26" s="10">
        <v>20</v>
      </c>
      <c r="B26" s="13">
        <v>36943</v>
      </c>
      <c r="C26" s="13">
        <f>_xlfn.XLOOKUP(B26,'отчет 2'!A21:A59,'отчет 2'!B21:B59)</f>
        <v>107766</v>
      </c>
      <c r="D26" s="13" t="str">
        <f>VLOOKUP(B26,'отчет 2'!A21:K59,5,FALSE)</f>
        <v>Онлайн</v>
      </c>
      <c r="E26" s="14">
        <f>IFERROR(_xlfn.XLOOKUP(B26,'отчет 1'!$H$2:$H$23,'отчет 1'!$C$2:$C$23),_xlfn.XLOOKUP(B26,'отчет 2'!A21:A59,'отчет 2'!F21:F59))</f>
        <v>45302.970243055555</v>
      </c>
      <c r="F26" s="13">
        <f>_xlfn.XLOOKUP(B26,'отчет 2'!A21:A59,'отчет 2'!H21:H59)</f>
        <v>9900</v>
      </c>
      <c r="G26" s="13" t="str">
        <f>_xlfn.XLOOKUP(B26,'отчет 2'!A21:A59,'отчет 2'!I21:I59)</f>
        <v>SOLD</v>
      </c>
      <c r="H26" s="20" t="str">
        <f>IFERROR(_xlfn.XLOOKUP(B26,'отчет 1'!$H$2:$H$23,'отчет 1'!$D$2:$D$23),"Нет данных")</f>
        <v>Нет данных</v>
      </c>
      <c r="I26" s="13" t="str">
        <f>IFERROR(_xlfn.XLOOKUP(B26,'отчет 1'!$H$2:$H$23,'отчет 1'!$F$2:$F$23), "Нет данных")</f>
        <v>Нет данных</v>
      </c>
      <c r="J26" s="13" t="str">
        <f>IFERROR(_xlfn.XLOOKUP(задание!B26,'отчет 1'!$H$2:$H$23,'отчет 1'!$G$2:$G$23), "Нет данных")</f>
        <v>Нет данных</v>
      </c>
      <c r="K26" s="14">
        <f ca="1">IFERROR(TODAY() - J26,  TODAY() - 'отчет 2'!J21)</f>
        <v>533.61407407407387</v>
      </c>
      <c r="L26" s="19">
        <f>IFERROR(_xlfn.NUMBERVALUE(_xlfn.XLOOKUP(B26, 'отчет 2'!$A$2:$A$40, 'отчет 2'!$K$2:$K$40)), "Нет данных")</f>
        <v>2340</v>
      </c>
    </row>
    <row r="27" spans="1:12" x14ac:dyDescent="0.25">
      <c r="A27" s="10">
        <v>21</v>
      </c>
      <c r="B27" s="13">
        <v>37392</v>
      </c>
      <c r="C27" s="13">
        <f>_xlfn.XLOOKUP(B27,'отчет 2'!A22:A60,'отчет 2'!B22:B60)</f>
        <v>109111</v>
      </c>
      <c r="D27" s="13" t="str">
        <f>VLOOKUP(B27,'отчет 2'!A22:K60,5,FALSE)</f>
        <v>Онлайн</v>
      </c>
      <c r="E27" s="14">
        <f>IFERROR(_xlfn.XLOOKUP(B27,'отчет 1'!$H$2:$H$23,'отчет 1'!$C$2:$C$23),_xlfn.XLOOKUP(B27,'отчет 2'!A22:A60,'отчет 2'!F22:F60))</f>
        <v>45305.345254629632</v>
      </c>
      <c r="F27" s="13">
        <f>_xlfn.XLOOKUP(B27,'отчет 2'!A22:A60,'отчет 2'!H22:H60)</f>
        <v>9900</v>
      </c>
      <c r="G27" s="13" t="str">
        <f>_xlfn.XLOOKUP(B27,'отчет 2'!A22:A60,'отчет 2'!I22:I60)</f>
        <v>SOLD</v>
      </c>
      <c r="H27" s="20" t="str">
        <f>IFERROR(_xlfn.XLOOKUP(B27,'отчет 1'!$H$2:$H$23,'отчет 1'!$D$2:$D$23),"Нет данных")</f>
        <v>Нет данных</v>
      </c>
      <c r="I27" s="13" t="str">
        <f>IFERROR(_xlfn.XLOOKUP(B27,'отчет 1'!$H$2:$H$23,'отчет 1'!$F$2:$F$23), "Нет данных")</f>
        <v>Нет данных</v>
      </c>
      <c r="J27" s="13" t="str">
        <f>IFERROR(_xlfn.XLOOKUP(задание!B27,'отчет 1'!$H$2:$H$23,'отчет 1'!$G$2:$G$23), "Нет данных")</f>
        <v>Нет данных</v>
      </c>
      <c r="K27" s="14">
        <f ca="1">IFERROR(TODAY() - J27,  TODAY() - 'отчет 2'!J22)</f>
        <v>685.14736111111415</v>
      </c>
      <c r="L27" s="19">
        <f>IFERROR(_xlfn.NUMBERVALUE(_xlfn.XLOOKUP(B27, 'отчет 2'!$A$2:$A$40, 'отчет 2'!$K$2:$K$40)), "Нет данных")</f>
        <v>2353.63</v>
      </c>
    </row>
    <row r="28" spans="1:12" x14ac:dyDescent="0.25">
      <c r="A28" s="10">
        <v>22</v>
      </c>
      <c r="B28" s="13">
        <v>68701</v>
      </c>
      <c r="C28" s="13">
        <f>_xlfn.XLOOKUP(B28,'отчет 2'!A23:A61,'отчет 2'!B23:B61)</f>
        <v>203029</v>
      </c>
      <c r="D28" s="13" t="str">
        <f>VLOOKUP(B28,'отчет 2'!A23:K61,5,FALSE)</f>
        <v>Онлайн</v>
      </c>
      <c r="E28" s="14">
        <f>IFERROR(_xlfn.XLOOKUP(B28,'отчет 1'!$H$2:$H$23,'отчет 1'!$C$2:$C$23),_xlfn.XLOOKUP(B28,'отчет 2'!A23:A61,'отчет 2'!F23:F61))</f>
        <v>45457</v>
      </c>
      <c r="F28" s="13">
        <f>_xlfn.XLOOKUP(B28,'отчет 2'!A23:A61,'отчет 2'!H23:H61)</f>
        <v>9900</v>
      </c>
      <c r="G28" s="13" t="str">
        <f>_xlfn.XLOOKUP(B28,'отчет 2'!A23:A61,'отчет 2'!I23:I61)</f>
        <v>DELINQUENT</v>
      </c>
      <c r="H28" s="20">
        <f>IFERROR(_xlfn.XLOOKUP(B28,'отчет 1'!$H$2:$H$23,'отчет 1'!$D$2:$D$23),"Нет данных")</f>
        <v>9900</v>
      </c>
      <c r="I28" s="13">
        <f>IFERROR(_xlfn.XLOOKUP(B28,'отчет 1'!$H$2:$H$23,'отчет 1'!$F$2:$F$23), "Нет данных")</f>
        <v>4166.08</v>
      </c>
      <c r="J28" s="13">
        <f>IFERROR(_xlfn.XLOOKUP(задание!B28,'отчет 1'!$H$2:$H$23,'отчет 1'!$G$2:$G$23), "Нет данных")</f>
        <v>216</v>
      </c>
      <c r="K28" s="14">
        <f ca="1">IFERROR(TODAY() - J28,  TODAY() - 'отчет 2'!J23)</f>
        <v>45498</v>
      </c>
      <c r="L28" s="19">
        <f>IFERROR(_xlfn.NUMBERVALUE(_xlfn.XLOOKUP(B28, 'отчет 2'!$A$2:$A$40, 'отчет 2'!$K$2:$K$40)), "Нет данных")</f>
        <v>50</v>
      </c>
    </row>
    <row r="29" spans="1:12" x14ac:dyDescent="0.25">
      <c r="A29" s="10">
        <v>23</v>
      </c>
      <c r="B29" s="13">
        <v>70431</v>
      </c>
      <c r="C29" s="13">
        <f>_xlfn.XLOOKUP(B29,'отчет 2'!A24:A62,'отчет 2'!B24:B62)</f>
        <v>208219</v>
      </c>
      <c r="D29" s="13" t="str">
        <f>VLOOKUP(B29,'отчет 2'!A24:K62,5,FALSE)</f>
        <v>Онлайн</v>
      </c>
      <c r="E29" s="14">
        <f>IFERROR(_xlfn.XLOOKUP(B29,'отчет 1'!$H$2:$H$23,'отчет 1'!$C$2:$C$23),_xlfn.XLOOKUP(B29,'отчет 2'!A24:A62,'отчет 2'!F24:F62))</f>
        <v>45465</v>
      </c>
      <c r="F29" s="13">
        <f>_xlfn.XLOOKUP(B29,'отчет 2'!A24:A62,'отчет 2'!H24:H62)</f>
        <v>6000</v>
      </c>
      <c r="G29" s="13" t="str">
        <f>_xlfn.XLOOKUP(B29,'отчет 2'!A24:A62,'отчет 2'!I24:I62)</f>
        <v>ACTIVE_SB</v>
      </c>
      <c r="H29" s="20">
        <f>IFERROR(_xlfn.XLOOKUP(B29,'отчет 1'!$H$2:$H$23,'отчет 1'!$D$2:$D$23),"Нет данных")</f>
        <v>6000</v>
      </c>
      <c r="I29" s="13">
        <f>IFERROR(_xlfn.XLOOKUP(B29,'отчет 1'!$H$2:$H$23,'отчет 1'!$F$2:$F$23), "Нет данных")</f>
        <v>2889.34</v>
      </c>
      <c r="J29" s="13">
        <f>IFERROR(_xlfn.XLOOKUP(задание!B29,'отчет 1'!$H$2:$H$23,'отчет 1'!$G$2:$G$23), "Нет данных")</f>
        <v>208</v>
      </c>
      <c r="K29" s="14">
        <f ca="1">IFERROR(TODAY() - J29,  TODAY() - 'отчет 2'!J24)</f>
        <v>45506</v>
      </c>
      <c r="L29" s="19">
        <f>IFERROR(_xlfn.NUMBERVALUE(_xlfn.XLOOKUP(B29, 'отчет 2'!$A$2:$A$40, 'отчет 2'!$K$2:$K$40)), "Нет данных")</f>
        <v>500</v>
      </c>
    </row>
    <row r="30" spans="1:12" x14ac:dyDescent="0.25">
      <c r="A30" s="10"/>
      <c r="B30" s="10"/>
      <c r="C30" s="10"/>
      <c r="D30" s="10"/>
      <c r="E30" s="12"/>
      <c r="F30" s="10"/>
      <c r="G30" s="10"/>
      <c r="H30" s="13"/>
      <c r="I30" s="13"/>
      <c r="J30" s="13"/>
      <c r="K30" s="14"/>
      <c r="L30" s="10"/>
    </row>
    <row r="31" spans="1:12" x14ac:dyDescent="0.25">
      <c r="A31" s="10"/>
      <c r="B31" s="10"/>
      <c r="C31" s="10"/>
      <c r="D31" s="10"/>
      <c r="E31" s="12"/>
      <c r="F31" s="10"/>
      <c r="G31" s="10"/>
      <c r="H31" s="13"/>
      <c r="I31" s="13"/>
      <c r="J31" s="13"/>
      <c r="K31" s="14"/>
      <c r="L31" s="10"/>
    </row>
    <row r="32" spans="1:12" x14ac:dyDescent="0.25">
      <c r="A32" s="10"/>
      <c r="B32" s="10"/>
      <c r="C32" s="10"/>
      <c r="D32" s="10"/>
      <c r="E32" s="12"/>
      <c r="F32" s="10"/>
      <c r="G32" s="10"/>
      <c r="H32" s="13"/>
      <c r="I32" s="13"/>
      <c r="J32" s="13"/>
      <c r="K32" s="14"/>
      <c r="L32" s="10"/>
    </row>
    <row r="33" spans="2:11" x14ac:dyDescent="0.25">
      <c r="E33" s="7"/>
      <c r="H33" s="21"/>
      <c r="I33" s="21"/>
      <c r="J33" s="21"/>
      <c r="K33" s="22"/>
    </row>
    <row r="34" spans="2:11" x14ac:dyDescent="0.25">
      <c r="B34" t="s">
        <v>94</v>
      </c>
    </row>
    <row r="35" spans="2:11" x14ac:dyDescent="0.25">
      <c r="B35" t="s">
        <v>95</v>
      </c>
    </row>
    <row r="36" spans="2:11" x14ac:dyDescent="0.25">
      <c r="B36" t="s">
        <v>96</v>
      </c>
    </row>
    <row r="37" spans="2:11" x14ac:dyDescent="0.25">
      <c r="B37" t="s">
        <v>97</v>
      </c>
    </row>
    <row r="38" spans="2:11" x14ac:dyDescent="0.25">
      <c r="B38" t="s">
        <v>98</v>
      </c>
    </row>
    <row r="39" spans="2:11" x14ac:dyDescent="0.25">
      <c r="B39" t="s">
        <v>99</v>
      </c>
    </row>
    <row r="40" spans="2:11" x14ac:dyDescent="0.25">
      <c r="B40" s="8" t="s">
        <v>93</v>
      </c>
    </row>
    <row r="41" spans="2:11" x14ac:dyDescent="0.25">
      <c r="B41" s="8" t="s">
        <v>100</v>
      </c>
    </row>
    <row r="42" spans="2:11" x14ac:dyDescent="0.25">
      <c r="B42" s="8" t="s">
        <v>101</v>
      </c>
    </row>
    <row r="43" spans="2:11" x14ac:dyDescent="0.25">
      <c r="B43" s="8"/>
    </row>
    <row r="44" spans="2:11" x14ac:dyDescent="0.25">
      <c r="B44" s="8"/>
    </row>
    <row r="45" spans="2:11" x14ac:dyDescent="0.25">
      <c r="B45" s="8"/>
    </row>
    <row r="46" spans="2:11" x14ac:dyDescent="0.25">
      <c r="B4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2CC2-01E5-46CE-BD57-7398EA4EC16E}">
  <dimension ref="A2:C17"/>
  <sheetViews>
    <sheetView workbookViewId="0">
      <selection activeCell="C22" sqref="C22"/>
    </sheetView>
  </sheetViews>
  <sheetFormatPr defaultRowHeight="15.75" x14ac:dyDescent="0.25"/>
  <cols>
    <col min="1" max="1" width="16.5" bestFit="1" customWidth="1"/>
    <col min="2" max="2" width="20.875" bestFit="1" customWidth="1"/>
    <col min="3" max="3" width="22.875" bestFit="1" customWidth="1"/>
    <col min="4" max="4" width="6.875" bestFit="1" customWidth="1"/>
    <col min="5" max="12" width="5.875" bestFit="1" customWidth="1"/>
    <col min="13" max="13" width="11.125" bestFit="1" customWidth="1"/>
    <col min="14" max="19" width="4.875" bestFit="1" customWidth="1"/>
    <col min="20" max="24" width="5.875" bestFit="1" customWidth="1"/>
    <col min="25" max="25" width="11.125" bestFit="1" customWidth="1"/>
  </cols>
  <sheetData>
    <row r="2" spans="1:3" x14ac:dyDescent="0.25">
      <c r="A2" s="15" t="s">
        <v>77</v>
      </c>
      <c r="B2" t="s">
        <v>91</v>
      </c>
    </row>
    <row r="4" spans="1:3" x14ac:dyDescent="0.25">
      <c r="A4" s="15" t="s">
        <v>89</v>
      </c>
      <c r="B4" t="s">
        <v>90</v>
      </c>
      <c r="C4" t="s">
        <v>92</v>
      </c>
    </row>
    <row r="5" spans="1:3" x14ac:dyDescent="0.25">
      <c r="A5" s="16" t="s">
        <v>33</v>
      </c>
      <c r="B5" s="18">
        <v>1</v>
      </c>
      <c r="C5" s="17">
        <v>30000</v>
      </c>
    </row>
    <row r="6" spans="1:3" x14ac:dyDescent="0.25">
      <c r="A6" s="16" t="s">
        <v>23</v>
      </c>
      <c r="B6" s="18">
        <v>3</v>
      </c>
      <c r="C6" s="17">
        <v>95000</v>
      </c>
    </row>
    <row r="7" spans="1:3" x14ac:dyDescent="0.25">
      <c r="A7" s="16" t="s">
        <v>25</v>
      </c>
      <c r="B7" s="18">
        <v>1</v>
      </c>
      <c r="C7" s="17">
        <v>55000</v>
      </c>
    </row>
    <row r="8" spans="1:3" x14ac:dyDescent="0.25">
      <c r="A8" s="16" t="s">
        <v>32</v>
      </c>
      <c r="B8" s="18">
        <v>2</v>
      </c>
      <c r="C8" s="17">
        <v>50000</v>
      </c>
    </row>
    <row r="9" spans="1:3" x14ac:dyDescent="0.25">
      <c r="A9" s="16" t="s">
        <v>37</v>
      </c>
      <c r="B9" s="18">
        <v>2</v>
      </c>
      <c r="C9" s="17">
        <v>100000</v>
      </c>
    </row>
    <row r="10" spans="1:3" x14ac:dyDescent="0.25">
      <c r="A10" s="16" t="s">
        <v>34</v>
      </c>
      <c r="B10" s="18">
        <v>1</v>
      </c>
      <c r="C10" s="17">
        <v>20000</v>
      </c>
    </row>
    <row r="11" spans="1:3" x14ac:dyDescent="0.25">
      <c r="A11" s="16" t="s">
        <v>28</v>
      </c>
      <c r="B11" s="18">
        <v>7</v>
      </c>
      <c r="C11" s="17">
        <v>64600</v>
      </c>
    </row>
    <row r="12" spans="1:3" x14ac:dyDescent="0.25">
      <c r="A12" s="16" t="s">
        <v>30</v>
      </c>
      <c r="B12" s="18">
        <v>1</v>
      </c>
      <c r="C12" s="17">
        <v>20000</v>
      </c>
    </row>
    <row r="13" spans="1:3" x14ac:dyDescent="0.25">
      <c r="A13" s="16" t="s">
        <v>27</v>
      </c>
      <c r="B13" s="18">
        <v>1</v>
      </c>
      <c r="C13" s="17">
        <v>30000</v>
      </c>
    </row>
    <row r="14" spans="1:3" x14ac:dyDescent="0.25">
      <c r="A14" s="16" t="s">
        <v>31</v>
      </c>
      <c r="B14" s="18">
        <v>1</v>
      </c>
      <c r="C14" s="17">
        <v>20000</v>
      </c>
    </row>
    <row r="15" spans="1:3" x14ac:dyDescent="0.25">
      <c r="A15" s="16" t="s">
        <v>35</v>
      </c>
      <c r="B15" s="18">
        <v>1</v>
      </c>
      <c r="C15" s="17">
        <v>50000</v>
      </c>
    </row>
    <row r="16" spans="1:3" x14ac:dyDescent="0.25">
      <c r="A16" s="16" t="s">
        <v>20</v>
      </c>
      <c r="B16" s="18">
        <v>2</v>
      </c>
      <c r="C16" s="17">
        <v>100000</v>
      </c>
    </row>
    <row r="17" spans="1:3" x14ac:dyDescent="0.25">
      <c r="A17" s="16" t="s">
        <v>88</v>
      </c>
      <c r="B17" s="18">
        <v>23</v>
      </c>
      <c r="C17" s="17">
        <v>634600</v>
      </c>
    </row>
  </sheetData>
  <sortState xmlns:xlrd2="http://schemas.microsoft.com/office/spreadsheetml/2017/richdata2" columnSort="1" ref="A3:C16">
    <sortCondition ref="B3"/>
  </sortState>
  <conditionalFormatting pivot="1" sqref="C5:C16">
    <cfRule type="colorScale" priority="4">
      <colorScale>
        <cfvo type="min"/>
        <cfvo type="max"/>
        <color rgb="FFFF7128"/>
        <color rgb="FFFFEF9C"/>
      </colorScale>
    </cfRule>
  </conditionalFormatting>
  <conditionalFormatting pivot="1" sqref="C5:C16">
    <cfRule type="colorScale" priority="3">
      <colorScale>
        <cfvo type="min"/>
        <cfvo type="max"/>
        <color rgb="FF92D050"/>
        <color rgb="FFFF0000"/>
      </colorScale>
    </cfRule>
  </conditionalFormatting>
  <conditionalFormatting pivot="1" sqref="C5:C16">
    <cfRule type="colorScale" priority="2">
      <colorScale>
        <cfvo type="min"/>
        <cfvo type="max"/>
        <color rgb="FF92D050"/>
        <color rgb="FFFF3300"/>
      </colorScale>
    </cfRule>
  </conditionalFormatting>
  <conditionalFormatting pivot="1" sqref="B5:B1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{6EACD7B6-1FEE-47EF-AAF0-B9B296333DF4}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6EACD7B6-1FEE-47EF-AAF0-B9B296333D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B5:B16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цессия</vt:lpstr>
      <vt:lpstr>отчет 2</vt:lpstr>
      <vt:lpstr>отчет 1</vt:lpstr>
      <vt:lpstr>задание</vt:lpstr>
      <vt:lpstr>Сводная 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Нур Мам</cp:lastModifiedBy>
  <dcterms:created xsi:type="dcterms:W3CDTF">2025-01-30T07:35:02Z</dcterms:created>
  <dcterms:modified xsi:type="dcterms:W3CDTF">2025-02-26T09:16:41Z</dcterms:modified>
</cp:coreProperties>
</file>