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2620" windowHeight="13620" activeTab="4"/>
  </bookViews>
  <sheets>
    <sheet name="Исходные данные" sheetId="1" r:id="rId1"/>
    <sheet name="Денежные потоки" sheetId="2" r:id="rId2"/>
    <sheet name="Кредит" sheetId="3" r:id="rId3"/>
    <sheet name="анализ чувст.объем-15%" sheetId="4" r:id="rId4"/>
    <sheet name="анализ чувств. ставка диск" sheetId="5" r:id="rId5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5" l="1"/>
  <c r="J35" i="5"/>
  <c r="B28" i="5"/>
  <c r="B29" i="5" s="1"/>
  <c r="B27" i="5"/>
  <c r="G26" i="5"/>
  <c r="E16" i="5"/>
  <c r="D16" i="5"/>
  <c r="C16" i="5"/>
  <c r="C15" i="5"/>
  <c r="C13" i="5"/>
  <c r="D13" i="5" s="1"/>
  <c r="C12" i="5"/>
  <c r="E11" i="5"/>
  <c r="D11" i="5"/>
  <c r="C11" i="5"/>
  <c r="E10" i="5"/>
  <c r="E12" i="5" s="1"/>
  <c r="D10" i="5"/>
  <c r="D12" i="5" s="1"/>
  <c r="C10" i="5"/>
  <c r="G4" i="5"/>
  <c r="D15" i="5" s="1"/>
  <c r="C6" i="4"/>
  <c r="D6" i="4"/>
  <c r="D10" i="4" s="1"/>
  <c r="E6" i="4"/>
  <c r="E10" i="4" s="1"/>
  <c r="C7" i="4"/>
  <c r="C11" i="4" s="1"/>
  <c r="D7" i="4"/>
  <c r="E7" i="4"/>
  <c r="E11" i="4" s="1"/>
  <c r="D11" i="4"/>
  <c r="J31" i="4"/>
  <c r="J34" i="4" s="1"/>
  <c r="B27" i="4"/>
  <c r="B28" i="4" s="1"/>
  <c r="B29" i="4" s="1"/>
  <c r="G26" i="4"/>
  <c r="E16" i="4"/>
  <c r="D16" i="4"/>
  <c r="C16" i="4"/>
  <c r="C13" i="4"/>
  <c r="D13" i="4" s="1"/>
  <c r="G4" i="4"/>
  <c r="J34" i="2"/>
  <c r="J35" i="2"/>
  <c r="C32" i="2"/>
  <c r="D32" i="2"/>
  <c r="E32" i="2"/>
  <c r="B32" i="2"/>
  <c r="B33" i="2" s="1"/>
  <c r="B34" i="2" s="1"/>
  <c r="J31" i="2"/>
  <c r="B29" i="2"/>
  <c r="G26" i="2"/>
  <c r="B28" i="2"/>
  <c r="B27" i="2"/>
  <c r="E15" i="2"/>
  <c r="D15" i="2"/>
  <c r="H4" i="2"/>
  <c r="G4" i="2"/>
  <c r="D13" i="2"/>
  <c r="E13" i="2"/>
  <c r="D16" i="2"/>
  <c r="E16" i="2"/>
  <c r="C16" i="2"/>
  <c r="C15" i="2"/>
  <c r="C13" i="2"/>
  <c r="D12" i="2"/>
  <c r="E12" i="2"/>
  <c r="C12" i="2"/>
  <c r="D11" i="2"/>
  <c r="E11" i="2"/>
  <c r="C11" i="2"/>
  <c r="D10" i="2"/>
  <c r="E10" i="2"/>
  <c r="C10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D2" i="3"/>
  <c r="C2" i="3"/>
  <c r="E13" i="5" l="1"/>
  <c r="J34" i="5"/>
  <c r="H4" i="5"/>
  <c r="E15" i="5" s="1"/>
  <c r="E12" i="4"/>
  <c r="D12" i="4"/>
  <c r="C15" i="4"/>
  <c r="D15" i="4"/>
  <c r="C10" i="4"/>
  <c r="C12" i="4" s="1"/>
  <c r="E32" i="4"/>
  <c r="D32" i="4"/>
  <c r="C32" i="4"/>
  <c r="B32" i="4"/>
  <c r="B33" i="4" s="1"/>
  <c r="B34" i="4" s="1"/>
  <c r="E13" i="4"/>
  <c r="H4" i="4"/>
  <c r="E15" i="4" s="1"/>
  <c r="J35" i="4"/>
  <c r="B35" i="2"/>
  <c r="C38" i="3"/>
  <c r="E2" i="3"/>
  <c r="B15" i="1"/>
  <c r="D32" i="5" l="1"/>
  <c r="C32" i="5"/>
  <c r="B32" i="5"/>
  <c r="B33" i="5" s="1"/>
  <c r="B34" i="5" s="1"/>
  <c r="E32" i="5"/>
  <c r="B35" i="4"/>
  <c r="B3" i="3"/>
  <c r="B35" i="5" l="1"/>
  <c r="D3" i="3"/>
  <c r="E3" i="3" l="1"/>
  <c r="B4" i="3" l="1"/>
  <c r="D4" i="3" s="1"/>
  <c r="E4" i="3" l="1"/>
  <c r="B5" i="3" l="1"/>
  <c r="D5" i="3" s="1"/>
  <c r="E5" i="3" l="1"/>
  <c r="B6" i="3" l="1"/>
  <c r="D6" i="3" s="1"/>
  <c r="E6" i="3" s="1"/>
  <c r="B7" i="3" s="1"/>
  <c r="D7" i="3" s="1"/>
  <c r="E7" i="3" s="1"/>
  <c r="B8" i="3" s="1"/>
  <c r="D8" i="3" s="1"/>
  <c r="E8" i="3" s="1"/>
  <c r="B9" i="3" s="1"/>
  <c r="D9" i="3" s="1"/>
  <c r="E9" i="3" s="1"/>
  <c r="B10" i="3" s="1"/>
  <c r="D10" i="3" s="1"/>
  <c r="E10" i="3" s="1"/>
  <c r="B11" i="3" s="1"/>
  <c r="D11" i="3" s="1"/>
  <c r="E11" i="3" s="1"/>
  <c r="B12" i="3" s="1"/>
  <c r="D12" i="3" s="1"/>
  <c r="E12" i="3" s="1"/>
  <c r="B13" i="3" s="1"/>
  <c r="D13" i="3" s="1"/>
  <c r="E13" i="3" l="1"/>
  <c r="I4" i="3"/>
  <c r="C14" i="2" l="1"/>
  <c r="C17" i="2" s="1"/>
  <c r="C18" i="2" s="1"/>
  <c r="C19" i="2" s="1"/>
  <c r="C20" i="2" s="1"/>
  <c r="C21" i="2" s="1"/>
  <c r="C33" i="2" s="1"/>
  <c r="C34" i="2" s="1"/>
  <c r="C14" i="4"/>
  <c r="C17" i="4" s="1"/>
  <c r="C18" i="4" s="1"/>
  <c r="C19" i="4" s="1"/>
  <c r="C20" i="4" s="1"/>
  <c r="C21" i="4" s="1"/>
  <c r="C33" i="4" s="1"/>
  <c r="C34" i="4" s="1"/>
  <c r="C14" i="5"/>
  <c r="C17" i="5" s="1"/>
  <c r="C18" i="5" s="1"/>
  <c r="C19" i="5" s="1"/>
  <c r="C20" i="5" s="1"/>
  <c r="C21" i="5" s="1"/>
  <c r="C33" i="5" s="1"/>
  <c r="C34" i="5" s="1"/>
  <c r="B14" i="3"/>
  <c r="D14" i="3" s="1"/>
  <c r="J4" i="3"/>
  <c r="C35" i="5" l="1"/>
  <c r="C25" i="2"/>
  <c r="C25" i="4"/>
  <c r="C25" i="5"/>
  <c r="C27" i="5" s="1"/>
  <c r="C28" i="5" s="1"/>
  <c r="C29" i="5" s="1"/>
  <c r="E14" i="3"/>
  <c r="C35" i="4"/>
  <c r="C35" i="2"/>
  <c r="B15" i="3" l="1"/>
  <c r="D15" i="3" s="1"/>
  <c r="C27" i="2"/>
  <c r="C28" i="2" s="1"/>
  <c r="C29" i="2" s="1"/>
  <c r="C27" i="4"/>
  <c r="C28" i="4" s="1"/>
  <c r="C29" i="4" s="1"/>
  <c r="E15" i="3" l="1"/>
  <c r="B16" i="3" l="1"/>
  <c r="D16" i="3" s="1"/>
  <c r="E16" i="3" l="1"/>
  <c r="B17" i="3" l="1"/>
  <c r="D17" i="3" s="1"/>
  <c r="E17" i="3" l="1"/>
  <c r="B18" i="3" l="1"/>
  <c r="D18" i="3" s="1"/>
  <c r="E18" i="3" l="1"/>
  <c r="B19" i="3" l="1"/>
  <c r="D19" i="3" s="1"/>
  <c r="E19" i="3" s="1"/>
  <c r="B20" i="3" s="1"/>
  <c r="D20" i="3" s="1"/>
  <c r="E20" i="3" s="1"/>
  <c r="B21" i="3" s="1"/>
  <c r="D21" i="3" s="1"/>
  <c r="E21" i="3" s="1"/>
  <c r="B22" i="3" s="1"/>
  <c r="D22" i="3" s="1"/>
  <c r="E22" i="3" s="1"/>
  <c r="B23" i="3" s="1"/>
  <c r="D23" i="3" s="1"/>
  <c r="E23" i="3" s="1"/>
  <c r="B24" i="3" s="1"/>
  <c r="D24" i="3" s="1"/>
  <c r="E24" i="3" s="1"/>
  <c r="B25" i="3" s="1"/>
  <c r="D25" i="3" s="1"/>
  <c r="E25" i="3" l="1"/>
  <c r="I5" i="3"/>
  <c r="D14" i="4" l="1"/>
  <c r="D17" i="4" s="1"/>
  <c r="D18" i="4" s="1"/>
  <c r="D19" i="4" s="1"/>
  <c r="D20" i="4" s="1"/>
  <c r="D21" i="4" s="1"/>
  <c r="D33" i="4" s="1"/>
  <c r="D34" i="4" s="1"/>
  <c r="D14" i="2"/>
  <c r="D17" i="2" s="1"/>
  <c r="D18" i="2" s="1"/>
  <c r="D19" i="2" s="1"/>
  <c r="D20" i="2" s="1"/>
  <c r="D21" i="2" s="1"/>
  <c r="D33" i="2" s="1"/>
  <c r="D14" i="5"/>
  <c r="D17" i="5" s="1"/>
  <c r="D18" i="5" s="1"/>
  <c r="D19" i="5" s="1"/>
  <c r="D20" i="5" s="1"/>
  <c r="D21" i="5" s="1"/>
  <c r="D33" i="5" s="1"/>
  <c r="B26" i="3"/>
  <c r="D26" i="3" s="1"/>
  <c r="J5" i="3"/>
  <c r="E26" i="3" l="1"/>
  <c r="D34" i="5"/>
  <c r="B38" i="5"/>
  <c r="E38" i="5" s="1"/>
  <c r="D34" i="2"/>
  <c r="B38" i="2"/>
  <c r="E38" i="2" s="1"/>
  <c r="D25" i="2"/>
  <c r="D25" i="4"/>
  <c r="D25" i="5"/>
  <c r="D35" i="4"/>
  <c r="D27" i="2" l="1"/>
  <c r="D28" i="2" s="1"/>
  <c r="D29" i="2" s="1"/>
  <c r="D27" i="4"/>
  <c r="D28" i="4" s="1"/>
  <c r="D29" i="4" s="1"/>
  <c r="D35" i="2"/>
  <c r="D35" i="5"/>
  <c r="D27" i="5"/>
  <c r="D28" i="5" s="1"/>
  <c r="D29" i="5" s="1"/>
  <c r="B27" i="3"/>
  <c r="D27" i="3" s="1"/>
  <c r="E27" i="3" l="1"/>
  <c r="B28" i="3" l="1"/>
  <c r="D28" i="3" s="1"/>
  <c r="E28" i="3" l="1"/>
  <c r="B29" i="3" l="1"/>
  <c r="D29" i="3" s="1"/>
  <c r="E29" i="3" l="1"/>
  <c r="B30" i="3" l="1"/>
  <c r="D30" i="3" s="1"/>
  <c r="E30" i="3" l="1"/>
  <c r="B31" i="3" l="1"/>
  <c r="D31" i="3" s="1"/>
  <c r="E31" i="3" s="1"/>
  <c r="B32" i="3" s="1"/>
  <c r="D32" i="3" s="1"/>
  <c r="E32" i="3" s="1"/>
  <c r="B33" i="3" s="1"/>
  <c r="D33" i="3" s="1"/>
  <c r="E33" i="3" s="1"/>
  <c r="B34" i="3" s="1"/>
  <c r="D34" i="3" s="1"/>
  <c r="E34" i="3" s="1"/>
  <c r="B35" i="3" s="1"/>
  <c r="D35" i="3" s="1"/>
  <c r="E35" i="3" s="1"/>
  <c r="B36" i="3" s="1"/>
  <c r="D36" i="3" s="1"/>
  <c r="E36" i="3" s="1"/>
  <c r="B37" i="3" s="1"/>
  <c r="D37" i="3" s="1"/>
  <c r="I6" i="3" s="1"/>
  <c r="E14" i="4" l="1"/>
  <c r="E17" i="4" s="1"/>
  <c r="E18" i="4" s="1"/>
  <c r="E19" i="4" s="1"/>
  <c r="E20" i="4" s="1"/>
  <c r="E21" i="4" s="1"/>
  <c r="E33" i="4" s="1"/>
  <c r="E14" i="2"/>
  <c r="E17" i="2" s="1"/>
  <c r="E18" i="2" s="1"/>
  <c r="E19" i="2" s="1"/>
  <c r="E20" i="2" s="1"/>
  <c r="E21" i="2" s="1"/>
  <c r="E33" i="2" s="1"/>
  <c r="E34" i="2" s="1"/>
  <c r="E14" i="5"/>
  <c r="E17" i="5" s="1"/>
  <c r="E18" i="5" s="1"/>
  <c r="E19" i="5" s="1"/>
  <c r="E20" i="5" s="1"/>
  <c r="E21" i="5" s="1"/>
  <c r="E33" i="5" s="1"/>
  <c r="E34" i="5" s="1"/>
  <c r="I7" i="3"/>
  <c r="E37" i="3"/>
  <c r="J6" i="3" s="1"/>
  <c r="D38" i="3"/>
  <c r="B39" i="5" l="1"/>
  <c r="E35" i="5"/>
  <c r="B37" i="5" s="1"/>
  <c r="E35" i="2"/>
  <c r="B37" i="2" s="1"/>
  <c r="B39" i="2"/>
  <c r="E25" i="2"/>
  <c r="E25" i="4"/>
  <c r="E25" i="5"/>
  <c r="J7" i="3"/>
  <c r="E34" i="4"/>
  <c r="B38" i="4"/>
  <c r="E38" i="4" s="1"/>
  <c r="E38" i="3"/>
  <c r="B38" i="3"/>
  <c r="E27" i="5" l="1"/>
  <c r="E28" i="5" s="1"/>
  <c r="E29" i="5" s="1"/>
  <c r="G25" i="5"/>
  <c r="E27" i="2"/>
  <c r="E28" i="2" s="1"/>
  <c r="E29" i="2" s="1"/>
  <c r="G25" i="2"/>
  <c r="E27" i="4"/>
  <c r="E28" i="4" s="1"/>
  <c r="E29" i="4" s="1"/>
  <c r="G25" i="4"/>
  <c r="B39" i="4"/>
  <c r="E35" i="4"/>
  <c r="B37" i="4" s="1"/>
</calcChain>
</file>

<file path=xl/sharedStrings.xml><?xml version="1.0" encoding="utf-8"?>
<sst xmlns="http://schemas.openxmlformats.org/spreadsheetml/2006/main" count="165" uniqueCount="70">
  <si>
    <t>Затраты</t>
  </si>
  <si>
    <t>Сумма, р.</t>
  </si>
  <si>
    <t>Оборудование</t>
  </si>
  <si>
    <t>ИТОГО</t>
  </si>
  <si>
    <t>Наименование статьи</t>
  </si>
  <si>
    <t>Затраты в месяц, р.</t>
  </si>
  <si>
    <t>Заработная плата персонала с отчислениями</t>
  </si>
  <si>
    <t>Затраты на электроэнергию, отопление</t>
  </si>
  <si>
    <t>Амортизация оборудования</t>
  </si>
  <si>
    <t>Расходы на канцелярию, почту, транспорт</t>
  </si>
  <si>
    <t>Расходы на рекламу</t>
  </si>
  <si>
    <t>Итого:</t>
  </si>
  <si>
    <t>Постоянные затраты</t>
  </si>
  <si>
    <t>Планируется ежегодное увеличение затрат на 7 %.</t>
  </si>
  <si>
    <t>Показатель</t>
  </si>
  <si>
    <t>1 год</t>
  </si>
  <si>
    <t>2 год</t>
  </si>
  <si>
    <t>3 год</t>
  </si>
  <si>
    <t>1. Инвестиционная деятельность</t>
  </si>
  <si>
    <t>1.1Капиталовложения, р.</t>
  </si>
  <si>
    <t>1.2 Поток от инвестиционной деятельности, р.</t>
  </si>
  <si>
    <t>2. Операционная деятельность</t>
  </si>
  <si>
    <t>2.3 Цена единицы продукта 1, р.</t>
  </si>
  <si>
    <t>2.4 Цена единицы продукта 2, р.</t>
  </si>
  <si>
    <t>2.5 Выручка от продукта 1, р.</t>
  </si>
  <si>
    <t>2.6 Выручка от продукта 2, р.</t>
  </si>
  <si>
    <t>2.7 ИТОГО ВЫРУЧКА, р.</t>
  </si>
  <si>
    <t>3. Финансовая деятельность</t>
  </si>
  <si>
    <t>3.2 Собственные средства, р.</t>
  </si>
  <si>
    <t>4 Сальдо реальных денег, р.</t>
  </si>
  <si>
    <t>5 Сальдо накопленных реальных денег, р.</t>
  </si>
  <si>
    <t>0 период (подготовительный)</t>
  </si>
  <si>
    <t xml:space="preserve">Дисконтированный ДП </t>
  </si>
  <si>
    <t>ДДП накопленный</t>
  </si>
  <si>
    <t>ДДП накопленный от операционной  и инвестиционной деятельности</t>
  </si>
  <si>
    <t>ЧДД, р.</t>
  </si>
  <si>
    <t>СО, лет</t>
  </si>
  <si>
    <t>ИД</t>
  </si>
  <si>
    <t>3.5 Сальдо финансовой деятельности, р.</t>
  </si>
  <si>
    <t>3.3 Погашение основной суммы долга</t>
  </si>
  <si>
    <t>3.4 Возврат собственных средств</t>
  </si>
  <si>
    <t>2.8 Постоянные затраты (без амортизации и процентов по кредиту), р.</t>
  </si>
  <si>
    <t xml:space="preserve">2.9 Проценты по кредиту, р. </t>
  </si>
  <si>
    <t>2.10 Переменные затраты, р.</t>
  </si>
  <si>
    <t>2.11 Амортизация, р.</t>
  </si>
  <si>
    <t>2.12 ИТОГО ЗАТРАТ</t>
  </si>
  <si>
    <t>2.13 Прибыль до вычета налогов, р.</t>
  </si>
  <si>
    <t>2.14 УСН (15%), р.</t>
  </si>
  <si>
    <t>2.15 Проектируемый чистый доход, р.</t>
  </si>
  <si>
    <t>2.16 Чистый приток от операционной деятельности, р.</t>
  </si>
  <si>
    <t>Переменные затраты в расчете на 1 единицу продукта 1 и продукта 2 составляют 73 руб.</t>
  </si>
  <si>
    <t>2.1. Объем продаж продукта 1, шт</t>
  </si>
  <si>
    <t>2.2. Объем продаж продукта 2, шт</t>
  </si>
  <si>
    <t>Первоначальное приобретение материалов</t>
  </si>
  <si>
    <t>Уплата государственной пошлины, изготовление печати, регистация фирмы</t>
  </si>
  <si>
    <t xml:space="preserve">Коэффициент дисконтирования </t>
  </si>
  <si>
    <t>3.1 Кредит (30% годовых), р.</t>
  </si>
  <si>
    <t>Период</t>
  </si>
  <si>
    <t>Остаток на начало периода</t>
  </si>
  <si>
    <t>Платеж</t>
  </si>
  <si>
    <t>в т.ч.%</t>
  </si>
  <si>
    <t>основная сумма долга</t>
  </si>
  <si>
    <t>%</t>
  </si>
  <si>
    <t>осн.сумма</t>
  </si>
  <si>
    <t>переменные затраты</t>
  </si>
  <si>
    <t>доходность Ск</t>
  </si>
  <si>
    <t>доходность ЗК</t>
  </si>
  <si>
    <t>ставка дисконта</t>
  </si>
  <si>
    <t>год</t>
  </si>
  <si>
    <t>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</si>
</sst>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0" fillId="0" borderId="0" xfId="0" applyFont="1"/>
    <xf numFmtId="0" fontId="3" fillId="0" borderId="10" xfId="0" applyFont="1" applyBorder="1" applyAlignment="1">
      <alignment horizontal="centerContinuous" vertical="center" wrapText="1"/>
    </xf>
    <xf numFmtId="0" fontId="3" fillId="0" borderId="11" xfId="0" applyFont="1" applyBorder="1" applyAlignment="1">
      <alignment horizontal="centerContinuous" vertical="center" wrapText="1"/>
    </xf>
    <xf numFmtId="0" fontId="3" fillId="0" borderId="12" xfId="0" applyFont="1" applyBorder="1" applyAlignment="1">
      <alignment horizontal="centerContinuous" vertical="center" wrapText="1"/>
    </xf>
    <xf numFmtId="0" fontId="3" fillId="0" borderId="1" xfId="0" applyFont="1" applyBorder="1" applyAlignment="1">
      <alignment vertical="center" wrapText="1"/>
    </xf>
    <xf numFmtId="0" fontId="3" fillId="0" borderId="1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2" fontId="0" fillId="0" borderId="0" xfId="0" applyNumberFormat="1"/>
    <xf numFmtId="2" fontId="2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right" vertical="center"/>
    </xf>
    <xf numFmtId="2" fontId="3" fillId="0" borderId="4" xfId="0" applyNumberFormat="1" applyFont="1" applyBorder="1" applyAlignment="1">
      <alignment horizontal="right" vertical="center"/>
    </xf>
    <xf numFmtId="2" fontId="3" fillId="0" borderId="3" xfId="0" applyNumberFormat="1" applyFont="1" applyBorder="1" applyAlignment="1">
      <alignment horizontal="right" vertical="center"/>
    </xf>
    <xf numFmtId="0" fontId="0" fillId="0" borderId="0" xfId="0" applyAlignment="1">
      <alignment wrapText="1"/>
    </xf>
    <xf numFmtId="9" fontId="0" fillId="0" borderId="0" xfId="0" applyNumberFormat="1"/>
    <xf numFmtId="0" fontId="0" fillId="0" borderId="14" xfId="0" applyBorder="1"/>
    <xf numFmtId="2" fontId="0" fillId="0" borderId="14" xfId="0" applyNumberFormat="1" applyBorder="1"/>
    <xf numFmtId="2" fontId="2" fillId="2" borderId="4" xfId="0" applyNumberFormat="1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10" fontId="0" fillId="0" borderId="0" xfId="0" applyNumberFormat="1"/>
    <xf numFmtId="2" fontId="3" fillId="0" borderId="4" xfId="0" applyNumberFormat="1" applyFont="1" applyBorder="1" applyAlignment="1">
      <alignment vertical="center" wrapText="1"/>
    </xf>
    <xf numFmtId="164" fontId="3" fillId="0" borderId="2" xfId="0" applyNumberFormat="1" applyFont="1" applyBorder="1" applyAlignment="1">
      <alignment vertical="center" wrapText="1"/>
    </xf>
    <xf numFmtId="2" fontId="3" fillId="0" borderId="4" xfId="0" applyNumberFormat="1" applyFont="1" applyBorder="1" applyAlignment="1">
      <alignment horizontal="right" vertical="center" wrapText="1"/>
    </xf>
    <xf numFmtId="2" fontId="3" fillId="2" borderId="4" xfId="0" applyNumberFormat="1" applyFont="1" applyFill="1" applyBorder="1" applyAlignment="1">
      <alignment horizontal="right" vertical="center" wrapText="1"/>
    </xf>
    <xf numFmtId="2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25" sqref="C25"/>
    </sheetView>
  </sheetViews>
  <sheetFormatPr defaultRowHeight="15" x14ac:dyDescent="0.25"/>
  <cols>
    <col min="1" max="1" width="45.42578125" customWidth="1"/>
    <col min="2" max="2" width="23.7109375" customWidth="1"/>
  </cols>
  <sheetData>
    <row r="1" spans="1:2" ht="16.5" thickBot="1" x14ac:dyDescent="0.3">
      <c r="A1" s="1" t="s">
        <v>0</v>
      </c>
      <c r="B1" s="2" t="s">
        <v>1</v>
      </c>
    </row>
    <row r="2" spans="1:2" ht="16.5" thickBot="1" x14ac:dyDescent="0.3">
      <c r="A2" s="3" t="s">
        <v>2</v>
      </c>
      <c r="B2" s="4">
        <v>300000</v>
      </c>
    </row>
    <row r="3" spans="1:2" ht="16.5" thickBot="1" x14ac:dyDescent="0.3">
      <c r="A3" s="3" t="s">
        <v>53</v>
      </c>
      <c r="B3" s="4">
        <v>585000</v>
      </c>
    </row>
    <row r="4" spans="1:2" ht="32.25" thickBot="1" x14ac:dyDescent="0.3">
      <c r="A4" s="3" t="s">
        <v>54</v>
      </c>
      <c r="B4" s="4">
        <v>15000</v>
      </c>
    </row>
    <row r="5" spans="1:2" ht="16.5" thickBot="1" x14ac:dyDescent="0.3">
      <c r="A5" s="3" t="s">
        <v>3</v>
      </c>
      <c r="B5" s="4">
        <v>900000</v>
      </c>
    </row>
    <row r="8" spans="1:2" ht="16.5" thickBot="1" x14ac:dyDescent="0.3">
      <c r="A8" s="9" t="s">
        <v>12</v>
      </c>
    </row>
    <row r="9" spans="1:2" ht="16.5" thickBot="1" x14ac:dyDescent="0.3">
      <c r="A9" s="1" t="s">
        <v>4</v>
      </c>
      <c r="B9" s="2" t="s">
        <v>5</v>
      </c>
    </row>
    <row r="10" spans="1:2" ht="32.25" thickBot="1" x14ac:dyDescent="0.3">
      <c r="A10" s="5" t="s">
        <v>6</v>
      </c>
      <c r="B10" s="6">
        <v>162980</v>
      </c>
    </row>
    <row r="11" spans="1:2" ht="16.5" thickBot="1" x14ac:dyDescent="0.3">
      <c r="A11" s="7" t="s">
        <v>7</v>
      </c>
      <c r="B11" s="8">
        <v>4000</v>
      </c>
    </row>
    <row r="12" spans="1:2" ht="16.5" thickBot="1" x14ac:dyDescent="0.3">
      <c r="A12" s="1" t="s">
        <v>8</v>
      </c>
      <c r="B12" s="2">
        <v>3125</v>
      </c>
    </row>
    <row r="13" spans="1:2" ht="16.5" thickBot="1" x14ac:dyDescent="0.3">
      <c r="A13" s="3" t="s">
        <v>9</v>
      </c>
      <c r="B13" s="4">
        <v>5500</v>
      </c>
    </row>
    <row r="14" spans="1:2" ht="16.5" thickBot="1" x14ac:dyDescent="0.3">
      <c r="A14" s="3" t="s">
        <v>10</v>
      </c>
      <c r="B14" s="4">
        <v>3758</v>
      </c>
    </row>
    <row r="15" spans="1:2" ht="16.5" thickBot="1" x14ac:dyDescent="0.3">
      <c r="A15" s="3" t="s">
        <v>11</v>
      </c>
      <c r="B15" s="4">
        <f>SUM(B10:B14)</f>
        <v>179363</v>
      </c>
    </row>
    <row r="17" spans="1:1" ht="15.75" x14ac:dyDescent="0.25">
      <c r="A17" s="10" t="s">
        <v>50</v>
      </c>
    </row>
    <row r="18" spans="1:1" ht="15.75" x14ac:dyDescent="0.25">
      <c r="A18" s="10" t="s">
        <v>13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="140" zoomScaleNormal="140" workbookViewId="0">
      <selection sqref="A1:K1048576"/>
    </sheetView>
  </sheetViews>
  <sheetFormatPr defaultRowHeight="15" x14ac:dyDescent="0.25"/>
  <cols>
    <col min="1" max="1" width="33.85546875" style="20" customWidth="1"/>
    <col min="2" max="2" width="21.85546875" style="20" customWidth="1"/>
    <col min="3" max="3" width="24.28515625" style="20" customWidth="1"/>
    <col min="4" max="4" width="24.42578125" style="20" customWidth="1"/>
    <col min="5" max="5" width="23.28515625" style="20" customWidth="1"/>
    <col min="7" max="7" width="10.42578125" bestFit="1" customWidth="1"/>
  </cols>
  <sheetData>
    <row r="1" spans="1:8" ht="38.1" customHeight="1" thickBot="1" x14ac:dyDescent="0.3">
      <c r="A1" s="11" t="s">
        <v>14</v>
      </c>
      <c r="B1" s="12" t="s">
        <v>31</v>
      </c>
      <c r="C1" s="13" t="s">
        <v>15</v>
      </c>
      <c r="D1" s="13" t="s">
        <v>16</v>
      </c>
      <c r="E1" s="13" t="s">
        <v>17</v>
      </c>
    </row>
    <row r="2" spans="1:8" ht="15.75" thickBot="1" x14ac:dyDescent="0.3">
      <c r="A2" s="21" t="s">
        <v>18</v>
      </c>
      <c r="B2" s="22"/>
      <c r="C2" s="22"/>
      <c r="D2" s="22"/>
      <c r="E2" s="23"/>
      <c r="G2" t="s">
        <v>64</v>
      </c>
    </row>
    <row r="3" spans="1:8" ht="15.75" thickBot="1" x14ac:dyDescent="0.3">
      <c r="A3" s="14" t="s">
        <v>19</v>
      </c>
      <c r="B3" s="15">
        <v>900000</v>
      </c>
      <c r="C3" s="15"/>
      <c r="D3" s="15"/>
      <c r="E3" s="15"/>
    </row>
    <row r="4" spans="1:8" ht="30.75" thickBot="1" x14ac:dyDescent="0.3">
      <c r="A4" s="16" t="s">
        <v>20</v>
      </c>
      <c r="B4" s="17">
        <v>-900000</v>
      </c>
      <c r="C4" s="17"/>
      <c r="D4" s="17"/>
      <c r="E4" s="17"/>
      <c r="F4">
        <v>73</v>
      </c>
      <c r="G4">
        <f>ROUNDUP(F4*1.07,0)</f>
        <v>79</v>
      </c>
      <c r="H4">
        <f>ROUNDUP(G4*1.07,0)</f>
        <v>85</v>
      </c>
    </row>
    <row r="5" spans="1:8" ht="15.75" thickBot="1" x14ac:dyDescent="0.3">
      <c r="A5" s="21" t="s">
        <v>21</v>
      </c>
      <c r="B5" s="22"/>
      <c r="C5" s="22"/>
      <c r="D5" s="22"/>
      <c r="E5" s="23"/>
    </row>
    <row r="6" spans="1:8" ht="15.75" thickBot="1" x14ac:dyDescent="0.3">
      <c r="A6" s="14" t="s">
        <v>51</v>
      </c>
      <c r="B6" s="15"/>
      <c r="C6" s="15">
        <v>5977</v>
      </c>
      <c r="D6" s="15">
        <v>7307</v>
      </c>
      <c r="E6" s="15">
        <v>7307</v>
      </c>
    </row>
    <row r="7" spans="1:8" ht="15.75" thickBot="1" x14ac:dyDescent="0.3">
      <c r="A7" s="14" t="s">
        <v>52</v>
      </c>
      <c r="B7" s="15"/>
      <c r="C7" s="15">
        <v>1993</v>
      </c>
      <c r="D7" s="15">
        <v>2102</v>
      </c>
      <c r="E7" s="15">
        <v>2102</v>
      </c>
    </row>
    <row r="8" spans="1:8" ht="15.75" thickBot="1" x14ac:dyDescent="0.3">
      <c r="A8" s="14" t="s">
        <v>22</v>
      </c>
      <c r="B8" s="15"/>
      <c r="C8" s="15">
        <v>400</v>
      </c>
      <c r="D8" s="15">
        <v>420</v>
      </c>
      <c r="E8" s="15">
        <v>450</v>
      </c>
    </row>
    <row r="9" spans="1:8" ht="15.75" thickBot="1" x14ac:dyDescent="0.3">
      <c r="A9" s="14" t="s">
        <v>23</v>
      </c>
      <c r="B9" s="15"/>
      <c r="C9" s="15">
        <v>580</v>
      </c>
      <c r="D9" s="15">
        <v>610</v>
      </c>
      <c r="E9" s="15">
        <v>630</v>
      </c>
    </row>
    <row r="10" spans="1:8" ht="15.75" thickBot="1" x14ac:dyDescent="0.3">
      <c r="A10" s="14" t="s">
        <v>24</v>
      </c>
      <c r="B10" s="15"/>
      <c r="C10" s="29">
        <f>C6*C8</f>
        <v>2390800</v>
      </c>
      <c r="D10" s="29">
        <f t="shared" ref="D10:E10" si="0">D6*D8</f>
        <v>3068940</v>
      </c>
      <c r="E10" s="29">
        <f t="shared" si="0"/>
        <v>3288150</v>
      </c>
    </row>
    <row r="11" spans="1:8" ht="15.75" thickBot="1" x14ac:dyDescent="0.3">
      <c r="A11" s="14" t="s">
        <v>25</v>
      </c>
      <c r="B11" s="15"/>
      <c r="C11" s="29">
        <f>C7*C9</f>
        <v>1155940</v>
      </c>
      <c r="D11" s="29">
        <f t="shared" ref="D11:E11" si="1">D7*D9</f>
        <v>1282220</v>
      </c>
      <c r="E11" s="29">
        <f t="shared" si="1"/>
        <v>1324260</v>
      </c>
    </row>
    <row r="12" spans="1:8" ht="15.75" thickBot="1" x14ac:dyDescent="0.3">
      <c r="A12" s="14" t="s">
        <v>26</v>
      </c>
      <c r="B12" s="15"/>
      <c r="C12" s="29">
        <f>C10+C11</f>
        <v>3546740</v>
      </c>
      <c r="D12" s="29">
        <f t="shared" ref="D12:E12" si="2">D10+D11</f>
        <v>4351160</v>
      </c>
      <c r="E12" s="29">
        <f t="shared" si="2"/>
        <v>4612410</v>
      </c>
    </row>
    <row r="13" spans="1:8" ht="45.75" thickBot="1" x14ac:dyDescent="0.3">
      <c r="A13" s="14" t="s">
        <v>41</v>
      </c>
      <c r="B13" s="15"/>
      <c r="C13" s="29">
        <f>12*('Исходные данные'!B15-'Исходные данные'!B12)</f>
        <v>2114856</v>
      </c>
      <c r="D13" s="29">
        <f>1.07*C13</f>
        <v>2262895.92</v>
      </c>
      <c r="E13" s="29">
        <f>1.07*D13</f>
        <v>2421298.6343999999</v>
      </c>
    </row>
    <row r="14" spans="1:8" ht="15.75" thickBot="1" x14ac:dyDescent="0.3">
      <c r="A14" s="14" t="s">
        <v>42</v>
      </c>
      <c r="B14" s="15"/>
      <c r="C14" s="29">
        <f>Кредит!I4</f>
        <v>80599.430864892245</v>
      </c>
      <c r="D14" s="29">
        <f>Кредит!I5</f>
        <v>55689.406005145422</v>
      </c>
      <c r="E14" s="29">
        <f>Кредит!I6</f>
        <v>22188.191959574426</v>
      </c>
      <c r="F14" s="28"/>
    </row>
    <row r="15" spans="1:8" ht="15.75" thickBot="1" x14ac:dyDescent="0.3">
      <c r="A15" s="14" t="s">
        <v>43</v>
      </c>
      <c r="B15" s="15"/>
      <c r="C15" s="29">
        <f>F4*(C6+C7)</f>
        <v>581810</v>
      </c>
      <c r="D15" s="29">
        <f>G4*(D6+D7)</f>
        <v>743311</v>
      </c>
      <c r="E15" s="29">
        <f>H4*(E6+E7)</f>
        <v>799765</v>
      </c>
    </row>
    <row r="16" spans="1:8" ht="15.75" thickBot="1" x14ac:dyDescent="0.3">
      <c r="A16" s="14" t="s">
        <v>44</v>
      </c>
      <c r="B16" s="15"/>
      <c r="C16" s="29">
        <f>'Исходные данные'!$B$12*12</f>
        <v>37500</v>
      </c>
      <c r="D16" s="29">
        <f>'Исходные данные'!$B$12*12</f>
        <v>37500</v>
      </c>
      <c r="E16" s="29">
        <f>'Исходные данные'!$B$12*12</f>
        <v>37500</v>
      </c>
    </row>
    <row r="17" spans="1:10" ht="15.75" thickBot="1" x14ac:dyDescent="0.3">
      <c r="A17" s="14" t="s">
        <v>45</v>
      </c>
      <c r="B17" s="15"/>
      <c r="C17" s="29">
        <f>SUM(C13:C16)</f>
        <v>2814765.4308648924</v>
      </c>
      <c r="D17" s="29">
        <f t="shared" ref="D17:E17" si="3">SUM(D13:D16)</f>
        <v>3099396.3260051454</v>
      </c>
      <c r="E17" s="29">
        <f t="shared" si="3"/>
        <v>3280751.8263595742</v>
      </c>
    </row>
    <row r="18" spans="1:10" ht="30.75" thickBot="1" x14ac:dyDescent="0.3">
      <c r="A18" s="14" t="s">
        <v>46</v>
      </c>
      <c r="B18" s="15"/>
      <c r="C18" s="29">
        <f>C12-C17</f>
        <v>731974.56913510757</v>
      </c>
      <c r="D18" s="29">
        <f t="shared" ref="D18:E18" si="4">D12-D17</f>
        <v>1251763.6739948546</v>
      </c>
      <c r="E18" s="29">
        <f t="shared" si="4"/>
        <v>1331658.1736404258</v>
      </c>
    </row>
    <row r="19" spans="1:10" ht="15.75" thickBot="1" x14ac:dyDescent="0.3">
      <c r="A19" s="14" t="s">
        <v>47</v>
      </c>
      <c r="B19" s="15"/>
      <c r="C19" s="29">
        <f>0.15*C18</f>
        <v>109796.18537026613</v>
      </c>
      <c r="D19" s="29">
        <f t="shared" ref="D19:E19" si="5">0.15*D18</f>
        <v>187764.55109922818</v>
      </c>
      <c r="E19" s="29">
        <f t="shared" si="5"/>
        <v>199748.72604606385</v>
      </c>
    </row>
    <row r="20" spans="1:10" ht="30.75" thickBot="1" x14ac:dyDescent="0.3">
      <c r="A20" s="14" t="s">
        <v>48</v>
      </c>
      <c r="B20" s="15"/>
      <c r="C20" s="29">
        <f>C18-C19</f>
        <v>622178.38376484148</v>
      </c>
      <c r="D20" s="29">
        <f t="shared" ref="D20:E20" si="6">D18-D19</f>
        <v>1063999.1228956264</v>
      </c>
      <c r="E20" s="29">
        <f t="shared" si="6"/>
        <v>1131909.4475943618</v>
      </c>
    </row>
    <row r="21" spans="1:10" ht="32.450000000000003" customHeight="1" thickBot="1" x14ac:dyDescent="0.3">
      <c r="A21" s="16" t="s">
        <v>49</v>
      </c>
      <c r="B21" s="15"/>
      <c r="C21" s="38">
        <f>C20+C16</f>
        <v>659678.38376484148</v>
      </c>
      <c r="D21" s="38">
        <f t="shared" ref="D21:E21" si="7">D20+D16</f>
        <v>1101499.1228956264</v>
      </c>
      <c r="E21" s="38">
        <f t="shared" si="7"/>
        <v>1169409.4475943618</v>
      </c>
    </row>
    <row r="22" spans="1:10" ht="15.75" thickBot="1" x14ac:dyDescent="0.3">
      <c r="A22" s="21" t="s">
        <v>27</v>
      </c>
      <c r="B22" s="22"/>
      <c r="C22" s="22"/>
      <c r="D22" s="22"/>
      <c r="E22" s="23"/>
    </row>
    <row r="23" spans="1:10" ht="15.75" thickBot="1" x14ac:dyDescent="0.3">
      <c r="A23" s="14" t="s">
        <v>56</v>
      </c>
      <c r="B23" s="15">
        <v>300000</v>
      </c>
      <c r="C23" s="15"/>
      <c r="D23" s="15"/>
      <c r="E23" s="15"/>
    </row>
    <row r="24" spans="1:10" ht="15.75" thickBot="1" x14ac:dyDescent="0.3">
      <c r="A24" s="14" t="s">
        <v>28</v>
      </c>
      <c r="B24" s="15">
        <v>600000</v>
      </c>
      <c r="C24" s="15"/>
      <c r="D24" s="15"/>
      <c r="E24" s="15"/>
    </row>
    <row r="25" spans="1:10" ht="30.75" thickBot="1" x14ac:dyDescent="0.3">
      <c r="A25" s="14" t="s">
        <v>39</v>
      </c>
      <c r="B25" s="15"/>
      <c r="C25" s="29">
        <f>Кредит!J4</f>
        <v>72226.245411645024</v>
      </c>
      <c r="D25" s="29">
        <f>Кредит!J5</f>
        <v>97136.27027139187</v>
      </c>
      <c r="E25" s="29">
        <f>Кредит!J6</f>
        <v>130637.48431696284</v>
      </c>
      <c r="G25" s="28">
        <f>SUM(C25:E25)</f>
        <v>299999.99999999971</v>
      </c>
    </row>
    <row r="26" spans="1:10" ht="15.75" thickBot="1" x14ac:dyDescent="0.3">
      <c r="A26" s="14" t="s">
        <v>40</v>
      </c>
      <c r="B26" s="15"/>
      <c r="C26" s="29">
        <v>587000</v>
      </c>
      <c r="D26" s="29">
        <v>13000</v>
      </c>
      <c r="E26" s="29"/>
      <c r="G26" s="28">
        <f>SUM(C26:E26)</f>
        <v>600000</v>
      </c>
    </row>
    <row r="27" spans="1:10" ht="30.75" thickBot="1" x14ac:dyDescent="0.3">
      <c r="A27" s="16" t="s">
        <v>38</v>
      </c>
      <c r="B27" s="15">
        <f>B23+B24-B25-B26</f>
        <v>900000</v>
      </c>
      <c r="C27" s="29">
        <f t="shared" ref="C27:E27" si="8">C23+C24-C25-C26</f>
        <v>-659226.24541164504</v>
      </c>
      <c r="D27" s="29">
        <f t="shared" si="8"/>
        <v>-110136.27027139187</v>
      </c>
      <c r="E27" s="29">
        <f t="shared" si="8"/>
        <v>-130637.48431696284</v>
      </c>
    </row>
    <row r="28" spans="1:10" ht="15.75" thickBot="1" x14ac:dyDescent="0.3">
      <c r="A28" s="18" t="s">
        <v>29</v>
      </c>
      <c r="B28" s="19">
        <f>B27+B21+B4</f>
        <v>0</v>
      </c>
      <c r="C28" s="30">
        <f t="shared" ref="C28:E28" si="9">C27+C21+C4</f>
        <v>452.1383531964384</v>
      </c>
      <c r="D28" s="30">
        <f t="shared" si="9"/>
        <v>991362.85262423451</v>
      </c>
      <c r="E28" s="30">
        <f t="shared" si="9"/>
        <v>1038771.963277399</v>
      </c>
    </row>
    <row r="29" spans="1:10" ht="29.25" thickBot="1" x14ac:dyDescent="0.3">
      <c r="A29" s="18" t="s">
        <v>30</v>
      </c>
      <c r="B29" s="19">
        <f>B28</f>
        <v>0</v>
      </c>
      <c r="C29" s="30">
        <f>C28+B29</f>
        <v>452.1383531964384</v>
      </c>
      <c r="D29" s="30">
        <f t="shared" ref="D29:E29" si="10">D28+C29</f>
        <v>991814.99097743095</v>
      </c>
      <c r="E29" s="39">
        <f t="shared" si="10"/>
        <v>2030586.9542548298</v>
      </c>
    </row>
    <row r="31" spans="1:10" ht="15.75" thickBot="1" x14ac:dyDescent="0.3">
      <c r="B31" s="20">
        <v>0</v>
      </c>
      <c r="C31" s="20">
        <v>1</v>
      </c>
      <c r="D31" s="20">
        <v>2</v>
      </c>
      <c r="E31" s="20">
        <v>3</v>
      </c>
      <c r="F31" s="20"/>
      <c r="H31" t="s">
        <v>65</v>
      </c>
      <c r="J31" s="40">
        <f>21%+3%</f>
        <v>0.24</v>
      </c>
    </row>
    <row r="32" spans="1:10" ht="15.75" thickBot="1" x14ac:dyDescent="0.3">
      <c r="A32" s="24" t="s">
        <v>55</v>
      </c>
      <c r="B32" s="42">
        <f>1/(1+$J$34)^B31</f>
        <v>1</v>
      </c>
      <c r="C32" s="42">
        <f t="shared" ref="C32:E32" si="11">1/(1+$J$34)^C31</f>
        <v>0.79365079365079361</v>
      </c>
      <c r="D32" s="42">
        <f t="shared" si="11"/>
        <v>0.62988158226253455</v>
      </c>
      <c r="E32" s="42">
        <f t="shared" si="11"/>
        <v>0.49990601766867826</v>
      </c>
      <c r="H32" t="s">
        <v>66</v>
      </c>
      <c r="J32" s="35">
        <v>0.3</v>
      </c>
    </row>
    <row r="33" spans="1:10" ht="15.75" thickBot="1" x14ac:dyDescent="0.3">
      <c r="A33" s="18" t="s">
        <v>32</v>
      </c>
      <c r="B33" s="41">
        <f>B21*B32</f>
        <v>0</v>
      </c>
      <c r="C33" s="41">
        <f t="shared" ref="C33:E33" si="12">C21*C32</f>
        <v>523554.27282923926</v>
      </c>
      <c r="D33" s="41">
        <f t="shared" si="12"/>
        <v>693814.01039029111</v>
      </c>
      <c r="E33" s="41">
        <f t="shared" si="12"/>
        <v>584594.81997102639</v>
      </c>
    </row>
    <row r="34" spans="1:10" ht="15.75" thickBot="1" x14ac:dyDescent="0.3">
      <c r="A34" s="18" t="s">
        <v>33</v>
      </c>
      <c r="B34" s="41">
        <f>B33</f>
        <v>0</v>
      </c>
      <c r="C34" s="43">
        <f>B34+C33</f>
        <v>523554.27282923926</v>
      </c>
      <c r="D34" s="43">
        <f t="shared" ref="D34:E34" si="13">C34+D33</f>
        <v>1217368.2832195302</v>
      </c>
      <c r="E34" s="43">
        <f t="shared" si="13"/>
        <v>1801963.1031905566</v>
      </c>
      <c r="H34" t="s">
        <v>67</v>
      </c>
      <c r="J34">
        <f>B23/B3*J32+B24/B3*J31</f>
        <v>0.25999999999999995</v>
      </c>
    </row>
    <row r="35" spans="1:10" ht="43.5" thickBot="1" x14ac:dyDescent="0.3">
      <c r="A35" s="18" t="s">
        <v>34</v>
      </c>
      <c r="B35" s="43">
        <f>B34-$B$3</f>
        <v>-900000</v>
      </c>
      <c r="C35" s="43">
        <f t="shared" ref="C35:E35" si="14">C34-$B$3</f>
        <v>-376445.72717076074</v>
      </c>
      <c r="D35" s="43">
        <f t="shared" si="14"/>
        <v>317368.28321953025</v>
      </c>
      <c r="E35" s="44">
        <f>E34-$B$3</f>
        <v>901963.10319055663</v>
      </c>
      <c r="J35">
        <f>B23/B3*J32+B24/B3*J31</f>
        <v>0.25999999999999995</v>
      </c>
    </row>
    <row r="36" spans="1:10" ht="15.75" thickBot="1" x14ac:dyDescent="0.3"/>
    <row r="37" spans="1:10" ht="15.75" thickBot="1" x14ac:dyDescent="0.3">
      <c r="A37" s="25" t="s">
        <v>35</v>
      </c>
      <c r="B37" s="31">
        <f>E35</f>
        <v>901963.10319055663</v>
      </c>
    </row>
    <row r="38" spans="1:10" ht="15.75" thickBot="1" x14ac:dyDescent="0.3">
      <c r="A38" s="26" t="s">
        <v>36</v>
      </c>
      <c r="B38" s="32">
        <f>1+(-C35)/D33</f>
        <v>1.5425744097600433</v>
      </c>
      <c r="C38" s="20">
        <v>1</v>
      </c>
      <c r="D38" s="20" t="s">
        <v>68</v>
      </c>
      <c r="E38" s="45">
        <f>(B38-C38)*12</f>
        <v>6.5108929171205201</v>
      </c>
      <c r="F38" t="s">
        <v>69</v>
      </c>
    </row>
    <row r="39" spans="1:10" ht="15.75" thickBot="1" x14ac:dyDescent="0.3">
      <c r="A39" s="27" t="s">
        <v>37</v>
      </c>
      <c r="B39" s="33">
        <f>E34/$B$3</f>
        <v>2.0021812257672851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L24" sqref="L24"/>
    </sheetView>
  </sheetViews>
  <sheetFormatPr defaultRowHeight="15" x14ac:dyDescent="0.25"/>
  <cols>
    <col min="2" max="2" width="12.140625" customWidth="1"/>
    <col min="3" max="3" width="11.28515625" bestFit="1" customWidth="1"/>
    <col min="4" max="4" width="14.42578125" customWidth="1"/>
    <col min="5" max="5" width="16.28515625" customWidth="1"/>
    <col min="10" max="10" width="9.5703125" bestFit="1" customWidth="1"/>
  </cols>
  <sheetData>
    <row r="1" spans="1:10" ht="45" x14ac:dyDescent="0.25">
      <c r="A1" s="34" t="s">
        <v>57</v>
      </c>
      <c r="B1" s="34" t="s">
        <v>58</v>
      </c>
      <c r="C1" s="34" t="s">
        <v>59</v>
      </c>
      <c r="D1" s="34" t="s">
        <v>60</v>
      </c>
      <c r="E1" s="34" t="s">
        <v>61</v>
      </c>
      <c r="F1" s="34"/>
      <c r="H1" s="35">
        <v>0.3</v>
      </c>
    </row>
    <row r="2" spans="1:10" x14ac:dyDescent="0.25">
      <c r="A2">
        <v>1</v>
      </c>
      <c r="B2">
        <v>300000</v>
      </c>
      <c r="C2" s="28">
        <f>-PMT($H$1/12,$A$37,$B$2)</f>
        <v>12735.473023044773</v>
      </c>
      <c r="D2">
        <f>$H$1/12*B2</f>
        <v>7499.9999999999991</v>
      </c>
      <c r="E2" s="28">
        <f>C2-D2</f>
        <v>5235.473023044774</v>
      </c>
    </row>
    <row r="3" spans="1:10" x14ac:dyDescent="0.25">
      <c r="A3">
        <v>2</v>
      </c>
      <c r="B3" s="28">
        <f>B2-E2</f>
        <v>294764.52697695524</v>
      </c>
      <c r="C3" s="28">
        <f t="shared" ref="C3:C37" si="0">-PMT($H$1/12,$A$37,$B$2)</f>
        <v>12735.473023044773</v>
      </c>
      <c r="D3">
        <f t="shared" ref="D3:D37" si="1">$H$1/12*B3</f>
        <v>7369.1131744238801</v>
      </c>
      <c r="E3" s="28">
        <f t="shared" ref="E3:E37" si="2">C3-D3</f>
        <v>5366.359848620893</v>
      </c>
      <c r="H3" s="36"/>
      <c r="I3" s="36" t="s">
        <v>62</v>
      </c>
      <c r="J3" s="36" t="s">
        <v>63</v>
      </c>
    </row>
    <row r="4" spans="1:10" x14ac:dyDescent="0.25">
      <c r="A4">
        <v>3</v>
      </c>
      <c r="B4" s="28">
        <f t="shared" ref="B4:B38" si="3">B3-E3</f>
        <v>289398.16712833435</v>
      </c>
      <c r="C4" s="28">
        <f t="shared" si="0"/>
        <v>12735.473023044773</v>
      </c>
      <c r="D4">
        <f t="shared" si="1"/>
        <v>7234.9541782083579</v>
      </c>
      <c r="E4" s="28">
        <f t="shared" si="2"/>
        <v>5500.5188448364152</v>
      </c>
      <c r="H4" s="36" t="s">
        <v>15</v>
      </c>
      <c r="I4" s="36">
        <f>SUM(D2:D13)</f>
        <v>80599.430864892245</v>
      </c>
      <c r="J4" s="37">
        <f>SUM(E2:E13)</f>
        <v>72226.245411645024</v>
      </c>
    </row>
    <row r="5" spans="1:10" x14ac:dyDescent="0.25">
      <c r="A5">
        <v>4</v>
      </c>
      <c r="B5" s="28">
        <f t="shared" si="3"/>
        <v>283897.64828349795</v>
      </c>
      <c r="C5" s="28">
        <f t="shared" si="0"/>
        <v>12735.473023044773</v>
      </c>
      <c r="D5">
        <f t="shared" si="1"/>
        <v>7097.4412070874487</v>
      </c>
      <c r="E5" s="28">
        <f t="shared" si="2"/>
        <v>5638.0318159573244</v>
      </c>
      <c r="H5" s="36" t="s">
        <v>16</v>
      </c>
      <c r="I5" s="36">
        <f>SUM(D14:D25)</f>
        <v>55689.406005145422</v>
      </c>
      <c r="J5" s="37">
        <f>SUM(E14:E25)</f>
        <v>97136.27027139187</v>
      </c>
    </row>
    <row r="6" spans="1:10" x14ac:dyDescent="0.25">
      <c r="A6">
        <v>5</v>
      </c>
      <c r="B6" s="28">
        <f t="shared" si="3"/>
        <v>278259.61646754062</v>
      </c>
      <c r="C6" s="28">
        <f t="shared" si="0"/>
        <v>12735.473023044773</v>
      </c>
      <c r="D6">
        <f t="shared" si="1"/>
        <v>6956.4904116885145</v>
      </c>
      <c r="E6" s="28">
        <f t="shared" si="2"/>
        <v>5778.9826113562585</v>
      </c>
      <c r="H6" s="36" t="s">
        <v>17</v>
      </c>
      <c r="I6" s="36">
        <f>SUM(D26:D37)</f>
        <v>22188.191959574426</v>
      </c>
      <c r="J6" s="37">
        <f>SUM(E26:E37)</f>
        <v>130637.48431696284</v>
      </c>
    </row>
    <row r="7" spans="1:10" x14ac:dyDescent="0.25">
      <c r="A7">
        <v>6</v>
      </c>
      <c r="B7" s="28">
        <f t="shared" si="3"/>
        <v>272480.63385618437</v>
      </c>
      <c r="C7" s="28">
        <f t="shared" si="0"/>
        <v>12735.473023044773</v>
      </c>
      <c r="D7">
        <f t="shared" si="1"/>
        <v>6812.015846404609</v>
      </c>
      <c r="E7" s="28">
        <f t="shared" si="2"/>
        <v>5923.4571766401641</v>
      </c>
      <c r="H7" s="36"/>
      <c r="I7" s="36">
        <f>SUM(I4:I6)</f>
        <v>158477.02882961207</v>
      </c>
      <c r="J7" s="36">
        <f>SUM(J4:J6)</f>
        <v>299999.99999999971</v>
      </c>
    </row>
    <row r="8" spans="1:10" x14ac:dyDescent="0.25">
      <c r="A8">
        <v>7</v>
      </c>
      <c r="B8" s="28">
        <f t="shared" si="3"/>
        <v>266557.17667954421</v>
      </c>
      <c r="C8" s="28">
        <f t="shared" si="0"/>
        <v>12735.473023044773</v>
      </c>
      <c r="D8">
        <f t="shared" si="1"/>
        <v>6663.9294169886043</v>
      </c>
      <c r="E8" s="28">
        <f t="shared" si="2"/>
        <v>6071.5436060561688</v>
      </c>
    </row>
    <row r="9" spans="1:10" x14ac:dyDescent="0.25">
      <c r="A9">
        <v>8</v>
      </c>
      <c r="B9" s="28">
        <f t="shared" si="3"/>
        <v>260485.63307348805</v>
      </c>
      <c r="C9" s="28">
        <f t="shared" si="0"/>
        <v>12735.473023044773</v>
      </c>
      <c r="D9">
        <f t="shared" si="1"/>
        <v>6512.1408268372006</v>
      </c>
      <c r="E9" s="28">
        <f t="shared" si="2"/>
        <v>6223.3321962075725</v>
      </c>
    </row>
    <row r="10" spans="1:10" x14ac:dyDescent="0.25">
      <c r="A10">
        <v>9</v>
      </c>
      <c r="B10" s="28">
        <f t="shared" si="3"/>
        <v>254262.30087728048</v>
      </c>
      <c r="C10" s="28">
        <f t="shared" si="0"/>
        <v>12735.473023044773</v>
      </c>
      <c r="D10">
        <f t="shared" si="1"/>
        <v>6356.5575219320117</v>
      </c>
      <c r="E10" s="28">
        <f t="shared" si="2"/>
        <v>6378.9155011127614</v>
      </c>
    </row>
    <row r="11" spans="1:10" x14ac:dyDescent="0.25">
      <c r="A11">
        <v>10</v>
      </c>
      <c r="B11" s="28">
        <f t="shared" si="3"/>
        <v>247883.38537616772</v>
      </c>
      <c r="C11" s="28">
        <f t="shared" si="0"/>
        <v>12735.473023044773</v>
      </c>
      <c r="D11">
        <f t="shared" si="1"/>
        <v>6197.084634404192</v>
      </c>
      <c r="E11" s="28">
        <f t="shared" si="2"/>
        <v>6538.3883886405811</v>
      </c>
    </row>
    <row r="12" spans="1:10" x14ac:dyDescent="0.25">
      <c r="A12">
        <v>11</v>
      </c>
      <c r="B12" s="28">
        <f t="shared" si="3"/>
        <v>241344.99698752715</v>
      </c>
      <c r="C12" s="28">
        <f t="shared" si="0"/>
        <v>12735.473023044773</v>
      </c>
      <c r="D12">
        <f t="shared" si="1"/>
        <v>6033.624924688178</v>
      </c>
      <c r="E12" s="28">
        <f t="shared" si="2"/>
        <v>6701.8480983565951</v>
      </c>
    </row>
    <row r="13" spans="1:10" x14ac:dyDescent="0.25">
      <c r="A13">
        <v>12</v>
      </c>
      <c r="B13" s="28">
        <f t="shared" si="3"/>
        <v>234643.14888917055</v>
      </c>
      <c r="C13" s="28">
        <f t="shared" si="0"/>
        <v>12735.473023044773</v>
      </c>
      <c r="D13">
        <f t="shared" si="1"/>
        <v>5866.0787222292629</v>
      </c>
      <c r="E13" s="28">
        <f t="shared" si="2"/>
        <v>6869.3943008155102</v>
      </c>
    </row>
    <row r="14" spans="1:10" x14ac:dyDescent="0.25">
      <c r="A14">
        <v>13</v>
      </c>
      <c r="B14" s="28">
        <f t="shared" si="3"/>
        <v>227773.75458835505</v>
      </c>
      <c r="C14" s="28">
        <f t="shared" si="0"/>
        <v>12735.473023044773</v>
      </c>
      <c r="D14">
        <f t="shared" si="1"/>
        <v>5694.343864708876</v>
      </c>
      <c r="E14" s="28">
        <f t="shared" si="2"/>
        <v>7041.129158335897</v>
      </c>
    </row>
    <row r="15" spans="1:10" x14ac:dyDescent="0.25">
      <c r="A15">
        <v>14</v>
      </c>
      <c r="B15" s="28">
        <f t="shared" si="3"/>
        <v>220732.62543001916</v>
      </c>
      <c r="C15" s="28">
        <f t="shared" si="0"/>
        <v>12735.473023044773</v>
      </c>
      <c r="D15">
        <f t="shared" si="1"/>
        <v>5518.3156357504786</v>
      </c>
      <c r="E15" s="28">
        <f t="shared" si="2"/>
        <v>7217.1573872942945</v>
      </c>
    </row>
    <row r="16" spans="1:10" x14ac:dyDescent="0.25">
      <c r="A16">
        <v>15</v>
      </c>
      <c r="B16" s="28">
        <f t="shared" si="3"/>
        <v>213515.46804272488</v>
      </c>
      <c r="C16" s="28">
        <f t="shared" si="0"/>
        <v>12735.473023044773</v>
      </c>
      <c r="D16">
        <f t="shared" si="1"/>
        <v>5337.8867010681215</v>
      </c>
      <c r="E16" s="28">
        <f t="shared" si="2"/>
        <v>7397.5863219766516</v>
      </c>
    </row>
    <row r="17" spans="1:5" x14ac:dyDescent="0.25">
      <c r="A17">
        <v>16</v>
      </c>
      <c r="B17" s="28">
        <f t="shared" si="3"/>
        <v>206117.88172074824</v>
      </c>
      <c r="C17" s="28">
        <f t="shared" si="0"/>
        <v>12735.473023044773</v>
      </c>
      <c r="D17">
        <f t="shared" si="1"/>
        <v>5152.9470430187057</v>
      </c>
      <c r="E17" s="28">
        <f t="shared" si="2"/>
        <v>7582.5259800260674</v>
      </c>
    </row>
    <row r="18" spans="1:5" x14ac:dyDescent="0.25">
      <c r="A18">
        <v>17</v>
      </c>
      <c r="B18" s="28">
        <f t="shared" si="3"/>
        <v>198535.35574072218</v>
      </c>
      <c r="C18" s="28">
        <f t="shared" si="0"/>
        <v>12735.473023044773</v>
      </c>
      <c r="D18">
        <f t="shared" si="1"/>
        <v>4963.3838935180538</v>
      </c>
      <c r="E18" s="28">
        <f t="shared" si="2"/>
        <v>7772.0891295267193</v>
      </c>
    </row>
    <row r="19" spans="1:5" x14ac:dyDescent="0.25">
      <c r="A19">
        <v>18</v>
      </c>
      <c r="B19" s="28">
        <f t="shared" si="3"/>
        <v>190763.26661119546</v>
      </c>
      <c r="C19" s="28">
        <f t="shared" si="0"/>
        <v>12735.473023044773</v>
      </c>
      <c r="D19">
        <f t="shared" si="1"/>
        <v>4769.0816652798858</v>
      </c>
      <c r="E19" s="28">
        <f t="shared" si="2"/>
        <v>7966.3913577648873</v>
      </c>
    </row>
    <row r="20" spans="1:5" x14ac:dyDescent="0.25">
      <c r="A20">
        <v>19</v>
      </c>
      <c r="B20" s="28">
        <f t="shared" si="3"/>
        <v>182796.87525343057</v>
      </c>
      <c r="C20" s="28">
        <f t="shared" si="0"/>
        <v>12735.473023044773</v>
      </c>
      <c r="D20">
        <f t="shared" si="1"/>
        <v>4569.9218813357638</v>
      </c>
      <c r="E20" s="28">
        <f t="shared" si="2"/>
        <v>8165.5511417090092</v>
      </c>
    </row>
    <row r="21" spans="1:5" x14ac:dyDescent="0.25">
      <c r="A21">
        <v>20</v>
      </c>
      <c r="B21" s="28">
        <f t="shared" si="3"/>
        <v>174631.32411172157</v>
      </c>
      <c r="C21" s="28">
        <f t="shared" si="0"/>
        <v>12735.473023044773</v>
      </c>
      <c r="D21">
        <f t="shared" si="1"/>
        <v>4365.7831027930388</v>
      </c>
      <c r="E21" s="28">
        <f t="shared" si="2"/>
        <v>8369.6899202517343</v>
      </c>
    </row>
    <row r="22" spans="1:5" x14ac:dyDescent="0.25">
      <c r="A22">
        <v>21</v>
      </c>
      <c r="B22" s="28">
        <f t="shared" si="3"/>
        <v>166261.63419146984</v>
      </c>
      <c r="C22" s="28">
        <f t="shared" si="0"/>
        <v>12735.473023044773</v>
      </c>
      <c r="D22">
        <f t="shared" si="1"/>
        <v>4156.5408547867455</v>
      </c>
      <c r="E22" s="28">
        <f t="shared" si="2"/>
        <v>8578.9321682580266</v>
      </c>
    </row>
    <row r="23" spans="1:5" x14ac:dyDescent="0.25">
      <c r="A23">
        <v>22</v>
      </c>
      <c r="B23" s="28">
        <f t="shared" si="3"/>
        <v>157682.70202321181</v>
      </c>
      <c r="C23" s="28">
        <f t="shared" si="0"/>
        <v>12735.473023044773</v>
      </c>
      <c r="D23">
        <f t="shared" si="1"/>
        <v>3942.0675505802947</v>
      </c>
      <c r="E23" s="28">
        <f t="shared" si="2"/>
        <v>8793.4054724644775</v>
      </c>
    </row>
    <row r="24" spans="1:5" x14ac:dyDescent="0.25">
      <c r="A24">
        <v>23</v>
      </c>
      <c r="B24" s="28">
        <f t="shared" si="3"/>
        <v>148889.29655074733</v>
      </c>
      <c r="C24" s="28">
        <f t="shared" si="0"/>
        <v>12735.473023044773</v>
      </c>
      <c r="D24">
        <f t="shared" si="1"/>
        <v>3722.2324137686828</v>
      </c>
      <c r="E24" s="28">
        <f t="shared" si="2"/>
        <v>9013.2406092760903</v>
      </c>
    </row>
    <row r="25" spans="1:5" x14ac:dyDescent="0.25">
      <c r="A25">
        <v>24</v>
      </c>
      <c r="B25" s="28">
        <f t="shared" si="3"/>
        <v>139876.05594147125</v>
      </c>
      <c r="C25" s="28">
        <f t="shared" si="0"/>
        <v>12735.473023044773</v>
      </c>
      <c r="D25">
        <f t="shared" si="1"/>
        <v>3496.901398536781</v>
      </c>
      <c r="E25" s="28">
        <f t="shared" si="2"/>
        <v>9238.571624507993</v>
      </c>
    </row>
    <row r="26" spans="1:5" x14ac:dyDescent="0.25">
      <c r="A26">
        <v>25</v>
      </c>
      <c r="B26" s="28">
        <f t="shared" si="3"/>
        <v>130637.48431696325</v>
      </c>
      <c r="C26" s="28">
        <f t="shared" si="0"/>
        <v>12735.473023044773</v>
      </c>
      <c r="D26">
        <f t="shared" si="1"/>
        <v>3265.9371079240809</v>
      </c>
      <c r="E26" s="28">
        <f t="shared" si="2"/>
        <v>9469.5359151206922</v>
      </c>
    </row>
    <row r="27" spans="1:5" x14ac:dyDescent="0.25">
      <c r="A27">
        <v>26</v>
      </c>
      <c r="B27" s="28">
        <f t="shared" si="3"/>
        <v>121167.94840184256</v>
      </c>
      <c r="C27" s="28">
        <f t="shared" si="0"/>
        <v>12735.473023044773</v>
      </c>
      <c r="D27">
        <f t="shared" si="1"/>
        <v>3029.1987100460638</v>
      </c>
      <c r="E27" s="28">
        <f t="shared" si="2"/>
        <v>9706.2743129987102</v>
      </c>
    </row>
    <row r="28" spans="1:5" x14ac:dyDescent="0.25">
      <c r="A28">
        <v>27</v>
      </c>
      <c r="B28" s="28">
        <f t="shared" si="3"/>
        <v>111461.67408884385</v>
      </c>
      <c r="C28" s="28">
        <f t="shared" si="0"/>
        <v>12735.473023044773</v>
      </c>
      <c r="D28">
        <f t="shared" si="1"/>
        <v>2786.5418522210962</v>
      </c>
      <c r="E28" s="28">
        <f t="shared" si="2"/>
        <v>9948.9311708236764</v>
      </c>
    </row>
    <row r="29" spans="1:5" x14ac:dyDescent="0.25">
      <c r="A29">
        <v>28</v>
      </c>
      <c r="B29" s="28">
        <f t="shared" si="3"/>
        <v>101512.74291802017</v>
      </c>
      <c r="C29" s="28">
        <f t="shared" si="0"/>
        <v>12735.473023044773</v>
      </c>
      <c r="D29">
        <f t="shared" si="1"/>
        <v>2537.8185729505039</v>
      </c>
      <c r="E29" s="28">
        <f t="shared" si="2"/>
        <v>10197.654450094269</v>
      </c>
    </row>
    <row r="30" spans="1:5" x14ac:dyDescent="0.25">
      <c r="A30">
        <v>29</v>
      </c>
      <c r="B30" s="28">
        <f t="shared" si="3"/>
        <v>91315.088467925903</v>
      </c>
      <c r="C30" s="28">
        <f t="shared" si="0"/>
        <v>12735.473023044773</v>
      </c>
      <c r="D30">
        <f t="shared" si="1"/>
        <v>2282.8772116981472</v>
      </c>
      <c r="E30" s="28">
        <f t="shared" si="2"/>
        <v>10452.595811346626</v>
      </c>
    </row>
    <row r="31" spans="1:5" x14ac:dyDescent="0.25">
      <c r="A31">
        <v>30</v>
      </c>
      <c r="B31" s="28">
        <f t="shared" si="3"/>
        <v>80862.49265657927</v>
      </c>
      <c r="C31" s="28">
        <f t="shared" si="0"/>
        <v>12735.473023044773</v>
      </c>
      <c r="D31">
        <f t="shared" si="1"/>
        <v>2021.5623164144815</v>
      </c>
      <c r="E31" s="28">
        <f t="shared" si="2"/>
        <v>10713.910706630291</v>
      </c>
    </row>
    <row r="32" spans="1:5" x14ac:dyDescent="0.25">
      <c r="A32">
        <v>31</v>
      </c>
      <c r="B32" s="28">
        <f t="shared" si="3"/>
        <v>70148.581949948973</v>
      </c>
      <c r="C32" s="28">
        <f t="shared" si="0"/>
        <v>12735.473023044773</v>
      </c>
      <c r="D32">
        <f t="shared" si="1"/>
        <v>1753.7145487487242</v>
      </c>
      <c r="E32" s="28">
        <f t="shared" si="2"/>
        <v>10981.75847429605</v>
      </c>
    </row>
    <row r="33" spans="1:5" x14ac:dyDescent="0.25">
      <c r="A33">
        <v>32</v>
      </c>
      <c r="B33" s="28">
        <f t="shared" si="3"/>
        <v>59166.823475652927</v>
      </c>
      <c r="C33" s="28">
        <f t="shared" si="0"/>
        <v>12735.473023044773</v>
      </c>
      <c r="D33">
        <f t="shared" si="1"/>
        <v>1479.170586891323</v>
      </c>
      <c r="E33" s="28">
        <f t="shared" si="2"/>
        <v>11256.30243615345</v>
      </c>
    </row>
    <row r="34" spans="1:5" x14ac:dyDescent="0.25">
      <c r="A34">
        <v>33</v>
      </c>
      <c r="B34" s="28">
        <f t="shared" si="3"/>
        <v>47910.521039499479</v>
      </c>
      <c r="C34" s="28">
        <f t="shared" si="0"/>
        <v>12735.473023044773</v>
      </c>
      <c r="D34">
        <f t="shared" si="1"/>
        <v>1197.7630259874868</v>
      </c>
      <c r="E34" s="28">
        <f t="shared" si="2"/>
        <v>11537.709997057285</v>
      </c>
    </row>
    <row r="35" spans="1:5" x14ac:dyDescent="0.25">
      <c r="A35">
        <v>34</v>
      </c>
      <c r="B35" s="28">
        <f t="shared" si="3"/>
        <v>36372.81104244219</v>
      </c>
      <c r="C35" s="28">
        <f t="shared" si="0"/>
        <v>12735.473023044773</v>
      </c>
      <c r="D35">
        <f t="shared" si="1"/>
        <v>909.32027606105464</v>
      </c>
      <c r="E35" s="28">
        <f t="shared" si="2"/>
        <v>11826.152746983718</v>
      </c>
    </row>
    <row r="36" spans="1:5" x14ac:dyDescent="0.25">
      <c r="A36">
        <v>35</v>
      </c>
      <c r="B36" s="28">
        <f t="shared" si="3"/>
        <v>24546.658295458474</v>
      </c>
      <c r="C36" s="28">
        <f t="shared" si="0"/>
        <v>12735.473023044773</v>
      </c>
      <c r="D36">
        <f t="shared" si="1"/>
        <v>613.66645738646184</v>
      </c>
      <c r="E36" s="28">
        <f t="shared" si="2"/>
        <v>12121.806565658311</v>
      </c>
    </row>
    <row r="37" spans="1:5" x14ac:dyDescent="0.25">
      <c r="A37">
        <v>36</v>
      </c>
      <c r="B37" s="28">
        <f t="shared" si="3"/>
        <v>12424.851729800163</v>
      </c>
      <c r="C37" s="28">
        <f t="shared" si="0"/>
        <v>12735.473023044773</v>
      </c>
      <c r="D37">
        <f t="shared" si="1"/>
        <v>310.62129324500404</v>
      </c>
      <c r="E37" s="28">
        <f t="shared" si="2"/>
        <v>12424.85172979977</v>
      </c>
    </row>
    <row r="38" spans="1:5" x14ac:dyDescent="0.25">
      <c r="B38" s="28">
        <f t="shared" si="3"/>
        <v>3.92901711165905E-10</v>
      </c>
      <c r="C38" s="28">
        <f>SUM(C2:C37)</f>
        <v>458477.02882961155</v>
      </c>
      <c r="D38" s="28">
        <f t="shared" ref="D38:E38" si="4">SUM(D2:D37)</f>
        <v>158477.02882961207</v>
      </c>
      <c r="E38" s="28">
        <f t="shared" si="4"/>
        <v>299999.99999999971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E9" sqref="E9"/>
    </sheetView>
  </sheetViews>
  <sheetFormatPr defaultRowHeight="15" x14ac:dyDescent="0.25"/>
  <cols>
    <col min="1" max="1" width="33.85546875" style="20" customWidth="1"/>
    <col min="2" max="2" width="21.85546875" style="20" customWidth="1"/>
    <col min="3" max="3" width="24.28515625" style="20" customWidth="1"/>
    <col min="4" max="4" width="24.42578125" style="20" customWidth="1"/>
    <col min="5" max="5" width="23.28515625" style="20" customWidth="1"/>
    <col min="7" max="7" width="10.42578125" bestFit="1" customWidth="1"/>
  </cols>
  <sheetData>
    <row r="1" spans="1:8" ht="30.75" thickBot="1" x14ac:dyDescent="0.3">
      <c r="A1" s="11" t="s">
        <v>14</v>
      </c>
      <c r="B1" s="12" t="s">
        <v>31</v>
      </c>
      <c r="C1" s="13" t="s">
        <v>15</v>
      </c>
      <c r="D1" s="13" t="s">
        <v>16</v>
      </c>
      <c r="E1" s="13" t="s">
        <v>17</v>
      </c>
    </row>
    <row r="2" spans="1:8" ht="15.75" thickBot="1" x14ac:dyDescent="0.3">
      <c r="A2" s="21" t="s">
        <v>18</v>
      </c>
      <c r="B2" s="22"/>
      <c r="C2" s="22"/>
      <c r="D2" s="22"/>
      <c r="E2" s="23"/>
      <c r="G2" t="s">
        <v>64</v>
      </c>
    </row>
    <row r="3" spans="1:8" ht="15.75" thickBot="1" x14ac:dyDescent="0.3">
      <c r="A3" s="14" t="s">
        <v>19</v>
      </c>
      <c r="B3" s="15">
        <v>900000</v>
      </c>
      <c r="C3" s="15"/>
      <c r="D3" s="15"/>
      <c r="E3" s="15"/>
    </row>
    <row r="4" spans="1:8" ht="30.75" thickBot="1" x14ac:dyDescent="0.3">
      <c r="A4" s="16" t="s">
        <v>20</v>
      </c>
      <c r="B4" s="17">
        <v>-900000</v>
      </c>
      <c r="C4" s="17"/>
      <c r="D4" s="17"/>
      <c r="E4" s="17"/>
      <c r="F4">
        <v>73</v>
      </c>
      <c r="G4">
        <f>ROUNDUP(F4*1.07,0)</f>
        <v>79</v>
      </c>
      <c r="H4">
        <f>ROUNDUP(G4*1.07,0)</f>
        <v>85</v>
      </c>
    </row>
    <row r="5" spans="1:8" ht="15.75" thickBot="1" x14ac:dyDescent="0.3">
      <c r="A5" s="21" t="s">
        <v>21</v>
      </c>
      <c r="B5" s="22"/>
      <c r="C5" s="22"/>
      <c r="D5" s="22"/>
      <c r="E5" s="23"/>
    </row>
    <row r="6" spans="1:8" ht="15.75" thickBot="1" x14ac:dyDescent="0.3">
      <c r="A6" s="14" t="s">
        <v>51</v>
      </c>
      <c r="B6" s="15"/>
      <c r="C6" s="15">
        <f>ROUNDDOWN(0.85*'Денежные потоки'!C6,0)</f>
        <v>5080</v>
      </c>
      <c r="D6" s="15">
        <f>ROUNDDOWN(0.85*'Денежные потоки'!D6,0)</f>
        <v>6210</v>
      </c>
      <c r="E6" s="15">
        <f>ROUNDDOWN(0.85*'Денежные потоки'!E6,0)</f>
        <v>6210</v>
      </c>
    </row>
    <row r="7" spans="1:8" ht="15.75" thickBot="1" x14ac:dyDescent="0.3">
      <c r="A7" s="14" t="s">
        <v>52</v>
      </c>
      <c r="B7" s="15"/>
      <c r="C7" s="15">
        <f>ROUNDDOWN(0.85*'Денежные потоки'!C7,0)</f>
        <v>1694</v>
      </c>
      <c r="D7" s="15">
        <f>ROUNDDOWN(0.85*'Денежные потоки'!D7,0)</f>
        <v>1786</v>
      </c>
      <c r="E7" s="15">
        <f>ROUNDDOWN(0.85*'Денежные потоки'!E7,0)</f>
        <v>1786</v>
      </c>
    </row>
    <row r="8" spans="1:8" ht="15.75" thickBot="1" x14ac:dyDescent="0.3">
      <c r="A8" s="14" t="s">
        <v>22</v>
      </c>
      <c r="B8" s="15"/>
      <c r="C8" s="15">
        <v>400</v>
      </c>
      <c r="D8" s="15">
        <v>420</v>
      </c>
      <c r="E8" s="15">
        <v>450</v>
      </c>
    </row>
    <row r="9" spans="1:8" ht="15.75" thickBot="1" x14ac:dyDescent="0.3">
      <c r="A9" s="14" t="s">
        <v>23</v>
      </c>
      <c r="B9" s="15"/>
      <c r="C9" s="15">
        <v>580</v>
      </c>
      <c r="D9" s="15">
        <v>610</v>
      </c>
      <c r="E9" s="15">
        <v>630</v>
      </c>
    </row>
    <row r="10" spans="1:8" ht="15.75" thickBot="1" x14ac:dyDescent="0.3">
      <c r="A10" s="14" t="s">
        <v>24</v>
      </c>
      <c r="B10" s="15"/>
      <c r="C10" s="29">
        <f>C6*C8</f>
        <v>2032000</v>
      </c>
      <c r="D10" s="29">
        <f t="shared" ref="D10:E11" si="0">D6*D8</f>
        <v>2608200</v>
      </c>
      <c r="E10" s="29">
        <f t="shared" si="0"/>
        <v>2794500</v>
      </c>
    </row>
    <row r="11" spans="1:8" ht="15.75" thickBot="1" x14ac:dyDescent="0.3">
      <c r="A11" s="14" t="s">
        <v>25</v>
      </c>
      <c r="B11" s="15"/>
      <c r="C11" s="29">
        <f>C7*C9</f>
        <v>982520</v>
      </c>
      <c r="D11" s="29">
        <f t="shared" si="0"/>
        <v>1089460</v>
      </c>
      <c r="E11" s="29">
        <f t="shared" si="0"/>
        <v>1125180</v>
      </c>
    </row>
    <row r="12" spans="1:8" ht="15.75" thickBot="1" x14ac:dyDescent="0.3">
      <c r="A12" s="14" t="s">
        <v>26</v>
      </c>
      <c r="B12" s="15"/>
      <c r="C12" s="29">
        <f>C10+C11</f>
        <v>3014520</v>
      </c>
      <c r="D12" s="29">
        <f t="shared" ref="D12:E12" si="1">D10+D11</f>
        <v>3697660</v>
      </c>
      <c r="E12" s="29">
        <f t="shared" si="1"/>
        <v>3919680</v>
      </c>
    </row>
    <row r="13" spans="1:8" ht="45.75" thickBot="1" x14ac:dyDescent="0.3">
      <c r="A13" s="14" t="s">
        <v>41</v>
      </c>
      <c r="B13" s="15"/>
      <c r="C13" s="29">
        <f>12*('Исходные данные'!B15-'Исходные данные'!B12)</f>
        <v>2114856</v>
      </c>
      <c r="D13" s="29">
        <f>1.07*C13</f>
        <v>2262895.92</v>
      </c>
      <c r="E13" s="29">
        <f>1.07*D13</f>
        <v>2421298.6343999999</v>
      </c>
    </row>
    <row r="14" spans="1:8" ht="15.75" thickBot="1" x14ac:dyDescent="0.3">
      <c r="A14" s="14" t="s">
        <v>42</v>
      </c>
      <c r="B14" s="15"/>
      <c r="C14" s="29">
        <f>Кредит!I4</f>
        <v>80599.430864892245</v>
      </c>
      <c r="D14" s="29">
        <f>Кредит!I5</f>
        <v>55689.406005145422</v>
      </c>
      <c r="E14" s="29">
        <f>Кредит!I6</f>
        <v>22188.191959574426</v>
      </c>
      <c r="F14" s="28"/>
    </row>
    <row r="15" spans="1:8" ht="15.75" thickBot="1" x14ac:dyDescent="0.3">
      <c r="A15" s="14" t="s">
        <v>43</v>
      </c>
      <c r="B15" s="15"/>
      <c r="C15" s="29">
        <f>F4*(C6+C7)</f>
        <v>494502</v>
      </c>
      <c r="D15" s="29">
        <f>G4*(D6+D7)</f>
        <v>631684</v>
      </c>
      <c r="E15" s="29">
        <f>H4*(E6+E7)</f>
        <v>679660</v>
      </c>
    </row>
    <row r="16" spans="1:8" ht="15.75" thickBot="1" x14ac:dyDescent="0.3">
      <c r="A16" s="14" t="s">
        <v>44</v>
      </c>
      <c r="B16" s="15"/>
      <c r="C16" s="29">
        <f>'Исходные данные'!$B$12*12</f>
        <v>37500</v>
      </c>
      <c r="D16" s="29">
        <f>'Исходные данные'!$B$12*12</f>
        <v>37500</v>
      </c>
      <c r="E16" s="29">
        <f>'Исходные данные'!$B$12*12</f>
        <v>37500</v>
      </c>
    </row>
    <row r="17" spans="1:10" ht="15.75" thickBot="1" x14ac:dyDescent="0.3">
      <c r="A17" s="14" t="s">
        <v>45</v>
      </c>
      <c r="B17" s="15"/>
      <c r="C17" s="29">
        <f>SUM(C13:C16)</f>
        <v>2727457.4308648924</v>
      </c>
      <c r="D17" s="29">
        <f t="shared" ref="D17:E17" si="2">SUM(D13:D16)</f>
        <v>2987769.3260051454</v>
      </c>
      <c r="E17" s="29">
        <f t="shared" si="2"/>
        <v>3160646.8263595742</v>
      </c>
    </row>
    <row r="18" spans="1:10" ht="30.75" thickBot="1" x14ac:dyDescent="0.3">
      <c r="A18" s="14" t="s">
        <v>46</v>
      </c>
      <c r="B18" s="15"/>
      <c r="C18" s="29">
        <f>C12-C17</f>
        <v>287062.56913510757</v>
      </c>
      <c r="D18" s="29">
        <f t="shared" ref="D18:E18" si="3">D12-D17</f>
        <v>709890.67399485456</v>
      </c>
      <c r="E18" s="29">
        <f t="shared" si="3"/>
        <v>759033.17364042578</v>
      </c>
    </row>
    <row r="19" spans="1:10" ht="15.75" thickBot="1" x14ac:dyDescent="0.3">
      <c r="A19" s="14" t="s">
        <v>47</v>
      </c>
      <c r="B19" s="15"/>
      <c r="C19" s="29">
        <f>0.15*C18</f>
        <v>43059.385370266136</v>
      </c>
      <c r="D19" s="29">
        <f t="shared" ref="D19:E19" si="4">0.15*D18</f>
        <v>106483.60109922818</v>
      </c>
      <c r="E19" s="29">
        <f t="shared" si="4"/>
        <v>113854.97604606386</v>
      </c>
    </row>
    <row r="20" spans="1:10" ht="30.75" thickBot="1" x14ac:dyDescent="0.3">
      <c r="A20" s="14" t="s">
        <v>48</v>
      </c>
      <c r="B20" s="15"/>
      <c r="C20" s="29">
        <f>C18-C19</f>
        <v>244003.18376484144</v>
      </c>
      <c r="D20" s="29">
        <f t="shared" ref="D20:E20" si="5">D18-D19</f>
        <v>603407.07289562642</v>
      </c>
      <c r="E20" s="29">
        <f t="shared" si="5"/>
        <v>645178.19759436196</v>
      </c>
    </row>
    <row r="21" spans="1:10" ht="30.75" thickBot="1" x14ac:dyDescent="0.3">
      <c r="A21" s="16" t="s">
        <v>49</v>
      </c>
      <c r="B21" s="15"/>
      <c r="C21" s="38">
        <f>C20+C16</f>
        <v>281503.18376484141</v>
      </c>
      <c r="D21" s="38">
        <f t="shared" ref="D21:E21" si="6">D20+D16</f>
        <v>640907.07289562642</v>
      </c>
      <c r="E21" s="38">
        <f t="shared" si="6"/>
        <v>682678.19759436196</v>
      </c>
    </row>
    <row r="22" spans="1:10" ht="15.75" thickBot="1" x14ac:dyDescent="0.3">
      <c r="A22" s="21" t="s">
        <v>27</v>
      </c>
      <c r="B22" s="22"/>
      <c r="C22" s="22"/>
      <c r="D22" s="22"/>
      <c r="E22" s="23"/>
    </row>
    <row r="23" spans="1:10" ht="15.75" thickBot="1" x14ac:dyDescent="0.3">
      <c r="A23" s="14" t="s">
        <v>56</v>
      </c>
      <c r="B23" s="15">
        <v>300000</v>
      </c>
      <c r="C23" s="15"/>
      <c r="D23" s="15"/>
      <c r="E23" s="15"/>
    </row>
    <row r="24" spans="1:10" ht="15.75" thickBot="1" x14ac:dyDescent="0.3">
      <c r="A24" s="14" t="s">
        <v>28</v>
      </c>
      <c r="B24" s="15">
        <v>600000</v>
      </c>
      <c r="C24" s="15"/>
      <c r="D24" s="15"/>
      <c r="E24" s="15"/>
    </row>
    <row r="25" spans="1:10" ht="30.75" thickBot="1" x14ac:dyDescent="0.3">
      <c r="A25" s="14" t="s">
        <v>39</v>
      </c>
      <c r="B25" s="15"/>
      <c r="C25" s="29">
        <f>Кредит!J4</f>
        <v>72226.245411645024</v>
      </c>
      <c r="D25" s="29">
        <f>Кредит!J5</f>
        <v>97136.27027139187</v>
      </c>
      <c r="E25" s="29">
        <f>Кредит!J6</f>
        <v>130637.48431696284</v>
      </c>
      <c r="G25" s="28">
        <f>SUM(C25:E25)</f>
        <v>299999.99999999971</v>
      </c>
    </row>
    <row r="26" spans="1:10" ht="15.75" thickBot="1" x14ac:dyDescent="0.3">
      <c r="A26" s="14" t="s">
        <v>40</v>
      </c>
      <c r="B26" s="15"/>
      <c r="C26" s="29">
        <v>587000</v>
      </c>
      <c r="D26" s="29">
        <v>13000</v>
      </c>
      <c r="E26" s="29"/>
      <c r="G26" s="28">
        <f>SUM(C26:E26)</f>
        <v>600000</v>
      </c>
    </row>
    <row r="27" spans="1:10" ht="30.75" thickBot="1" x14ac:dyDescent="0.3">
      <c r="A27" s="16" t="s">
        <v>38</v>
      </c>
      <c r="B27" s="15">
        <f>B23+B24-B25-B26</f>
        <v>900000</v>
      </c>
      <c r="C27" s="29">
        <f t="shared" ref="C27:E27" si="7">C23+C24-C25-C26</f>
        <v>-659226.24541164504</v>
      </c>
      <c r="D27" s="29">
        <f t="shared" si="7"/>
        <v>-110136.27027139187</v>
      </c>
      <c r="E27" s="29">
        <f t="shared" si="7"/>
        <v>-130637.48431696284</v>
      </c>
    </row>
    <row r="28" spans="1:10" ht="15.75" thickBot="1" x14ac:dyDescent="0.3">
      <c r="A28" s="18" t="s">
        <v>29</v>
      </c>
      <c r="B28" s="19">
        <f>B27+B21+B4</f>
        <v>0</v>
      </c>
      <c r="C28" s="30">
        <f t="shared" ref="C28:E28" si="8">C27+C21+C4</f>
        <v>-377723.06164680363</v>
      </c>
      <c r="D28" s="30">
        <f t="shared" si="8"/>
        <v>530770.80262423458</v>
      </c>
      <c r="E28" s="30">
        <f t="shared" si="8"/>
        <v>552040.71327739907</v>
      </c>
    </row>
    <row r="29" spans="1:10" ht="29.25" thickBot="1" x14ac:dyDescent="0.3">
      <c r="A29" s="18" t="s">
        <v>30</v>
      </c>
      <c r="B29" s="19">
        <f>B28</f>
        <v>0</v>
      </c>
      <c r="C29" s="30">
        <f>C28+B29</f>
        <v>-377723.06164680363</v>
      </c>
      <c r="D29" s="30">
        <f t="shared" ref="D29:E29" si="9">D28+C29</f>
        <v>153047.74097743095</v>
      </c>
      <c r="E29" s="39">
        <f t="shared" si="9"/>
        <v>705088.45425483002</v>
      </c>
    </row>
    <row r="31" spans="1:10" ht="15.75" thickBot="1" x14ac:dyDescent="0.3">
      <c r="B31" s="20">
        <v>0</v>
      </c>
      <c r="C31" s="20">
        <v>1</v>
      </c>
      <c r="D31" s="20">
        <v>2</v>
      </c>
      <c r="E31" s="20">
        <v>3</v>
      </c>
      <c r="F31" s="20"/>
      <c r="H31" t="s">
        <v>65</v>
      </c>
      <c r="J31" s="40">
        <f>21%+3%</f>
        <v>0.24</v>
      </c>
    </row>
    <row r="32" spans="1:10" ht="29.25" thickBot="1" x14ac:dyDescent="0.3">
      <c r="A32" s="24" t="s">
        <v>55</v>
      </c>
      <c r="B32" s="42">
        <f>1/(1+$J$34)^B31</f>
        <v>1</v>
      </c>
      <c r="C32" s="42">
        <f t="shared" ref="C32:E32" si="10">1/(1+$J$34)^C31</f>
        <v>0.79365079365079361</v>
      </c>
      <c r="D32" s="42">
        <f t="shared" si="10"/>
        <v>0.62988158226253455</v>
      </c>
      <c r="E32" s="42">
        <f t="shared" si="10"/>
        <v>0.49990601766867826</v>
      </c>
      <c r="H32" t="s">
        <v>66</v>
      </c>
      <c r="J32" s="35">
        <v>0.3</v>
      </c>
    </row>
    <row r="33" spans="1:10" ht="15.75" thickBot="1" x14ac:dyDescent="0.3">
      <c r="A33" s="18" t="s">
        <v>32</v>
      </c>
      <c r="B33" s="41">
        <f>B21*B32</f>
        <v>0</v>
      </c>
      <c r="C33" s="41">
        <f t="shared" ref="C33:E33" si="11">C21*C32</f>
        <v>223415.22521019159</v>
      </c>
      <c r="D33" s="41">
        <f t="shared" si="11"/>
        <v>403695.56115874671</v>
      </c>
      <c r="E33" s="41">
        <f t="shared" si="11"/>
        <v>341274.93910862855</v>
      </c>
    </row>
    <row r="34" spans="1:10" ht="15.75" thickBot="1" x14ac:dyDescent="0.3">
      <c r="A34" s="18" t="s">
        <v>33</v>
      </c>
      <c r="B34" s="41">
        <f>B33</f>
        <v>0</v>
      </c>
      <c r="C34" s="43">
        <f>B34+C33</f>
        <v>223415.22521019159</v>
      </c>
      <c r="D34" s="43">
        <f t="shared" ref="D34:E34" si="12">C34+D33</f>
        <v>627110.78636893828</v>
      </c>
      <c r="E34" s="43">
        <f t="shared" si="12"/>
        <v>968385.72547756683</v>
      </c>
      <c r="H34" t="s">
        <v>67</v>
      </c>
      <c r="J34">
        <f>B23/B3*J32+B24/B3*J31</f>
        <v>0.25999999999999995</v>
      </c>
    </row>
    <row r="35" spans="1:10" ht="43.5" thickBot="1" x14ac:dyDescent="0.3">
      <c r="A35" s="18" t="s">
        <v>34</v>
      </c>
      <c r="B35" s="43">
        <f>B34-$B$3</f>
        <v>-900000</v>
      </c>
      <c r="C35" s="43">
        <f t="shared" ref="C35:D35" si="13">C34-$B$3</f>
        <v>-676584.77478980843</v>
      </c>
      <c r="D35" s="43">
        <f t="shared" si="13"/>
        <v>-272889.21363106172</v>
      </c>
      <c r="E35" s="44">
        <f>E34-$B$3</f>
        <v>68385.725477566826</v>
      </c>
      <c r="J35">
        <f>B23/B3*J32+B24/B3*J31</f>
        <v>0.25999999999999995</v>
      </c>
    </row>
    <row r="36" spans="1:10" ht="15.75" thickBot="1" x14ac:dyDescent="0.3"/>
    <row r="37" spans="1:10" ht="15.75" thickBot="1" x14ac:dyDescent="0.3">
      <c r="A37" s="25" t="s">
        <v>35</v>
      </c>
      <c r="B37" s="31">
        <f>E35</f>
        <v>68385.725477566826</v>
      </c>
    </row>
    <row r="38" spans="1:10" ht="15.75" thickBot="1" x14ac:dyDescent="0.3">
      <c r="A38" s="26" t="s">
        <v>36</v>
      </c>
      <c r="B38" s="32">
        <f>2+(-D35)/E33</f>
        <v>2.7996169139867622</v>
      </c>
      <c r="C38" s="20">
        <v>2</v>
      </c>
      <c r="D38" s="20" t="s">
        <v>68</v>
      </c>
      <c r="E38" s="45">
        <f>(B38-C38)*12</f>
        <v>9.5954029678411459</v>
      </c>
      <c r="F38" t="s">
        <v>69</v>
      </c>
    </row>
    <row r="39" spans="1:10" ht="15.75" thickBot="1" x14ac:dyDescent="0.3">
      <c r="A39" s="27" t="s">
        <v>37</v>
      </c>
      <c r="B39" s="33">
        <f>E34/$B$3</f>
        <v>1.0759841394195186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16" workbookViewId="0">
      <selection activeCell="K37" sqref="K37"/>
    </sheetView>
  </sheetViews>
  <sheetFormatPr defaultRowHeight="15" x14ac:dyDescent="0.25"/>
  <cols>
    <col min="1" max="1" width="33.85546875" style="20" customWidth="1"/>
    <col min="2" max="2" width="21.85546875" style="20" customWidth="1"/>
    <col min="3" max="3" width="24.28515625" style="20" customWidth="1"/>
    <col min="4" max="4" width="24.42578125" style="20" customWidth="1"/>
    <col min="5" max="5" width="23.28515625" style="20" customWidth="1"/>
    <col min="7" max="7" width="10.42578125" bestFit="1" customWidth="1"/>
  </cols>
  <sheetData>
    <row r="1" spans="1:8" ht="30.75" thickBot="1" x14ac:dyDescent="0.3">
      <c r="A1" s="11" t="s">
        <v>14</v>
      </c>
      <c r="B1" s="12" t="s">
        <v>31</v>
      </c>
      <c r="C1" s="13" t="s">
        <v>15</v>
      </c>
      <c r="D1" s="13" t="s">
        <v>16</v>
      </c>
      <c r="E1" s="13" t="s">
        <v>17</v>
      </c>
    </row>
    <row r="2" spans="1:8" ht="15.75" thickBot="1" x14ac:dyDescent="0.3">
      <c r="A2" s="21" t="s">
        <v>18</v>
      </c>
      <c r="B2" s="22"/>
      <c r="C2" s="22"/>
      <c r="D2" s="22"/>
      <c r="E2" s="23"/>
      <c r="G2" t="s">
        <v>64</v>
      </c>
    </row>
    <row r="3" spans="1:8" ht="15.75" thickBot="1" x14ac:dyDescent="0.3">
      <c r="A3" s="14" t="s">
        <v>19</v>
      </c>
      <c r="B3" s="15">
        <v>900000</v>
      </c>
      <c r="C3" s="15"/>
      <c r="D3" s="15"/>
      <c r="E3" s="15"/>
    </row>
    <row r="4" spans="1:8" ht="30.75" thickBot="1" x14ac:dyDescent="0.3">
      <c r="A4" s="16" t="s">
        <v>20</v>
      </c>
      <c r="B4" s="17">
        <v>-900000</v>
      </c>
      <c r="C4" s="17"/>
      <c r="D4" s="17"/>
      <c r="E4" s="17"/>
      <c r="F4">
        <v>73</v>
      </c>
      <c r="G4">
        <f>ROUNDUP(F4*1.07,0)</f>
        <v>79</v>
      </c>
      <c r="H4">
        <f>ROUNDUP(G4*1.07,0)</f>
        <v>85</v>
      </c>
    </row>
    <row r="5" spans="1:8" ht="15.75" thickBot="1" x14ac:dyDescent="0.3">
      <c r="A5" s="21" t="s">
        <v>21</v>
      </c>
      <c r="B5" s="22"/>
      <c r="C5" s="22"/>
      <c r="D5" s="22"/>
      <c r="E5" s="23"/>
    </row>
    <row r="6" spans="1:8" ht="15.75" thickBot="1" x14ac:dyDescent="0.3">
      <c r="A6" s="14" t="s">
        <v>51</v>
      </c>
      <c r="B6" s="15"/>
      <c r="C6" s="15">
        <v>5977</v>
      </c>
      <c r="D6" s="15">
        <v>7307</v>
      </c>
      <c r="E6" s="15">
        <v>7307</v>
      </c>
    </row>
    <row r="7" spans="1:8" ht="15.75" thickBot="1" x14ac:dyDescent="0.3">
      <c r="A7" s="14" t="s">
        <v>52</v>
      </c>
      <c r="B7" s="15"/>
      <c r="C7" s="15">
        <v>1993</v>
      </c>
      <c r="D7" s="15">
        <v>2102</v>
      </c>
      <c r="E7" s="15">
        <v>2102</v>
      </c>
    </row>
    <row r="8" spans="1:8" ht="15.75" thickBot="1" x14ac:dyDescent="0.3">
      <c r="A8" s="14" t="s">
        <v>22</v>
      </c>
      <c r="B8" s="15"/>
      <c r="C8" s="15">
        <v>400</v>
      </c>
      <c r="D8" s="15">
        <v>420</v>
      </c>
      <c r="E8" s="15">
        <v>450</v>
      </c>
    </row>
    <row r="9" spans="1:8" ht="15.75" thickBot="1" x14ac:dyDescent="0.3">
      <c r="A9" s="14" t="s">
        <v>23</v>
      </c>
      <c r="B9" s="15"/>
      <c r="C9" s="15">
        <v>580</v>
      </c>
      <c r="D9" s="15">
        <v>610</v>
      </c>
      <c r="E9" s="15">
        <v>630</v>
      </c>
    </row>
    <row r="10" spans="1:8" ht="15.75" thickBot="1" x14ac:dyDescent="0.3">
      <c r="A10" s="14" t="s">
        <v>24</v>
      </c>
      <c r="B10" s="15"/>
      <c r="C10" s="29">
        <f>C6*C8</f>
        <v>2390800</v>
      </c>
      <c r="D10" s="29">
        <f t="shared" ref="D10:E11" si="0">D6*D8</f>
        <v>3068940</v>
      </c>
      <c r="E10" s="29">
        <f t="shared" si="0"/>
        <v>3288150</v>
      </c>
    </row>
    <row r="11" spans="1:8" ht="15.75" thickBot="1" x14ac:dyDescent="0.3">
      <c r="A11" s="14" t="s">
        <v>25</v>
      </c>
      <c r="B11" s="15"/>
      <c r="C11" s="29">
        <f>C7*C9</f>
        <v>1155940</v>
      </c>
      <c r="D11" s="29">
        <f t="shared" si="0"/>
        <v>1282220</v>
      </c>
      <c r="E11" s="29">
        <f t="shared" si="0"/>
        <v>1324260</v>
      </c>
    </row>
    <row r="12" spans="1:8" ht="15.75" thickBot="1" x14ac:dyDescent="0.3">
      <c r="A12" s="14" t="s">
        <v>26</v>
      </c>
      <c r="B12" s="15"/>
      <c r="C12" s="29">
        <f>C10+C11</f>
        <v>3546740</v>
      </c>
      <c r="D12" s="29">
        <f t="shared" ref="D12:E12" si="1">D10+D11</f>
        <v>4351160</v>
      </c>
      <c r="E12" s="29">
        <f t="shared" si="1"/>
        <v>4612410</v>
      </c>
    </row>
    <row r="13" spans="1:8" ht="45.75" thickBot="1" x14ac:dyDescent="0.3">
      <c r="A13" s="14" t="s">
        <v>41</v>
      </c>
      <c r="B13" s="15"/>
      <c r="C13" s="29">
        <f>12*('Исходные данные'!B15-'Исходные данные'!B12)</f>
        <v>2114856</v>
      </c>
      <c r="D13" s="29">
        <f>1.07*C13</f>
        <v>2262895.92</v>
      </c>
      <c r="E13" s="29">
        <f>1.07*D13</f>
        <v>2421298.6343999999</v>
      </c>
    </row>
    <row r="14" spans="1:8" ht="15.75" thickBot="1" x14ac:dyDescent="0.3">
      <c r="A14" s="14" t="s">
        <v>42</v>
      </c>
      <c r="B14" s="15"/>
      <c r="C14" s="29">
        <f>Кредит!I4</f>
        <v>80599.430864892245</v>
      </c>
      <c r="D14" s="29">
        <f>Кредит!I5</f>
        <v>55689.406005145422</v>
      </c>
      <c r="E14" s="29">
        <f>Кредит!I6</f>
        <v>22188.191959574426</v>
      </c>
      <c r="F14" s="28"/>
    </row>
    <row r="15" spans="1:8" ht="15.75" thickBot="1" x14ac:dyDescent="0.3">
      <c r="A15" s="14" t="s">
        <v>43</v>
      </c>
      <c r="B15" s="15"/>
      <c r="C15" s="29">
        <f>F4*(C6+C7)</f>
        <v>581810</v>
      </c>
      <c r="D15" s="29">
        <f>G4*(D6+D7)</f>
        <v>743311</v>
      </c>
      <c r="E15" s="29">
        <f>H4*(E6+E7)</f>
        <v>799765</v>
      </c>
    </row>
    <row r="16" spans="1:8" ht="15.75" thickBot="1" x14ac:dyDescent="0.3">
      <c r="A16" s="14" t="s">
        <v>44</v>
      </c>
      <c r="B16" s="15"/>
      <c r="C16" s="29">
        <f>'Исходные данные'!$B$12*12</f>
        <v>37500</v>
      </c>
      <c r="D16" s="29">
        <f>'Исходные данные'!$B$12*12</f>
        <v>37500</v>
      </c>
      <c r="E16" s="29">
        <f>'Исходные данные'!$B$12*12</f>
        <v>37500</v>
      </c>
    </row>
    <row r="17" spans="1:10" ht="15.75" thickBot="1" x14ac:dyDescent="0.3">
      <c r="A17" s="14" t="s">
        <v>45</v>
      </c>
      <c r="B17" s="15"/>
      <c r="C17" s="29">
        <f>SUM(C13:C16)</f>
        <v>2814765.4308648924</v>
      </c>
      <c r="D17" s="29">
        <f t="shared" ref="D17:E17" si="2">SUM(D13:D16)</f>
        <v>3099396.3260051454</v>
      </c>
      <c r="E17" s="29">
        <f t="shared" si="2"/>
        <v>3280751.8263595742</v>
      </c>
    </row>
    <row r="18" spans="1:10" ht="30.75" thickBot="1" x14ac:dyDescent="0.3">
      <c r="A18" s="14" t="s">
        <v>46</v>
      </c>
      <c r="B18" s="15"/>
      <c r="C18" s="29">
        <f>C12-C17</f>
        <v>731974.56913510757</v>
      </c>
      <c r="D18" s="29">
        <f t="shared" ref="D18:E18" si="3">D12-D17</f>
        <v>1251763.6739948546</v>
      </c>
      <c r="E18" s="29">
        <f t="shared" si="3"/>
        <v>1331658.1736404258</v>
      </c>
    </row>
    <row r="19" spans="1:10" ht="15.75" thickBot="1" x14ac:dyDescent="0.3">
      <c r="A19" s="14" t="s">
        <v>47</v>
      </c>
      <c r="B19" s="15"/>
      <c r="C19" s="29">
        <f>0.15*C18</f>
        <v>109796.18537026613</v>
      </c>
      <c r="D19" s="29">
        <f t="shared" ref="D19:E19" si="4">0.15*D18</f>
        <v>187764.55109922818</v>
      </c>
      <c r="E19" s="29">
        <f t="shared" si="4"/>
        <v>199748.72604606385</v>
      </c>
    </row>
    <row r="20" spans="1:10" ht="30.75" thickBot="1" x14ac:dyDescent="0.3">
      <c r="A20" s="14" t="s">
        <v>48</v>
      </c>
      <c r="B20" s="15"/>
      <c r="C20" s="29">
        <f>C18-C19</f>
        <v>622178.38376484148</v>
      </c>
      <c r="D20" s="29">
        <f t="shared" ref="D20:E20" si="5">D18-D19</f>
        <v>1063999.1228956264</v>
      </c>
      <c r="E20" s="29">
        <f t="shared" si="5"/>
        <v>1131909.4475943618</v>
      </c>
    </row>
    <row r="21" spans="1:10" ht="30.75" thickBot="1" x14ac:dyDescent="0.3">
      <c r="A21" s="16" t="s">
        <v>49</v>
      </c>
      <c r="B21" s="15"/>
      <c r="C21" s="38">
        <f>C20+C16</f>
        <v>659678.38376484148</v>
      </c>
      <c r="D21" s="38">
        <f t="shared" ref="D21:E21" si="6">D20+D16</f>
        <v>1101499.1228956264</v>
      </c>
      <c r="E21" s="38">
        <f t="shared" si="6"/>
        <v>1169409.4475943618</v>
      </c>
    </row>
    <row r="22" spans="1:10" ht="15.75" thickBot="1" x14ac:dyDescent="0.3">
      <c r="A22" s="21" t="s">
        <v>27</v>
      </c>
      <c r="B22" s="22"/>
      <c r="C22" s="22"/>
      <c r="D22" s="22"/>
      <c r="E22" s="23"/>
    </row>
    <row r="23" spans="1:10" ht="15.75" thickBot="1" x14ac:dyDescent="0.3">
      <c r="A23" s="14" t="s">
        <v>56</v>
      </c>
      <c r="B23" s="15">
        <v>300000</v>
      </c>
      <c r="C23" s="15"/>
      <c r="D23" s="15"/>
      <c r="E23" s="15"/>
    </row>
    <row r="24" spans="1:10" ht="15.75" thickBot="1" x14ac:dyDescent="0.3">
      <c r="A24" s="14" t="s">
        <v>28</v>
      </c>
      <c r="B24" s="15">
        <v>600000</v>
      </c>
      <c r="C24" s="15"/>
      <c r="D24" s="15"/>
      <c r="E24" s="15"/>
    </row>
    <row r="25" spans="1:10" ht="30.75" thickBot="1" x14ac:dyDescent="0.3">
      <c r="A25" s="14" t="s">
        <v>39</v>
      </c>
      <c r="B25" s="15"/>
      <c r="C25" s="29">
        <f>Кредит!J4</f>
        <v>72226.245411645024</v>
      </c>
      <c r="D25" s="29">
        <f>Кредит!J5</f>
        <v>97136.27027139187</v>
      </c>
      <c r="E25" s="29">
        <f>Кредит!J6</f>
        <v>130637.48431696284</v>
      </c>
      <c r="G25" s="28">
        <f>SUM(C25:E25)</f>
        <v>299999.99999999971</v>
      </c>
    </row>
    <row r="26" spans="1:10" ht="15.75" thickBot="1" x14ac:dyDescent="0.3">
      <c r="A26" s="14" t="s">
        <v>40</v>
      </c>
      <c r="B26" s="15"/>
      <c r="C26" s="29">
        <v>587000</v>
      </c>
      <c r="D26" s="29">
        <v>13000</v>
      </c>
      <c r="E26" s="29"/>
      <c r="G26" s="28">
        <f>SUM(C26:E26)</f>
        <v>600000</v>
      </c>
    </row>
    <row r="27" spans="1:10" ht="30.75" thickBot="1" x14ac:dyDescent="0.3">
      <c r="A27" s="16" t="s">
        <v>38</v>
      </c>
      <c r="B27" s="15">
        <f>B23+B24-B25-B26</f>
        <v>900000</v>
      </c>
      <c r="C27" s="29">
        <f t="shared" ref="C27:E27" si="7">C23+C24-C25-C26</f>
        <v>-659226.24541164504</v>
      </c>
      <c r="D27" s="29">
        <f t="shared" si="7"/>
        <v>-110136.27027139187</v>
      </c>
      <c r="E27" s="29">
        <f t="shared" si="7"/>
        <v>-130637.48431696284</v>
      </c>
    </row>
    <row r="28" spans="1:10" ht="15.75" thickBot="1" x14ac:dyDescent="0.3">
      <c r="A28" s="18" t="s">
        <v>29</v>
      </c>
      <c r="B28" s="19">
        <f>B27+B21+B4</f>
        <v>0</v>
      </c>
      <c r="C28" s="30">
        <f t="shared" ref="C28:E28" si="8">C27+C21+C4</f>
        <v>452.1383531964384</v>
      </c>
      <c r="D28" s="30">
        <f t="shared" si="8"/>
        <v>991362.85262423451</v>
      </c>
      <c r="E28" s="30">
        <f t="shared" si="8"/>
        <v>1038771.963277399</v>
      </c>
    </row>
    <row r="29" spans="1:10" ht="29.25" thickBot="1" x14ac:dyDescent="0.3">
      <c r="A29" s="18" t="s">
        <v>30</v>
      </c>
      <c r="B29" s="19">
        <f>B28</f>
        <v>0</v>
      </c>
      <c r="C29" s="30">
        <f>C28+B29</f>
        <v>452.1383531964384</v>
      </c>
      <c r="D29" s="30">
        <f t="shared" ref="D29:E29" si="9">D28+C29</f>
        <v>991814.99097743095</v>
      </c>
      <c r="E29" s="39">
        <f t="shared" si="9"/>
        <v>2030586.9542548298</v>
      </c>
    </row>
    <row r="31" spans="1:10" ht="15.75" thickBot="1" x14ac:dyDescent="0.3">
      <c r="B31" s="20">
        <v>0</v>
      </c>
      <c r="C31" s="20">
        <v>1</v>
      </c>
      <c r="D31" s="20">
        <v>2</v>
      </c>
      <c r="E31" s="20">
        <v>3</v>
      </c>
      <c r="F31" s="20"/>
      <c r="H31" t="s">
        <v>65</v>
      </c>
      <c r="J31" s="40">
        <f>45%</f>
        <v>0.45</v>
      </c>
    </row>
    <row r="32" spans="1:10" ht="29.25" thickBot="1" x14ac:dyDescent="0.3">
      <c r="A32" s="24" t="s">
        <v>55</v>
      </c>
      <c r="B32" s="42">
        <f>1/(1+$J$34)^B31</f>
        <v>1</v>
      </c>
      <c r="C32" s="42">
        <f t="shared" ref="C32:E32" si="10">1/(1+$J$34)^C31</f>
        <v>0.7142857142857143</v>
      </c>
      <c r="D32" s="42">
        <f t="shared" si="10"/>
        <v>0.51020408163265318</v>
      </c>
      <c r="E32" s="42">
        <f t="shared" si="10"/>
        <v>0.36443148688046656</v>
      </c>
      <c r="H32" t="s">
        <v>66</v>
      </c>
      <c r="J32" s="35">
        <v>0.3</v>
      </c>
    </row>
    <row r="33" spans="1:10" ht="15.75" thickBot="1" x14ac:dyDescent="0.3">
      <c r="A33" s="18" t="s">
        <v>32</v>
      </c>
      <c r="B33" s="41">
        <f>B21*B32</f>
        <v>0</v>
      </c>
      <c r="C33" s="41">
        <f t="shared" ref="C33:E33" si="11">C21*C32</f>
        <v>471198.84554631537</v>
      </c>
      <c r="D33" s="41">
        <f t="shared" si="11"/>
        <v>561989.348416136</v>
      </c>
      <c r="E33" s="41">
        <f t="shared" si="11"/>
        <v>426169.62375887833</v>
      </c>
    </row>
    <row r="34" spans="1:10" ht="15.75" thickBot="1" x14ac:dyDescent="0.3">
      <c r="A34" s="18" t="s">
        <v>33</v>
      </c>
      <c r="B34" s="41">
        <f>B33</f>
        <v>0</v>
      </c>
      <c r="C34" s="43">
        <f>B34+C33</f>
        <v>471198.84554631537</v>
      </c>
      <c r="D34" s="43">
        <f t="shared" ref="D34:E34" si="12">C34+D33</f>
        <v>1033188.1939624513</v>
      </c>
      <c r="E34" s="43">
        <f t="shared" si="12"/>
        <v>1459357.8177213296</v>
      </c>
      <c r="H34" t="s">
        <v>67</v>
      </c>
      <c r="J34">
        <f>B23/B3*J32+B24/B3*J31</f>
        <v>0.39999999999999997</v>
      </c>
    </row>
    <row r="35" spans="1:10" ht="43.5" thickBot="1" x14ac:dyDescent="0.3">
      <c r="A35" s="18" t="s">
        <v>34</v>
      </c>
      <c r="B35" s="43">
        <f>B34-$B$3</f>
        <v>-900000</v>
      </c>
      <c r="C35" s="43">
        <f t="shared" ref="C35:D35" si="13">C34-$B$3</f>
        <v>-428801.15445368463</v>
      </c>
      <c r="D35" s="43">
        <f t="shared" si="13"/>
        <v>133188.1939624513</v>
      </c>
      <c r="E35" s="44">
        <f>E34-$B$3</f>
        <v>559357.81772132963</v>
      </c>
      <c r="J35">
        <f>B23/B3*J32+B24/B3*J31</f>
        <v>0.39999999999999997</v>
      </c>
    </row>
    <row r="36" spans="1:10" ht="15.75" thickBot="1" x14ac:dyDescent="0.3"/>
    <row r="37" spans="1:10" ht="15.75" thickBot="1" x14ac:dyDescent="0.3">
      <c r="A37" s="25" t="s">
        <v>35</v>
      </c>
      <c r="B37" s="31">
        <f>E35</f>
        <v>559357.81772132963</v>
      </c>
    </row>
    <row r="38" spans="1:10" ht="15.75" thickBot="1" x14ac:dyDescent="0.3">
      <c r="A38" s="26" t="s">
        <v>36</v>
      </c>
      <c r="B38" s="32">
        <f>1+(-C35)/D33</f>
        <v>1.7630058392782391</v>
      </c>
      <c r="C38" s="20">
        <v>1</v>
      </c>
      <c r="D38" s="20" t="s">
        <v>68</v>
      </c>
      <c r="E38" s="45">
        <f>(B38-C38)*12</f>
        <v>9.1560700713388687</v>
      </c>
      <c r="F38" t="s">
        <v>69</v>
      </c>
    </row>
    <row r="39" spans="1:10" ht="15.75" thickBot="1" x14ac:dyDescent="0.3">
      <c r="A39" s="27" t="s">
        <v>37</v>
      </c>
      <c r="B39" s="33">
        <f>E34/$B$3</f>
        <v>1.6215086863570329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Исходные данные</vt:lpstr>
      <vt:lpstr>Денежные потоки</vt:lpstr>
      <vt:lpstr>Кредит</vt:lpstr>
      <vt:lpstr>анализ чувст.объем-15%</vt:lpstr>
      <vt:lpstr>анализ чувств. ставка диск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GUEST</cp:lastModifiedBy>
  <dcterms:created xsi:type="dcterms:W3CDTF">2023-09-22T09:22:45Z</dcterms:created>
  <dcterms:modified xsi:type="dcterms:W3CDTF">2024-11-28T08:41:48Z</dcterms:modified>
</cp:coreProperties>
</file>