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roto\Downloads\"/>
    </mc:Choice>
  </mc:AlternateContent>
  <xr:revisionPtr revIDLastSave="0" documentId="13_ncr:1_{C1D0922E-1E76-408C-BB4D-72A281BD8C69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Исходные данные" sheetId="1" r:id="rId1"/>
    <sheet name="Денежные потоки" sheetId="2" r:id="rId2"/>
    <sheet name="Кредит" sheetId="3" r:id="rId3"/>
    <sheet name="анализ чувст.объем-15%" sheetId="4" r:id="rId4"/>
    <sheet name="анализ чувств. ставка диск" sheetId="5" r:id="rId5"/>
    <sheet name="Лист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6" l="1"/>
  <c r="B27" i="6"/>
  <c r="H26" i="6"/>
  <c r="B4" i="6"/>
  <c r="D16" i="6"/>
  <c r="E16" i="6"/>
  <c r="F16" i="6"/>
  <c r="G16" i="6"/>
  <c r="C16" i="6"/>
  <c r="D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J31" i="6"/>
  <c r="J35" i="6" s="1"/>
  <c r="D15" i="6"/>
  <c r="E15" i="6"/>
  <c r="F15" i="6"/>
  <c r="G15" i="6"/>
  <c r="D12" i="6"/>
  <c r="E12" i="6"/>
  <c r="F12" i="6"/>
  <c r="D10" i="6"/>
  <c r="E10" i="6"/>
  <c r="F10" i="6"/>
  <c r="G10" i="6"/>
  <c r="G12" i="6" s="1"/>
  <c r="B29" i="6"/>
  <c r="C15" i="6"/>
  <c r="C10" i="6"/>
  <c r="E2" i="3" l="1"/>
  <c r="B3" i="3" s="1"/>
  <c r="D3" i="3" s="1"/>
  <c r="C62" i="3"/>
  <c r="C12" i="6"/>
  <c r="J34" i="6"/>
  <c r="J31" i="5"/>
  <c r="J35" i="5"/>
  <c r="B27" i="5"/>
  <c r="B28" i="5" s="1"/>
  <c r="B29" i="5" s="1"/>
  <c r="G26" i="5"/>
  <c r="E16" i="5"/>
  <c r="D16" i="5"/>
  <c r="C16" i="5"/>
  <c r="C15" i="5"/>
  <c r="E11" i="5"/>
  <c r="D11" i="5"/>
  <c r="C11" i="5"/>
  <c r="E10" i="5"/>
  <c r="E12" i="5" s="1"/>
  <c r="D10" i="5"/>
  <c r="D12" i="5" s="1"/>
  <c r="C10" i="5"/>
  <c r="C12" i="5" s="1"/>
  <c r="G4" i="5"/>
  <c r="D15" i="5" s="1"/>
  <c r="C6" i="4"/>
  <c r="D6" i="4"/>
  <c r="D10" i="4" s="1"/>
  <c r="E6" i="4"/>
  <c r="E10" i="4" s="1"/>
  <c r="C7" i="4"/>
  <c r="C11" i="4" s="1"/>
  <c r="D7" i="4"/>
  <c r="E7" i="4"/>
  <c r="E11" i="4" s="1"/>
  <c r="D11" i="4"/>
  <c r="J31" i="4"/>
  <c r="J34" i="4" s="1"/>
  <c r="B27" i="4"/>
  <c r="B28" i="4" s="1"/>
  <c r="B29" i="4" s="1"/>
  <c r="G26" i="4"/>
  <c r="E16" i="4"/>
  <c r="D16" i="4"/>
  <c r="C16" i="4"/>
  <c r="G4" i="4"/>
  <c r="J34" i="2"/>
  <c r="C32" i="2" s="1"/>
  <c r="J31" i="2"/>
  <c r="J35" i="2" s="1"/>
  <c r="G26" i="2"/>
  <c r="B27" i="2"/>
  <c r="B28" i="2" s="1"/>
  <c r="B29" i="2" s="1"/>
  <c r="G4" i="2"/>
  <c r="D15" i="2" s="1"/>
  <c r="D16" i="2"/>
  <c r="E16" i="2"/>
  <c r="C16" i="2"/>
  <c r="C15" i="2"/>
  <c r="D12" i="2"/>
  <c r="E12" i="2"/>
  <c r="C12" i="2"/>
  <c r="D11" i="2"/>
  <c r="E11" i="2"/>
  <c r="C11" i="2"/>
  <c r="D10" i="2"/>
  <c r="E10" i="2"/>
  <c r="C10" i="2"/>
  <c r="B32" i="2" l="1"/>
  <c r="B33" i="2" s="1"/>
  <c r="B34" i="2" s="1"/>
  <c r="E32" i="2"/>
  <c r="D32" i="2"/>
  <c r="H4" i="2"/>
  <c r="E15" i="2" s="1"/>
  <c r="E32" i="6"/>
  <c r="F32" i="6"/>
  <c r="G32" i="6"/>
  <c r="D32" i="6"/>
  <c r="C32" i="6"/>
  <c r="B32" i="6"/>
  <c r="B33" i="6" s="1"/>
  <c r="B34" i="6" s="1"/>
  <c r="J34" i="5"/>
  <c r="H4" i="5"/>
  <c r="E15" i="5" s="1"/>
  <c r="E12" i="4"/>
  <c r="D12" i="4"/>
  <c r="C15" i="4"/>
  <c r="D15" i="4"/>
  <c r="C10" i="4"/>
  <c r="C12" i="4" s="1"/>
  <c r="E32" i="4"/>
  <c r="D32" i="4"/>
  <c r="C32" i="4"/>
  <c r="B32" i="4"/>
  <c r="B33" i="4" s="1"/>
  <c r="B34" i="4" s="1"/>
  <c r="H4" i="4"/>
  <c r="E15" i="4" s="1"/>
  <c r="J35" i="4"/>
  <c r="B35" i="2"/>
  <c r="B15" i="1"/>
  <c r="C13" i="5" l="1"/>
  <c r="D13" i="5" s="1"/>
  <c r="E13" i="5" s="1"/>
  <c r="C13" i="2"/>
  <c r="D13" i="2" s="1"/>
  <c r="E13" i="2" s="1"/>
  <c r="C13" i="4"/>
  <c r="D13" i="4" s="1"/>
  <c r="E13" i="4" s="1"/>
  <c r="B35" i="6"/>
  <c r="D32" i="5"/>
  <c r="C32" i="5"/>
  <c r="B32" i="5"/>
  <c r="B33" i="5" s="1"/>
  <c r="B34" i="5" s="1"/>
  <c r="E32" i="5"/>
  <c r="B35" i="4"/>
  <c r="B35" i="5" l="1"/>
  <c r="E3" i="3" l="1"/>
  <c r="B4" i="3" l="1"/>
  <c r="D4" i="3" s="1"/>
  <c r="E4" i="3" l="1"/>
  <c r="B5" i="3" l="1"/>
  <c r="D5" i="3" s="1"/>
  <c r="E5" i="3" l="1"/>
  <c r="B6" i="3" l="1"/>
  <c r="D6" i="3" s="1"/>
  <c r="E6" i="3" l="1"/>
  <c r="B7" i="3" s="1"/>
  <c r="D7" i="3" s="1"/>
  <c r="E7" i="3" l="1"/>
  <c r="B8" i="3" l="1"/>
  <c r="D8" i="3" s="1"/>
  <c r="E8" i="3" l="1"/>
  <c r="B9" i="3" l="1"/>
  <c r="D9" i="3" s="1"/>
  <c r="E9" i="3" l="1"/>
  <c r="B10" i="3" l="1"/>
  <c r="D10" i="3" s="1"/>
  <c r="E10" i="3" l="1"/>
  <c r="B11" i="3" l="1"/>
  <c r="D11" i="3" s="1"/>
  <c r="E11" i="3" l="1"/>
  <c r="B12" i="3" l="1"/>
  <c r="D12" i="3" s="1"/>
  <c r="E12" i="3" l="1"/>
  <c r="B13" i="3" s="1"/>
  <c r="D13" i="3" s="1"/>
  <c r="E13" i="3" l="1"/>
  <c r="I4" i="3"/>
  <c r="C14" i="6" l="1"/>
  <c r="C17" i="6" s="1"/>
  <c r="C18" i="6" s="1"/>
  <c r="C14" i="4"/>
  <c r="C17" i="4" s="1"/>
  <c r="C18" i="4" s="1"/>
  <c r="C19" i="4" s="1"/>
  <c r="C20" i="4" s="1"/>
  <c r="C21" i="4" s="1"/>
  <c r="C33" i="4" s="1"/>
  <c r="C34" i="4" s="1"/>
  <c r="C35" i="4" s="1"/>
  <c r="C14" i="5"/>
  <c r="C17" i="5" s="1"/>
  <c r="C18" i="5" s="1"/>
  <c r="C19" i="5" s="1"/>
  <c r="C20" i="5" s="1"/>
  <c r="C21" i="5" s="1"/>
  <c r="C33" i="5" s="1"/>
  <c r="C34" i="5" s="1"/>
  <c r="C14" i="2"/>
  <c r="C17" i="2" s="1"/>
  <c r="C18" i="2" s="1"/>
  <c r="C19" i="2" s="1"/>
  <c r="C20" i="2" s="1"/>
  <c r="C21" i="2" s="1"/>
  <c r="C33" i="2" s="1"/>
  <c r="C34" i="2" s="1"/>
  <c r="J4" i="3"/>
  <c r="B14" i="3"/>
  <c r="D14" i="3" s="1"/>
  <c r="C20" i="6" l="1"/>
  <c r="C21" i="6" s="1"/>
  <c r="C33" i="6" s="1"/>
  <c r="C35" i="2"/>
  <c r="C35" i="5"/>
  <c r="C25" i="6"/>
  <c r="C25" i="2"/>
  <c r="C27" i="2" s="1"/>
  <c r="C28" i="2" s="1"/>
  <c r="C29" i="2" s="1"/>
  <c r="C25" i="4"/>
  <c r="C27" i="4" s="1"/>
  <c r="C28" i="4" s="1"/>
  <c r="C29" i="4" s="1"/>
  <c r="C25" i="5"/>
  <c r="C27" i="5" s="1"/>
  <c r="C28" i="5" s="1"/>
  <c r="C29" i="5" s="1"/>
  <c r="C34" i="6" l="1"/>
  <c r="C35" i="6" s="1"/>
  <c r="E14" i="3"/>
  <c r="C27" i="6" l="1"/>
  <c r="C28" i="6" s="1"/>
  <c r="C29" i="6" s="1"/>
  <c r="B15" i="3"/>
  <c r="D15" i="3" s="1"/>
  <c r="E15" i="3" l="1"/>
  <c r="B16" i="3" l="1"/>
  <c r="D16" i="3" s="1"/>
  <c r="E16" i="3" l="1"/>
  <c r="B17" i="3" l="1"/>
  <c r="D17" i="3" s="1"/>
  <c r="E17" i="3" l="1"/>
  <c r="B18" i="3" l="1"/>
  <c r="D18" i="3" s="1"/>
  <c r="E18" i="3" l="1"/>
  <c r="B19" i="3" l="1"/>
  <c r="D19" i="3" s="1"/>
  <c r="E19" i="3" l="1"/>
  <c r="B20" i="3" l="1"/>
  <c r="D20" i="3" s="1"/>
  <c r="E20" i="3" l="1"/>
  <c r="B21" i="3" l="1"/>
  <c r="D21" i="3" s="1"/>
  <c r="E21" i="3" l="1"/>
  <c r="B22" i="3" l="1"/>
  <c r="D22" i="3" s="1"/>
  <c r="E22" i="3" l="1"/>
  <c r="B23" i="3" s="1"/>
  <c r="D23" i="3" s="1"/>
  <c r="E23" i="3" l="1"/>
  <c r="B24" i="3" s="1"/>
  <c r="D24" i="3" s="1"/>
  <c r="E24" i="3" l="1"/>
  <c r="B25" i="3" s="1"/>
  <c r="D25" i="3" s="1"/>
  <c r="E25" i="3" l="1"/>
  <c r="I5" i="3"/>
  <c r="D14" i="6" l="1"/>
  <c r="D17" i="6" s="1"/>
  <c r="D18" i="6" s="1"/>
  <c r="D19" i="6" s="1"/>
  <c r="D20" i="6" s="1"/>
  <c r="D21" i="6" s="1"/>
  <c r="J5" i="3"/>
  <c r="B26" i="3"/>
  <c r="D26" i="3" s="1"/>
  <c r="D14" i="4"/>
  <c r="D17" i="4" s="1"/>
  <c r="D18" i="4" s="1"/>
  <c r="D19" i="4" s="1"/>
  <c r="D20" i="4" s="1"/>
  <c r="D21" i="4" s="1"/>
  <c r="D33" i="4" s="1"/>
  <c r="D34" i="4" s="1"/>
  <c r="D14" i="2"/>
  <c r="D17" i="2" s="1"/>
  <c r="D18" i="2" s="1"/>
  <c r="D19" i="2" s="1"/>
  <c r="D20" i="2" s="1"/>
  <c r="D21" i="2" s="1"/>
  <c r="D33" i="2" s="1"/>
  <c r="D14" i="5"/>
  <c r="D17" i="5" s="1"/>
  <c r="D18" i="5" s="1"/>
  <c r="D19" i="5" s="1"/>
  <c r="D20" i="5" s="1"/>
  <c r="D21" i="5" s="1"/>
  <c r="D33" i="5" s="1"/>
  <c r="D33" i="6" l="1"/>
  <c r="D34" i="6" s="1"/>
  <c r="D35" i="4"/>
  <c r="B38" i="6"/>
  <c r="E38" i="6" s="1"/>
  <c r="D34" i="5"/>
  <c r="D35" i="5" s="1"/>
  <c r="B38" i="5"/>
  <c r="E38" i="5" s="1"/>
  <c r="D34" i="2"/>
  <c r="D35" i="2" s="1"/>
  <c r="B38" i="2"/>
  <c r="E38" i="2" s="1"/>
  <c r="D25" i="6"/>
  <c r="D25" i="2"/>
  <c r="D25" i="5"/>
  <c r="D25" i="4"/>
  <c r="D35" i="6" l="1"/>
  <c r="D27" i="6"/>
  <c r="D28" i="6" s="1"/>
  <c r="D27" i="2"/>
  <c r="D28" i="2" s="1"/>
  <c r="D29" i="2" s="1"/>
  <c r="D29" i="6"/>
  <c r="E26" i="3"/>
  <c r="D27" i="4"/>
  <c r="D28" i="4" s="1"/>
  <c r="D29" i="4" s="1"/>
  <c r="D27" i="5"/>
  <c r="D28" i="5" s="1"/>
  <c r="D29" i="5" s="1"/>
  <c r="B27" i="3" l="1"/>
  <c r="D27" i="3" s="1"/>
  <c r="E27" i="3" l="1"/>
  <c r="B28" i="3" l="1"/>
  <c r="D28" i="3" s="1"/>
  <c r="E28" i="3" l="1"/>
  <c r="B29" i="3" l="1"/>
  <c r="D29" i="3" s="1"/>
  <c r="E29" i="3" l="1"/>
  <c r="B30" i="3" l="1"/>
  <c r="D30" i="3" s="1"/>
  <c r="E30" i="3" l="1"/>
  <c r="B31" i="3" l="1"/>
  <c r="D31" i="3" s="1"/>
  <c r="E31" i="3" l="1"/>
  <c r="B32" i="3" s="1"/>
  <c r="D32" i="3" s="1"/>
  <c r="E32" i="3" l="1"/>
  <c r="B33" i="3" s="1"/>
  <c r="D33" i="3" l="1"/>
  <c r="E33" i="3"/>
  <c r="B34" i="3" l="1"/>
  <c r="D34" i="3" s="1"/>
  <c r="E34" i="3" s="1"/>
  <c r="B35" i="3" s="1"/>
  <c r="D35" i="3" s="1"/>
  <c r="E35" i="3" l="1"/>
  <c r="B36" i="3" s="1"/>
  <c r="D36" i="3" s="1"/>
  <c r="E36" i="3" l="1"/>
  <c r="B37" i="3" s="1"/>
  <c r="D37" i="3" s="1"/>
  <c r="I6" i="3" s="1"/>
  <c r="E14" i="6" l="1"/>
  <c r="E17" i="6" s="1"/>
  <c r="E18" i="6" s="1"/>
  <c r="E20" i="6" s="1"/>
  <c r="E21" i="6" s="1"/>
  <c r="E37" i="3"/>
  <c r="E33" i="6" l="1"/>
  <c r="E34" i="6" s="1"/>
  <c r="E14" i="4"/>
  <c r="E17" i="4" s="1"/>
  <c r="E18" i="4" s="1"/>
  <c r="E19" i="4" s="1"/>
  <c r="E20" i="4" s="1"/>
  <c r="E21" i="4" s="1"/>
  <c r="E33" i="4" s="1"/>
  <c r="E14" i="2"/>
  <c r="E17" i="2" s="1"/>
  <c r="E18" i="2" s="1"/>
  <c r="E19" i="2" s="1"/>
  <c r="E20" i="2" s="1"/>
  <c r="E21" i="2" s="1"/>
  <c r="E33" i="2" s="1"/>
  <c r="E34" i="2" s="1"/>
  <c r="E14" i="5"/>
  <c r="E17" i="5" s="1"/>
  <c r="E18" i="5" s="1"/>
  <c r="E19" i="5" s="1"/>
  <c r="E20" i="5" s="1"/>
  <c r="E21" i="5" s="1"/>
  <c r="E33" i="5" s="1"/>
  <c r="E34" i="5" s="1"/>
  <c r="J6" i="3"/>
  <c r="B38" i="3"/>
  <c r="D38" i="3" l="1"/>
  <c r="E35" i="6"/>
  <c r="B39" i="5"/>
  <c r="E35" i="5"/>
  <c r="B37" i="5" s="1"/>
  <c r="E25" i="6"/>
  <c r="E25" i="5"/>
  <c r="E25" i="4"/>
  <c r="E25" i="2"/>
  <c r="E35" i="2"/>
  <c r="B37" i="2" s="1"/>
  <c r="B39" i="2"/>
  <c r="E34" i="4"/>
  <c r="B38" i="4"/>
  <c r="E38" i="4" s="1"/>
  <c r="E38" i="3" l="1"/>
  <c r="E27" i="6"/>
  <c r="E28" i="6" s="1"/>
  <c r="E29" i="6"/>
  <c r="B39" i="4"/>
  <c r="E35" i="4"/>
  <c r="B37" i="4" s="1"/>
  <c r="E27" i="2"/>
  <c r="E28" i="2" s="1"/>
  <c r="E29" i="2" s="1"/>
  <c r="G25" i="2"/>
  <c r="E27" i="4"/>
  <c r="E28" i="4" s="1"/>
  <c r="E29" i="4" s="1"/>
  <c r="G25" i="4"/>
  <c r="E27" i="5"/>
  <c r="E28" i="5" s="1"/>
  <c r="E29" i="5" s="1"/>
  <c r="G25" i="5"/>
  <c r="B39" i="3" l="1"/>
  <c r="D39" i="3" l="1"/>
  <c r="E39" i="3" l="1"/>
  <c r="B40" i="3" l="1"/>
  <c r="D40" i="3" s="1"/>
  <c r="E40" i="3" l="1"/>
  <c r="B41" i="3" l="1"/>
  <c r="D41" i="3" s="1"/>
  <c r="E41" i="3" l="1"/>
  <c r="B42" i="3" l="1"/>
  <c r="D42" i="3" l="1"/>
  <c r="E42" i="3" l="1"/>
  <c r="B43" i="3" l="1"/>
  <c r="D43" i="3" s="1"/>
  <c r="E43" i="3" s="1"/>
  <c r="B44" i="3" s="1"/>
  <c r="D44" i="3" l="1"/>
  <c r="E44" i="3" s="1"/>
  <c r="B45" i="3"/>
  <c r="D45" i="3" l="1"/>
  <c r="E45" i="3" s="1"/>
  <c r="B46" i="3"/>
  <c r="D46" i="3" l="1"/>
  <c r="E46" i="3" s="1"/>
  <c r="B47" i="3"/>
  <c r="D47" i="3" l="1"/>
  <c r="E47" i="3" s="1"/>
  <c r="B48" i="3"/>
  <c r="D48" i="3" l="1"/>
  <c r="E48" i="3" s="1"/>
  <c r="B49" i="3"/>
  <c r="D49" i="3" l="1"/>
  <c r="E49" i="3" l="1"/>
  <c r="I7" i="3"/>
  <c r="F14" i="6" l="1"/>
  <c r="F17" i="6" s="1"/>
  <c r="F18" i="6" s="1"/>
  <c r="J7" i="3"/>
  <c r="F25" i="6" s="1"/>
  <c r="B50" i="3"/>
  <c r="D50" i="3" l="1"/>
  <c r="F19" i="6"/>
  <c r="F20" i="6"/>
  <c r="F21" i="6" s="1"/>
  <c r="F27" i="6" l="1"/>
  <c r="F28" i="6" s="1"/>
  <c r="F29" i="6" s="1"/>
  <c r="F33" i="6"/>
  <c r="F34" i="6" s="1"/>
  <c r="E50" i="3"/>
  <c r="B51" i="3" l="1"/>
  <c r="D51" i="3" s="1"/>
  <c r="F35" i="6"/>
  <c r="E51" i="3" l="1"/>
  <c r="B52" i="3" l="1"/>
  <c r="D52" i="3" l="1"/>
  <c r="E52" i="3" l="1"/>
  <c r="B53" i="3" l="1"/>
  <c r="D53" i="3" l="1"/>
  <c r="E53" i="3" l="1"/>
  <c r="B54" i="3" l="1"/>
  <c r="D54" i="3" l="1"/>
  <c r="E54" i="3" l="1"/>
  <c r="B55" i="3" l="1"/>
  <c r="D55" i="3" s="1"/>
  <c r="E55" i="3" s="1"/>
  <c r="B56" i="3" s="1"/>
  <c r="D56" i="3" l="1"/>
  <c r="E56" i="3" s="1"/>
  <c r="B57" i="3"/>
  <c r="D57" i="3" l="1"/>
  <c r="E57" i="3" s="1"/>
  <c r="B58" i="3"/>
  <c r="D58" i="3" l="1"/>
  <c r="E58" i="3" s="1"/>
  <c r="B59" i="3"/>
  <c r="D59" i="3" s="1"/>
  <c r="E59" i="3" s="1"/>
  <c r="B60" i="3" s="1"/>
  <c r="D60" i="3" l="1"/>
  <c r="E60" i="3" s="1"/>
  <c r="B61" i="3"/>
  <c r="D61" i="3" l="1"/>
  <c r="E61" i="3" l="1"/>
  <c r="D62" i="3"/>
  <c r="I8" i="3"/>
  <c r="G14" i="6" l="1"/>
  <c r="G17" i="6" s="1"/>
  <c r="G18" i="6" s="1"/>
  <c r="G19" i="6" s="1"/>
  <c r="G20" i="6" s="1"/>
  <c r="G21" i="6" s="1"/>
  <c r="I9" i="3"/>
  <c r="E62" i="3"/>
  <c r="J8" i="3"/>
  <c r="B62" i="3"/>
  <c r="J9" i="3" l="1"/>
  <c r="G25" i="6"/>
  <c r="G33" i="6"/>
  <c r="G34" i="6" s="1"/>
  <c r="G35" i="6" s="1"/>
  <c r="B37" i="6" s="1"/>
  <c r="G27" i="6" l="1"/>
  <c r="G28" i="6" s="1"/>
  <c r="G29" i="6" s="1"/>
  <c r="H25" i="6"/>
</calcChain>
</file>

<file path=xl/sharedStrings.xml><?xml version="1.0" encoding="utf-8"?>
<sst xmlns="http://schemas.openxmlformats.org/spreadsheetml/2006/main" count="208" uniqueCount="72">
  <si>
    <t>Затраты</t>
  </si>
  <si>
    <t>Сумма, р.</t>
  </si>
  <si>
    <t>Оборудование</t>
  </si>
  <si>
    <t>ИТОГО</t>
  </si>
  <si>
    <t>Наименование статьи</t>
  </si>
  <si>
    <t>Затраты в месяц, р.</t>
  </si>
  <si>
    <t>Заработная плата персонала с отчислениями</t>
  </si>
  <si>
    <t>Затраты на электроэнергию, отопление</t>
  </si>
  <si>
    <t>Амортизация оборудования</t>
  </si>
  <si>
    <t>Расходы на канцелярию, почту, транспорт</t>
  </si>
  <si>
    <t>Расходы на рекламу</t>
  </si>
  <si>
    <t>Итого:</t>
  </si>
  <si>
    <t>Постоянные затраты</t>
  </si>
  <si>
    <t>Планируется ежегодное увеличение затрат на 7 %.</t>
  </si>
  <si>
    <t>Показатель</t>
  </si>
  <si>
    <t>1 год</t>
  </si>
  <si>
    <t>2 год</t>
  </si>
  <si>
    <t>3 год</t>
  </si>
  <si>
    <t>1. Инвестиционная деятельность</t>
  </si>
  <si>
    <t>1.1Капиталовложения, р.</t>
  </si>
  <si>
    <t>1.2 Поток от инвестиционной деятельности, р.</t>
  </si>
  <si>
    <t>2. Операционная деятельность</t>
  </si>
  <si>
    <t>2.3 Цена единицы продукта 1, р.</t>
  </si>
  <si>
    <t>2.4 Цена единицы продукта 2, р.</t>
  </si>
  <si>
    <t>2.5 Выручка от продукта 1, р.</t>
  </si>
  <si>
    <t>2.6 Выручка от продукта 2, р.</t>
  </si>
  <si>
    <t>2.7 ИТОГО ВЫРУЧКА, р.</t>
  </si>
  <si>
    <t>3. Финансовая деятельность</t>
  </si>
  <si>
    <t>3.2 Собственные средства, р.</t>
  </si>
  <si>
    <t>4 Сальдо реальных денег, р.</t>
  </si>
  <si>
    <t>5 Сальдо накопленных реальных денег, р.</t>
  </si>
  <si>
    <t>0 период (подготовительный)</t>
  </si>
  <si>
    <t xml:space="preserve">Дисконтированный ДП </t>
  </si>
  <si>
    <t>ДДП накопленный</t>
  </si>
  <si>
    <t>ДДП накопленный от операционной  и инвестиционной деятельности</t>
  </si>
  <si>
    <t>ЧДД, р.</t>
  </si>
  <si>
    <t>СО, лет</t>
  </si>
  <si>
    <t>ИД</t>
  </si>
  <si>
    <t>3.5 Сальдо финансовой деятельности, р.</t>
  </si>
  <si>
    <t>3.3 Погашение основной суммы долга</t>
  </si>
  <si>
    <t>3.4 Возврат собственных средств</t>
  </si>
  <si>
    <t>2.8 Постоянные затраты (без амортизации и процентов по кредиту), р.</t>
  </si>
  <si>
    <t xml:space="preserve">2.9 Проценты по кредиту, р. </t>
  </si>
  <si>
    <t>2.10 Переменные затраты, р.</t>
  </si>
  <si>
    <t>2.11 Амортизация, р.</t>
  </si>
  <si>
    <t>2.12 ИТОГО ЗАТРАТ</t>
  </si>
  <si>
    <t>2.13 Прибыль до вычета налогов, р.</t>
  </si>
  <si>
    <t>2.14 УСН (15%), р.</t>
  </si>
  <si>
    <t>2.15 Проектируемый чистый доход, р.</t>
  </si>
  <si>
    <t>2.16 Чистый приток от операционной деятельности, р.</t>
  </si>
  <si>
    <t>Переменные затраты в расчете на 1 единицу продукта 1 и продукта 2 составляют 73 руб.</t>
  </si>
  <si>
    <t>2.1. Объем продаж продукта 1, шт</t>
  </si>
  <si>
    <t>2.2. Объем продаж продукта 2, шт</t>
  </si>
  <si>
    <t>Первоначальное приобретение материалов</t>
  </si>
  <si>
    <t>Уплата государственной пошлины, изготовление печати, регистация фирмы</t>
  </si>
  <si>
    <t xml:space="preserve">Коэффициент дисконтирования </t>
  </si>
  <si>
    <t>3.1 Кредит (30% годовых), р.</t>
  </si>
  <si>
    <t>Период</t>
  </si>
  <si>
    <t>Остаток на начало периода</t>
  </si>
  <si>
    <t>Платеж</t>
  </si>
  <si>
    <t>в т.ч.%</t>
  </si>
  <si>
    <t>основная сумма долга</t>
  </si>
  <si>
    <t>%</t>
  </si>
  <si>
    <t>осн.сумма</t>
  </si>
  <si>
    <t>переменные затраты</t>
  </si>
  <si>
    <t>доходность Ск</t>
  </si>
  <si>
    <t>доходность ЗК</t>
  </si>
  <si>
    <t>ставка дисконта</t>
  </si>
  <si>
    <t>год</t>
  </si>
  <si>
    <t>мес</t>
  </si>
  <si>
    <t>2.14 Налогооблажение (20%), р.</t>
  </si>
  <si>
    <t>3.1 Кредит (24% годовых),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</si>
</sst>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Continuous" vertical="center" wrapText="1"/>
    </xf>
    <xf numFmtId="0" fontId="3" fillId="0" borderId="11" xfId="0" applyFont="1" applyBorder="1" applyAlignment="1">
      <alignment horizontal="centerContinuous" vertical="center" wrapText="1"/>
    </xf>
    <xf numFmtId="0" fontId="3" fillId="0" borderId="12" xfId="0" applyFont="1" applyBorder="1" applyAlignment="1">
      <alignment horizontal="centerContinuous" vertical="center" wrapText="1"/>
    </xf>
    <xf numFmtId="0" fontId="3" fillId="0" borderId="1" xfId="0" applyFont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14" xfId="0" applyBorder="1"/>
    <xf numFmtId="2" fontId="0" fillId="0" borderId="14" xfId="0" applyNumberFormat="1" applyBorder="1"/>
    <xf numFmtId="2" fontId="2" fillId="2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10" fontId="0" fillId="0" borderId="0" xfId="0" applyNumberFormat="1"/>
    <xf numFmtId="2" fontId="3" fillId="0" borderId="4" xfId="0" applyNumberFormat="1" applyFont="1" applyBorder="1" applyAlignment="1">
      <alignment vertical="center" wrapText="1"/>
    </xf>
    <xf numFmtId="164" fontId="3" fillId="0" borderId="2" xfId="0" applyNumberFormat="1" applyFont="1" applyBorder="1" applyAlignment="1">
      <alignment vertical="center" wrapText="1"/>
    </xf>
    <xf numFmtId="2" fontId="3" fillId="0" borderId="4" xfId="0" applyNumberFormat="1" applyFont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2" fontId="2" fillId="0" borderId="15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C25" sqref="C25"/>
    </sheetView>
  </sheetViews>
  <sheetFormatPr defaultRowHeight="15" x14ac:dyDescent="0.25"/>
  <cols>
    <col min="1" max="1" width="45.42578125" customWidth="1"/>
    <col min="2" max="2" width="23.7109375" customWidth="1"/>
  </cols>
  <sheetData>
    <row r="1" spans="1:2" ht="16.5" thickBot="1" x14ac:dyDescent="0.3">
      <c r="A1" s="1" t="s">
        <v>0</v>
      </c>
      <c r="B1" s="2" t="s">
        <v>1</v>
      </c>
    </row>
    <row r="2" spans="1:2" ht="16.5" thickBot="1" x14ac:dyDescent="0.3">
      <c r="A2" s="3" t="s">
        <v>2</v>
      </c>
      <c r="B2" s="4">
        <v>300000</v>
      </c>
    </row>
    <row r="3" spans="1:2" ht="16.5" thickBot="1" x14ac:dyDescent="0.3">
      <c r="A3" s="3" t="s">
        <v>53</v>
      </c>
      <c r="B3" s="4">
        <v>585000</v>
      </c>
    </row>
    <row r="4" spans="1:2" ht="32.25" thickBot="1" x14ac:dyDescent="0.3">
      <c r="A4" s="3" t="s">
        <v>54</v>
      </c>
      <c r="B4" s="4">
        <v>15000</v>
      </c>
    </row>
    <row r="5" spans="1:2" ht="16.5" thickBot="1" x14ac:dyDescent="0.3">
      <c r="A5" s="3" t="s">
        <v>3</v>
      </c>
      <c r="B5" s="4">
        <v>900000</v>
      </c>
    </row>
    <row r="8" spans="1:2" ht="16.5" thickBot="1" x14ac:dyDescent="0.3">
      <c r="A8" s="9" t="s">
        <v>12</v>
      </c>
    </row>
    <row r="9" spans="1:2" ht="16.5" thickBot="1" x14ac:dyDescent="0.3">
      <c r="A9" s="1" t="s">
        <v>4</v>
      </c>
      <c r="B9" s="2" t="s">
        <v>5</v>
      </c>
    </row>
    <row r="10" spans="1:2" ht="32.25" thickBot="1" x14ac:dyDescent="0.3">
      <c r="A10" s="5" t="s">
        <v>6</v>
      </c>
      <c r="B10" s="6">
        <v>162980</v>
      </c>
    </row>
    <row r="11" spans="1:2" ht="16.5" thickBot="1" x14ac:dyDescent="0.3">
      <c r="A11" s="7" t="s">
        <v>7</v>
      </c>
      <c r="B11" s="8">
        <v>4000</v>
      </c>
    </row>
    <row r="12" spans="1:2" ht="16.5" thickBot="1" x14ac:dyDescent="0.3">
      <c r="A12" s="1" t="s">
        <v>8</v>
      </c>
      <c r="B12" s="2">
        <v>3125</v>
      </c>
    </row>
    <row r="13" spans="1:2" ht="16.5" thickBot="1" x14ac:dyDescent="0.3">
      <c r="A13" s="3" t="s">
        <v>9</v>
      </c>
      <c r="B13" s="4">
        <v>5500</v>
      </c>
    </row>
    <row r="14" spans="1:2" ht="16.5" thickBot="1" x14ac:dyDescent="0.3">
      <c r="A14" s="3" t="s">
        <v>10</v>
      </c>
      <c r="B14" s="4">
        <v>3758</v>
      </c>
    </row>
    <row r="15" spans="1:2" ht="16.5" thickBot="1" x14ac:dyDescent="0.3">
      <c r="A15" s="3" t="s">
        <v>11</v>
      </c>
      <c r="B15" s="4">
        <f>SUM(B10:B14)</f>
        <v>179363</v>
      </c>
    </row>
    <row r="17" spans="1:1" ht="15.75" x14ac:dyDescent="0.25">
      <c r="A17" s="10" t="s">
        <v>50</v>
      </c>
    </row>
    <row r="18" spans="1:1" ht="15.75" x14ac:dyDescent="0.25">
      <c r="A18" s="10" t="s">
        <v>13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zoomScaleNormal="100" workbookViewId="0">
      <selection activeCell="P27" sqref="P27"/>
    </sheetView>
  </sheetViews>
  <sheetFormatPr defaultRowHeight="15" x14ac:dyDescent="0.25"/>
  <cols>
    <col min="1" max="1" width="33.85546875" customWidth="1"/>
    <col min="2" max="2" width="21.85546875" customWidth="1"/>
    <col min="3" max="3" width="24.28515625" customWidth="1"/>
    <col min="4" max="4" width="24.42578125" customWidth="1"/>
    <col min="5" max="5" width="23.28515625" customWidth="1"/>
    <col min="7" max="7" width="10.42578125" bestFit="1" customWidth="1"/>
  </cols>
  <sheetData>
    <row r="1" spans="1:8" ht="38.1" customHeight="1" thickBot="1" x14ac:dyDescent="0.3">
      <c r="A1" s="11" t="s">
        <v>14</v>
      </c>
      <c r="B1" s="12" t="s">
        <v>31</v>
      </c>
      <c r="C1" s="13" t="s">
        <v>15</v>
      </c>
      <c r="D1" s="13" t="s">
        <v>16</v>
      </c>
      <c r="E1" s="13" t="s">
        <v>17</v>
      </c>
    </row>
    <row r="2" spans="1:8" ht="15.75" thickBot="1" x14ac:dyDescent="0.3">
      <c r="A2" s="20" t="s">
        <v>18</v>
      </c>
      <c r="B2" s="21"/>
      <c r="C2" s="21"/>
      <c r="D2" s="21"/>
      <c r="E2" s="22"/>
      <c r="G2" t="s">
        <v>64</v>
      </c>
    </row>
    <row r="3" spans="1:8" ht="15.75" thickBot="1" x14ac:dyDescent="0.3">
      <c r="A3" s="14" t="s">
        <v>19</v>
      </c>
      <c r="B3" s="15">
        <v>900000</v>
      </c>
      <c r="C3" s="15"/>
      <c r="D3" s="15"/>
      <c r="E3" s="15"/>
    </row>
    <row r="4" spans="1:8" ht="30.75" thickBot="1" x14ac:dyDescent="0.3">
      <c r="A4" s="16" t="s">
        <v>20</v>
      </c>
      <c r="B4" s="17">
        <v>-900000</v>
      </c>
      <c r="C4" s="17"/>
      <c r="D4" s="17"/>
      <c r="E4" s="17"/>
      <c r="F4">
        <v>73</v>
      </c>
      <c r="G4">
        <f>ROUNDUP(F4*1.07,0)</f>
        <v>79</v>
      </c>
      <c r="H4">
        <f>ROUNDUP(G4*1.07,0)</f>
        <v>85</v>
      </c>
    </row>
    <row r="5" spans="1:8" ht="15.75" thickBot="1" x14ac:dyDescent="0.3">
      <c r="A5" s="20" t="s">
        <v>21</v>
      </c>
      <c r="B5" s="21"/>
      <c r="C5" s="21"/>
      <c r="D5" s="21"/>
      <c r="E5" s="22"/>
    </row>
    <row r="6" spans="1:8" ht="15.75" thickBot="1" x14ac:dyDescent="0.3">
      <c r="A6" s="14" t="s">
        <v>51</v>
      </c>
      <c r="B6" s="15"/>
      <c r="C6" s="15">
        <v>5977</v>
      </c>
      <c r="D6" s="15">
        <v>7307</v>
      </c>
      <c r="E6" s="15">
        <v>7307</v>
      </c>
    </row>
    <row r="7" spans="1:8" ht="15.75" thickBot="1" x14ac:dyDescent="0.3">
      <c r="A7" s="14" t="s">
        <v>52</v>
      </c>
      <c r="B7" s="15"/>
      <c r="C7" s="15">
        <v>1993</v>
      </c>
      <c r="D7" s="15">
        <v>2102</v>
      </c>
      <c r="E7" s="15">
        <v>2102</v>
      </c>
    </row>
    <row r="8" spans="1:8" ht="15.75" thickBot="1" x14ac:dyDescent="0.3">
      <c r="A8" s="14" t="s">
        <v>22</v>
      </c>
      <c r="B8" s="15"/>
      <c r="C8" s="15">
        <v>400</v>
      </c>
      <c r="D8" s="15">
        <v>420</v>
      </c>
      <c r="E8" s="15">
        <v>450</v>
      </c>
    </row>
    <row r="9" spans="1:8" ht="15.75" thickBot="1" x14ac:dyDescent="0.3">
      <c r="A9" s="14" t="s">
        <v>23</v>
      </c>
      <c r="B9" s="15"/>
      <c r="C9" s="15">
        <v>580</v>
      </c>
      <c r="D9" s="15">
        <v>610</v>
      </c>
      <c r="E9" s="15">
        <v>630</v>
      </c>
    </row>
    <row r="10" spans="1:8" ht="15.75" thickBot="1" x14ac:dyDescent="0.3">
      <c r="A10" s="14" t="s">
        <v>24</v>
      </c>
      <c r="B10" s="15"/>
      <c r="C10" s="28">
        <f>C6*C8</f>
        <v>2390800</v>
      </c>
      <c r="D10" s="28">
        <f t="shared" ref="D10:E10" si="0">D6*D8</f>
        <v>3068940</v>
      </c>
      <c r="E10" s="28">
        <f t="shared" si="0"/>
        <v>3288150</v>
      </c>
    </row>
    <row r="11" spans="1:8" ht="15.75" thickBot="1" x14ac:dyDescent="0.3">
      <c r="A11" s="14" t="s">
        <v>25</v>
      </c>
      <c r="B11" s="15"/>
      <c r="C11" s="28">
        <f>C7*C9</f>
        <v>1155940</v>
      </c>
      <c r="D11" s="28">
        <f t="shared" ref="D11:E11" si="1">D7*D9</f>
        <v>1282220</v>
      </c>
      <c r="E11" s="28">
        <f t="shared" si="1"/>
        <v>1324260</v>
      </c>
    </row>
    <row r="12" spans="1:8" ht="15.75" thickBot="1" x14ac:dyDescent="0.3">
      <c r="A12" s="14" t="s">
        <v>26</v>
      </c>
      <c r="B12" s="15"/>
      <c r="C12" s="28">
        <f>C10+C11</f>
        <v>3546740</v>
      </c>
      <c r="D12" s="28">
        <f t="shared" ref="D12:E12" si="2">D10+D11</f>
        <v>4351160</v>
      </c>
      <c r="E12" s="28">
        <f t="shared" si="2"/>
        <v>4612410</v>
      </c>
    </row>
    <row r="13" spans="1:8" ht="45.75" thickBot="1" x14ac:dyDescent="0.3">
      <c r="A13" s="14" t="s">
        <v>41</v>
      </c>
      <c r="B13" s="15"/>
      <c r="C13" s="28">
        <f>12*('Исходные данные'!B15-'Исходные данные'!B12)</f>
        <v>2114856</v>
      </c>
      <c r="D13" s="28">
        <f>1.07*C13</f>
        <v>2262895.92</v>
      </c>
      <c r="E13" s="28">
        <f>1.07*D13</f>
        <v>2421298.6343999999</v>
      </c>
    </row>
    <row r="14" spans="1:8" ht="15.75" thickBot="1" x14ac:dyDescent="0.3">
      <c r="A14" s="14" t="s">
        <v>42</v>
      </c>
      <c r="B14" s="15"/>
      <c r="C14" s="28">
        <f>Кредит!I4</f>
        <v>455237.69104161591</v>
      </c>
      <c r="D14" s="28">
        <f>Кредит!I5</f>
        <v>392148.96754245006</v>
      </c>
      <c r="E14" s="28">
        <f>Кредит!I6</f>
        <v>312137.2116352077</v>
      </c>
      <c r="F14" s="27"/>
    </row>
    <row r="15" spans="1:8" ht="15.75" thickBot="1" x14ac:dyDescent="0.3">
      <c r="A15" s="14" t="s">
        <v>43</v>
      </c>
      <c r="B15" s="15"/>
      <c r="C15" s="28">
        <f>F4*(C6+C7)</f>
        <v>581810</v>
      </c>
      <c r="D15" s="28">
        <f>G4*(D6+D7)</f>
        <v>743311</v>
      </c>
      <c r="E15" s="28">
        <f>H4*(E6+E7)</f>
        <v>799765</v>
      </c>
    </row>
    <row r="16" spans="1:8" ht="15.75" thickBot="1" x14ac:dyDescent="0.3">
      <c r="A16" s="14" t="s">
        <v>44</v>
      </c>
      <c r="B16" s="15"/>
      <c r="C16" s="28">
        <f>'Исходные данные'!$B$12*12</f>
        <v>37500</v>
      </c>
      <c r="D16" s="28">
        <f>'Исходные данные'!$B$12*12</f>
        <v>37500</v>
      </c>
      <c r="E16" s="28">
        <f>'Исходные данные'!$B$12*12</f>
        <v>37500</v>
      </c>
    </row>
    <row r="17" spans="1:10" ht="15.75" thickBot="1" x14ac:dyDescent="0.3">
      <c r="A17" s="14" t="s">
        <v>45</v>
      </c>
      <c r="B17" s="15"/>
      <c r="C17" s="28">
        <f>SUM(C13:C16)</f>
        <v>3189403.6910416158</v>
      </c>
      <c r="D17" s="28">
        <f t="shared" ref="D17:E17" si="3">SUM(D13:D16)</f>
        <v>3435855.8875424499</v>
      </c>
      <c r="E17" s="28">
        <f t="shared" si="3"/>
        <v>3570700.8460352076</v>
      </c>
    </row>
    <row r="18" spans="1:10" ht="30.75" thickBot="1" x14ac:dyDescent="0.3">
      <c r="A18" s="14" t="s">
        <v>46</v>
      </c>
      <c r="B18" s="15"/>
      <c r="C18" s="28">
        <f>C12-C17</f>
        <v>357336.30895838421</v>
      </c>
      <c r="D18" s="28">
        <f t="shared" ref="D18:E18" si="4">D12-D17</f>
        <v>915304.11245755013</v>
      </c>
      <c r="E18" s="28">
        <f t="shared" si="4"/>
        <v>1041709.1539647924</v>
      </c>
    </row>
    <row r="19" spans="1:10" ht="15.75" thickBot="1" x14ac:dyDescent="0.3">
      <c r="A19" s="14" t="s">
        <v>47</v>
      </c>
      <c r="B19" s="15"/>
      <c r="C19" s="28">
        <f>0.15*C18</f>
        <v>53600.446343757627</v>
      </c>
      <c r="D19" s="28">
        <f t="shared" ref="D19:E19" si="5">0.15*D18</f>
        <v>137295.61686863253</v>
      </c>
      <c r="E19" s="28">
        <f t="shared" si="5"/>
        <v>156256.37309471885</v>
      </c>
    </row>
    <row r="20" spans="1:10" ht="30.75" thickBot="1" x14ac:dyDescent="0.3">
      <c r="A20" s="14" t="s">
        <v>48</v>
      </c>
      <c r="B20" s="15"/>
      <c r="C20" s="28">
        <f>C18-C19</f>
        <v>303735.86261462659</v>
      </c>
      <c r="D20" s="28">
        <f t="shared" ref="D20:E20" si="6">D18-D19</f>
        <v>778008.49558891763</v>
      </c>
      <c r="E20" s="28">
        <f t="shared" si="6"/>
        <v>885452.78087007347</v>
      </c>
    </row>
    <row r="21" spans="1:10" ht="32.450000000000003" customHeight="1" thickBot="1" x14ac:dyDescent="0.3">
      <c r="A21" s="16" t="s">
        <v>49</v>
      </c>
      <c r="B21" s="15"/>
      <c r="C21" s="37">
        <f>C20+C16</f>
        <v>341235.86261462659</v>
      </c>
      <c r="D21" s="37">
        <f t="shared" ref="D21:E21" si="7">D20+D16</f>
        <v>815508.49558891763</v>
      </c>
      <c r="E21" s="37">
        <f t="shared" si="7"/>
        <v>922952.78087007347</v>
      </c>
    </row>
    <row r="22" spans="1:10" ht="15.75" thickBot="1" x14ac:dyDescent="0.3">
      <c r="A22" s="20" t="s">
        <v>27</v>
      </c>
      <c r="B22" s="21"/>
      <c r="C22" s="21"/>
      <c r="D22" s="21"/>
      <c r="E22" s="22"/>
    </row>
    <row r="23" spans="1:10" ht="15.75" thickBot="1" x14ac:dyDescent="0.3">
      <c r="A23" s="14" t="s">
        <v>56</v>
      </c>
      <c r="B23" s="15">
        <v>300000</v>
      </c>
      <c r="C23" s="15"/>
      <c r="D23" s="15"/>
      <c r="E23" s="15"/>
    </row>
    <row r="24" spans="1:10" ht="15.75" thickBot="1" x14ac:dyDescent="0.3">
      <c r="A24" s="14" t="s">
        <v>28</v>
      </c>
      <c r="B24" s="15">
        <v>600000</v>
      </c>
      <c r="C24" s="15"/>
      <c r="D24" s="15"/>
      <c r="E24" s="15"/>
    </row>
    <row r="25" spans="1:10" ht="30.75" thickBot="1" x14ac:dyDescent="0.3">
      <c r="A25" s="14" t="s">
        <v>39</v>
      </c>
      <c r="B25" s="15"/>
      <c r="C25" s="28">
        <f>Кредит!J4</f>
        <v>235193.48877773614</v>
      </c>
      <c r="D25" s="28">
        <f>Кредит!J5</f>
        <v>298282.21227690193</v>
      </c>
      <c r="E25" s="28">
        <f>Кредит!J6</f>
        <v>378293.96818414435</v>
      </c>
      <c r="G25" s="27">
        <f>SUM(C25:E25)</f>
        <v>911769.66923878237</v>
      </c>
    </row>
    <row r="26" spans="1:10" ht="15.75" thickBot="1" x14ac:dyDescent="0.3">
      <c r="A26" s="14" t="s">
        <v>40</v>
      </c>
      <c r="B26" s="15"/>
      <c r="C26" s="28">
        <v>587000</v>
      </c>
      <c r="D26" s="28">
        <v>13000</v>
      </c>
      <c r="E26" s="28"/>
      <c r="G26" s="27">
        <f>SUM(C26:E26)</f>
        <v>600000</v>
      </c>
    </row>
    <row r="27" spans="1:10" ht="30.75" thickBot="1" x14ac:dyDescent="0.3">
      <c r="A27" s="16" t="s">
        <v>38</v>
      </c>
      <c r="B27" s="15">
        <f>B23+B24-B25-B26</f>
        <v>900000</v>
      </c>
      <c r="C27" s="28">
        <f t="shared" ref="C27:E27" si="8">C23+C24-C25-C26</f>
        <v>-822193.4887777362</v>
      </c>
      <c r="D27" s="28">
        <f t="shared" si="8"/>
        <v>-311282.21227690193</v>
      </c>
      <c r="E27" s="28">
        <f t="shared" si="8"/>
        <v>-378293.96818414435</v>
      </c>
    </row>
    <row r="28" spans="1:10" ht="15.75" thickBot="1" x14ac:dyDescent="0.3">
      <c r="A28" s="18" t="s">
        <v>29</v>
      </c>
      <c r="B28" s="19">
        <f>B27+B21+B4</f>
        <v>0</v>
      </c>
      <c r="C28" s="29">
        <f t="shared" ref="C28:E28" si="9">C27+C21+C4</f>
        <v>-480957.62616310961</v>
      </c>
      <c r="D28" s="29">
        <f t="shared" si="9"/>
        <v>504226.2833120157</v>
      </c>
      <c r="E28" s="29">
        <f t="shared" si="9"/>
        <v>544658.81268592912</v>
      </c>
    </row>
    <row r="29" spans="1:10" ht="29.25" thickBot="1" x14ac:dyDescent="0.3">
      <c r="A29" s="18" t="s">
        <v>30</v>
      </c>
      <c r="B29" s="19">
        <f>B28</f>
        <v>0</v>
      </c>
      <c r="C29" s="29">
        <f>C28+B29</f>
        <v>-480957.62616310961</v>
      </c>
      <c r="D29" s="29">
        <f t="shared" ref="D29:E29" si="10">D28+C29</f>
        <v>23268.657148906088</v>
      </c>
      <c r="E29" s="38">
        <f t="shared" si="10"/>
        <v>567927.46983483527</v>
      </c>
    </row>
    <row r="31" spans="1:10" ht="15.75" thickBot="1" x14ac:dyDescent="0.3">
      <c r="B31">
        <v>0</v>
      </c>
      <c r="C31">
        <v>1</v>
      </c>
      <c r="D31">
        <v>2</v>
      </c>
      <c r="E31">
        <v>3</v>
      </c>
      <c r="H31" t="s">
        <v>65</v>
      </c>
      <c r="J31" s="39">
        <f>21%+3%</f>
        <v>0.24</v>
      </c>
    </row>
    <row r="32" spans="1:10" ht="29.25" thickBot="1" x14ac:dyDescent="0.3">
      <c r="A32" s="23" t="s">
        <v>55</v>
      </c>
      <c r="B32" s="41">
        <f>1/(1+$J$34)^B31</f>
        <v>1</v>
      </c>
      <c r="C32" s="41">
        <f t="shared" ref="C32:E32" si="11">1/(1+$J$34)^C31</f>
        <v>0.79365079365079361</v>
      </c>
      <c r="D32" s="41">
        <f t="shared" si="11"/>
        <v>0.62988158226253455</v>
      </c>
      <c r="E32" s="41">
        <f t="shared" si="11"/>
        <v>0.49990601766867826</v>
      </c>
      <c r="H32" t="s">
        <v>66</v>
      </c>
      <c r="J32" s="34">
        <v>0.3</v>
      </c>
    </row>
    <row r="33" spans="1:10" ht="15.75" thickBot="1" x14ac:dyDescent="0.3">
      <c r="A33" s="18" t="s">
        <v>32</v>
      </c>
      <c r="B33" s="40">
        <f>B21*B32</f>
        <v>0</v>
      </c>
      <c r="C33" s="40">
        <f t="shared" ref="C33:E33" si="12">C21*C32</f>
        <v>270822.11318621156</v>
      </c>
      <c r="D33" s="40">
        <f t="shared" si="12"/>
        <v>513673.78155008663</v>
      </c>
      <c r="E33" s="40">
        <f t="shared" si="12"/>
        <v>461389.6491809907</v>
      </c>
    </row>
    <row r="34" spans="1:10" ht="15.75" thickBot="1" x14ac:dyDescent="0.3">
      <c r="A34" s="18" t="s">
        <v>33</v>
      </c>
      <c r="B34" s="40">
        <f>B33</f>
        <v>0</v>
      </c>
      <c r="C34" s="42">
        <f>B34+C33</f>
        <v>270822.11318621156</v>
      </c>
      <c r="D34" s="42">
        <f t="shared" ref="D34:E34" si="13">C34+D33</f>
        <v>784495.89473629813</v>
      </c>
      <c r="E34" s="42">
        <f t="shared" si="13"/>
        <v>1245885.5439172888</v>
      </c>
      <c r="H34" t="s">
        <v>67</v>
      </c>
      <c r="J34">
        <f>B23/B3*J32+B24/B3*J31</f>
        <v>0.25999999999999995</v>
      </c>
    </row>
    <row r="35" spans="1:10" ht="43.5" thickBot="1" x14ac:dyDescent="0.3">
      <c r="A35" s="18" t="s">
        <v>34</v>
      </c>
      <c r="B35" s="42">
        <f>B34-$B$3</f>
        <v>-900000</v>
      </c>
      <c r="C35" s="42">
        <f t="shared" ref="C35:D35" si="14">C34-$B$3</f>
        <v>-629177.88681378844</v>
      </c>
      <c r="D35" s="42">
        <f t="shared" si="14"/>
        <v>-115504.10526370187</v>
      </c>
      <c r="E35" s="43">
        <f>E34-$B$3</f>
        <v>345885.54391728877</v>
      </c>
      <c r="J35">
        <f>B23/B3*J32+B24/B3*J31</f>
        <v>0.25999999999999995</v>
      </c>
    </row>
    <row r="36" spans="1:10" ht="15.75" thickBot="1" x14ac:dyDescent="0.3"/>
    <row r="37" spans="1:10" ht="15.75" thickBot="1" x14ac:dyDescent="0.3">
      <c r="A37" s="24" t="s">
        <v>35</v>
      </c>
      <c r="B37" s="30">
        <f>E35</f>
        <v>345885.54391728877</v>
      </c>
    </row>
    <row r="38" spans="1:10" ht="15.75" thickBot="1" x14ac:dyDescent="0.3">
      <c r="A38" s="25" t="s">
        <v>36</v>
      </c>
      <c r="B38" s="31">
        <f>1+(-C35)/D33</f>
        <v>2.2248588684342643</v>
      </c>
      <c r="C38">
        <v>1</v>
      </c>
      <c r="D38" t="s">
        <v>68</v>
      </c>
      <c r="E38" s="27">
        <f>(B38-C38)*12</f>
        <v>14.698306421211171</v>
      </c>
      <c r="F38" t="s">
        <v>69</v>
      </c>
    </row>
    <row r="39" spans="1:10" ht="15.75" thickBot="1" x14ac:dyDescent="0.3">
      <c r="A39" s="26" t="s">
        <v>37</v>
      </c>
      <c r="B39" s="32">
        <f>E34/$B$3</f>
        <v>1.3843172710192098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2"/>
  <sheetViews>
    <sheetView zoomScaleNormal="100" workbookViewId="0">
      <selection activeCell="L13" sqref="L13"/>
    </sheetView>
  </sheetViews>
  <sheetFormatPr defaultRowHeight="15" x14ac:dyDescent="0.25"/>
  <cols>
    <col min="2" max="2" width="12.140625" customWidth="1"/>
    <col min="3" max="3" width="19.42578125" customWidth="1"/>
    <col min="4" max="4" width="14.42578125" customWidth="1"/>
    <col min="5" max="5" width="16.28515625" customWidth="1"/>
    <col min="10" max="10" width="10.5703125" bestFit="1" customWidth="1"/>
  </cols>
  <sheetData>
    <row r="1" spans="1:10" ht="45" x14ac:dyDescent="0.25">
      <c r="A1" s="33" t="s">
        <v>57</v>
      </c>
      <c r="B1" s="33" t="s">
        <v>58</v>
      </c>
      <c r="C1" s="33" t="s">
        <v>59</v>
      </c>
      <c r="D1" s="33" t="s">
        <v>60</v>
      </c>
      <c r="E1" s="33" t="s">
        <v>61</v>
      </c>
      <c r="F1" s="33"/>
      <c r="H1" s="34">
        <v>0.24</v>
      </c>
    </row>
    <row r="2" spans="1:10" x14ac:dyDescent="0.25">
      <c r="A2">
        <v>1</v>
      </c>
      <c r="B2">
        <v>2000000</v>
      </c>
      <c r="C2" s="27">
        <f>-PMT($H$1/12,$A$61,$B$2)</f>
        <v>57535.931651612671</v>
      </c>
      <c r="D2">
        <f>$H$1/12*B2</f>
        <v>40000</v>
      </c>
      <c r="E2" s="27">
        <f>C2-D2</f>
        <v>17535.931651612671</v>
      </c>
    </row>
    <row r="3" spans="1:10" x14ac:dyDescent="0.25">
      <c r="A3">
        <v>2</v>
      </c>
      <c r="B3" s="27">
        <f>B2-E2</f>
        <v>1982464.0683483873</v>
      </c>
      <c r="C3" s="27">
        <f t="shared" ref="C3:C61" si="0">-PMT($H$1/12,$A$61,$B$2)</f>
        <v>57535.931651612671</v>
      </c>
      <c r="D3">
        <f t="shared" ref="D3:D61" si="1">$H$1/12*B3</f>
        <v>39649.281366967749</v>
      </c>
      <c r="E3" s="27">
        <f t="shared" ref="E3:E61" si="2">C3-D3</f>
        <v>17886.650284644922</v>
      </c>
      <c r="H3" s="35"/>
      <c r="I3" s="35" t="s">
        <v>62</v>
      </c>
      <c r="J3" s="35" t="s">
        <v>63</v>
      </c>
    </row>
    <row r="4" spans="1:10" x14ac:dyDescent="0.25">
      <c r="A4">
        <v>3</v>
      </c>
      <c r="B4" s="27">
        <f t="shared" ref="B4:B62" si="3">B3-E3</f>
        <v>1964577.4180637423</v>
      </c>
      <c r="C4" s="27">
        <f t="shared" si="0"/>
        <v>57535.931651612671</v>
      </c>
      <c r="D4">
        <f t="shared" si="1"/>
        <v>39291.54836127485</v>
      </c>
      <c r="E4" s="27">
        <f t="shared" si="2"/>
        <v>18244.383290337821</v>
      </c>
      <c r="H4" s="35" t="s">
        <v>15</v>
      </c>
      <c r="I4" s="35">
        <f>SUM(D2:D13)</f>
        <v>455237.69104161591</v>
      </c>
      <c r="J4" s="36">
        <f>SUM(E2:E13)</f>
        <v>235193.48877773614</v>
      </c>
    </row>
    <row r="5" spans="1:10" x14ac:dyDescent="0.25">
      <c r="A5">
        <v>4</v>
      </c>
      <c r="B5" s="27">
        <f t="shared" si="3"/>
        <v>1946333.0347734045</v>
      </c>
      <c r="C5" s="27">
        <f t="shared" si="0"/>
        <v>57535.931651612671</v>
      </c>
      <c r="D5">
        <f t="shared" si="1"/>
        <v>38926.66069546809</v>
      </c>
      <c r="E5" s="27">
        <f t="shared" si="2"/>
        <v>18609.270956144581</v>
      </c>
      <c r="H5" s="35" t="s">
        <v>16</v>
      </c>
      <c r="I5" s="35">
        <f>SUM(D14:D25)</f>
        <v>392148.96754245006</v>
      </c>
      <c r="J5" s="36">
        <f>SUM(E14:E25)</f>
        <v>298282.21227690193</v>
      </c>
    </row>
    <row r="6" spans="1:10" x14ac:dyDescent="0.25">
      <c r="A6">
        <v>5</v>
      </c>
      <c r="B6" s="27">
        <f t="shared" si="3"/>
        <v>1927723.7638172598</v>
      </c>
      <c r="C6" s="27">
        <f t="shared" si="0"/>
        <v>57535.931651612671</v>
      </c>
      <c r="D6">
        <f t="shared" si="1"/>
        <v>38554.475276345198</v>
      </c>
      <c r="E6" s="27">
        <f t="shared" si="2"/>
        <v>18981.456375267473</v>
      </c>
      <c r="H6" s="35" t="s">
        <v>17</v>
      </c>
      <c r="I6" s="35">
        <f>SUM(D26:D37)</f>
        <v>312137.2116352077</v>
      </c>
      <c r="J6" s="36">
        <f>SUM(E26:E37)</f>
        <v>378293.96818414435</v>
      </c>
    </row>
    <row r="7" spans="1:10" x14ac:dyDescent="0.25">
      <c r="A7">
        <v>6</v>
      </c>
      <c r="B7" s="27">
        <f t="shared" si="3"/>
        <v>1908742.3074419922</v>
      </c>
      <c r="C7" s="27">
        <f t="shared" si="0"/>
        <v>57535.931651612671</v>
      </c>
      <c r="D7">
        <f t="shared" si="1"/>
        <v>38174.846148839846</v>
      </c>
      <c r="E7" s="27">
        <f t="shared" si="2"/>
        <v>19361.085502772825</v>
      </c>
      <c r="H7" s="35"/>
      <c r="I7" s="35">
        <f>SUM(D38:D49)</f>
        <v>210662.95873730647</v>
      </c>
      <c r="J7" s="36">
        <f>SUM(E38:E49)</f>
        <v>479768.22108204558</v>
      </c>
    </row>
    <row r="8" spans="1:10" x14ac:dyDescent="0.25">
      <c r="A8">
        <v>7</v>
      </c>
      <c r="B8" s="27">
        <f t="shared" si="3"/>
        <v>1889381.2219392194</v>
      </c>
      <c r="C8" s="27">
        <f t="shared" si="0"/>
        <v>57535.931651612671</v>
      </c>
      <c r="D8">
        <f t="shared" si="1"/>
        <v>37787.624438784391</v>
      </c>
      <c r="E8" s="27">
        <f t="shared" si="2"/>
        <v>19748.30721282828</v>
      </c>
      <c r="I8" s="35">
        <f>SUM(D50:D61)</f>
        <v>81969.070140178606</v>
      </c>
      <c r="J8" s="27">
        <f>SUM(E50:E61)</f>
        <v>608462.10967917333</v>
      </c>
    </row>
    <row r="9" spans="1:10" x14ac:dyDescent="0.25">
      <c r="A9">
        <v>8</v>
      </c>
      <c r="B9" s="27">
        <f t="shared" si="3"/>
        <v>1869632.9147263912</v>
      </c>
      <c r="C9" s="27">
        <f t="shared" si="0"/>
        <v>57535.931651612671</v>
      </c>
      <c r="D9">
        <f t="shared" si="1"/>
        <v>37392.658294527828</v>
      </c>
      <c r="E9" s="27">
        <f t="shared" si="2"/>
        <v>20143.273357084843</v>
      </c>
      <c r="I9">
        <f>SUM(I4:I8)</f>
        <v>1452155.8990967588</v>
      </c>
      <c r="J9" s="27">
        <f>SUM(J4:J8)</f>
        <v>2000000.0000000014</v>
      </c>
    </row>
    <row r="10" spans="1:10" x14ac:dyDescent="0.25">
      <c r="A10">
        <v>9</v>
      </c>
      <c r="B10" s="27">
        <f t="shared" si="3"/>
        <v>1849489.6413693062</v>
      </c>
      <c r="C10" s="27">
        <f t="shared" si="0"/>
        <v>57535.931651612671</v>
      </c>
      <c r="D10">
        <f t="shared" si="1"/>
        <v>36989.792827386125</v>
      </c>
      <c r="E10" s="27">
        <f t="shared" si="2"/>
        <v>20546.138824226546</v>
      </c>
    </row>
    <row r="11" spans="1:10" x14ac:dyDescent="0.25">
      <c r="A11">
        <v>10</v>
      </c>
      <c r="B11" s="27">
        <f t="shared" si="3"/>
        <v>1828943.5025450797</v>
      </c>
      <c r="C11" s="27">
        <f t="shared" si="0"/>
        <v>57535.931651612671</v>
      </c>
      <c r="D11">
        <f t="shared" si="1"/>
        <v>36578.870050901598</v>
      </c>
      <c r="E11" s="27">
        <f t="shared" si="2"/>
        <v>20957.061600711073</v>
      </c>
    </row>
    <row r="12" spans="1:10" x14ac:dyDescent="0.25">
      <c r="A12">
        <v>11</v>
      </c>
      <c r="B12" s="27">
        <f t="shared" si="3"/>
        <v>1807986.4409443687</v>
      </c>
      <c r="C12" s="27">
        <f t="shared" si="0"/>
        <v>57535.931651612671</v>
      </c>
      <c r="D12">
        <f t="shared" si="1"/>
        <v>36159.728818887372</v>
      </c>
      <c r="E12" s="27">
        <f t="shared" si="2"/>
        <v>21376.202832725299</v>
      </c>
    </row>
    <row r="13" spans="1:10" x14ac:dyDescent="0.25">
      <c r="A13">
        <v>12</v>
      </c>
      <c r="B13" s="27">
        <f t="shared" si="3"/>
        <v>1786610.2381116434</v>
      </c>
      <c r="C13" s="27">
        <f t="shared" si="0"/>
        <v>57535.931651612671</v>
      </c>
      <c r="D13">
        <f t="shared" si="1"/>
        <v>35732.204762232868</v>
      </c>
      <c r="E13" s="27">
        <f t="shared" si="2"/>
        <v>21803.726889379803</v>
      </c>
    </row>
    <row r="14" spans="1:10" x14ac:dyDescent="0.25">
      <c r="A14">
        <v>13</v>
      </c>
      <c r="B14" s="27">
        <f t="shared" si="3"/>
        <v>1764806.5112222636</v>
      </c>
      <c r="C14" s="27">
        <f t="shared" si="0"/>
        <v>57535.931651612671</v>
      </c>
      <c r="D14">
        <f t="shared" si="1"/>
        <v>35296.130224445275</v>
      </c>
      <c r="E14" s="27">
        <f t="shared" si="2"/>
        <v>22239.801427167396</v>
      </c>
    </row>
    <row r="15" spans="1:10" x14ac:dyDescent="0.25">
      <c r="A15">
        <v>14</v>
      </c>
      <c r="B15" s="27">
        <f t="shared" si="3"/>
        <v>1742566.7097950962</v>
      </c>
      <c r="C15" s="27">
        <f t="shared" si="0"/>
        <v>57535.931651612671</v>
      </c>
      <c r="D15">
        <f t="shared" si="1"/>
        <v>34851.334195901924</v>
      </c>
      <c r="E15" s="27">
        <f t="shared" si="2"/>
        <v>22684.597455710747</v>
      </c>
    </row>
    <row r="16" spans="1:10" x14ac:dyDescent="0.25">
      <c r="A16">
        <v>15</v>
      </c>
      <c r="B16" s="27">
        <f t="shared" si="3"/>
        <v>1719882.1123393856</v>
      </c>
      <c r="C16" s="27">
        <f t="shared" si="0"/>
        <v>57535.931651612671</v>
      </c>
      <c r="D16">
        <f t="shared" si="1"/>
        <v>34397.642246787713</v>
      </c>
      <c r="E16" s="27">
        <f t="shared" si="2"/>
        <v>23138.289404824958</v>
      </c>
    </row>
    <row r="17" spans="1:5" x14ac:dyDescent="0.25">
      <c r="A17">
        <v>16</v>
      </c>
      <c r="B17" s="27">
        <f t="shared" si="3"/>
        <v>1696743.8229345605</v>
      </c>
      <c r="C17" s="27">
        <f t="shared" si="0"/>
        <v>57535.931651612671</v>
      </c>
      <c r="D17">
        <f t="shared" si="1"/>
        <v>33934.876458691208</v>
      </c>
      <c r="E17" s="27">
        <f t="shared" si="2"/>
        <v>23601.055192921463</v>
      </c>
    </row>
    <row r="18" spans="1:5" x14ac:dyDescent="0.25">
      <c r="A18">
        <v>17</v>
      </c>
      <c r="B18" s="27">
        <f t="shared" si="3"/>
        <v>1673142.7677416389</v>
      </c>
      <c r="C18" s="27">
        <f t="shared" si="0"/>
        <v>57535.931651612671</v>
      </c>
      <c r="D18">
        <f t="shared" si="1"/>
        <v>33462.855354832776</v>
      </c>
      <c r="E18" s="27">
        <f t="shared" si="2"/>
        <v>24073.076296779895</v>
      </c>
    </row>
    <row r="19" spans="1:5" x14ac:dyDescent="0.25">
      <c r="A19">
        <v>18</v>
      </c>
      <c r="B19" s="27">
        <f t="shared" si="3"/>
        <v>1649069.6914448591</v>
      </c>
      <c r="C19" s="27">
        <f t="shared" si="0"/>
        <v>57535.931651612671</v>
      </c>
      <c r="D19">
        <f t="shared" si="1"/>
        <v>32981.393828897184</v>
      </c>
      <c r="E19" s="27">
        <f t="shared" si="2"/>
        <v>24554.537822715487</v>
      </c>
    </row>
    <row r="20" spans="1:5" x14ac:dyDescent="0.25">
      <c r="A20">
        <v>19</v>
      </c>
      <c r="B20" s="27">
        <f t="shared" si="3"/>
        <v>1624515.1536221437</v>
      </c>
      <c r="C20" s="27">
        <f t="shared" si="0"/>
        <v>57535.931651612671</v>
      </c>
      <c r="D20">
        <f t="shared" si="1"/>
        <v>32490.303072442875</v>
      </c>
      <c r="E20" s="27">
        <f t="shared" si="2"/>
        <v>25045.628579169796</v>
      </c>
    </row>
    <row r="21" spans="1:5" x14ac:dyDescent="0.25">
      <c r="A21">
        <v>20</v>
      </c>
      <c r="B21" s="27">
        <f t="shared" si="3"/>
        <v>1599469.5250429739</v>
      </c>
      <c r="C21" s="27">
        <f t="shared" si="0"/>
        <v>57535.931651612671</v>
      </c>
      <c r="D21">
        <f t="shared" si="1"/>
        <v>31989.390500859477</v>
      </c>
      <c r="E21" s="27">
        <f t="shared" si="2"/>
        <v>25546.541150753194</v>
      </c>
    </row>
    <row r="22" spans="1:5" x14ac:dyDescent="0.25">
      <c r="A22">
        <v>21</v>
      </c>
      <c r="B22" s="27">
        <f t="shared" si="3"/>
        <v>1573922.9838922208</v>
      </c>
      <c r="C22" s="27">
        <f t="shared" si="0"/>
        <v>57535.931651612671</v>
      </c>
      <c r="D22">
        <f t="shared" si="1"/>
        <v>31478.459677844417</v>
      </c>
      <c r="E22" s="27">
        <f t="shared" si="2"/>
        <v>26057.471973768254</v>
      </c>
    </row>
    <row r="23" spans="1:5" x14ac:dyDescent="0.25">
      <c r="A23">
        <v>22</v>
      </c>
      <c r="B23" s="27">
        <f t="shared" si="3"/>
        <v>1547865.5119184526</v>
      </c>
      <c r="C23" s="27">
        <f t="shared" si="0"/>
        <v>57535.931651612671</v>
      </c>
      <c r="D23">
        <f t="shared" si="1"/>
        <v>30957.310238369053</v>
      </c>
      <c r="E23" s="27">
        <f t="shared" si="2"/>
        <v>26578.621413243618</v>
      </c>
    </row>
    <row r="24" spans="1:5" x14ac:dyDescent="0.25">
      <c r="A24">
        <v>23</v>
      </c>
      <c r="B24" s="27">
        <f t="shared" si="3"/>
        <v>1521286.8905052089</v>
      </c>
      <c r="C24" s="27">
        <f t="shared" si="0"/>
        <v>57535.931651612671</v>
      </c>
      <c r="D24">
        <f t="shared" si="1"/>
        <v>30425.73781010418</v>
      </c>
      <c r="E24" s="27">
        <f t="shared" si="2"/>
        <v>27110.193841508491</v>
      </c>
    </row>
    <row r="25" spans="1:5" x14ac:dyDescent="0.25">
      <c r="A25">
        <v>24</v>
      </c>
      <c r="B25" s="27">
        <f t="shared" si="3"/>
        <v>1494176.6966637003</v>
      </c>
      <c r="C25" s="27">
        <f t="shared" si="0"/>
        <v>57535.931651612671</v>
      </c>
      <c r="D25">
        <f t="shared" si="1"/>
        <v>29883.533933274008</v>
      </c>
      <c r="E25" s="27">
        <f t="shared" si="2"/>
        <v>27652.397718338663</v>
      </c>
    </row>
    <row r="26" spans="1:5" x14ac:dyDescent="0.25">
      <c r="A26">
        <v>25</v>
      </c>
      <c r="B26" s="27">
        <f t="shared" si="3"/>
        <v>1466524.2989453615</v>
      </c>
      <c r="C26" s="27">
        <f t="shared" si="0"/>
        <v>57535.931651612671</v>
      </c>
      <c r="D26">
        <f t="shared" si="1"/>
        <v>29330.485978907232</v>
      </c>
      <c r="E26" s="27">
        <f t="shared" si="2"/>
        <v>28205.445672705438</v>
      </c>
    </row>
    <row r="27" spans="1:5" x14ac:dyDescent="0.25">
      <c r="A27">
        <v>26</v>
      </c>
      <c r="B27" s="27">
        <f t="shared" si="3"/>
        <v>1438318.853272656</v>
      </c>
      <c r="C27" s="27">
        <f t="shared" si="0"/>
        <v>57535.931651612671</v>
      </c>
      <c r="D27">
        <f t="shared" si="1"/>
        <v>28766.377065453122</v>
      </c>
      <c r="E27" s="27">
        <f t="shared" si="2"/>
        <v>28769.554586159549</v>
      </c>
    </row>
    <row r="28" spans="1:5" x14ac:dyDescent="0.25">
      <c r="A28">
        <v>27</v>
      </c>
      <c r="B28" s="27">
        <f t="shared" si="3"/>
        <v>1409549.2986864964</v>
      </c>
      <c r="C28" s="27">
        <f t="shared" si="0"/>
        <v>57535.931651612671</v>
      </c>
      <c r="D28">
        <f t="shared" si="1"/>
        <v>28190.98597372993</v>
      </c>
      <c r="E28" s="27">
        <f t="shared" si="2"/>
        <v>29344.945677882741</v>
      </c>
    </row>
    <row r="29" spans="1:5" x14ac:dyDescent="0.25">
      <c r="A29">
        <v>28</v>
      </c>
      <c r="B29" s="27">
        <f t="shared" si="3"/>
        <v>1380204.3530086137</v>
      </c>
      <c r="C29" s="27">
        <f t="shared" si="0"/>
        <v>57535.931651612671</v>
      </c>
      <c r="D29">
        <f t="shared" si="1"/>
        <v>27604.087060172275</v>
      </c>
      <c r="E29" s="27">
        <f t="shared" si="2"/>
        <v>29931.844591440396</v>
      </c>
    </row>
    <row r="30" spans="1:5" x14ac:dyDescent="0.25">
      <c r="A30">
        <v>29</v>
      </c>
      <c r="B30" s="27">
        <f t="shared" si="3"/>
        <v>1350272.5084171733</v>
      </c>
      <c r="C30" s="27">
        <f t="shared" si="0"/>
        <v>57535.931651612671</v>
      </c>
      <c r="D30">
        <f t="shared" si="1"/>
        <v>27005.450168343465</v>
      </c>
      <c r="E30" s="27">
        <f t="shared" si="2"/>
        <v>30530.481483269206</v>
      </c>
    </row>
    <row r="31" spans="1:5" x14ac:dyDescent="0.25">
      <c r="A31">
        <v>30</v>
      </c>
      <c r="B31" s="27">
        <f t="shared" si="3"/>
        <v>1319742.026933904</v>
      </c>
      <c r="C31" s="27">
        <f t="shared" si="0"/>
        <v>57535.931651612671</v>
      </c>
      <c r="D31">
        <f t="shared" si="1"/>
        <v>26394.84053867808</v>
      </c>
      <c r="E31" s="27">
        <f t="shared" si="2"/>
        <v>31141.091112934591</v>
      </c>
    </row>
    <row r="32" spans="1:5" x14ac:dyDescent="0.25">
      <c r="A32">
        <v>31</v>
      </c>
      <c r="B32" s="27">
        <f t="shared" si="3"/>
        <v>1288600.9358209695</v>
      </c>
      <c r="C32" s="27">
        <f t="shared" si="0"/>
        <v>57535.931651612671</v>
      </c>
      <c r="D32">
        <f t="shared" si="1"/>
        <v>25772.018716419392</v>
      </c>
      <c r="E32" s="27">
        <f t="shared" si="2"/>
        <v>31763.912935193279</v>
      </c>
    </row>
    <row r="33" spans="1:5" x14ac:dyDescent="0.25">
      <c r="A33">
        <v>32</v>
      </c>
      <c r="B33" s="27">
        <f t="shared" si="3"/>
        <v>1256837.0228857761</v>
      </c>
      <c r="C33" s="27">
        <f t="shared" si="0"/>
        <v>57535.931651612671</v>
      </c>
      <c r="D33">
        <f t="shared" si="1"/>
        <v>25136.740457715525</v>
      </c>
      <c r="E33" s="27">
        <f t="shared" si="2"/>
        <v>32399.191193897146</v>
      </c>
    </row>
    <row r="34" spans="1:5" x14ac:dyDescent="0.25">
      <c r="A34">
        <v>33</v>
      </c>
      <c r="B34" s="27">
        <f>B33-E33</f>
        <v>1224437.8316918791</v>
      </c>
      <c r="C34" s="27">
        <f t="shared" si="0"/>
        <v>57535.931651612671</v>
      </c>
      <c r="D34">
        <f t="shared" si="1"/>
        <v>24488.756633837584</v>
      </c>
      <c r="E34" s="27">
        <f t="shared" si="2"/>
        <v>33047.175017775087</v>
      </c>
    </row>
    <row r="35" spans="1:5" x14ac:dyDescent="0.25">
      <c r="A35">
        <v>34</v>
      </c>
      <c r="B35" s="27">
        <f t="shared" si="3"/>
        <v>1191390.656674104</v>
      </c>
      <c r="C35" s="27">
        <f t="shared" si="0"/>
        <v>57535.931651612671</v>
      </c>
      <c r="D35">
        <f t="shared" si="1"/>
        <v>23827.813133482083</v>
      </c>
      <c r="E35" s="27">
        <f t="shared" si="2"/>
        <v>33708.118518130592</v>
      </c>
    </row>
    <row r="36" spans="1:5" x14ac:dyDescent="0.25">
      <c r="A36">
        <v>35</v>
      </c>
      <c r="B36" s="27">
        <f t="shared" si="3"/>
        <v>1157682.5381559734</v>
      </c>
      <c r="C36" s="27">
        <f t="shared" si="0"/>
        <v>57535.931651612671</v>
      </c>
      <c r="D36">
        <f t="shared" si="1"/>
        <v>23153.650763119469</v>
      </c>
      <c r="E36" s="27">
        <f t="shared" si="2"/>
        <v>34382.280888493202</v>
      </c>
    </row>
    <row r="37" spans="1:5" x14ac:dyDescent="0.25">
      <c r="A37">
        <v>36</v>
      </c>
      <c r="B37" s="27">
        <f t="shared" si="3"/>
        <v>1123300.2572674803</v>
      </c>
      <c r="C37" s="27">
        <f t="shared" si="0"/>
        <v>57535.931651612671</v>
      </c>
      <c r="D37">
        <f t="shared" si="1"/>
        <v>22466.005145349605</v>
      </c>
      <c r="E37" s="27">
        <f t="shared" si="2"/>
        <v>35069.926506263066</v>
      </c>
    </row>
    <row r="38" spans="1:5" x14ac:dyDescent="0.25">
      <c r="A38">
        <v>37</v>
      </c>
      <c r="B38" s="27">
        <f t="shared" si="3"/>
        <v>1088230.3307612173</v>
      </c>
      <c r="C38" s="27">
        <f t="shared" si="0"/>
        <v>57535.931651612671</v>
      </c>
      <c r="D38">
        <f t="shared" si="1"/>
        <v>21764.606615224347</v>
      </c>
      <c r="E38" s="27">
        <f t="shared" si="2"/>
        <v>35771.325036388327</v>
      </c>
    </row>
    <row r="39" spans="1:5" x14ac:dyDescent="0.25">
      <c r="A39">
        <v>38</v>
      </c>
      <c r="B39" s="27">
        <f t="shared" si="3"/>
        <v>1052459.0057248289</v>
      </c>
      <c r="C39" s="27">
        <f t="shared" si="0"/>
        <v>57535.931651612671</v>
      </c>
      <c r="D39">
        <f t="shared" si="1"/>
        <v>21049.180114496579</v>
      </c>
      <c r="E39" s="27">
        <f t="shared" si="2"/>
        <v>36486.751537116092</v>
      </c>
    </row>
    <row r="40" spans="1:5" x14ac:dyDescent="0.25">
      <c r="A40">
        <v>39</v>
      </c>
      <c r="B40" s="27">
        <f t="shared" si="3"/>
        <v>1015972.2541877128</v>
      </c>
      <c r="C40" s="27">
        <f t="shared" si="0"/>
        <v>57535.931651612671</v>
      </c>
      <c r="D40">
        <f t="shared" si="1"/>
        <v>20319.445083754257</v>
      </c>
      <c r="E40" s="27">
        <f t="shared" si="2"/>
        <v>37216.486567858417</v>
      </c>
    </row>
    <row r="41" spans="1:5" x14ac:dyDescent="0.25">
      <c r="A41">
        <v>40</v>
      </c>
      <c r="B41" s="27">
        <f t="shared" si="3"/>
        <v>978755.76761985442</v>
      </c>
      <c r="C41" s="27">
        <f t="shared" si="0"/>
        <v>57535.931651612671</v>
      </c>
      <c r="D41">
        <f t="shared" si="1"/>
        <v>19575.11535239709</v>
      </c>
      <c r="E41" s="27">
        <f t="shared" si="2"/>
        <v>37960.816299215585</v>
      </c>
    </row>
    <row r="42" spans="1:5" x14ac:dyDescent="0.25">
      <c r="A42">
        <v>41</v>
      </c>
      <c r="B42" s="27">
        <f t="shared" si="3"/>
        <v>940794.95132063888</v>
      </c>
      <c r="C42" s="27">
        <f t="shared" si="0"/>
        <v>57535.931651612671</v>
      </c>
      <c r="D42">
        <f t="shared" si="1"/>
        <v>18815.899026412779</v>
      </c>
      <c r="E42" s="27">
        <f t="shared" si="2"/>
        <v>38720.032625199892</v>
      </c>
    </row>
    <row r="43" spans="1:5" x14ac:dyDescent="0.25">
      <c r="A43">
        <v>42</v>
      </c>
      <c r="B43" s="27">
        <f t="shared" si="3"/>
        <v>902074.918695439</v>
      </c>
      <c r="C43" s="27">
        <f t="shared" si="0"/>
        <v>57535.931651612671</v>
      </c>
      <c r="D43">
        <f t="shared" si="1"/>
        <v>18041.49837390878</v>
      </c>
      <c r="E43" s="27">
        <f t="shared" si="2"/>
        <v>39494.433277703894</v>
      </c>
    </row>
    <row r="44" spans="1:5" x14ac:dyDescent="0.25">
      <c r="A44">
        <v>43</v>
      </c>
      <c r="B44" s="27">
        <f t="shared" si="3"/>
        <v>862580.48541773506</v>
      </c>
      <c r="C44" s="27">
        <f t="shared" si="0"/>
        <v>57535.931651612671</v>
      </c>
      <c r="D44">
        <f t="shared" si="1"/>
        <v>17251.609708354703</v>
      </c>
      <c r="E44" s="27">
        <f t="shared" si="2"/>
        <v>40284.321943257964</v>
      </c>
    </row>
    <row r="45" spans="1:5" x14ac:dyDescent="0.25">
      <c r="A45">
        <v>44</v>
      </c>
      <c r="B45" s="27">
        <f t="shared" si="3"/>
        <v>822296.16347447713</v>
      </c>
      <c r="C45" s="27">
        <f t="shared" si="0"/>
        <v>57535.931651612671</v>
      </c>
      <c r="D45">
        <f t="shared" si="1"/>
        <v>16445.923269489544</v>
      </c>
      <c r="E45" s="27">
        <f t="shared" si="2"/>
        <v>41090.008382123124</v>
      </c>
    </row>
    <row r="46" spans="1:5" x14ac:dyDescent="0.25">
      <c r="A46">
        <v>45</v>
      </c>
      <c r="B46" s="27">
        <f t="shared" si="3"/>
        <v>781206.15509235405</v>
      </c>
      <c r="C46" s="27">
        <f t="shared" si="0"/>
        <v>57535.931651612671</v>
      </c>
      <c r="D46">
        <f t="shared" si="1"/>
        <v>15624.123101847081</v>
      </c>
      <c r="E46" s="27">
        <f t="shared" si="2"/>
        <v>41911.808549765592</v>
      </c>
    </row>
    <row r="47" spans="1:5" x14ac:dyDescent="0.25">
      <c r="A47">
        <v>46</v>
      </c>
      <c r="B47" s="27">
        <f t="shared" si="3"/>
        <v>739294.34654258844</v>
      </c>
      <c r="C47" s="27">
        <f t="shared" si="0"/>
        <v>57535.931651612671</v>
      </c>
      <c r="D47">
        <f t="shared" si="1"/>
        <v>14785.88693085177</v>
      </c>
      <c r="E47" s="27">
        <f t="shared" si="2"/>
        <v>42750.044720760903</v>
      </c>
    </row>
    <row r="48" spans="1:5" x14ac:dyDescent="0.25">
      <c r="A48">
        <v>47</v>
      </c>
      <c r="B48" s="27">
        <f t="shared" si="3"/>
        <v>696544.30182182754</v>
      </c>
      <c r="C48" s="27">
        <f t="shared" si="0"/>
        <v>57535.931651612671</v>
      </c>
      <c r="D48">
        <f t="shared" si="1"/>
        <v>13930.886036436552</v>
      </c>
      <c r="E48" s="27">
        <f t="shared" si="2"/>
        <v>43605.045615176117</v>
      </c>
    </row>
    <row r="49" spans="1:5" x14ac:dyDescent="0.25">
      <c r="A49">
        <v>48</v>
      </c>
      <c r="B49" s="27">
        <f t="shared" si="3"/>
        <v>652939.25620665145</v>
      </c>
      <c r="C49" s="27">
        <f t="shared" si="0"/>
        <v>57535.931651612671</v>
      </c>
      <c r="D49">
        <f t="shared" si="1"/>
        <v>13058.78512413303</v>
      </c>
      <c r="E49" s="27">
        <f t="shared" si="2"/>
        <v>44477.146527479643</v>
      </c>
    </row>
    <row r="50" spans="1:5" x14ac:dyDescent="0.25">
      <c r="A50">
        <v>49</v>
      </c>
      <c r="B50" s="27">
        <f t="shared" si="3"/>
        <v>608462.10967917182</v>
      </c>
      <c r="C50" s="27">
        <f t="shared" si="0"/>
        <v>57535.931651612671</v>
      </c>
      <c r="D50">
        <f t="shared" si="1"/>
        <v>12169.242193583437</v>
      </c>
      <c r="E50" s="27">
        <f t="shared" si="2"/>
        <v>45366.689458029236</v>
      </c>
    </row>
    <row r="51" spans="1:5" x14ac:dyDescent="0.25">
      <c r="A51">
        <v>50</v>
      </c>
      <c r="B51" s="27">
        <f t="shared" si="3"/>
        <v>563095.42022114259</v>
      </c>
      <c r="C51" s="27">
        <f t="shared" si="0"/>
        <v>57535.931651612671</v>
      </c>
      <c r="D51">
        <f t="shared" si="1"/>
        <v>11261.908404422851</v>
      </c>
      <c r="E51" s="27">
        <f t="shared" si="2"/>
        <v>46274.02324718982</v>
      </c>
    </row>
    <row r="52" spans="1:5" x14ac:dyDescent="0.25">
      <c r="A52">
        <v>51</v>
      </c>
      <c r="B52" s="27">
        <f t="shared" si="3"/>
        <v>516821.39697395277</v>
      </c>
      <c r="C52" s="27">
        <f t="shared" si="0"/>
        <v>57535.931651612671</v>
      </c>
      <c r="D52">
        <f t="shared" si="1"/>
        <v>10336.427939479056</v>
      </c>
      <c r="E52" s="27">
        <f t="shared" si="2"/>
        <v>47199.503712133614</v>
      </c>
    </row>
    <row r="53" spans="1:5" x14ac:dyDescent="0.25">
      <c r="A53">
        <v>52</v>
      </c>
      <c r="B53" s="27">
        <f t="shared" si="3"/>
        <v>469621.89326181915</v>
      </c>
      <c r="C53" s="27">
        <f t="shared" si="0"/>
        <v>57535.931651612671</v>
      </c>
      <c r="D53">
        <f t="shared" si="1"/>
        <v>9392.437865236383</v>
      </c>
      <c r="E53" s="27">
        <f t="shared" si="2"/>
        <v>48143.49378637629</v>
      </c>
    </row>
    <row r="54" spans="1:5" x14ac:dyDescent="0.25">
      <c r="A54">
        <v>53</v>
      </c>
      <c r="B54" s="27">
        <f t="shared" si="3"/>
        <v>421478.39947544283</v>
      </c>
      <c r="C54" s="27">
        <f t="shared" si="0"/>
        <v>57535.931651612671</v>
      </c>
      <c r="D54">
        <f t="shared" si="1"/>
        <v>8429.567989508856</v>
      </c>
      <c r="E54" s="27">
        <f t="shared" si="2"/>
        <v>49106.363662103817</v>
      </c>
    </row>
    <row r="55" spans="1:5" x14ac:dyDescent="0.25">
      <c r="A55">
        <v>54</v>
      </c>
      <c r="B55" s="27">
        <f t="shared" si="3"/>
        <v>372372.035813339</v>
      </c>
      <c r="C55" s="27">
        <f t="shared" si="0"/>
        <v>57535.931651612671</v>
      </c>
      <c r="D55">
        <f t="shared" si="1"/>
        <v>7447.4407162667803</v>
      </c>
      <c r="E55" s="27">
        <f t="shared" si="2"/>
        <v>50088.490935345893</v>
      </c>
    </row>
    <row r="56" spans="1:5" x14ac:dyDescent="0.25">
      <c r="A56">
        <v>55</v>
      </c>
      <c r="B56" s="27">
        <f t="shared" si="3"/>
        <v>322283.54487799312</v>
      </c>
      <c r="C56" s="27">
        <f t="shared" si="0"/>
        <v>57535.931651612671</v>
      </c>
      <c r="D56">
        <f t="shared" si="1"/>
        <v>6445.6708975598622</v>
      </c>
      <c r="E56" s="27">
        <f t="shared" si="2"/>
        <v>51090.260754052812</v>
      </c>
    </row>
    <row r="57" spans="1:5" x14ac:dyDescent="0.25">
      <c r="A57">
        <v>56</v>
      </c>
      <c r="B57" s="27">
        <f t="shared" si="3"/>
        <v>271193.28412394028</v>
      </c>
      <c r="C57" s="27">
        <f t="shared" si="0"/>
        <v>57535.931651612671</v>
      </c>
      <c r="D57">
        <f t="shared" si="1"/>
        <v>5423.8656824788059</v>
      </c>
      <c r="E57" s="27">
        <f t="shared" si="2"/>
        <v>52112.065969133866</v>
      </c>
    </row>
    <row r="58" spans="1:5" x14ac:dyDescent="0.25">
      <c r="A58">
        <v>57</v>
      </c>
      <c r="B58" s="27">
        <f t="shared" si="3"/>
        <v>219081.21815480641</v>
      </c>
      <c r="C58" s="27">
        <f t="shared" si="0"/>
        <v>57535.931651612671</v>
      </c>
      <c r="D58">
        <f t="shared" si="1"/>
        <v>4381.624363096128</v>
      </c>
      <c r="E58" s="27">
        <f t="shared" si="2"/>
        <v>53154.307288516546</v>
      </c>
    </row>
    <row r="59" spans="1:5" x14ac:dyDescent="0.25">
      <c r="A59">
        <v>58</v>
      </c>
      <c r="B59" s="27">
        <f t="shared" si="3"/>
        <v>165926.91086628987</v>
      </c>
      <c r="C59" s="27">
        <f t="shared" si="0"/>
        <v>57535.931651612671</v>
      </c>
      <c r="D59">
        <f t="shared" si="1"/>
        <v>3318.5382173257972</v>
      </c>
      <c r="E59" s="27">
        <f t="shared" si="2"/>
        <v>54217.393434286874</v>
      </c>
    </row>
    <row r="60" spans="1:5" x14ac:dyDescent="0.25">
      <c r="A60">
        <v>59</v>
      </c>
      <c r="B60" s="27">
        <f t="shared" si="3"/>
        <v>111709.51743200299</v>
      </c>
      <c r="C60" s="27">
        <f t="shared" si="0"/>
        <v>57535.931651612671</v>
      </c>
      <c r="D60">
        <f t="shared" si="1"/>
        <v>2234.1903486400597</v>
      </c>
      <c r="E60" s="27">
        <f t="shared" si="2"/>
        <v>55301.741302972609</v>
      </c>
    </row>
    <row r="61" spans="1:5" x14ac:dyDescent="0.25">
      <c r="A61">
        <v>60</v>
      </c>
      <c r="B61" s="27">
        <f t="shared" si="3"/>
        <v>56407.776129030382</v>
      </c>
      <c r="C61" s="27">
        <f t="shared" si="0"/>
        <v>57535.931651612671</v>
      </c>
      <c r="D61">
        <f t="shared" si="1"/>
        <v>1128.1555225806076</v>
      </c>
      <c r="E61" s="27">
        <f t="shared" si="2"/>
        <v>56407.776129032063</v>
      </c>
    </row>
    <row r="62" spans="1:5" x14ac:dyDescent="0.25">
      <c r="B62" s="27">
        <f t="shared" si="3"/>
        <v>-1.6807462088763714E-9</v>
      </c>
      <c r="C62" s="27">
        <f>SUM(C2:C61)</f>
        <v>3452155.8990967628</v>
      </c>
      <c r="D62">
        <f>SUM(D2:D61)</f>
        <v>1452155.8990967586</v>
      </c>
      <c r="E62" s="27">
        <f>SUM(E2:E61)</f>
        <v>2000000.0000000014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workbookViewId="0">
      <selection activeCell="E9" sqref="E9"/>
    </sheetView>
  </sheetViews>
  <sheetFormatPr defaultRowHeight="15" x14ac:dyDescent="0.25"/>
  <cols>
    <col min="1" max="1" width="33.85546875" customWidth="1"/>
    <col min="2" max="2" width="21.85546875" customWidth="1"/>
    <col min="3" max="3" width="24.28515625" customWidth="1"/>
    <col min="4" max="4" width="24.42578125" customWidth="1"/>
    <col min="5" max="5" width="23.28515625" customWidth="1"/>
    <col min="7" max="7" width="10.42578125" bestFit="1" customWidth="1"/>
  </cols>
  <sheetData>
    <row r="1" spans="1:8" ht="30.75" thickBot="1" x14ac:dyDescent="0.3">
      <c r="A1" s="11" t="s">
        <v>14</v>
      </c>
      <c r="B1" s="12" t="s">
        <v>31</v>
      </c>
      <c r="C1" s="13" t="s">
        <v>15</v>
      </c>
      <c r="D1" s="13" t="s">
        <v>16</v>
      </c>
      <c r="E1" s="13" t="s">
        <v>17</v>
      </c>
    </row>
    <row r="2" spans="1:8" ht="15.75" thickBot="1" x14ac:dyDescent="0.3">
      <c r="A2" s="20" t="s">
        <v>18</v>
      </c>
      <c r="B2" s="21"/>
      <c r="C2" s="21"/>
      <c r="D2" s="21"/>
      <c r="E2" s="22"/>
      <c r="G2" t="s">
        <v>64</v>
      </c>
    </row>
    <row r="3" spans="1:8" ht="15.75" thickBot="1" x14ac:dyDescent="0.3">
      <c r="A3" s="14" t="s">
        <v>19</v>
      </c>
      <c r="B3" s="15">
        <v>900000</v>
      </c>
      <c r="C3" s="15"/>
      <c r="D3" s="15"/>
      <c r="E3" s="15"/>
    </row>
    <row r="4" spans="1:8" ht="30.75" thickBot="1" x14ac:dyDescent="0.3">
      <c r="A4" s="16" t="s">
        <v>20</v>
      </c>
      <c r="B4" s="17">
        <v>-900000</v>
      </c>
      <c r="C4" s="17"/>
      <c r="D4" s="17"/>
      <c r="E4" s="17"/>
      <c r="F4">
        <v>73</v>
      </c>
      <c r="G4">
        <f>ROUNDUP(F4*1.07,0)</f>
        <v>79</v>
      </c>
      <c r="H4">
        <f>ROUNDUP(G4*1.07,0)</f>
        <v>85</v>
      </c>
    </row>
    <row r="5" spans="1:8" ht="15.75" thickBot="1" x14ac:dyDescent="0.3">
      <c r="A5" s="20" t="s">
        <v>21</v>
      </c>
      <c r="B5" s="21"/>
      <c r="C5" s="21"/>
      <c r="D5" s="21"/>
      <c r="E5" s="22"/>
    </row>
    <row r="6" spans="1:8" ht="15.75" thickBot="1" x14ac:dyDescent="0.3">
      <c r="A6" s="14" t="s">
        <v>51</v>
      </c>
      <c r="B6" s="15"/>
      <c r="C6" s="15">
        <f>ROUNDDOWN(0.85*'Денежные потоки'!C6,0)</f>
        <v>5080</v>
      </c>
      <c r="D6" s="15">
        <f>ROUNDDOWN(0.85*'Денежные потоки'!D6,0)</f>
        <v>6210</v>
      </c>
      <c r="E6" s="15">
        <f>ROUNDDOWN(0.85*'Денежные потоки'!E6,0)</f>
        <v>6210</v>
      </c>
    </row>
    <row r="7" spans="1:8" ht="15.75" thickBot="1" x14ac:dyDescent="0.3">
      <c r="A7" s="14" t="s">
        <v>52</v>
      </c>
      <c r="B7" s="15"/>
      <c r="C7" s="15">
        <f>ROUNDDOWN(0.85*'Денежные потоки'!C7,0)</f>
        <v>1694</v>
      </c>
      <c r="D7" s="15">
        <f>ROUNDDOWN(0.85*'Денежные потоки'!D7,0)</f>
        <v>1786</v>
      </c>
      <c r="E7" s="15">
        <f>ROUNDDOWN(0.85*'Денежные потоки'!E7,0)</f>
        <v>1786</v>
      </c>
    </row>
    <row r="8" spans="1:8" ht="15.75" thickBot="1" x14ac:dyDescent="0.3">
      <c r="A8" s="14" t="s">
        <v>22</v>
      </c>
      <c r="B8" s="15"/>
      <c r="C8" s="15">
        <v>400</v>
      </c>
      <c r="D8" s="15">
        <v>420</v>
      </c>
      <c r="E8" s="15">
        <v>450</v>
      </c>
    </row>
    <row r="9" spans="1:8" ht="15.75" thickBot="1" x14ac:dyDescent="0.3">
      <c r="A9" s="14" t="s">
        <v>23</v>
      </c>
      <c r="B9" s="15"/>
      <c r="C9" s="15">
        <v>580</v>
      </c>
      <c r="D9" s="15">
        <v>610</v>
      </c>
      <c r="E9" s="15">
        <v>630</v>
      </c>
    </row>
    <row r="10" spans="1:8" ht="15.75" thickBot="1" x14ac:dyDescent="0.3">
      <c r="A10" s="14" t="s">
        <v>24</v>
      </c>
      <c r="B10" s="15"/>
      <c r="C10" s="28">
        <f>C6*C8</f>
        <v>2032000</v>
      </c>
      <c r="D10" s="28">
        <f t="shared" ref="D10:E11" si="0">D6*D8</f>
        <v>2608200</v>
      </c>
      <c r="E10" s="28">
        <f t="shared" si="0"/>
        <v>2794500</v>
      </c>
    </row>
    <row r="11" spans="1:8" ht="15.75" thickBot="1" x14ac:dyDescent="0.3">
      <c r="A11" s="14" t="s">
        <v>25</v>
      </c>
      <c r="B11" s="15"/>
      <c r="C11" s="28">
        <f>C7*C9</f>
        <v>982520</v>
      </c>
      <c r="D11" s="28">
        <f t="shared" si="0"/>
        <v>1089460</v>
      </c>
      <c r="E11" s="28">
        <f t="shared" si="0"/>
        <v>1125180</v>
      </c>
    </row>
    <row r="12" spans="1:8" ht="15.75" thickBot="1" x14ac:dyDescent="0.3">
      <c r="A12" s="14" t="s">
        <v>26</v>
      </c>
      <c r="B12" s="15"/>
      <c r="C12" s="28">
        <f>C10+C11</f>
        <v>3014520</v>
      </c>
      <c r="D12" s="28">
        <f t="shared" ref="D12:E12" si="1">D10+D11</f>
        <v>3697660</v>
      </c>
      <c r="E12" s="28">
        <f t="shared" si="1"/>
        <v>3919680</v>
      </c>
    </row>
    <row r="13" spans="1:8" ht="45.75" thickBot="1" x14ac:dyDescent="0.3">
      <c r="A13" s="14" t="s">
        <v>41</v>
      </c>
      <c r="B13" s="15"/>
      <c r="C13" s="28">
        <f>12*('Исходные данные'!B15-'Исходные данные'!B12)</f>
        <v>2114856</v>
      </c>
      <c r="D13" s="28">
        <f>1.07*C13</f>
        <v>2262895.92</v>
      </c>
      <c r="E13" s="28">
        <f>1.07*D13</f>
        <v>2421298.6343999999</v>
      </c>
    </row>
    <row r="14" spans="1:8" ht="15.75" thickBot="1" x14ac:dyDescent="0.3">
      <c r="A14" s="14" t="s">
        <v>42</v>
      </c>
      <c r="B14" s="15"/>
      <c r="C14" s="28">
        <f>Кредит!I4</f>
        <v>455237.69104161591</v>
      </c>
      <c r="D14" s="28">
        <f>Кредит!I5</f>
        <v>392148.96754245006</v>
      </c>
      <c r="E14" s="28">
        <f>Кредит!I6</f>
        <v>312137.2116352077</v>
      </c>
      <c r="F14" s="27"/>
    </row>
    <row r="15" spans="1:8" ht="15.75" thickBot="1" x14ac:dyDescent="0.3">
      <c r="A15" s="14" t="s">
        <v>43</v>
      </c>
      <c r="B15" s="15"/>
      <c r="C15" s="28">
        <f>F4*(C6+C7)</f>
        <v>494502</v>
      </c>
      <c r="D15" s="28">
        <f>G4*(D6+D7)</f>
        <v>631684</v>
      </c>
      <c r="E15" s="28">
        <f>H4*(E6+E7)</f>
        <v>679660</v>
      </c>
    </row>
    <row r="16" spans="1:8" ht="15.75" thickBot="1" x14ac:dyDescent="0.3">
      <c r="A16" s="14" t="s">
        <v>44</v>
      </c>
      <c r="B16" s="15"/>
      <c r="C16" s="28">
        <f>'Исходные данные'!$B$12*12</f>
        <v>37500</v>
      </c>
      <c r="D16" s="28">
        <f>'Исходные данные'!$B$12*12</f>
        <v>37500</v>
      </c>
      <c r="E16" s="28">
        <f>'Исходные данные'!$B$12*12</f>
        <v>37500</v>
      </c>
    </row>
    <row r="17" spans="1:10" ht="15.75" thickBot="1" x14ac:dyDescent="0.3">
      <c r="A17" s="14" t="s">
        <v>45</v>
      </c>
      <c r="B17" s="15"/>
      <c r="C17" s="28">
        <f>SUM(C13:C16)</f>
        <v>3102095.6910416158</v>
      </c>
      <c r="D17" s="28">
        <f t="shared" ref="D17:E17" si="2">SUM(D13:D16)</f>
        <v>3324228.8875424499</v>
      </c>
      <c r="E17" s="28">
        <f t="shared" si="2"/>
        <v>3450595.8460352076</v>
      </c>
    </row>
    <row r="18" spans="1:10" ht="30.75" thickBot="1" x14ac:dyDescent="0.3">
      <c r="A18" s="14" t="s">
        <v>46</v>
      </c>
      <c r="B18" s="15"/>
      <c r="C18" s="28">
        <f>C12-C17</f>
        <v>-87575.691041615792</v>
      </c>
      <c r="D18" s="28">
        <f t="shared" ref="D18:E18" si="3">D12-D17</f>
        <v>373431.11245755013</v>
      </c>
      <c r="E18" s="28">
        <f t="shared" si="3"/>
        <v>469084.15396479238</v>
      </c>
    </row>
    <row r="19" spans="1:10" ht="15.75" thickBot="1" x14ac:dyDescent="0.3">
      <c r="A19" s="14" t="s">
        <v>47</v>
      </c>
      <c r="B19" s="15"/>
      <c r="C19" s="28">
        <f>0.15*C18</f>
        <v>-13136.353656242369</v>
      </c>
      <c r="D19" s="28">
        <f t="shared" ref="D19:E19" si="4">0.15*D18</f>
        <v>56014.666868632521</v>
      </c>
      <c r="E19" s="28">
        <f t="shared" si="4"/>
        <v>70362.62309471886</v>
      </c>
    </row>
    <row r="20" spans="1:10" ht="30.75" thickBot="1" x14ac:dyDescent="0.3">
      <c r="A20" s="14" t="s">
        <v>48</v>
      </c>
      <c r="B20" s="15"/>
      <c r="C20" s="28">
        <f>C18-C19</f>
        <v>-74439.337385373423</v>
      </c>
      <c r="D20" s="28">
        <f t="shared" ref="D20:E20" si="5">D18-D19</f>
        <v>317416.44558891759</v>
      </c>
      <c r="E20" s="28">
        <f t="shared" si="5"/>
        <v>398721.53087007353</v>
      </c>
    </row>
    <row r="21" spans="1:10" ht="30.75" thickBot="1" x14ac:dyDescent="0.3">
      <c r="A21" s="16" t="s">
        <v>49</v>
      </c>
      <c r="B21" s="15"/>
      <c r="C21" s="37">
        <f>C20+C16</f>
        <v>-36939.337385373423</v>
      </c>
      <c r="D21" s="37">
        <f t="shared" ref="D21:E21" si="6">D20+D16</f>
        <v>354916.44558891759</v>
      </c>
      <c r="E21" s="37">
        <f t="shared" si="6"/>
        <v>436221.53087007353</v>
      </c>
    </row>
    <row r="22" spans="1:10" ht="15.75" thickBot="1" x14ac:dyDescent="0.3">
      <c r="A22" s="20" t="s">
        <v>27</v>
      </c>
      <c r="B22" s="21"/>
      <c r="C22" s="21"/>
      <c r="D22" s="21"/>
      <c r="E22" s="22"/>
    </row>
    <row r="23" spans="1:10" ht="15.75" thickBot="1" x14ac:dyDescent="0.3">
      <c r="A23" s="14" t="s">
        <v>56</v>
      </c>
      <c r="B23" s="15">
        <v>300000</v>
      </c>
      <c r="C23" s="15"/>
      <c r="D23" s="15"/>
      <c r="E23" s="15"/>
    </row>
    <row r="24" spans="1:10" ht="15.75" thickBot="1" x14ac:dyDescent="0.3">
      <c r="A24" s="14" t="s">
        <v>28</v>
      </c>
      <c r="B24" s="15">
        <v>600000</v>
      </c>
      <c r="C24" s="15"/>
      <c r="D24" s="15"/>
      <c r="E24" s="15"/>
    </row>
    <row r="25" spans="1:10" ht="30.75" thickBot="1" x14ac:dyDescent="0.3">
      <c r="A25" s="14" t="s">
        <v>39</v>
      </c>
      <c r="B25" s="15"/>
      <c r="C25" s="28">
        <f>Кредит!J4</f>
        <v>235193.48877773614</v>
      </c>
      <c r="D25" s="28">
        <f>Кредит!J5</f>
        <v>298282.21227690193</v>
      </c>
      <c r="E25" s="28">
        <f>Кредит!J6</f>
        <v>378293.96818414435</v>
      </c>
      <c r="G25" s="27">
        <f>SUM(C25:E25)</f>
        <v>911769.66923878237</v>
      </c>
    </row>
    <row r="26" spans="1:10" ht="15.75" thickBot="1" x14ac:dyDescent="0.3">
      <c r="A26" s="14" t="s">
        <v>40</v>
      </c>
      <c r="B26" s="15"/>
      <c r="C26" s="28">
        <v>587000</v>
      </c>
      <c r="D26" s="28">
        <v>13000</v>
      </c>
      <c r="E26" s="28"/>
      <c r="G26" s="27">
        <f>SUM(C26:E26)</f>
        <v>600000</v>
      </c>
    </row>
    <row r="27" spans="1:10" ht="30.75" thickBot="1" x14ac:dyDescent="0.3">
      <c r="A27" s="16" t="s">
        <v>38</v>
      </c>
      <c r="B27" s="15">
        <f>B23+B24-B25-B26</f>
        <v>900000</v>
      </c>
      <c r="C27" s="28">
        <f t="shared" ref="C27:E27" si="7">C23+C24-C25-C26</f>
        <v>-822193.4887777362</v>
      </c>
      <c r="D27" s="28">
        <f t="shared" si="7"/>
        <v>-311282.21227690193</v>
      </c>
      <c r="E27" s="28">
        <f t="shared" si="7"/>
        <v>-378293.96818414435</v>
      </c>
    </row>
    <row r="28" spans="1:10" ht="15.75" thickBot="1" x14ac:dyDescent="0.3">
      <c r="A28" s="18" t="s">
        <v>29</v>
      </c>
      <c r="B28" s="19">
        <f>B27+B21+B4</f>
        <v>0</v>
      </c>
      <c r="C28" s="29">
        <f t="shared" ref="C28:E28" si="8">C27+C21+C4</f>
        <v>-859132.82616310962</v>
      </c>
      <c r="D28" s="29">
        <f t="shared" si="8"/>
        <v>43634.233312015655</v>
      </c>
      <c r="E28" s="29">
        <f t="shared" si="8"/>
        <v>57927.562685929181</v>
      </c>
    </row>
    <row r="29" spans="1:10" ht="29.25" thickBot="1" x14ac:dyDescent="0.3">
      <c r="A29" s="18" t="s">
        <v>30</v>
      </c>
      <c r="B29" s="19">
        <f>B28</f>
        <v>0</v>
      </c>
      <c r="C29" s="29">
        <f>C28+B29</f>
        <v>-859132.82616310962</v>
      </c>
      <c r="D29" s="29">
        <f t="shared" ref="D29:E29" si="9">D28+C29</f>
        <v>-815498.59285109397</v>
      </c>
      <c r="E29" s="38">
        <f t="shared" si="9"/>
        <v>-757571.03016516473</v>
      </c>
    </row>
    <row r="31" spans="1:10" ht="15.75" thickBot="1" x14ac:dyDescent="0.3">
      <c r="B31">
        <v>0</v>
      </c>
      <c r="C31">
        <v>1</v>
      </c>
      <c r="D31">
        <v>2</v>
      </c>
      <c r="E31">
        <v>3</v>
      </c>
      <c r="H31" t="s">
        <v>65</v>
      </c>
      <c r="J31" s="39">
        <f>21%+3%</f>
        <v>0.24</v>
      </c>
    </row>
    <row r="32" spans="1:10" ht="29.25" thickBot="1" x14ac:dyDescent="0.3">
      <c r="A32" s="23" t="s">
        <v>55</v>
      </c>
      <c r="B32" s="41">
        <f>1/(1+$J$34)^B31</f>
        <v>1</v>
      </c>
      <c r="C32" s="41">
        <f t="shared" ref="C32:E32" si="10">1/(1+$J$34)^C31</f>
        <v>0.79365079365079361</v>
      </c>
      <c r="D32" s="41">
        <f t="shared" si="10"/>
        <v>0.62988158226253455</v>
      </c>
      <c r="E32" s="41">
        <f t="shared" si="10"/>
        <v>0.49990601766867826</v>
      </c>
      <c r="H32" t="s">
        <v>66</v>
      </c>
      <c r="J32" s="34">
        <v>0.3</v>
      </c>
    </row>
    <row r="33" spans="1:10" ht="15.75" thickBot="1" x14ac:dyDescent="0.3">
      <c r="A33" s="18" t="s">
        <v>32</v>
      </c>
      <c r="B33" s="40">
        <f>B21*B32</f>
        <v>0</v>
      </c>
      <c r="C33" s="40">
        <f t="shared" ref="C33:E33" si="11">C21*C32</f>
        <v>-29316.934432836049</v>
      </c>
      <c r="D33" s="40">
        <f t="shared" si="11"/>
        <v>223555.33231854215</v>
      </c>
      <c r="E33" s="40">
        <f t="shared" si="11"/>
        <v>218069.76831859286</v>
      </c>
    </row>
    <row r="34" spans="1:10" ht="15.75" thickBot="1" x14ac:dyDescent="0.3">
      <c r="A34" s="18" t="s">
        <v>33</v>
      </c>
      <c r="B34" s="40">
        <f>B33</f>
        <v>0</v>
      </c>
      <c r="C34" s="42">
        <f>B34+C33</f>
        <v>-29316.934432836049</v>
      </c>
      <c r="D34" s="42">
        <f t="shared" ref="D34:E34" si="12">C34+D33</f>
        <v>194238.3978857061</v>
      </c>
      <c r="E34" s="42">
        <f t="shared" si="12"/>
        <v>412308.16620429896</v>
      </c>
      <c r="H34" t="s">
        <v>67</v>
      </c>
      <c r="J34">
        <f>B23/B3*J32+B24/B3*J31</f>
        <v>0.25999999999999995</v>
      </c>
    </row>
    <row r="35" spans="1:10" ht="43.5" thickBot="1" x14ac:dyDescent="0.3">
      <c r="A35" s="18" t="s">
        <v>34</v>
      </c>
      <c r="B35" s="42">
        <f>B34-$B$3</f>
        <v>-900000</v>
      </c>
      <c r="C35" s="42">
        <f t="shared" ref="C35:D35" si="13">C34-$B$3</f>
        <v>-929316.93443283602</v>
      </c>
      <c r="D35" s="42">
        <f t="shared" si="13"/>
        <v>-705761.60211429396</v>
      </c>
      <c r="E35" s="43">
        <f>E34-$B$3</f>
        <v>-487691.83379570104</v>
      </c>
      <c r="J35">
        <f>B23/B3*J32+B24/B3*J31</f>
        <v>0.25999999999999995</v>
      </c>
    </row>
    <row r="36" spans="1:10" ht="15.75" thickBot="1" x14ac:dyDescent="0.3"/>
    <row r="37" spans="1:10" ht="15.75" thickBot="1" x14ac:dyDescent="0.3">
      <c r="A37" s="24" t="s">
        <v>35</v>
      </c>
      <c r="B37" s="30">
        <f>E35</f>
        <v>-487691.83379570104</v>
      </c>
    </row>
    <row r="38" spans="1:10" ht="15.75" thickBot="1" x14ac:dyDescent="0.3">
      <c r="A38" s="25" t="s">
        <v>36</v>
      </c>
      <c r="B38" s="31">
        <f>2+(-D35)/E33</f>
        <v>5.236402769425605</v>
      </c>
      <c r="C38">
        <v>2</v>
      </c>
      <c r="D38" t="s">
        <v>68</v>
      </c>
      <c r="E38" s="27">
        <f>(B38-C38)*12</f>
        <v>38.836833233107257</v>
      </c>
      <c r="F38" t="s">
        <v>69</v>
      </c>
    </row>
    <row r="39" spans="1:10" ht="15.75" thickBot="1" x14ac:dyDescent="0.3">
      <c r="A39" s="26" t="s">
        <v>37</v>
      </c>
      <c r="B39" s="32">
        <f>E34/$B$3</f>
        <v>0.45812018467144328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topLeftCell="A15" workbookViewId="0">
      <selection activeCell="K37" sqref="K37"/>
    </sheetView>
  </sheetViews>
  <sheetFormatPr defaultRowHeight="15" x14ac:dyDescent="0.25"/>
  <cols>
    <col min="1" max="1" width="33.85546875" customWidth="1"/>
    <col min="2" max="2" width="21.85546875" customWidth="1"/>
    <col min="3" max="3" width="24.28515625" customWidth="1"/>
    <col min="4" max="4" width="24.42578125" customWidth="1"/>
    <col min="5" max="5" width="23.28515625" customWidth="1"/>
    <col min="7" max="7" width="10.42578125" bestFit="1" customWidth="1"/>
  </cols>
  <sheetData>
    <row r="1" spans="1:8" ht="30.75" thickBot="1" x14ac:dyDescent="0.3">
      <c r="A1" s="11" t="s">
        <v>14</v>
      </c>
      <c r="B1" s="12" t="s">
        <v>31</v>
      </c>
      <c r="C1" s="13" t="s">
        <v>15</v>
      </c>
      <c r="D1" s="13" t="s">
        <v>16</v>
      </c>
      <c r="E1" s="13" t="s">
        <v>17</v>
      </c>
    </row>
    <row r="2" spans="1:8" ht="15.75" thickBot="1" x14ac:dyDescent="0.3">
      <c r="A2" s="20" t="s">
        <v>18</v>
      </c>
      <c r="B2" s="21"/>
      <c r="C2" s="21"/>
      <c r="D2" s="21"/>
      <c r="E2" s="22"/>
      <c r="G2" t="s">
        <v>64</v>
      </c>
    </row>
    <row r="3" spans="1:8" ht="15.75" thickBot="1" x14ac:dyDescent="0.3">
      <c r="A3" s="14" t="s">
        <v>19</v>
      </c>
      <c r="B3" s="15">
        <v>900000</v>
      </c>
      <c r="C3" s="15"/>
      <c r="D3" s="15"/>
      <c r="E3" s="15"/>
    </row>
    <row r="4" spans="1:8" ht="30.75" thickBot="1" x14ac:dyDescent="0.3">
      <c r="A4" s="16" t="s">
        <v>20</v>
      </c>
      <c r="B4" s="17">
        <v>-900000</v>
      </c>
      <c r="C4" s="17"/>
      <c r="D4" s="17"/>
      <c r="E4" s="17"/>
      <c r="F4">
        <v>73</v>
      </c>
      <c r="G4">
        <f>ROUNDUP(F4*1.07,0)</f>
        <v>79</v>
      </c>
      <c r="H4">
        <f>ROUNDUP(G4*1.07,0)</f>
        <v>85</v>
      </c>
    </row>
    <row r="5" spans="1:8" ht="15.75" thickBot="1" x14ac:dyDescent="0.3">
      <c r="A5" s="20" t="s">
        <v>21</v>
      </c>
      <c r="B5" s="21"/>
      <c r="C5" s="21"/>
      <c r="D5" s="21"/>
      <c r="E5" s="22"/>
    </row>
    <row r="6" spans="1:8" ht="15.75" thickBot="1" x14ac:dyDescent="0.3">
      <c r="A6" s="14" t="s">
        <v>51</v>
      </c>
      <c r="B6" s="15"/>
      <c r="C6" s="15">
        <v>5977</v>
      </c>
      <c r="D6" s="15">
        <v>7307</v>
      </c>
      <c r="E6" s="15">
        <v>7307</v>
      </c>
    </row>
    <row r="7" spans="1:8" ht="15.75" thickBot="1" x14ac:dyDescent="0.3">
      <c r="A7" s="14" t="s">
        <v>52</v>
      </c>
      <c r="B7" s="15"/>
      <c r="C7" s="15">
        <v>1993</v>
      </c>
      <c r="D7" s="15">
        <v>2102</v>
      </c>
      <c r="E7" s="15">
        <v>2102</v>
      </c>
    </row>
    <row r="8" spans="1:8" ht="15.75" thickBot="1" x14ac:dyDescent="0.3">
      <c r="A8" s="14" t="s">
        <v>22</v>
      </c>
      <c r="B8" s="15"/>
      <c r="C8" s="15">
        <v>400</v>
      </c>
      <c r="D8" s="15">
        <v>420</v>
      </c>
      <c r="E8" s="15">
        <v>450</v>
      </c>
    </row>
    <row r="9" spans="1:8" ht="15.75" thickBot="1" x14ac:dyDescent="0.3">
      <c r="A9" s="14" t="s">
        <v>23</v>
      </c>
      <c r="B9" s="15"/>
      <c r="C9" s="15">
        <v>580</v>
      </c>
      <c r="D9" s="15">
        <v>610</v>
      </c>
      <c r="E9" s="15">
        <v>630</v>
      </c>
    </row>
    <row r="10" spans="1:8" ht="15.75" thickBot="1" x14ac:dyDescent="0.3">
      <c r="A10" s="14" t="s">
        <v>24</v>
      </c>
      <c r="B10" s="15"/>
      <c r="C10" s="28">
        <f>C6*C8</f>
        <v>2390800</v>
      </c>
      <c r="D10" s="28">
        <f t="shared" ref="D10:E11" si="0">D6*D8</f>
        <v>3068940</v>
      </c>
      <c r="E10" s="28">
        <f t="shared" si="0"/>
        <v>3288150</v>
      </c>
    </row>
    <row r="11" spans="1:8" ht="15.75" thickBot="1" x14ac:dyDescent="0.3">
      <c r="A11" s="14" t="s">
        <v>25</v>
      </c>
      <c r="B11" s="15"/>
      <c r="C11" s="28">
        <f>C7*C9</f>
        <v>1155940</v>
      </c>
      <c r="D11" s="28">
        <f t="shared" si="0"/>
        <v>1282220</v>
      </c>
      <c r="E11" s="28">
        <f t="shared" si="0"/>
        <v>1324260</v>
      </c>
    </row>
    <row r="12" spans="1:8" ht="15.75" thickBot="1" x14ac:dyDescent="0.3">
      <c r="A12" s="14" t="s">
        <v>26</v>
      </c>
      <c r="B12" s="15"/>
      <c r="C12" s="28">
        <f>C10+C11</f>
        <v>3546740</v>
      </c>
      <c r="D12" s="28">
        <f t="shared" ref="D12:E12" si="1">D10+D11</f>
        <v>4351160</v>
      </c>
      <c r="E12" s="28">
        <f t="shared" si="1"/>
        <v>4612410</v>
      </c>
    </row>
    <row r="13" spans="1:8" ht="45.75" thickBot="1" x14ac:dyDescent="0.3">
      <c r="A13" s="14" t="s">
        <v>41</v>
      </c>
      <c r="B13" s="15"/>
      <c r="C13" s="28">
        <f>12*('Исходные данные'!B15-'Исходные данные'!B12)</f>
        <v>2114856</v>
      </c>
      <c r="D13" s="28">
        <f>1.07*C13</f>
        <v>2262895.92</v>
      </c>
      <c r="E13" s="28">
        <f>1.07*D13</f>
        <v>2421298.6343999999</v>
      </c>
    </row>
    <row r="14" spans="1:8" ht="15.75" thickBot="1" x14ac:dyDescent="0.3">
      <c r="A14" s="14" t="s">
        <v>42</v>
      </c>
      <c r="B14" s="15"/>
      <c r="C14" s="28">
        <f>Кредит!I4</f>
        <v>455237.69104161591</v>
      </c>
      <c r="D14" s="28">
        <f>Кредит!I5</f>
        <v>392148.96754245006</v>
      </c>
      <c r="E14" s="28">
        <f>Кредит!I6</f>
        <v>312137.2116352077</v>
      </c>
      <c r="F14" s="27"/>
    </row>
    <row r="15" spans="1:8" ht="15.75" thickBot="1" x14ac:dyDescent="0.3">
      <c r="A15" s="14" t="s">
        <v>43</v>
      </c>
      <c r="B15" s="15"/>
      <c r="C15" s="28">
        <f>F4*(C6+C7)</f>
        <v>581810</v>
      </c>
      <c r="D15" s="28">
        <f>G4*(D6+D7)</f>
        <v>743311</v>
      </c>
      <c r="E15" s="28">
        <f>H4*(E6+E7)</f>
        <v>799765</v>
      </c>
    </row>
    <row r="16" spans="1:8" ht="15.75" thickBot="1" x14ac:dyDescent="0.3">
      <c r="A16" s="14" t="s">
        <v>44</v>
      </c>
      <c r="B16" s="15"/>
      <c r="C16" s="28">
        <f>'Исходные данные'!$B$12*12</f>
        <v>37500</v>
      </c>
      <c r="D16" s="28">
        <f>'Исходные данные'!$B$12*12</f>
        <v>37500</v>
      </c>
      <c r="E16" s="28">
        <f>'Исходные данные'!$B$12*12</f>
        <v>37500</v>
      </c>
    </row>
    <row r="17" spans="1:10" ht="15.75" thickBot="1" x14ac:dyDescent="0.3">
      <c r="A17" s="14" t="s">
        <v>45</v>
      </c>
      <c r="B17" s="15"/>
      <c r="C17" s="28">
        <f>SUM(C13:C16)</f>
        <v>3189403.6910416158</v>
      </c>
      <c r="D17" s="28">
        <f t="shared" ref="D17:E17" si="2">SUM(D13:D16)</f>
        <v>3435855.8875424499</v>
      </c>
      <c r="E17" s="28">
        <f t="shared" si="2"/>
        <v>3570700.8460352076</v>
      </c>
    </row>
    <row r="18" spans="1:10" ht="30.75" thickBot="1" x14ac:dyDescent="0.3">
      <c r="A18" s="14" t="s">
        <v>46</v>
      </c>
      <c r="B18" s="15"/>
      <c r="C18" s="28">
        <f>C12-C17</f>
        <v>357336.30895838421</v>
      </c>
      <c r="D18" s="28">
        <f t="shared" ref="D18:E18" si="3">D12-D17</f>
        <v>915304.11245755013</v>
      </c>
      <c r="E18" s="28">
        <f t="shared" si="3"/>
        <v>1041709.1539647924</v>
      </c>
    </row>
    <row r="19" spans="1:10" ht="15.75" thickBot="1" x14ac:dyDescent="0.3">
      <c r="A19" s="14" t="s">
        <v>47</v>
      </c>
      <c r="B19" s="15"/>
      <c r="C19" s="28">
        <f>0.15*C18</f>
        <v>53600.446343757627</v>
      </c>
      <c r="D19" s="28">
        <f t="shared" ref="D19:E19" si="4">0.15*D18</f>
        <v>137295.61686863253</v>
      </c>
      <c r="E19" s="28">
        <f t="shared" si="4"/>
        <v>156256.37309471885</v>
      </c>
    </row>
    <row r="20" spans="1:10" ht="30.75" thickBot="1" x14ac:dyDescent="0.3">
      <c r="A20" s="14" t="s">
        <v>48</v>
      </c>
      <c r="B20" s="15"/>
      <c r="C20" s="28">
        <f>C18-C19</f>
        <v>303735.86261462659</v>
      </c>
      <c r="D20" s="28">
        <f t="shared" ref="D20:E20" si="5">D18-D19</f>
        <v>778008.49558891763</v>
      </c>
      <c r="E20" s="28">
        <f t="shared" si="5"/>
        <v>885452.78087007347</v>
      </c>
    </row>
    <row r="21" spans="1:10" ht="30.75" thickBot="1" x14ac:dyDescent="0.3">
      <c r="A21" s="16" t="s">
        <v>49</v>
      </c>
      <c r="B21" s="15"/>
      <c r="C21" s="37">
        <f>C20+C16</f>
        <v>341235.86261462659</v>
      </c>
      <c r="D21" s="37">
        <f t="shared" ref="D21:E21" si="6">D20+D16</f>
        <v>815508.49558891763</v>
      </c>
      <c r="E21" s="37">
        <f t="shared" si="6"/>
        <v>922952.78087007347</v>
      </c>
    </row>
    <row r="22" spans="1:10" ht="15.75" thickBot="1" x14ac:dyDescent="0.3">
      <c r="A22" s="20" t="s">
        <v>27</v>
      </c>
      <c r="B22" s="21"/>
      <c r="C22" s="21"/>
      <c r="D22" s="21"/>
      <c r="E22" s="22"/>
    </row>
    <row r="23" spans="1:10" ht="15.75" thickBot="1" x14ac:dyDescent="0.3">
      <c r="A23" s="14" t="s">
        <v>56</v>
      </c>
      <c r="B23" s="15">
        <v>300000</v>
      </c>
      <c r="C23" s="15"/>
      <c r="D23" s="15"/>
      <c r="E23" s="15"/>
    </row>
    <row r="24" spans="1:10" ht="15.75" thickBot="1" x14ac:dyDescent="0.3">
      <c r="A24" s="14" t="s">
        <v>28</v>
      </c>
      <c r="B24" s="15">
        <v>600000</v>
      </c>
      <c r="C24" s="15"/>
      <c r="D24" s="15"/>
      <c r="E24" s="15"/>
    </row>
    <row r="25" spans="1:10" ht="30.75" thickBot="1" x14ac:dyDescent="0.3">
      <c r="A25" s="14" t="s">
        <v>39</v>
      </c>
      <c r="B25" s="15"/>
      <c r="C25" s="28">
        <f>Кредит!J4</f>
        <v>235193.48877773614</v>
      </c>
      <c r="D25" s="28">
        <f>Кредит!J5</f>
        <v>298282.21227690193</v>
      </c>
      <c r="E25" s="28">
        <f>Кредит!J6</f>
        <v>378293.96818414435</v>
      </c>
      <c r="G25" s="27">
        <f>SUM(C25:E25)</f>
        <v>911769.66923878237</v>
      </c>
    </row>
    <row r="26" spans="1:10" ht="15.75" thickBot="1" x14ac:dyDescent="0.3">
      <c r="A26" s="14" t="s">
        <v>40</v>
      </c>
      <c r="B26" s="15"/>
      <c r="C26" s="28">
        <v>587000</v>
      </c>
      <c r="D26" s="28">
        <v>13000</v>
      </c>
      <c r="E26" s="28"/>
      <c r="G26" s="27">
        <f>SUM(C26:E26)</f>
        <v>600000</v>
      </c>
    </row>
    <row r="27" spans="1:10" ht="30.75" thickBot="1" x14ac:dyDescent="0.3">
      <c r="A27" s="16" t="s">
        <v>38</v>
      </c>
      <c r="B27" s="15">
        <f>B23+B24-B25-B26</f>
        <v>900000</v>
      </c>
      <c r="C27" s="28">
        <f t="shared" ref="C27:E27" si="7">C23+C24-C25-C26</f>
        <v>-822193.4887777362</v>
      </c>
      <c r="D27" s="28">
        <f t="shared" si="7"/>
        <v>-311282.21227690193</v>
      </c>
      <c r="E27" s="28">
        <f t="shared" si="7"/>
        <v>-378293.96818414435</v>
      </c>
    </row>
    <row r="28" spans="1:10" ht="15.75" thickBot="1" x14ac:dyDescent="0.3">
      <c r="A28" s="18" t="s">
        <v>29</v>
      </c>
      <c r="B28" s="19">
        <f>B27+B21+B4</f>
        <v>0</v>
      </c>
      <c r="C28" s="29">
        <f t="shared" ref="C28:E28" si="8">C27+C21+C4</f>
        <v>-480957.62616310961</v>
      </c>
      <c r="D28" s="29">
        <f t="shared" si="8"/>
        <v>504226.2833120157</v>
      </c>
      <c r="E28" s="29">
        <f t="shared" si="8"/>
        <v>544658.81268592912</v>
      </c>
    </row>
    <row r="29" spans="1:10" ht="29.25" thickBot="1" x14ac:dyDescent="0.3">
      <c r="A29" s="18" t="s">
        <v>30</v>
      </c>
      <c r="B29" s="19">
        <f>B28</f>
        <v>0</v>
      </c>
      <c r="C29" s="29">
        <f>C28+B29</f>
        <v>-480957.62616310961</v>
      </c>
      <c r="D29" s="29">
        <f t="shared" ref="D29:E29" si="9">D28+C29</f>
        <v>23268.657148906088</v>
      </c>
      <c r="E29" s="38">
        <f t="shared" si="9"/>
        <v>567927.46983483527</v>
      </c>
    </row>
    <row r="31" spans="1:10" ht="15.75" thickBot="1" x14ac:dyDescent="0.3">
      <c r="B31">
        <v>0</v>
      </c>
      <c r="C31">
        <v>1</v>
      </c>
      <c r="D31">
        <v>2</v>
      </c>
      <c r="E31">
        <v>3</v>
      </c>
      <c r="H31" t="s">
        <v>65</v>
      </c>
      <c r="J31" s="39">
        <f>45%</f>
        <v>0.45</v>
      </c>
    </row>
    <row r="32" spans="1:10" ht="29.25" thickBot="1" x14ac:dyDescent="0.3">
      <c r="A32" s="23" t="s">
        <v>55</v>
      </c>
      <c r="B32" s="41">
        <f>1/(1+$J$34)^B31</f>
        <v>1</v>
      </c>
      <c r="C32" s="41">
        <f t="shared" ref="C32:E32" si="10">1/(1+$J$34)^C31</f>
        <v>0.7142857142857143</v>
      </c>
      <c r="D32" s="41">
        <f t="shared" si="10"/>
        <v>0.51020408163265318</v>
      </c>
      <c r="E32" s="41">
        <f t="shared" si="10"/>
        <v>0.36443148688046656</v>
      </c>
      <c r="H32" t="s">
        <v>66</v>
      </c>
      <c r="J32" s="34">
        <v>0.3</v>
      </c>
    </row>
    <row r="33" spans="1:10" ht="15.75" thickBot="1" x14ac:dyDescent="0.3">
      <c r="A33" s="18" t="s">
        <v>32</v>
      </c>
      <c r="B33" s="40">
        <f>B21*B32</f>
        <v>0</v>
      </c>
      <c r="C33" s="40">
        <f t="shared" ref="C33:E33" si="11">C21*C32</f>
        <v>243739.90186759044</v>
      </c>
      <c r="D33" s="40">
        <f t="shared" si="11"/>
        <v>416075.76305557031</v>
      </c>
      <c r="E33" s="40">
        <f t="shared" si="11"/>
        <v>336353.05425294233</v>
      </c>
    </row>
    <row r="34" spans="1:10" ht="15.75" thickBot="1" x14ac:dyDescent="0.3">
      <c r="A34" s="18" t="s">
        <v>33</v>
      </c>
      <c r="B34" s="40">
        <f>B33</f>
        <v>0</v>
      </c>
      <c r="C34" s="42">
        <f>B34+C33</f>
        <v>243739.90186759044</v>
      </c>
      <c r="D34" s="42">
        <f t="shared" ref="D34:E34" si="12">C34+D33</f>
        <v>659815.6649231608</v>
      </c>
      <c r="E34" s="42">
        <f t="shared" si="12"/>
        <v>996168.71917610313</v>
      </c>
      <c r="H34" t="s">
        <v>67</v>
      </c>
      <c r="J34">
        <f>B23/B3*J32+B24/B3*J31</f>
        <v>0.39999999999999997</v>
      </c>
    </row>
    <row r="35" spans="1:10" ht="43.5" thickBot="1" x14ac:dyDescent="0.3">
      <c r="A35" s="18" t="s">
        <v>34</v>
      </c>
      <c r="B35" s="42">
        <f>B34-$B$3</f>
        <v>-900000</v>
      </c>
      <c r="C35" s="42">
        <f t="shared" ref="C35:D35" si="13">C34-$B$3</f>
        <v>-656260.09813240962</v>
      </c>
      <c r="D35" s="42">
        <f t="shared" si="13"/>
        <v>-240184.3350768392</v>
      </c>
      <c r="E35" s="43">
        <f>E34-$B$3</f>
        <v>96168.719176103128</v>
      </c>
      <c r="J35">
        <f>B23/B3*J32+B24/B3*J31</f>
        <v>0.39999999999999997</v>
      </c>
    </row>
    <row r="36" spans="1:10" ht="15.75" thickBot="1" x14ac:dyDescent="0.3"/>
    <row r="37" spans="1:10" ht="15.75" thickBot="1" x14ac:dyDescent="0.3">
      <c r="A37" s="24" t="s">
        <v>35</v>
      </c>
      <c r="B37" s="30">
        <f>E35</f>
        <v>96168.719176103128</v>
      </c>
    </row>
    <row r="38" spans="1:10" ht="15.75" thickBot="1" x14ac:dyDescent="0.3">
      <c r="A38" s="25" t="s">
        <v>36</v>
      </c>
      <c r="B38" s="31">
        <f>1+(-C35)/D33</f>
        <v>2.5772610577289519</v>
      </c>
      <c r="C38">
        <v>1</v>
      </c>
      <c r="D38" t="s">
        <v>68</v>
      </c>
      <c r="E38" s="27">
        <f>(B38-C38)*12</f>
        <v>18.927132692747421</v>
      </c>
      <c r="F38" t="s">
        <v>69</v>
      </c>
    </row>
    <row r="39" spans="1:10" ht="15.75" thickBot="1" x14ac:dyDescent="0.3">
      <c r="A39" s="26" t="s">
        <v>37</v>
      </c>
      <c r="B39" s="32">
        <f>E34/$B$3</f>
        <v>1.1068541324178924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tabSelected="1" topLeftCell="A25" zoomScale="70" zoomScaleNormal="70" workbookViewId="0">
      <selection activeCell="G41" sqref="G41"/>
    </sheetView>
  </sheetViews>
  <sheetFormatPr defaultRowHeight="15" x14ac:dyDescent="0.25"/>
  <cols>
    <col min="1" max="1" width="32.7109375" customWidth="1"/>
    <col min="2" max="2" width="36" customWidth="1"/>
    <col min="3" max="3" width="35.85546875" customWidth="1"/>
    <col min="4" max="4" width="37" customWidth="1"/>
    <col min="5" max="5" width="38.42578125" customWidth="1"/>
    <col min="6" max="6" width="27" customWidth="1"/>
    <col min="7" max="7" width="28.140625" customWidth="1"/>
    <col min="8" max="8" width="22.7109375" customWidth="1"/>
  </cols>
  <sheetData>
    <row r="1" spans="1:7" ht="15.75" thickBot="1" x14ac:dyDescent="0.3">
      <c r="A1" s="11" t="s">
        <v>14</v>
      </c>
      <c r="B1" s="12" t="s">
        <v>31</v>
      </c>
      <c r="C1" s="13" t="s">
        <v>15</v>
      </c>
      <c r="D1" s="13" t="s">
        <v>16</v>
      </c>
      <c r="E1" s="13" t="s">
        <v>17</v>
      </c>
    </row>
    <row r="2" spans="1:7" ht="15.75" thickBot="1" x14ac:dyDescent="0.3">
      <c r="A2" s="20" t="s">
        <v>18</v>
      </c>
      <c r="B2" s="21"/>
      <c r="C2" s="21"/>
      <c r="D2" s="21"/>
      <c r="E2" s="22"/>
      <c r="G2" t="s">
        <v>64</v>
      </c>
    </row>
    <row r="3" spans="1:7" ht="15.75" thickBot="1" x14ac:dyDescent="0.3">
      <c r="A3" s="14" t="s">
        <v>19</v>
      </c>
      <c r="B3" s="15">
        <v>3250000</v>
      </c>
      <c r="C3" s="15"/>
      <c r="D3" s="15"/>
      <c r="E3" s="15"/>
    </row>
    <row r="4" spans="1:7" ht="30.75" thickBot="1" x14ac:dyDescent="0.3">
      <c r="A4" s="16" t="s">
        <v>20</v>
      </c>
      <c r="B4" s="17">
        <f>-3250000 + 350000</f>
        <v>-2900000</v>
      </c>
      <c r="C4" s="17"/>
      <c r="D4" s="17"/>
      <c r="E4" s="17"/>
    </row>
    <row r="5" spans="1:7" ht="15.75" thickBot="1" x14ac:dyDescent="0.3">
      <c r="A5" s="20" t="s">
        <v>21</v>
      </c>
      <c r="B5" s="21"/>
      <c r="C5" s="21"/>
      <c r="D5" s="21"/>
      <c r="E5" s="22"/>
    </row>
    <row r="6" spans="1:7" ht="30.75" thickBot="1" x14ac:dyDescent="0.3">
      <c r="A6" s="14" t="s">
        <v>51</v>
      </c>
      <c r="B6" s="15"/>
      <c r="C6" s="44">
        <v>1135</v>
      </c>
      <c r="D6" s="45">
        <v>1250</v>
      </c>
      <c r="E6" s="45">
        <v>1375</v>
      </c>
      <c r="F6" s="45">
        <v>1980</v>
      </c>
      <c r="G6" s="45">
        <v>2665</v>
      </c>
    </row>
    <row r="7" spans="1:7" ht="15.75" thickBot="1" x14ac:dyDescent="0.3">
      <c r="A7" s="14"/>
      <c r="B7" s="15"/>
      <c r="C7" s="15"/>
      <c r="D7" s="15"/>
      <c r="E7" s="15"/>
    </row>
    <row r="8" spans="1:7" ht="61.5" customHeight="1" thickBot="1" x14ac:dyDescent="0.3">
      <c r="A8" s="14" t="s">
        <v>22</v>
      </c>
      <c r="B8" s="15"/>
      <c r="C8" s="44">
        <v>6750</v>
      </c>
      <c r="D8" s="45">
        <v>7400</v>
      </c>
      <c r="E8" s="45">
        <v>8150</v>
      </c>
      <c r="F8" s="45">
        <v>8950</v>
      </c>
      <c r="G8" s="45">
        <v>9150</v>
      </c>
    </row>
    <row r="9" spans="1:7" ht="15.75" thickBot="1" x14ac:dyDescent="0.3">
      <c r="A9" s="14"/>
      <c r="B9" s="15"/>
      <c r="C9" s="15"/>
      <c r="D9" s="15"/>
      <c r="E9" s="15"/>
    </row>
    <row r="10" spans="1:7" ht="66" customHeight="1" thickBot="1" x14ac:dyDescent="0.3">
      <c r="A10" s="14" t="s">
        <v>24</v>
      </c>
      <c r="B10" s="15"/>
      <c r="C10" s="28">
        <f>C6*C8</f>
        <v>7661250</v>
      </c>
      <c r="D10" s="28">
        <f t="shared" ref="D10:G10" si="0">D6*D8</f>
        <v>9250000</v>
      </c>
      <c r="E10" s="28">
        <f t="shared" si="0"/>
        <v>11206250</v>
      </c>
      <c r="F10" s="28">
        <f t="shared" si="0"/>
        <v>17721000</v>
      </c>
      <c r="G10" s="28">
        <f t="shared" si="0"/>
        <v>24384750</v>
      </c>
    </row>
    <row r="11" spans="1:7" ht="15.75" thickBot="1" x14ac:dyDescent="0.3">
      <c r="A11" s="14"/>
      <c r="B11" s="15"/>
      <c r="C11" s="28"/>
      <c r="D11" s="28"/>
      <c r="E11" s="28"/>
    </row>
    <row r="12" spans="1:7" ht="93.75" customHeight="1" thickBot="1" x14ac:dyDescent="0.3">
      <c r="A12" s="14" t="s">
        <v>26</v>
      </c>
      <c r="B12" s="15"/>
      <c r="C12" s="28">
        <f>C10+C11</f>
        <v>7661250</v>
      </c>
      <c r="D12" s="28">
        <f t="shared" ref="D12:G12" si="1">D10+D11</f>
        <v>9250000</v>
      </c>
      <c r="E12" s="28">
        <f t="shared" si="1"/>
        <v>11206250</v>
      </c>
      <c r="F12" s="28">
        <f t="shared" si="1"/>
        <v>17721000</v>
      </c>
      <c r="G12" s="28">
        <f t="shared" si="1"/>
        <v>24384750</v>
      </c>
    </row>
    <row r="13" spans="1:7" ht="45.75" thickBot="1" x14ac:dyDescent="0.3">
      <c r="A13" s="14" t="s">
        <v>41</v>
      </c>
      <c r="B13" s="15"/>
      <c r="C13" s="44">
        <v>6950000</v>
      </c>
      <c r="D13" s="45">
        <v>7800000</v>
      </c>
      <c r="E13" s="45">
        <v>10500000</v>
      </c>
      <c r="F13" s="45">
        <v>15300000</v>
      </c>
      <c r="G13" s="45">
        <v>20750000</v>
      </c>
    </row>
    <row r="14" spans="1:7" ht="51.75" customHeight="1" thickBot="1" x14ac:dyDescent="0.3">
      <c r="A14" s="14" t="s">
        <v>42</v>
      </c>
      <c r="B14" s="15"/>
      <c r="C14" s="28">
        <f>Кредит!I4</f>
        <v>455237.69104161591</v>
      </c>
      <c r="D14" s="28">
        <f>Кредит!I5</f>
        <v>392148.96754245006</v>
      </c>
      <c r="E14" s="28">
        <f>Кредит!I6</f>
        <v>312137.2116352077</v>
      </c>
      <c r="F14" s="28">
        <f>Кредит!I7</f>
        <v>210662.95873730647</v>
      </c>
      <c r="G14" s="28">
        <f>Кредит!I8</f>
        <v>81969.070140178606</v>
      </c>
    </row>
    <row r="15" spans="1:7" ht="66" customHeight="1" thickBot="1" x14ac:dyDescent="0.3">
      <c r="A15" s="14" t="s">
        <v>43</v>
      </c>
      <c r="B15" s="15"/>
      <c r="C15" s="28">
        <f>F4*(C6+C7)</f>
        <v>0</v>
      </c>
      <c r="D15" s="28">
        <f t="shared" ref="D15:G15" si="2">G4*(D6+D7)</f>
        <v>0</v>
      </c>
      <c r="E15" s="28">
        <f t="shared" si="2"/>
        <v>0</v>
      </c>
      <c r="F15" s="28">
        <f t="shared" si="2"/>
        <v>0</v>
      </c>
      <c r="G15" s="28">
        <f t="shared" si="2"/>
        <v>0</v>
      </c>
    </row>
    <row r="16" spans="1:7" ht="48.75" customHeight="1" thickBot="1" x14ac:dyDescent="0.3">
      <c r="A16" s="14" t="s">
        <v>44</v>
      </c>
      <c r="B16" s="15"/>
      <c r="C16" s="28">
        <f>3250000/5</f>
        <v>650000</v>
      </c>
      <c r="D16" s="28">
        <f t="shared" ref="D16:G16" si="3">3250000/5</f>
        <v>650000</v>
      </c>
      <c r="E16" s="28">
        <f t="shared" si="3"/>
        <v>650000</v>
      </c>
      <c r="F16" s="28">
        <f t="shared" si="3"/>
        <v>650000</v>
      </c>
      <c r="G16" s="28">
        <f t="shared" si="3"/>
        <v>650000</v>
      </c>
    </row>
    <row r="17" spans="1:10" ht="50.25" customHeight="1" thickBot="1" x14ac:dyDescent="0.3">
      <c r="A17" s="14" t="s">
        <v>45</v>
      </c>
      <c r="B17" s="15"/>
      <c r="C17" s="28">
        <f>SUM(C13:C16)</f>
        <v>8055237.6910416158</v>
      </c>
      <c r="D17" s="28">
        <f t="shared" ref="D17:G17" si="4">SUM(D13:D16)</f>
        <v>8842148.9675424509</v>
      </c>
      <c r="E17" s="28">
        <f t="shared" si="4"/>
        <v>11462137.211635208</v>
      </c>
      <c r="F17" s="28">
        <f t="shared" si="4"/>
        <v>16160662.958737306</v>
      </c>
      <c r="G17" s="28">
        <f t="shared" si="4"/>
        <v>21481969.070140179</v>
      </c>
    </row>
    <row r="18" spans="1:10" ht="30.75" thickBot="1" x14ac:dyDescent="0.3">
      <c r="A18" s="14" t="s">
        <v>46</v>
      </c>
      <c r="B18" s="15"/>
      <c r="C18" s="28">
        <f>C12-C17</f>
        <v>-393987.69104161579</v>
      </c>
      <c r="D18" s="28">
        <f t="shared" ref="D18:G18" si="5">D12-D17</f>
        <v>407851.03245754912</v>
      </c>
      <c r="E18" s="28">
        <f t="shared" si="5"/>
        <v>-255887.21163520776</v>
      </c>
      <c r="F18" s="28">
        <f t="shared" si="5"/>
        <v>1560337.0412626937</v>
      </c>
      <c r="G18" s="28">
        <f t="shared" si="5"/>
        <v>2902780.9298598208</v>
      </c>
    </row>
    <row r="19" spans="1:10" ht="48.75" customHeight="1" thickBot="1" x14ac:dyDescent="0.3">
      <c r="A19" s="14" t="s">
        <v>70</v>
      </c>
      <c r="B19" s="15"/>
      <c r="C19" s="28">
        <v>0</v>
      </c>
      <c r="D19" s="28">
        <f t="shared" ref="D19:G19" si="6">0.2*D18</f>
        <v>81570.206491509831</v>
      </c>
      <c r="E19" s="28">
        <v>0</v>
      </c>
      <c r="F19" s="28">
        <f t="shared" si="6"/>
        <v>312067.40825253876</v>
      </c>
      <c r="G19" s="28">
        <f t="shared" si="6"/>
        <v>580556.18597196415</v>
      </c>
    </row>
    <row r="20" spans="1:10" ht="59.25" customHeight="1" thickBot="1" x14ac:dyDescent="0.3">
      <c r="A20" s="14" t="s">
        <v>48</v>
      </c>
      <c r="B20" s="15"/>
      <c r="C20" s="28">
        <f>C18-C19</f>
        <v>-393987.69104161579</v>
      </c>
      <c r="D20" s="28">
        <f t="shared" ref="D20:G20" si="7">D18-D19</f>
        <v>326280.82596603932</v>
      </c>
      <c r="E20" s="28">
        <f t="shared" si="7"/>
        <v>-255887.21163520776</v>
      </c>
      <c r="F20" s="28">
        <f t="shared" si="7"/>
        <v>1248269.6330101551</v>
      </c>
      <c r="G20" s="28">
        <f t="shared" si="7"/>
        <v>2322224.7438878566</v>
      </c>
    </row>
    <row r="21" spans="1:10" ht="45.75" thickBot="1" x14ac:dyDescent="0.3">
      <c r="A21" s="16" t="s">
        <v>49</v>
      </c>
      <c r="B21" s="15"/>
      <c r="C21" s="37">
        <f>C20+C16</f>
        <v>256012.30895838421</v>
      </c>
      <c r="D21" s="37">
        <f t="shared" ref="D21:G21" si="8">D20+D16</f>
        <v>976280.82596603932</v>
      </c>
      <c r="E21" s="37">
        <f t="shared" si="8"/>
        <v>394112.78836479224</v>
      </c>
      <c r="F21" s="37">
        <f t="shared" si="8"/>
        <v>1898269.6330101551</v>
      </c>
      <c r="G21" s="37">
        <f t="shared" si="8"/>
        <v>2972224.7438878566</v>
      </c>
    </row>
    <row r="22" spans="1:10" ht="15.75" thickBot="1" x14ac:dyDescent="0.3">
      <c r="A22" s="20" t="s">
        <v>27</v>
      </c>
      <c r="B22" s="21"/>
      <c r="C22" s="21"/>
      <c r="D22" s="21"/>
      <c r="E22" s="22"/>
    </row>
    <row r="23" spans="1:10" ht="15.75" thickBot="1" x14ac:dyDescent="0.3">
      <c r="A23" s="14" t="s">
        <v>71</v>
      </c>
      <c r="B23" s="15">
        <v>2000000</v>
      </c>
      <c r="C23" s="15"/>
      <c r="D23" s="15"/>
      <c r="E23" s="15"/>
    </row>
    <row r="24" spans="1:10" ht="15.75" thickBot="1" x14ac:dyDescent="0.3">
      <c r="A24" s="14" t="s">
        <v>28</v>
      </c>
      <c r="B24" s="15">
        <v>1250000</v>
      </c>
      <c r="C24" s="15"/>
      <c r="D24" s="15"/>
      <c r="E24" s="15"/>
    </row>
    <row r="25" spans="1:10" ht="30.75" thickBot="1" x14ac:dyDescent="0.3">
      <c r="A25" s="14" t="s">
        <v>39</v>
      </c>
      <c r="B25" s="15"/>
      <c r="C25" s="28">
        <f>Кредит!J4</f>
        <v>235193.48877773614</v>
      </c>
      <c r="D25" s="28">
        <f>Кредит!J5</f>
        <v>298282.21227690193</v>
      </c>
      <c r="E25" s="47">
        <f>Кредит!J6</f>
        <v>378293.96818414435</v>
      </c>
      <c r="F25" s="48">
        <f>Кредит!J7</f>
        <v>479768.22108204558</v>
      </c>
      <c r="G25" s="48">
        <f>Кредит!J8</f>
        <v>608462.10967917333</v>
      </c>
      <c r="H25" s="46">
        <f>SUM(C25:G25)</f>
        <v>2000000.0000000014</v>
      </c>
    </row>
    <row r="26" spans="1:10" ht="15.75" thickBot="1" x14ac:dyDescent="0.3">
      <c r="A26" s="14" t="s">
        <v>40</v>
      </c>
      <c r="B26" s="15"/>
      <c r="C26" s="28">
        <v>0</v>
      </c>
      <c r="D26" s="28">
        <v>650000</v>
      </c>
      <c r="E26" s="28">
        <v>50000</v>
      </c>
      <c r="F26" s="28">
        <v>200000</v>
      </c>
      <c r="G26" s="28">
        <v>0</v>
      </c>
      <c r="H26" s="27">
        <f>SUM(C26:G26)</f>
        <v>900000</v>
      </c>
    </row>
    <row r="27" spans="1:10" ht="30.75" thickBot="1" x14ac:dyDescent="0.3">
      <c r="A27" s="16" t="s">
        <v>38</v>
      </c>
      <c r="B27" s="15">
        <f>B23+B24-B25-B26</f>
        <v>3250000</v>
      </c>
      <c r="C27" s="15">
        <f t="shared" ref="C27:G27" si="9">C23+C24-C25-C26</f>
        <v>-235193.48877773614</v>
      </c>
      <c r="D27" s="15">
        <f t="shared" si="9"/>
        <v>-948282.21227690193</v>
      </c>
      <c r="E27" s="15">
        <f t="shared" si="9"/>
        <v>-428293.96818414435</v>
      </c>
      <c r="F27" s="15">
        <f t="shared" si="9"/>
        <v>-679768.22108204558</v>
      </c>
      <c r="G27" s="15">
        <f t="shared" si="9"/>
        <v>-608462.10967917333</v>
      </c>
    </row>
    <row r="28" spans="1:10" ht="15.75" thickBot="1" x14ac:dyDescent="0.3">
      <c r="A28" s="18" t="s">
        <v>29</v>
      </c>
      <c r="B28" s="19">
        <v>0</v>
      </c>
      <c r="C28" s="19">
        <f t="shared" ref="C28:G28" si="10">C27+C21+C4</f>
        <v>20818.820180648065</v>
      </c>
      <c r="D28" s="19">
        <f t="shared" si="10"/>
        <v>27998.61368913739</v>
      </c>
      <c r="E28" s="19">
        <f t="shared" si="10"/>
        <v>-34181.17981935211</v>
      </c>
      <c r="F28" s="19">
        <f t="shared" si="10"/>
        <v>1218501.4119281094</v>
      </c>
      <c r="G28" s="19">
        <f t="shared" si="10"/>
        <v>2363762.6342086834</v>
      </c>
    </row>
    <row r="29" spans="1:10" ht="29.25" thickBot="1" x14ac:dyDescent="0.3">
      <c r="A29" s="18" t="s">
        <v>30</v>
      </c>
      <c r="B29" s="19">
        <f>B28</f>
        <v>0</v>
      </c>
      <c r="C29" s="29">
        <f>C28+B29</f>
        <v>20818.820180648065</v>
      </c>
      <c r="D29" s="29">
        <f t="shared" ref="D29:E29" si="11">D28+C29</f>
        <v>48817.433869785455</v>
      </c>
      <c r="E29" s="38">
        <f t="shared" si="11"/>
        <v>14636.254050433345</v>
      </c>
      <c r="F29" s="38">
        <f t="shared" ref="F29" si="12">F28+E29</f>
        <v>1233137.6659785428</v>
      </c>
      <c r="G29" s="38">
        <f t="shared" ref="G29" si="13">G28+F29</f>
        <v>3596900.3001872264</v>
      </c>
    </row>
    <row r="31" spans="1:10" ht="15.75" thickBot="1" x14ac:dyDescent="0.3"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 t="s">
        <v>65</v>
      </c>
      <c r="J31" s="39">
        <f>22%</f>
        <v>0.22</v>
      </c>
    </row>
    <row r="32" spans="1:10" ht="47.25" customHeight="1" thickBot="1" x14ac:dyDescent="0.3">
      <c r="A32" s="23" t="s">
        <v>55</v>
      </c>
      <c r="B32" s="41">
        <f>1/(1+$J$34)^B31</f>
        <v>1</v>
      </c>
      <c r="C32" s="41">
        <f t="shared" ref="C32:G32" si="14">1/(1+$J$34)^C31</f>
        <v>0.81148564294631709</v>
      </c>
      <c r="D32" s="41">
        <f t="shared" si="14"/>
        <v>0.65850894870799759</v>
      </c>
      <c r="E32" s="41">
        <f t="shared" si="14"/>
        <v>0.53437055762821284</v>
      </c>
      <c r="F32" s="41">
        <f t="shared" si="14"/>
        <v>0.43363403552851226</v>
      </c>
      <c r="G32" s="41">
        <f t="shared" si="14"/>
        <v>0.35188779412426086</v>
      </c>
      <c r="H32" t="s">
        <v>66</v>
      </c>
      <c r="J32" s="34">
        <v>0.24</v>
      </c>
    </row>
    <row r="33" spans="1:10" ht="45" customHeight="1" thickBot="1" x14ac:dyDescent="0.3">
      <c r="A33" s="18" t="s">
        <v>32</v>
      </c>
      <c r="B33" s="40">
        <f>B21*B32</f>
        <v>0</v>
      </c>
      <c r="C33" s="40">
        <f t="shared" ref="C33:G33" si="15">C21*C32</f>
        <v>207750.31313726559</v>
      </c>
      <c r="D33" s="40">
        <f t="shared" si="15"/>
        <v>642889.66035067209</v>
      </c>
      <c r="E33" s="40">
        <f t="shared" si="15"/>
        <v>210602.27048690387</v>
      </c>
      <c r="F33" s="40">
        <f t="shared" si="15"/>
        <v>823154.32148342149</v>
      </c>
      <c r="G33" s="40">
        <f t="shared" si="15"/>
        <v>1045889.608768244</v>
      </c>
    </row>
    <row r="34" spans="1:10" ht="72.75" customHeight="1" thickBot="1" x14ac:dyDescent="0.3">
      <c r="A34" s="18" t="s">
        <v>33</v>
      </c>
      <c r="B34" s="40">
        <f>B33</f>
        <v>0</v>
      </c>
      <c r="C34" s="42">
        <f>B34+C33</f>
        <v>207750.31313726559</v>
      </c>
      <c r="D34" s="42">
        <f t="shared" ref="D34:G34" si="16">C34+D33</f>
        <v>850639.97348793771</v>
      </c>
      <c r="E34" s="42">
        <f t="shared" si="16"/>
        <v>1061242.2439748417</v>
      </c>
      <c r="F34" s="42">
        <f t="shared" si="16"/>
        <v>1884396.5654582633</v>
      </c>
      <c r="G34" s="42">
        <f t="shared" si="16"/>
        <v>2930286.1742265075</v>
      </c>
      <c r="H34" t="s">
        <v>67</v>
      </c>
      <c r="J34">
        <f>B23/B3*J32+B24/B3*J31</f>
        <v>0.23230769230769233</v>
      </c>
    </row>
    <row r="35" spans="1:10" ht="57.75" thickBot="1" x14ac:dyDescent="0.3">
      <c r="A35" s="18" t="s">
        <v>34</v>
      </c>
      <c r="B35" s="42">
        <f>B34-$B$3</f>
        <v>-3250000</v>
      </c>
      <c r="C35" s="42">
        <f t="shared" ref="C35:G35" si="17">C34-$B$3</f>
        <v>-3042249.6868627346</v>
      </c>
      <c r="D35" s="42">
        <f t="shared" si="17"/>
        <v>-2399360.0265120622</v>
      </c>
      <c r="E35" s="42">
        <f t="shared" si="17"/>
        <v>-2188757.7560251583</v>
      </c>
      <c r="F35" s="42">
        <f t="shared" si="17"/>
        <v>-1365603.4345417367</v>
      </c>
      <c r="G35" s="42">
        <f t="shared" si="17"/>
        <v>-319713.82577349246</v>
      </c>
      <c r="J35">
        <f>B23/B3*J32+B24/B3*J31</f>
        <v>0.23230769230769233</v>
      </c>
    </row>
    <row r="36" spans="1:10" ht="15.75" thickBot="1" x14ac:dyDescent="0.3"/>
    <row r="37" spans="1:10" ht="15.75" thickBot="1" x14ac:dyDescent="0.3">
      <c r="A37" s="24" t="s">
        <v>35</v>
      </c>
      <c r="B37" s="30">
        <f>G35</f>
        <v>-319713.82577349246</v>
      </c>
    </row>
    <row r="38" spans="1:10" ht="15.75" thickBot="1" x14ac:dyDescent="0.3">
      <c r="A38" s="25" t="s">
        <v>36</v>
      </c>
      <c r="B38" s="31">
        <f>1+(-C35)/D33</f>
        <v>5.7321490365909789</v>
      </c>
      <c r="C38">
        <v>1</v>
      </c>
      <c r="D38" t="s">
        <v>68</v>
      </c>
      <c r="E38" s="27">
        <f>(B38-C38)*12</f>
        <v>56.785788439091746</v>
      </c>
      <c r="F38" t="s">
        <v>69</v>
      </c>
    </row>
    <row r="39" spans="1:10" ht="15.75" thickBot="1" x14ac:dyDescent="0.3">
      <c r="A39" s="26" t="s">
        <v>37</v>
      </c>
      <c r="B39" s="32">
        <f>G34/$B$3</f>
        <v>0.90162651514661774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Исходные данные</vt:lpstr>
      <vt:lpstr>Денежные потоки</vt:lpstr>
      <vt:lpstr>Кредит</vt:lpstr>
      <vt:lpstr>анализ чувст.объем-15%</vt:lpstr>
      <vt:lpstr>анализ чувств. ставка диск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My Office</cp:lastModifiedBy>
  <dcterms:created xsi:type="dcterms:W3CDTF">2023-09-22T09:22:45Z</dcterms:created>
  <dcterms:modified xsi:type="dcterms:W3CDTF">2024-12-10T12:14:32Z</dcterms:modified>
</cp:coreProperties>
</file>